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Apportionment_NEW\Federal Funding &amp; Allocations\Federal progran allocation\26-27\Final\Title I-A Final\"/>
    </mc:Choice>
  </mc:AlternateContent>
  <xr:revisionPtr revIDLastSave="0" documentId="13_ncr:1_{53DA6853-45B9-4640-B346-CC23A735CA6D}" xr6:coauthVersionLast="47" xr6:coauthVersionMax="47" xr10:uidLastSave="{00000000-0000-0000-0000-000000000000}"/>
  <bookViews>
    <workbookView xWindow="1560" yWindow="1560" windowWidth="21600" windowHeight="12645" xr2:uid="{42FCE5F0-78ED-4423-887D-2787C935EDB8}"/>
    <workbookView xWindow="-120" yWindow="-120" windowWidth="29040" windowHeight="17520" activeTab="3" xr2:uid="{CF3960EF-A9A9-4E02-A77B-F0C7F06B1643}"/>
  </bookViews>
  <sheets>
    <sheet name="District" sheetId="41" r:id="rId1"/>
    <sheet name="Change log" sheetId="42" state="hidden" r:id="rId2"/>
    <sheet name="Assumptions " sheetId="12" state="hidden" r:id="rId3"/>
    <sheet name="State Reservations" sheetId="19" r:id="rId4"/>
    <sheet name="Basic HH" sheetId="36" state="hidden" r:id="rId5"/>
    <sheet name="Conc. HH" sheetId="37" state="hidden" r:id="rId6"/>
    <sheet name="Targeted HH" sheetId="38" state="hidden" r:id="rId7"/>
    <sheet name="EFIG HH" sheetId="39" state="hidden" r:id="rId8"/>
    <sheet name="Model allocations" sheetId="29" state="hidden" r:id="rId9"/>
    <sheet name="Initial adjusted allocations" sheetId="28" state="hidden" r:id="rId10"/>
    <sheet name="Initial adjusted formula count" sheetId="26" state="hidden" r:id="rId11"/>
    <sheet name="New or Expanded HH check" sheetId="30" state="hidden" r:id="rId12"/>
    <sheet name="Multipliers" sheetId="27" state="hidden" r:id="rId13"/>
    <sheet name="LEA Split Calc" sheetId="1" state="hidden" r:id="rId14"/>
    <sheet name="Prior Year data" sheetId="34" state="hidden" r:id="rId15"/>
    <sheet name="Conc eligibility year" sheetId="35" state="hidden" r:id="rId16"/>
  </sheets>
  <definedNames>
    <definedName name="_xlnm._FilterDatabase" localSheetId="5" hidden="1">'Conc. HH'!$A$3:$Y$317</definedName>
    <definedName name="_xlnm._FilterDatabase" localSheetId="7" hidden="1">'EFIG HH'!$A$3:$Y$317</definedName>
    <definedName name="_xlnm._FilterDatabase" localSheetId="3" hidden="1">'State Reservations'!$A$3:$AF$317</definedName>
    <definedName name="_xlnm._FilterDatabase" localSheetId="6" hidden="1">'Targeted HH'!$A$3:$Y$315</definedName>
    <definedName name="ExternalData_1" localSheetId="13" hidden="1">'LEA Split Calc'!$A$1:$S$19</definedName>
    <definedName name="ExternalData_1" localSheetId="14" hidden="1">'Prior Year data'!$A$1:$P$316</definedName>
    <definedName name="ExternalData_2" localSheetId="2" hidden="1">'Assumptions '!$C$1:$I$2</definedName>
    <definedName name="ExternalData_2" localSheetId="9" hidden="1">'Initial adjusted allocations'!$A$1:$L$315</definedName>
    <definedName name="ExternalData_2" localSheetId="10" hidden="1">'Initial adjusted formula count'!$A$1:$P$315</definedName>
    <definedName name="ExternalData_2" localSheetId="8" hidden="1">'Model allocations'!$A$1:$L$315</definedName>
    <definedName name="ExternalData_2" localSheetId="12" hidden="1">Multipliers!$A$1:$I$29</definedName>
    <definedName name="ExternalData_2" localSheetId="11" hidden="1">'New or Expanded HH check'!$A$1:$Y$19</definedName>
    <definedName name="ExternalData_3" localSheetId="2" hidden="1">'Assumptions '!$B$1:$B$2</definedName>
    <definedName name="ExternalData_4" localSheetId="15" hidden="1">'Conc eligibility year'!$A$1:$E$316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FRPL_6d942e16-22db-4ffa-b3c4-78e5f77f3d97" name="FRPL" connection="Query - FRPL"/>
          <x15:modelTable id="Charter_TribalSending Districts_adc0af90-1cf7-4afd-a1f7-505f4e6cd83a" name="Charter_TribalSending Districts" connection="Query - Charter_TribalSending Districts"/>
          <x15:modelTable id="Split Calc_247957c6-f80a-4cf9-bf62-830dee17adae" name="Split Calc" connection="Query - Split Calc"/>
          <x15:modelTable id="CharterOnly_d4b28db4-5955-4821-8a91-08565041fbb0" name="CharterOnly" connection="Query - CharterOnly"/>
          <x15:modelTable id="SendingOnly_528991c0-22cf-4f9a-9107-21e30a0d6359" name="SendingOnly" connection="Query - SendingOnly"/>
          <x15:modelTable id="Multipliers_4e1de182-67bc-47e3-aae0-31c9d5aa929f" name="Multipliers" connection="Query - Multipliers"/>
          <x15:modelTable id="DOE Allocation_e200dc55-e835-485f-b9ac-864e5e086a2b" name="DOE Allocation" connection="Query - DOE Allocation"/>
          <x15:modelTable id="CCDDD LEAid_58419713-ea03-4455-98bb-37219434a69b" name="CCDDD LEAid" connection="Query - CCDDD/LEAid"/>
          <x15:modelTable id="DOE Formula counts_3f105ae7-fe37-4b9a-aa63-69b768cb6cdc" name="DOE Formula counts" connection="Query - DOE Formula counts"/>
          <x15:modelTable id="Prior Year adjusted allocations_8130c18f-6f17-4ed2-bd14-597e9d2fc0dd" name="Prior Year adjusted allocations" connection="Query - Prior Year adjusted allocations"/>
          <x15:modelTable id="Prior Year Adjusted Formula counts_2a578e4d-5345-4ca2-b6b0-12d6cdb6e79b" name="Prior Year Adjusted Formula counts" connection="Query - Prior Year Adjusted Formula counts"/>
          <x15:modelTable id="sumif_c9c16be1-9469-4623-9b4e-bcb323cce144" name="sumif" connection="Query - sumif"/>
          <x15:modelTable id="Assumptions-3561391d-e14b-4875-aca7-0b3dbc1c38d4" name="Assumptions" connection="Query - Assumptions"/>
          <x15:modelTable id="Prior Year Net to district_e2fd19b8-9aaf-4528-8cfa-ac06a0304cee" name="Prior Year Net to district" connection="Query - Prior Year Net to district"/>
          <x15:modelTable id="Title_ac699485-87d4-4f30-80af-b906945ae25f" name="Title" connection="Query - Title"/>
          <x15:modelTable id="Conc lookback_c1a88fb1-7a73-4a63-a3e5-6635b945637e" name="Conc lookback" connection="Query - Conc lookback"/>
          <x15:modelTable id="Initial adjusted formula count_5c95ab43-6e12-485c-9022-cfe2a271a234" name="Initial adjusted formula count" connection="Query - Initial adjusted formula count"/>
          <x15:modelTable id="Amount per Formula student_cd424f64-269e-4ef2-8e08-c65c399ef622" name="Amount per Formula student" connection="Query - Amount per Formula student"/>
          <x15:modelTable id="Initial adjusted allocations_d90531cd-ec6c-4788-99a2-22ac57ce40b2" name="Initial adjusted allocations" connection="Query - Initial adjusted allocations"/>
          <x15:modelTable id="Conc eligibility year_a502da48-851e-4952-a9c6-9e398a791bc0" name="Conc eligibility year" connection="Query - Conc eligibility year"/>
          <x15:modelTable id="New or Expanded HH check_32464d03-e565-4412-900d-3f03e1cce755" name="New or Expanded HH check" connection="Query - New or Expanded HH check"/>
          <x15:modelTable id="Model allocations_60a0f989-7d5d-495c-9d42-568553c317c8" name="Model allocations" connection="Query - Model allocation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9" l="1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D257" i="19"/>
  <c r="D258" i="19"/>
  <c r="D259" i="19"/>
  <c r="D260" i="19"/>
  <c r="D261" i="19"/>
  <c r="D262" i="19"/>
  <c r="D263" i="19"/>
  <c r="D264" i="19"/>
  <c r="D265" i="19"/>
  <c r="D266" i="19"/>
  <c r="D267" i="19"/>
  <c r="D268" i="19"/>
  <c r="D269" i="19"/>
  <c r="D270" i="19"/>
  <c r="D271" i="19"/>
  <c r="D272" i="19"/>
  <c r="D273" i="19"/>
  <c r="D274" i="19"/>
  <c r="D275" i="19"/>
  <c r="D276" i="19"/>
  <c r="D277" i="19"/>
  <c r="D278" i="19"/>
  <c r="D279" i="19"/>
  <c r="D280" i="19"/>
  <c r="D281" i="19"/>
  <c r="D282" i="19"/>
  <c r="D283" i="19"/>
  <c r="D284" i="19"/>
  <c r="D285" i="19"/>
  <c r="D286" i="19"/>
  <c r="D287" i="19"/>
  <c r="D288" i="19"/>
  <c r="D289" i="19"/>
  <c r="D290" i="19"/>
  <c r="D291" i="19"/>
  <c r="D292" i="19"/>
  <c r="D293" i="19"/>
  <c r="D294" i="19"/>
  <c r="D295" i="19"/>
  <c r="D296" i="19"/>
  <c r="D297" i="19"/>
  <c r="D298" i="19"/>
  <c r="D299" i="19"/>
  <c r="D300" i="19"/>
  <c r="D301" i="19"/>
  <c r="D302" i="19"/>
  <c r="D303" i="19"/>
  <c r="D304" i="19"/>
  <c r="D305" i="19"/>
  <c r="D306" i="19"/>
  <c r="D307" i="19"/>
  <c r="D308" i="19"/>
  <c r="D309" i="19"/>
  <c r="D310" i="19"/>
  <c r="D311" i="19"/>
  <c r="D312" i="19"/>
  <c r="D313" i="19"/>
  <c r="D314" i="19"/>
  <c r="D315" i="19"/>
  <c r="D316" i="19"/>
  <c r="D317" i="19"/>
  <c r="D4" i="19"/>
  <c r="C3" i="41" l="1"/>
  <c r="AD230" i="19" l="1"/>
  <c r="AG316" i="19"/>
  <c r="AD106" i="19"/>
  <c r="AG317" i="19"/>
  <c r="D316" i="36"/>
  <c r="E316" i="36"/>
  <c r="G316" i="36" s="1"/>
  <c r="F316" i="36"/>
  <c r="D317" i="36"/>
  <c r="E317" i="36"/>
  <c r="G317" i="36" s="1"/>
  <c r="F317" i="36"/>
  <c r="D316" i="37"/>
  <c r="E316" i="37"/>
  <c r="G316" i="37" s="1"/>
  <c r="F316" i="37"/>
  <c r="H316" i="37" s="1"/>
  <c r="D317" i="37"/>
  <c r="E317" i="37"/>
  <c r="G317" i="37" s="1"/>
  <c r="F317" i="37"/>
  <c r="D316" i="38"/>
  <c r="E316" i="38"/>
  <c r="G316" i="38" s="1"/>
  <c r="F316" i="38"/>
  <c r="D317" i="38"/>
  <c r="E317" i="38"/>
  <c r="G317" i="38" s="1"/>
  <c r="F317" i="38"/>
  <c r="E316" i="39"/>
  <c r="G316" i="39" s="1"/>
  <c r="F316" i="39"/>
  <c r="E317" i="39"/>
  <c r="G317" i="39" s="1"/>
  <c r="F317" i="39"/>
  <c r="D316" i="39"/>
  <c r="D317" i="39"/>
  <c r="H317" i="36" l="1"/>
  <c r="I317" i="36" s="1"/>
  <c r="H317" i="38"/>
  <c r="I317" i="38" s="1"/>
  <c r="H317" i="39"/>
  <c r="I317" i="39" s="1"/>
  <c r="H316" i="39"/>
  <c r="I316" i="39" s="1"/>
  <c r="H316" i="36"/>
  <c r="I316" i="36" s="1"/>
  <c r="H317" i="37"/>
  <c r="I317" i="37" s="1"/>
  <c r="I316" i="37"/>
  <c r="H316" i="38"/>
  <c r="I316" i="38" s="1"/>
  <c r="J317" i="36" l="1"/>
  <c r="J316" i="36"/>
  <c r="J317" i="37"/>
  <c r="J316" i="37"/>
  <c r="J316" i="38"/>
  <c r="J317" i="38"/>
  <c r="J317" i="39"/>
  <c r="J316" i="39"/>
  <c r="AG5" i="19" l="1"/>
  <c r="AG6" i="19"/>
  <c r="AG7" i="19"/>
  <c r="AG8" i="19"/>
  <c r="AG9" i="19"/>
  <c r="AG10" i="19"/>
  <c r="AG11" i="19"/>
  <c r="AG12" i="19"/>
  <c r="AG13" i="19"/>
  <c r="AG14" i="19"/>
  <c r="AG15" i="19"/>
  <c r="AG16" i="19"/>
  <c r="AG17" i="19"/>
  <c r="AG18" i="19"/>
  <c r="AG19" i="19"/>
  <c r="AG20" i="19"/>
  <c r="AG21" i="19"/>
  <c r="AG22" i="19"/>
  <c r="AG23" i="19"/>
  <c r="AG24" i="19"/>
  <c r="AG25" i="19"/>
  <c r="AG26" i="19"/>
  <c r="AG27" i="19"/>
  <c r="AG28" i="19"/>
  <c r="AG29" i="19"/>
  <c r="AG30" i="19"/>
  <c r="AG31" i="19"/>
  <c r="AG32" i="19"/>
  <c r="AG33" i="19"/>
  <c r="AG34" i="19"/>
  <c r="AG35" i="19"/>
  <c r="AG36" i="19"/>
  <c r="AG37" i="19"/>
  <c r="AG38" i="19"/>
  <c r="AG39" i="19"/>
  <c r="AG40" i="19"/>
  <c r="AG41" i="19"/>
  <c r="AG42" i="19"/>
  <c r="AG43" i="19"/>
  <c r="AG44" i="19"/>
  <c r="AG45" i="19"/>
  <c r="AG46" i="19"/>
  <c r="AG47" i="19"/>
  <c r="AG48" i="19"/>
  <c r="AG49" i="19"/>
  <c r="AG50" i="19"/>
  <c r="AG51" i="19"/>
  <c r="AG52" i="19"/>
  <c r="AG53" i="19"/>
  <c r="AG54" i="19"/>
  <c r="AG55" i="19"/>
  <c r="AG56" i="19"/>
  <c r="AG57" i="19"/>
  <c r="AG58" i="19"/>
  <c r="AG59" i="19"/>
  <c r="AG60" i="19"/>
  <c r="AG61" i="19"/>
  <c r="AG62" i="19"/>
  <c r="AG63" i="19"/>
  <c r="AG64" i="19"/>
  <c r="AG65" i="19"/>
  <c r="AG66" i="19"/>
  <c r="AG67" i="19"/>
  <c r="AG68" i="19"/>
  <c r="AG69" i="19"/>
  <c r="AG70" i="19"/>
  <c r="AG71" i="19"/>
  <c r="AG72" i="19"/>
  <c r="AG73" i="19"/>
  <c r="AG74" i="19"/>
  <c r="AG75" i="19"/>
  <c r="AG76" i="19"/>
  <c r="AG77" i="19"/>
  <c r="AG78" i="19"/>
  <c r="AG79" i="19"/>
  <c r="AG80" i="19"/>
  <c r="AG81" i="19"/>
  <c r="AG82" i="19"/>
  <c r="AG83" i="19"/>
  <c r="AG84" i="19"/>
  <c r="AG85" i="19"/>
  <c r="AG86" i="19"/>
  <c r="AG87" i="19"/>
  <c r="AG88" i="19"/>
  <c r="AG89" i="19"/>
  <c r="AG90" i="19"/>
  <c r="AG91" i="19"/>
  <c r="AG92" i="19"/>
  <c r="AG93" i="19"/>
  <c r="AG94" i="19"/>
  <c r="AG95" i="19"/>
  <c r="AG96" i="19"/>
  <c r="AG97" i="19"/>
  <c r="AG98" i="19"/>
  <c r="AG99" i="19"/>
  <c r="AG100" i="19"/>
  <c r="AG101" i="19"/>
  <c r="AG102" i="19"/>
  <c r="AG103" i="19"/>
  <c r="AG104" i="19"/>
  <c r="AG105" i="19"/>
  <c r="AG106" i="19"/>
  <c r="AG107" i="19"/>
  <c r="AG108" i="19"/>
  <c r="AG109" i="19"/>
  <c r="AG110" i="19"/>
  <c r="AG111" i="19"/>
  <c r="AG112" i="19"/>
  <c r="AG113" i="19"/>
  <c r="AG114" i="19"/>
  <c r="AG115" i="19"/>
  <c r="AG116" i="19"/>
  <c r="AG117" i="19"/>
  <c r="AG118" i="19"/>
  <c r="AG119" i="19"/>
  <c r="AG120" i="19"/>
  <c r="AG121" i="19"/>
  <c r="AG122" i="19"/>
  <c r="AG123" i="19"/>
  <c r="AG124" i="19"/>
  <c r="AG125" i="19"/>
  <c r="AG126" i="19"/>
  <c r="AG127" i="19"/>
  <c r="AG128" i="19"/>
  <c r="AG129" i="19"/>
  <c r="AG130" i="19"/>
  <c r="AG131" i="19"/>
  <c r="AG132" i="19"/>
  <c r="AG133" i="19"/>
  <c r="AG134" i="19"/>
  <c r="AG135" i="19"/>
  <c r="AG136" i="19"/>
  <c r="AG137" i="19"/>
  <c r="AG138" i="19"/>
  <c r="AG139" i="19"/>
  <c r="AG140" i="19"/>
  <c r="AG141" i="19"/>
  <c r="AG142" i="19"/>
  <c r="AG143" i="19"/>
  <c r="AG144" i="19"/>
  <c r="AG145" i="19"/>
  <c r="AG146" i="19"/>
  <c r="AG147" i="19"/>
  <c r="AG148" i="19"/>
  <c r="AG149" i="19"/>
  <c r="AG150" i="19"/>
  <c r="AG151" i="19"/>
  <c r="AG152" i="19"/>
  <c r="AG153" i="19"/>
  <c r="AG154" i="19"/>
  <c r="AG155" i="19"/>
  <c r="AG156" i="19"/>
  <c r="AG157" i="19"/>
  <c r="AG158" i="19"/>
  <c r="AG159" i="19"/>
  <c r="AG160" i="19"/>
  <c r="AG161" i="19"/>
  <c r="AG162" i="19"/>
  <c r="AG163" i="19"/>
  <c r="AG164" i="19"/>
  <c r="AG165" i="19"/>
  <c r="AG166" i="19"/>
  <c r="AG167" i="19"/>
  <c r="AG168" i="19"/>
  <c r="AG169" i="19"/>
  <c r="AG170" i="19"/>
  <c r="AG171" i="19"/>
  <c r="AG172" i="19"/>
  <c r="AG173" i="19"/>
  <c r="AG174" i="19"/>
  <c r="AG175" i="19"/>
  <c r="AG176" i="19"/>
  <c r="AG177" i="19"/>
  <c r="AG178" i="19"/>
  <c r="AG179" i="19"/>
  <c r="AG180" i="19"/>
  <c r="AG181" i="19"/>
  <c r="AG182" i="19"/>
  <c r="AG183" i="19"/>
  <c r="AG184" i="19"/>
  <c r="AG185" i="19"/>
  <c r="AG186" i="19"/>
  <c r="AG187" i="19"/>
  <c r="AG188" i="19"/>
  <c r="AG189" i="19"/>
  <c r="AG190" i="19"/>
  <c r="AG191" i="19"/>
  <c r="AG192" i="19"/>
  <c r="AG193" i="19"/>
  <c r="AG194" i="19"/>
  <c r="AG195" i="19"/>
  <c r="AG196" i="19"/>
  <c r="AG197" i="19"/>
  <c r="AG198" i="19"/>
  <c r="AG199" i="19"/>
  <c r="AG200" i="19"/>
  <c r="AG201" i="19"/>
  <c r="AG202" i="19"/>
  <c r="AG203" i="19"/>
  <c r="AG204" i="19"/>
  <c r="AG205" i="19"/>
  <c r="AG206" i="19"/>
  <c r="AG207" i="19"/>
  <c r="AG208" i="19"/>
  <c r="AG209" i="19"/>
  <c r="AG210" i="19"/>
  <c r="AG211" i="19"/>
  <c r="AG212" i="19"/>
  <c r="AG213" i="19"/>
  <c r="AG214" i="19"/>
  <c r="AG215" i="19"/>
  <c r="AG216" i="19"/>
  <c r="AG217" i="19"/>
  <c r="AG218" i="19"/>
  <c r="AG219" i="19"/>
  <c r="AG220" i="19"/>
  <c r="AG221" i="19"/>
  <c r="AG222" i="19"/>
  <c r="AG223" i="19"/>
  <c r="AG224" i="19"/>
  <c r="AG225" i="19"/>
  <c r="AG226" i="19"/>
  <c r="AG227" i="19"/>
  <c r="AG228" i="19"/>
  <c r="AG229" i="19"/>
  <c r="AG230" i="19"/>
  <c r="AG231" i="19"/>
  <c r="AG232" i="19"/>
  <c r="AG233" i="19"/>
  <c r="AG234" i="19"/>
  <c r="AG235" i="19"/>
  <c r="AG236" i="19"/>
  <c r="AG237" i="19"/>
  <c r="AG238" i="19"/>
  <c r="AG239" i="19"/>
  <c r="AG240" i="19"/>
  <c r="AG241" i="19"/>
  <c r="AG242" i="19"/>
  <c r="AG243" i="19"/>
  <c r="AG244" i="19"/>
  <c r="AG245" i="19"/>
  <c r="AG246" i="19"/>
  <c r="AG247" i="19"/>
  <c r="AG248" i="19"/>
  <c r="AG249" i="19"/>
  <c r="AG250" i="19"/>
  <c r="AG251" i="19"/>
  <c r="AG252" i="19"/>
  <c r="AG253" i="19"/>
  <c r="AG254" i="19"/>
  <c r="AG255" i="19"/>
  <c r="AG256" i="19"/>
  <c r="AG257" i="19"/>
  <c r="AG258" i="19"/>
  <c r="AG259" i="19"/>
  <c r="AG260" i="19"/>
  <c r="AG261" i="19"/>
  <c r="AG262" i="19"/>
  <c r="AG263" i="19"/>
  <c r="AG264" i="19"/>
  <c r="AG265" i="19"/>
  <c r="AG266" i="19"/>
  <c r="AG267" i="19"/>
  <c r="AG268" i="19"/>
  <c r="AG269" i="19"/>
  <c r="AG270" i="19"/>
  <c r="AG271" i="19"/>
  <c r="AG272" i="19"/>
  <c r="AG273" i="19"/>
  <c r="AG274" i="19"/>
  <c r="AG275" i="19"/>
  <c r="AG276" i="19"/>
  <c r="AG277" i="19"/>
  <c r="AG278" i="19"/>
  <c r="AG279" i="19"/>
  <c r="AG280" i="19"/>
  <c r="AG281" i="19"/>
  <c r="AG282" i="19"/>
  <c r="AG283" i="19"/>
  <c r="AG284" i="19"/>
  <c r="AG285" i="19"/>
  <c r="AG286" i="19"/>
  <c r="AG287" i="19"/>
  <c r="AG288" i="19"/>
  <c r="AG289" i="19"/>
  <c r="AG290" i="19"/>
  <c r="AG291" i="19"/>
  <c r="AG292" i="19"/>
  <c r="AG293" i="19"/>
  <c r="AG294" i="19"/>
  <c r="AG295" i="19"/>
  <c r="AG296" i="19"/>
  <c r="AG297" i="19"/>
  <c r="AG298" i="19"/>
  <c r="AG299" i="19"/>
  <c r="AG300" i="19"/>
  <c r="AG301" i="19"/>
  <c r="AG302" i="19"/>
  <c r="AG303" i="19"/>
  <c r="AG304" i="19"/>
  <c r="AG305" i="19"/>
  <c r="AG306" i="19"/>
  <c r="AG307" i="19"/>
  <c r="AG308" i="19"/>
  <c r="AG309" i="19"/>
  <c r="AG310" i="19"/>
  <c r="AG311" i="19"/>
  <c r="AG312" i="19"/>
  <c r="AG313" i="19"/>
  <c r="AG314" i="19"/>
  <c r="AG315" i="19"/>
  <c r="AG4" i="19"/>
  <c r="C6" i="41" a="1"/>
  <c r="C6" i="41" s="1"/>
  <c r="C4" i="41" l="1"/>
  <c r="D19" i="41" s="1"/>
  <c r="C8" i="41" l="1"/>
  <c r="D13" i="41"/>
  <c r="D11" i="41"/>
  <c r="C7" i="41"/>
  <c r="D14" i="41"/>
  <c r="D16" i="41"/>
  <c r="D7" i="41"/>
  <c r="D9" i="41"/>
  <c r="D21" i="41"/>
  <c r="D22" i="41"/>
  <c r="D18" i="41"/>
  <c r="D8" i="41"/>
  <c r="D24" i="41"/>
  <c r="D12" i="41"/>
  <c r="F5" i="37"/>
  <c r="F6" i="37"/>
  <c r="F7" i="37"/>
  <c r="F8" i="37"/>
  <c r="F9" i="37"/>
  <c r="F10" i="37"/>
  <c r="F11" i="37"/>
  <c r="F12" i="37"/>
  <c r="F13" i="37"/>
  <c r="F14" i="37"/>
  <c r="F15" i="37"/>
  <c r="F16" i="37"/>
  <c r="F17" i="37"/>
  <c r="F18" i="37"/>
  <c r="F19" i="37"/>
  <c r="F20" i="37"/>
  <c r="F21" i="37"/>
  <c r="F22" i="37"/>
  <c r="F23" i="37"/>
  <c r="F24" i="37"/>
  <c r="F25" i="37"/>
  <c r="F26" i="37"/>
  <c r="F27" i="37"/>
  <c r="F28" i="37"/>
  <c r="F29" i="37"/>
  <c r="F30" i="37"/>
  <c r="F31" i="37"/>
  <c r="F32" i="37"/>
  <c r="F33" i="37"/>
  <c r="F34" i="37"/>
  <c r="F35" i="37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F83" i="37"/>
  <c r="F84" i="37"/>
  <c r="F85" i="37"/>
  <c r="F86" i="37"/>
  <c r="F87" i="37"/>
  <c r="F88" i="37"/>
  <c r="F89" i="37"/>
  <c r="F90" i="37"/>
  <c r="F91" i="37"/>
  <c r="F92" i="37"/>
  <c r="F93" i="37"/>
  <c r="F94" i="37"/>
  <c r="F95" i="37"/>
  <c r="F96" i="37"/>
  <c r="F97" i="37"/>
  <c r="F98" i="37"/>
  <c r="F99" i="37"/>
  <c r="F100" i="37"/>
  <c r="F101" i="37"/>
  <c r="F102" i="37"/>
  <c r="F103" i="37"/>
  <c r="F104" i="37"/>
  <c r="F105" i="37"/>
  <c r="F106" i="37"/>
  <c r="F107" i="37"/>
  <c r="F108" i="37"/>
  <c r="F109" i="37"/>
  <c r="F110" i="37"/>
  <c r="F111" i="37"/>
  <c r="F112" i="37"/>
  <c r="F113" i="37"/>
  <c r="F114" i="37"/>
  <c r="F115" i="37"/>
  <c r="F116" i="37"/>
  <c r="F117" i="37"/>
  <c r="F118" i="37"/>
  <c r="F119" i="37"/>
  <c r="F120" i="37"/>
  <c r="F121" i="37"/>
  <c r="F122" i="37"/>
  <c r="F123" i="37"/>
  <c r="F124" i="37"/>
  <c r="F125" i="37"/>
  <c r="F126" i="37"/>
  <c r="F127" i="37"/>
  <c r="F128" i="37"/>
  <c r="F129" i="37"/>
  <c r="F130" i="37"/>
  <c r="F131" i="37"/>
  <c r="F132" i="37"/>
  <c r="F133" i="37"/>
  <c r="F134" i="37"/>
  <c r="F135" i="37"/>
  <c r="F136" i="37"/>
  <c r="F137" i="37"/>
  <c r="F138" i="37"/>
  <c r="F139" i="37"/>
  <c r="F140" i="37"/>
  <c r="F141" i="37"/>
  <c r="F142" i="37"/>
  <c r="F143" i="37"/>
  <c r="F144" i="37"/>
  <c r="F145" i="37"/>
  <c r="F146" i="37"/>
  <c r="F147" i="37"/>
  <c r="F148" i="37"/>
  <c r="F149" i="37"/>
  <c r="F150" i="37"/>
  <c r="F151" i="37"/>
  <c r="F152" i="37"/>
  <c r="F153" i="37"/>
  <c r="F154" i="37"/>
  <c r="F155" i="37"/>
  <c r="F156" i="37"/>
  <c r="F157" i="37"/>
  <c r="F158" i="37"/>
  <c r="F159" i="37"/>
  <c r="F160" i="37"/>
  <c r="F161" i="37"/>
  <c r="F162" i="37"/>
  <c r="F163" i="37"/>
  <c r="F164" i="37"/>
  <c r="F165" i="37"/>
  <c r="F166" i="37"/>
  <c r="F167" i="37"/>
  <c r="F168" i="37"/>
  <c r="F169" i="37"/>
  <c r="F170" i="37"/>
  <c r="F171" i="37"/>
  <c r="F172" i="37"/>
  <c r="F173" i="37"/>
  <c r="F174" i="37"/>
  <c r="F175" i="37"/>
  <c r="F176" i="37"/>
  <c r="F177" i="37"/>
  <c r="F178" i="37"/>
  <c r="F179" i="37"/>
  <c r="F180" i="37"/>
  <c r="F181" i="37"/>
  <c r="F182" i="37"/>
  <c r="F183" i="37"/>
  <c r="F184" i="37"/>
  <c r="F185" i="37"/>
  <c r="F186" i="37"/>
  <c r="F187" i="37"/>
  <c r="F188" i="37"/>
  <c r="F189" i="37"/>
  <c r="F190" i="37"/>
  <c r="F191" i="37"/>
  <c r="F192" i="37"/>
  <c r="F193" i="37"/>
  <c r="F194" i="37"/>
  <c r="F195" i="37"/>
  <c r="F196" i="37"/>
  <c r="F197" i="37"/>
  <c r="F198" i="37"/>
  <c r="F199" i="37"/>
  <c r="F200" i="37"/>
  <c r="F201" i="37"/>
  <c r="F202" i="37"/>
  <c r="F203" i="37"/>
  <c r="F204" i="37"/>
  <c r="F205" i="37"/>
  <c r="F206" i="37"/>
  <c r="F207" i="37"/>
  <c r="F208" i="37"/>
  <c r="F209" i="37"/>
  <c r="F210" i="37"/>
  <c r="F211" i="37"/>
  <c r="F212" i="37"/>
  <c r="F213" i="37"/>
  <c r="F214" i="37"/>
  <c r="F215" i="37"/>
  <c r="F216" i="37"/>
  <c r="F217" i="37"/>
  <c r="F218" i="37"/>
  <c r="F219" i="37"/>
  <c r="F220" i="37"/>
  <c r="F221" i="37"/>
  <c r="F222" i="37"/>
  <c r="F223" i="37"/>
  <c r="F224" i="37"/>
  <c r="F225" i="37"/>
  <c r="F226" i="37"/>
  <c r="F227" i="37"/>
  <c r="F228" i="37"/>
  <c r="F229" i="37"/>
  <c r="F230" i="37"/>
  <c r="F231" i="37"/>
  <c r="F232" i="37"/>
  <c r="F233" i="37"/>
  <c r="F234" i="37"/>
  <c r="F235" i="37"/>
  <c r="F236" i="37"/>
  <c r="F237" i="37"/>
  <c r="F238" i="37"/>
  <c r="F239" i="37"/>
  <c r="F240" i="37"/>
  <c r="F241" i="37"/>
  <c r="F242" i="37"/>
  <c r="F243" i="37"/>
  <c r="F244" i="37"/>
  <c r="F245" i="37"/>
  <c r="F246" i="37"/>
  <c r="F247" i="37"/>
  <c r="F248" i="37"/>
  <c r="F249" i="37"/>
  <c r="F250" i="37"/>
  <c r="F251" i="37"/>
  <c r="F252" i="37"/>
  <c r="F253" i="37"/>
  <c r="F254" i="37"/>
  <c r="F255" i="37"/>
  <c r="F256" i="37"/>
  <c r="F257" i="37"/>
  <c r="F258" i="37"/>
  <c r="F259" i="37"/>
  <c r="F260" i="37"/>
  <c r="F261" i="37"/>
  <c r="F262" i="37"/>
  <c r="F263" i="37"/>
  <c r="F264" i="37"/>
  <c r="F265" i="37"/>
  <c r="F266" i="37"/>
  <c r="F267" i="37"/>
  <c r="F268" i="37"/>
  <c r="F269" i="37"/>
  <c r="F270" i="37"/>
  <c r="F271" i="37"/>
  <c r="F272" i="37"/>
  <c r="F273" i="37"/>
  <c r="F274" i="37"/>
  <c r="F275" i="37"/>
  <c r="F276" i="37"/>
  <c r="F277" i="37"/>
  <c r="F278" i="37"/>
  <c r="F279" i="37"/>
  <c r="F280" i="37"/>
  <c r="F281" i="37"/>
  <c r="F282" i="37"/>
  <c r="F283" i="37"/>
  <c r="F284" i="37"/>
  <c r="F285" i="37"/>
  <c r="F286" i="37"/>
  <c r="F287" i="37"/>
  <c r="F288" i="37"/>
  <c r="F289" i="37"/>
  <c r="F290" i="37"/>
  <c r="F291" i="37"/>
  <c r="F292" i="37"/>
  <c r="F293" i="37"/>
  <c r="F294" i="37"/>
  <c r="F295" i="37"/>
  <c r="F296" i="37"/>
  <c r="F297" i="37"/>
  <c r="F298" i="37"/>
  <c r="F299" i="37"/>
  <c r="F300" i="37"/>
  <c r="F301" i="37"/>
  <c r="F302" i="37"/>
  <c r="F303" i="37"/>
  <c r="F304" i="37"/>
  <c r="F305" i="37"/>
  <c r="F306" i="37"/>
  <c r="F307" i="37"/>
  <c r="F308" i="37"/>
  <c r="F309" i="37"/>
  <c r="F310" i="37"/>
  <c r="F311" i="37"/>
  <c r="F312" i="37"/>
  <c r="F313" i="37"/>
  <c r="F314" i="37"/>
  <c r="F315" i="37"/>
  <c r="F4" i="37"/>
  <c r="D5" i="37"/>
  <c r="D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0" i="37"/>
  <c r="D61" i="37"/>
  <c r="D62" i="37"/>
  <c r="D63" i="37"/>
  <c r="D64" i="37"/>
  <c r="D65" i="37"/>
  <c r="D66" i="37"/>
  <c r="D67" i="37"/>
  <c r="D68" i="37"/>
  <c r="D69" i="37"/>
  <c r="D70" i="37"/>
  <c r="D71" i="37"/>
  <c r="D72" i="37"/>
  <c r="D73" i="37"/>
  <c r="D74" i="37"/>
  <c r="D75" i="37"/>
  <c r="D76" i="37"/>
  <c r="D77" i="37"/>
  <c r="D78" i="37"/>
  <c r="D79" i="37"/>
  <c r="D80" i="37"/>
  <c r="D81" i="37"/>
  <c r="D82" i="37"/>
  <c r="D83" i="37"/>
  <c r="D84" i="37"/>
  <c r="D85" i="37"/>
  <c r="D86" i="37"/>
  <c r="D87" i="37"/>
  <c r="D88" i="37"/>
  <c r="D89" i="37"/>
  <c r="D90" i="37"/>
  <c r="D91" i="37"/>
  <c r="D92" i="37"/>
  <c r="D93" i="37"/>
  <c r="D94" i="37"/>
  <c r="D95" i="37"/>
  <c r="D96" i="37"/>
  <c r="D97" i="37"/>
  <c r="D98" i="37"/>
  <c r="D99" i="37"/>
  <c r="D100" i="37"/>
  <c r="D101" i="37"/>
  <c r="D102" i="37"/>
  <c r="D103" i="37"/>
  <c r="D104" i="37"/>
  <c r="D105" i="37"/>
  <c r="D106" i="37"/>
  <c r="D107" i="37"/>
  <c r="D108" i="37"/>
  <c r="D109" i="37"/>
  <c r="D110" i="37"/>
  <c r="D111" i="37"/>
  <c r="D112" i="37"/>
  <c r="D113" i="37"/>
  <c r="D114" i="37"/>
  <c r="D115" i="37"/>
  <c r="D116" i="37"/>
  <c r="D117" i="37"/>
  <c r="D118" i="37"/>
  <c r="D119" i="37"/>
  <c r="D120" i="37"/>
  <c r="D121" i="37"/>
  <c r="D122" i="37"/>
  <c r="D123" i="37"/>
  <c r="D124" i="37"/>
  <c r="D125" i="37"/>
  <c r="D126" i="37"/>
  <c r="D127" i="37"/>
  <c r="D128" i="37"/>
  <c r="D129" i="37"/>
  <c r="D130" i="37"/>
  <c r="D131" i="37"/>
  <c r="D132" i="37"/>
  <c r="D133" i="37"/>
  <c r="D134" i="37"/>
  <c r="D135" i="37"/>
  <c r="D136" i="37"/>
  <c r="D137" i="37"/>
  <c r="D138" i="37"/>
  <c r="D139" i="37"/>
  <c r="D140" i="37"/>
  <c r="D141" i="37"/>
  <c r="D142" i="37"/>
  <c r="D143" i="37"/>
  <c r="D144" i="37"/>
  <c r="D145" i="37"/>
  <c r="D146" i="37"/>
  <c r="D147" i="37"/>
  <c r="D148" i="37"/>
  <c r="D149" i="37"/>
  <c r="D150" i="37"/>
  <c r="D151" i="37"/>
  <c r="D152" i="37"/>
  <c r="D153" i="37"/>
  <c r="D154" i="37"/>
  <c r="D155" i="37"/>
  <c r="D156" i="37"/>
  <c r="D157" i="37"/>
  <c r="D158" i="37"/>
  <c r="D159" i="37"/>
  <c r="D160" i="37"/>
  <c r="D161" i="37"/>
  <c r="D162" i="37"/>
  <c r="D163" i="37"/>
  <c r="D164" i="37"/>
  <c r="D165" i="37"/>
  <c r="D166" i="37"/>
  <c r="D167" i="37"/>
  <c r="D168" i="37"/>
  <c r="D169" i="37"/>
  <c r="D170" i="37"/>
  <c r="D171" i="37"/>
  <c r="D172" i="37"/>
  <c r="D173" i="37"/>
  <c r="D174" i="37"/>
  <c r="D175" i="37"/>
  <c r="D176" i="37"/>
  <c r="D177" i="37"/>
  <c r="D178" i="37"/>
  <c r="D179" i="37"/>
  <c r="D180" i="37"/>
  <c r="D181" i="37"/>
  <c r="D182" i="37"/>
  <c r="D183" i="37"/>
  <c r="D184" i="37"/>
  <c r="D185" i="37"/>
  <c r="D186" i="37"/>
  <c r="D187" i="37"/>
  <c r="D188" i="37"/>
  <c r="D189" i="37"/>
  <c r="D190" i="37"/>
  <c r="D191" i="37"/>
  <c r="D192" i="37"/>
  <c r="D193" i="37"/>
  <c r="D194" i="37"/>
  <c r="D195" i="37"/>
  <c r="D196" i="37"/>
  <c r="D197" i="37"/>
  <c r="D198" i="37"/>
  <c r="D199" i="37"/>
  <c r="D200" i="37"/>
  <c r="D201" i="37"/>
  <c r="D202" i="37"/>
  <c r="D203" i="37"/>
  <c r="D204" i="37"/>
  <c r="D205" i="37"/>
  <c r="D206" i="37"/>
  <c r="D207" i="37"/>
  <c r="D208" i="37"/>
  <c r="D209" i="37"/>
  <c r="D210" i="37"/>
  <c r="D211" i="37"/>
  <c r="D212" i="37"/>
  <c r="D213" i="37"/>
  <c r="D214" i="37"/>
  <c r="D215" i="37"/>
  <c r="D216" i="37"/>
  <c r="D217" i="37"/>
  <c r="D218" i="37"/>
  <c r="D219" i="37"/>
  <c r="D220" i="37"/>
  <c r="D221" i="37"/>
  <c r="D222" i="37"/>
  <c r="D223" i="37"/>
  <c r="D224" i="37"/>
  <c r="D225" i="37"/>
  <c r="D226" i="37"/>
  <c r="D227" i="37"/>
  <c r="D228" i="37"/>
  <c r="D229" i="37"/>
  <c r="D230" i="37"/>
  <c r="D231" i="37"/>
  <c r="D232" i="37"/>
  <c r="D233" i="37"/>
  <c r="D234" i="37"/>
  <c r="D235" i="37"/>
  <c r="D236" i="37"/>
  <c r="D237" i="37"/>
  <c r="D238" i="37"/>
  <c r="D239" i="37"/>
  <c r="D240" i="37"/>
  <c r="D241" i="37"/>
  <c r="D242" i="37"/>
  <c r="D243" i="37"/>
  <c r="D244" i="37"/>
  <c r="D245" i="37"/>
  <c r="D246" i="37"/>
  <c r="D247" i="37"/>
  <c r="D248" i="37"/>
  <c r="D249" i="37"/>
  <c r="D250" i="37"/>
  <c r="D251" i="37"/>
  <c r="D252" i="37"/>
  <c r="D253" i="37"/>
  <c r="D254" i="37"/>
  <c r="D255" i="37"/>
  <c r="D256" i="37"/>
  <c r="D257" i="37"/>
  <c r="D258" i="37"/>
  <c r="D259" i="37"/>
  <c r="D260" i="37"/>
  <c r="D261" i="37"/>
  <c r="D262" i="37"/>
  <c r="D263" i="37"/>
  <c r="D264" i="37"/>
  <c r="D265" i="37"/>
  <c r="D266" i="37"/>
  <c r="D267" i="37"/>
  <c r="D268" i="37"/>
  <c r="D269" i="37"/>
  <c r="D270" i="37"/>
  <c r="D271" i="37"/>
  <c r="D272" i="37"/>
  <c r="D273" i="37"/>
  <c r="D274" i="37"/>
  <c r="D275" i="37"/>
  <c r="D276" i="37"/>
  <c r="D277" i="37"/>
  <c r="D278" i="37"/>
  <c r="D279" i="37"/>
  <c r="D280" i="37"/>
  <c r="D281" i="37"/>
  <c r="D282" i="37"/>
  <c r="D283" i="37"/>
  <c r="D284" i="37"/>
  <c r="D285" i="37"/>
  <c r="D286" i="37"/>
  <c r="D287" i="37"/>
  <c r="D288" i="37"/>
  <c r="D289" i="37"/>
  <c r="D290" i="37"/>
  <c r="D291" i="37"/>
  <c r="D292" i="37"/>
  <c r="D293" i="37"/>
  <c r="D294" i="37"/>
  <c r="D295" i="37"/>
  <c r="D296" i="37"/>
  <c r="D297" i="37"/>
  <c r="D298" i="37"/>
  <c r="D299" i="37"/>
  <c r="D300" i="37"/>
  <c r="D301" i="37"/>
  <c r="D302" i="37"/>
  <c r="D303" i="37"/>
  <c r="D304" i="37"/>
  <c r="D305" i="37"/>
  <c r="D306" i="37"/>
  <c r="D307" i="37"/>
  <c r="D308" i="37"/>
  <c r="D309" i="37"/>
  <c r="D310" i="37"/>
  <c r="D311" i="37"/>
  <c r="D312" i="37"/>
  <c r="D313" i="37"/>
  <c r="D314" i="37"/>
  <c r="D315" i="37"/>
  <c r="D4" i="37"/>
  <c r="Y1" i="38" a="1"/>
  <c r="Y1" i="38" s="1"/>
  <c r="Y1" i="39" a="1"/>
  <c r="Y1" i="39" s="1"/>
  <c r="B4" i="12" a="1"/>
  <c r="B4" i="12" s="1"/>
  <c r="C9" i="41" l="1"/>
  <c r="D3" i="37"/>
  <c r="F3" i="37" a="1"/>
  <c r="F3" i="37" s="1"/>
  <c r="F1" i="37" s="1"/>
  <c r="E5" i="39"/>
  <c r="G5" i="39" s="1"/>
  <c r="E6" i="39"/>
  <c r="G6" i="39" s="1"/>
  <c r="E7" i="39"/>
  <c r="G7" i="39" s="1"/>
  <c r="E8" i="39"/>
  <c r="G8" i="39" s="1"/>
  <c r="E9" i="39"/>
  <c r="G9" i="39" s="1"/>
  <c r="E10" i="39"/>
  <c r="G10" i="39" s="1"/>
  <c r="E11" i="39"/>
  <c r="G11" i="39" s="1"/>
  <c r="E12" i="39"/>
  <c r="G12" i="39" s="1"/>
  <c r="E13" i="39"/>
  <c r="G13" i="39" s="1"/>
  <c r="E14" i="39"/>
  <c r="G14" i="39" s="1"/>
  <c r="E15" i="39"/>
  <c r="G15" i="39" s="1"/>
  <c r="E16" i="39"/>
  <c r="G16" i="39" s="1"/>
  <c r="E17" i="39"/>
  <c r="G17" i="39" s="1"/>
  <c r="E18" i="39"/>
  <c r="G18" i="39" s="1"/>
  <c r="E19" i="39"/>
  <c r="G19" i="39" s="1"/>
  <c r="E20" i="39"/>
  <c r="G20" i="39" s="1"/>
  <c r="E21" i="39"/>
  <c r="G21" i="39" s="1"/>
  <c r="E22" i="39"/>
  <c r="G22" i="39" s="1"/>
  <c r="E23" i="39"/>
  <c r="G23" i="39" s="1"/>
  <c r="E24" i="39"/>
  <c r="G24" i="39" s="1"/>
  <c r="E25" i="39"/>
  <c r="G25" i="39" s="1"/>
  <c r="E26" i="39"/>
  <c r="G26" i="39" s="1"/>
  <c r="E27" i="39"/>
  <c r="G27" i="39" s="1"/>
  <c r="E28" i="39"/>
  <c r="G28" i="39" s="1"/>
  <c r="E29" i="39"/>
  <c r="G29" i="39" s="1"/>
  <c r="E30" i="39"/>
  <c r="G30" i="39" s="1"/>
  <c r="E31" i="39"/>
  <c r="G31" i="39" s="1"/>
  <c r="E32" i="39"/>
  <c r="G32" i="39" s="1"/>
  <c r="E33" i="39"/>
  <c r="G33" i="39" s="1"/>
  <c r="E34" i="39"/>
  <c r="G34" i="39" s="1"/>
  <c r="E35" i="39"/>
  <c r="G35" i="39" s="1"/>
  <c r="E36" i="39"/>
  <c r="G36" i="39" s="1"/>
  <c r="E37" i="39"/>
  <c r="G37" i="39" s="1"/>
  <c r="E38" i="39"/>
  <c r="G38" i="39" s="1"/>
  <c r="E39" i="39"/>
  <c r="G39" i="39" s="1"/>
  <c r="E40" i="39"/>
  <c r="G40" i="39" s="1"/>
  <c r="E41" i="39"/>
  <c r="G41" i="39" s="1"/>
  <c r="E42" i="39"/>
  <c r="G42" i="39" s="1"/>
  <c r="E43" i="39"/>
  <c r="G43" i="39" s="1"/>
  <c r="E44" i="39"/>
  <c r="G44" i="39" s="1"/>
  <c r="E45" i="39"/>
  <c r="G45" i="39" s="1"/>
  <c r="E46" i="39"/>
  <c r="G46" i="39" s="1"/>
  <c r="E47" i="39"/>
  <c r="G47" i="39" s="1"/>
  <c r="E48" i="39"/>
  <c r="G48" i="39" s="1"/>
  <c r="E49" i="39"/>
  <c r="G49" i="39" s="1"/>
  <c r="E50" i="39"/>
  <c r="G50" i="39" s="1"/>
  <c r="E51" i="39"/>
  <c r="G51" i="39" s="1"/>
  <c r="E52" i="39"/>
  <c r="G52" i="39" s="1"/>
  <c r="E53" i="39"/>
  <c r="G53" i="39" s="1"/>
  <c r="E54" i="39"/>
  <c r="G54" i="39" s="1"/>
  <c r="E55" i="39"/>
  <c r="G55" i="39" s="1"/>
  <c r="E56" i="39"/>
  <c r="G56" i="39" s="1"/>
  <c r="E57" i="39"/>
  <c r="G57" i="39" s="1"/>
  <c r="E58" i="39"/>
  <c r="G58" i="39" s="1"/>
  <c r="E59" i="39"/>
  <c r="G59" i="39" s="1"/>
  <c r="E60" i="39"/>
  <c r="G60" i="39" s="1"/>
  <c r="E61" i="39"/>
  <c r="G61" i="39" s="1"/>
  <c r="E62" i="39"/>
  <c r="G62" i="39" s="1"/>
  <c r="E63" i="39"/>
  <c r="G63" i="39" s="1"/>
  <c r="E64" i="39"/>
  <c r="G64" i="39" s="1"/>
  <c r="E65" i="39"/>
  <c r="G65" i="39" s="1"/>
  <c r="E66" i="39"/>
  <c r="G66" i="39" s="1"/>
  <c r="E67" i="39"/>
  <c r="G67" i="39" s="1"/>
  <c r="E68" i="39"/>
  <c r="G68" i="39" s="1"/>
  <c r="E69" i="39"/>
  <c r="G69" i="39" s="1"/>
  <c r="E70" i="39"/>
  <c r="G70" i="39" s="1"/>
  <c r="E71" i="39"/>
  <c r="G71" i="39" s="1"/>
  <c r="E72" i="39"/>
  <c r="G72" i="39" s="1"/>
  <c r="E73" i="39"/>
  <c r="G73" i="39" s="1"/>
  <c r="E74" i="39"/>
  <c r="G74" i="39" s="1"/>
  <c r="E75" i="39"/>
  <c r="G75" i="39" s="1"/>
  <c r="E76" i="39"/>
  <c r="G76" i="39" s="1"/>
  <c r="E77" i="39"/>
  <c r="G77" i="39" s="1"/>
  <c r="E78" i="39"/>
  <c r="G78" i="39" s="1"/>
  <c r="E79" i="39"/>
  <c r="G79" i="39" s="1"/>
  <c r="E80" i="39"/>
  <c r="G80" i="39" s="1"/>
  <c r="E81" i="39"/>
  <c r="G81" i="39" s="1"/>
  <c r="E82" i="39"/>
  <c r="G82" i="39" s="1"/>
  <c r="E83" i="39"/>
  <c r="G83" i="39" s="1"/>
  <c r="E84" i="39"/>
  <c r="G84" i="39" s="1"/>
  <c r="E85" i="39"/>
  <c r="G85" i="39" s="1"/>
  <c r="E86" i="39"/>
  <c r="G86" i="39" s="1"/>
  <c r="E87" i="39"/>
  <c r="G87" i="39" s="1"/>
  <c r="E88" i="39"/>
  <c r="G88" i="39" s="1"/>
  <c r="E89" i="39"/>
  <c r="G89" i="39" s="1"/>
  <c r="E90" i="39"/>
  <c r="G90" i="39" s="1"/>
  <c r="E91" i="39"/>
  <c r="G91" i="39" s="1"/>
  <c r="E92" i="39"/>
  <c r="G92" i="39" s="1"/>
  <c r="E93" i="39"/>
  <c r="G93" i="39" s="1"/>
  <c r="E94" i="39"/>
  <c r="G94" i="39" s="1"/>
  <c r="E95" i="39"/>
  <c r="G95" i="39" s="1"/>
  <c r="E96" i="39"/>
  <c r="G96" i="39" s="1"/>
  <c r="E97" i="39"/>
  <c r="G97" i="39" s="1"/>
  <c r="E98" i="39"/>
  <c r="G98" i="39" s="1"/>
  <c r="E99" i="39"/>
  <c r="G99" i="39" s="1"/>
  <c r="E100" i="39"/>
  <c r="G100" i="39" s="1"/>
  <c r="E101" i="39"/>
  <c r="G101" i="39" s="1"/>
  <c r="E102" i="39"/>
  <c r="G102" i="39" s="1"/>
  <c r="E103" i="39"/>
  <c r="G103" i="39" s="1"/>
  <c r="E104" i="39"/>
  <c r="G104" i="39" s="1"/>
  <c r="E105" i="39"/>
  <c r="G105" i="39" s="1"/>
  <c r="E106" i="39"/>
  <c r="G106" i="39" s="1"/>
  <c r="E107" i="39"/>
  <c r="G107" i="39" s="1"/>
  <c r="E108" i="39"/>
  <c r="G108" i="39" s="1"/>
  <c r="E109" i="39"/>
  <c r="G109" i="39" s="1"/>
  <c r="E110" i="39"/>
  <c r="G110" i="39" s="1"/>
  <c r="E111" i="39"/>
  <c r="G111" i="39" s="1"/>
  <c r="E112" i="39"/>
  <c r="G112" i="39" s="1"/>
  <c r="E113" i="39"/>
  <c r="G113" i="39" s="1"/>
  <c r="E114" i="39"/>
  <c r="G114" i="39" s="1"/>
  <c r="E115" i="39"/>
  <c r="G115" i="39" s="1"/>
  <c r="E116" i="39"/>
  <c r="G116" i="39" s="1"/>
  <c r="E117" i="39"/>
  <c r="G117" i="39" s="1"/>
  <c r="E118" i="39"/>
  <c r="G118" i="39" s="1"/>
  <c r="E119" i="39"/>
  <c r="G119" i="39" s="1"/>
  <c r="E120" i="39"/>
  <c r="G120" i="39" s="1"/>
  <c r="E121" i="39"/>
  <c r="G121" i="39" s="1"/>
  <c r="E122" i="39"/>
  <c r="G122" i="39" s="1"/>
  <c r="E123" i="39"/>
  <c r="G123" i="39" s="1"/>
  <c r="E124" i="39"/>
  <c r="G124" i="39" s="1"/>
  <c r="E125" i="39"/>
  <c r="G125" i="39" s="1"/>
  <c r="E126" i="39"/>
  <c r="G126" i="39" s="1"/>
  <c r="E127" i="39"/>
  <c r="G127" i="39" s="1"/>
  <c r="E128" i="39"/>
  <c r="G128" i="39" s="1"/>
  <c r="E129" i="39"/>
  <c r="G129" i="39" s="1"/>
  <c r="E130" i="39"/>
  <c r="G130" i="39" s="1"/>
  <c r="E131" i="39"/>
  <c r="G131" i="39" s="1"/>
  <c r="E132" i="39"/>
  <c r="G132" i="39" s="1"/>
  <c r="E133" i="39"/>
  <c r="G133" i="39" s="1"/>
  <c r="E134" i="39"/>
  <c r="G134" i="39" s="1"/>
  <c r="E135" i="39"/>
  <c r="G135" i="39" s="1"/>
  <c r="E136" i="39"/>
  <c r="G136" i="39" s="1"/>
  <c r="E137" i="39"/>
  <c r="G137" i="39" s="1"/>
  <c r="E138" i="39"/>
  <c r="G138" i="39" s="1"/>
  <c r="E139" i="39"/>
  <c r="G139" i="39" s="1"/>
  <c r="E140" i="39"/>
  <c r="G140" i="39" s="1"/>
  <c r="E141" i="39"/>
  <c r="G141" i="39" s="1"/>
  <c r="E142" i="39"/>
  <c r="G142" i="39" s="1"/>
  <c r="E143" i="39"/>
  <c r="G143" i="39" s="1"/>
  <c r="E144" i="39"/>
  <c r="G144" i="39" s="1"/>
  <c r="E145" i="39"/>
  <c r="G145" i="39" s="1"/>
  <c r="E146" i="39"/>
  <c r="G146" i="39" s="1"/>
  <c r="E147" i="39"/>
  <c r="G147" i="39" s="1"/>
  <c r="E148" i="39"/>
  <c r="G148" i="39" s="1"/>
  <c r="E149" i="39"/>
  <c r="G149" i="39" s="1"/>
  <c r="E150" i="39"/>
  <c r="G150" i="39" s="1"/>
  <c r="E151" i="39"/>
  <c r="G151" i="39" s="1"/>
  <c r="E152" i="39"/>
  <c r="G152" i="39" s="1"/>
  <c r="E153" i="39"/>
  <c r="G153" i="39" s="1"/>
  <c r="E154" i="39"/>
  <c r="G154" i="39" s="1"/>
  <c r="E155" i="39"/>
  <c r="G155" i="39" s="1"/>
  <c r="E156" i="39"/>
  <c r="G156" i="39" s="1"/>
  <c r="E157" i="39"/>
  <c r="G157" i="39" s="1"/>
  <c r="E158" i="39"/>
  <c r="G158" i="39" s="1"/>
  <c r="E159" i="39"/>
  <c r="G159" i="39" s="1"/>
  <c r="E160" i="39"/>
  <c r="G160" i="39" s="1"/>
  <c r="E161" i="39"/>
  <c r="G161" i="39" s="1"/>
  <c r="E162" i="39"/>
  <c r="G162" i="39" s="1"/>
  <c r="E163" i="39"/>
  <c r="G163" i="39" s="1"/>
  <c r="E164" i="39"/>
  <c r="G164" i="39" s="1"/>
  <c r="E165" i="39"/>
  <c r="G165" i="39" s="1"/>
  <c r="E166" i="39"/>
  <c r="G166" i="39" s="1"/>
  <c r="E167" i="39"/>
  <c r="G167" i="39" s="1"/>
  <c r="E168" i="39"/>
  <c r="G168" i="39" s="1"/>
  <c r="E169" i="39"/>
  <c r="G169" i="39" s="1"/>
  <c r="E170" i="39"/>
  <c r="G170" i="39" s="1"/>
  <c r="E171" i="39"/>
  <c r="G171" i="39" s="1"/>
  <c r="E172" i="39"/>
  <c r="G172" i="39" s="1"/>
  <c r="E173" i="39"/>
  <c r="G173" i="39" s="1"/>
  <c r="E174" i="39"/>
  <c r="G174" i="39" s="1"/>
  <c r="E175" i="39"/>
  <c r="G175" i="39" s="1"/>
  <c r="E176" i="39"/>
  <c r="G176" i="39" s="1"/>
  <c r="E177" i="39"/>
  <c r="G177" i="39" s="1"/>
  <c r="E178" i="39"/>
  <c r="G178" i="39" s="1"/>
  <c r="E179" i="39"/>
  <c r="G179" i="39" s="1"/>
  <c r="E180" i="39"/>
  <c r="G180" i="39" s="1"/>
  <c r="E181" i="39"/>
  <c r="G181" i="39" s="1"/>
  <c r="E182" i="39"/>
  <c r="G182" i="39" s="1"/>
  <c r="E183" i="39"/>
  <c r="G183" i="39" s="1"/>
  <c r="E184" i="39"/>
  <c r="G184" i="39" s="1"/>
  <c r="E185" i="39"/>
  <c r="G185" i="39" s="1"/>
  <c r="E186" i="39"/>
  <c r="G186" i="39" s="1"/>
  <c r="E187" i="39"/>
  <c r="G187" i="39" s="1"/>
  <c r="E188" i="39"/>
  <c r="G188" i="39" s="1"/>
  <c r="E189" i="39"/>
  <c r="G189" i="39" s="1"/>
  <c r="E190" i="39"/>
  <c r="G190" i="39" s="1"/>
  <c r="E191" i="39"/>
  <c r="G191" i="39" s="1"/>
  <c r="E192" i="39"/>
  <c r="G192" i="39" s="1"/>
  <c r="E193" i="39"/>
  <c r="G193" i="39" s="1"/>
  <c r="E194" i="39"/>
  <c r="G194" i="39" s="1"/>
  <c r="E195" i="39"/>
  <c r="G195" i="39" s="1"/>
  <c r="E196" i="39"/>
  <c r="G196" i="39" s="1"/>
  <c r="E197" i="39"/>
  <c r="G197" i="39" s="1"/>
  <c r="E198" i="39"/>
  <c r="G198" i="39" s="1"/>
  <c r="E199" i="39"/>
  <c r="G199" i="39" s="1"/>
  <c r="E200" i="39"/>
  <c r="G200" i="39" s="1"/>
  <c r="E201" i="39"/>
  <c r="G201" i="39" s="1"/>
  <c r="E202" i="39"/>
  <c r="G202" i="39" s="1"/>
  <c r="E203" i="39"/>
  <c r="G203" i="39" s="1"/>
  <c r="E204" i="39"/>
  <c r="G204" i="39" s="1"/>
  <c r="E205" i="39"/>
  <c r="G205" i="39" s="1"/>
  <c r="E206" i="39"/>
  <c r="G206" i="39" s="1"/>
  <c r="E207" i="39"/>
  <c r="G207" i="39" s="1"/>
  <c r="E208" i="39"/>
  <c r="G208" i="39" s="1"/>
  <c r="E209" i="39"/>
  <c r="G209" i="39" s="1"/>
  <c r="E210" i="39"/>
  <c r="G210" i="39" s="1"/>
  <c r="E211" i="39"/>
  <c r="G211" i="39" s="1"/>
  <c r="E212" i="39"/>
  <c r="G212" i="39" s="1"/>
  <c r="E213" i="39"/>
  <c r="G213" i="39" s="1"/>
  <c r="E214" i="39"/>
  <c r="G214" i="39" s="1"/>
  <c r="E215" i="39"/>
  <c r="G215" i="39" s="1"/>
  <c r="E216" i="39"/>
  <c r="G216" i="39" s="1"/>
  <c r="E217" i="39"/>
  <c r="G217" i="39" s="1"/>
  <c r="E218" i="39"/>
  <c r="G218" i="39" s="1"/>
  <c r="E219" i="39"/>
  <c r="G219" i="39" s="1"/>
  <c r="E220" i="39"/>
  <c r="G220" i="39" s="1"/>
  <c r="E221" i="39"/>
  <c r="G221" i="39" s="1"/>
  <c r="E222" i="39"/>
  <c r="G222" i="39" s="1"/>
  <c r="E223" i="39"/>
  <c r="G223" i="39" s="1"/>
  <c r="E224" i="39"/>
  <c r="G224" i="39" s="1"/>
  <c r="E225" i="39"/>
  <c r="G225" i="39" s="1"/>
  <c r="E226" i="39"/>
  <c r="G226" i="39" s="1"/>
  <c r="E227" i="39"/>
  <c r="G227" i="39" s="1"/>
  <c r="E228" i="39"/>
  <c r="G228" i="39" s="1"/>
  <c r="E229" i="39"/>
  <c r="G229" i="39" s="1"/>
  <c r="E230" i="39"/>
  <c r="G230" i="39" s="1"/>
  <c r="E231" i="39"/>
  <c r="G231" i="39" s="1"/>
  <c r="E232" i="39"/>
  <c r="G232" i="39" s="1"/>
  <c r="E233" i="39"/>
  <c r="G233" i="39" s="1"/>
  <c r="E234" i="39"/>
  <c r="G234" i="39" s="1"/>
  <c r="E235" i="39"/>
  <c r="G235" i="39" s="1"/>
  <c r="E236" i="39"/>
  <c r="G236" i="39" s="1"/>
  <c r="E237" i="39"/>
  <c r="G237" i="39" s="1"/>
  <c r="E238" i="39"/>
  <c r="G238" i="39" s="1"/>
  <c r="E239" i="39"/>
  <c r="G239" i="39" s="1"/>
  <c r="E240" i="39"/>
  <c r="G240" i="39" s="1"/>
  <c r="E241" i="39"/>
  <c r="G241" i="39" s="1"/>
  <c r="E242" i="39"/>
  <c r="G242" i="39" s="1"/>
  <c r="E243" i="39"/>
  <c r="G243" i="39" s="1"/>
  <c r="E244" i="39"/>
  <c r="G244" i="39" s="1"/>
  <c r="E245" i="39"/>
  <c r="G245" i="39" s="1"/>
  <c r="E246" i="39"/>
  <c r="G246" i="39" s="1"/>
  <c r="E247" i="39"/>
  <c r="G247" i="39" s="1"/>
  <c r="E248" i="39"/>
  <c r="G248" i="39" s="1"/>
  <c r="E249" i="39"/>
  <c r="G249" i="39" s="1"/>
  <c r="E250" i="39"/>
  <c r="G250" i="39" s="1"/>
  <c r="E251" i="39"/>
  <c r="G251" i="39" s="1"/>
  <c r="E252" i="39"/>
  <c r="G252" i="39" s="1"/>
  <c r="E253" i="39"/>
  <c r="G253" i="39" s="1"/>
  <c r="E254" i="39"/>
  <c r="G254" i="39" s="1"/>
  <c r="E255" i="39"/>
  <c r="G255" i="39" s="1"/>
  <c r="E256" i="39"/>
  <c r="G256" i="39" s="1"/>
  <c r="E257" i="39"/>
  <c r="G257" i="39" s="1"/>
  <c r="E258" i="39"/>
  <c r="G258" i="39" s="1"/>
  <c r="E259" i="39"/>
  <c r="G259" i="39" s="1"/>
  <c r="E260" i="39"/>
  <c r="G260" i="39" s="1"/>
  <c r="E261" i="39"/>
  <c r="G261" i="39" s="1"/>
  <c r="E262" i="39"/>
  <c r="G262" i="39" s="1"/>
  <c r="E263" i="39"/>
  <c r="G263" i="39" s="1"/>
  <c r="E264" i="39"/>
  <c r="G264" i="39" s="1"/>
  <c r="E265" i="39"/>
  <c r="G265" i="39" s="1"/>
  <c r="E266" i="39"/>
  <c r="G266" i="39" s="1"/>
  <c r="E267" i="39"/>
  <c r="G267" i="39" s="1"/>
  <c r="E268" i="39"/>
  <c r="G268" i="39" s="1"/>
  <c r="E269" i="39"/>
  <c r="G269" i="39" s="1"/>
  <c r="E270" i="39"/>
  <c r="G270" i="39" s="1"/>
  <c r="E271" i="39"/>
  <c r="G271" i="39" s="1"/>
  <c r="E272" i="39"/>
  <c r="G272" i="39" s="1"/>
  <c r="E273" i="39"/>
  <c r="G273" i="39" s="1"/>
  <c r="E274" i="39"/>
  <c r="G274" i="39" s="1"/>
  <c r="E275" i="39"/>
  <c r="G275" i="39" s="1"/>
  <c r="E276" i="39"/>
  <c r="G276" i="39" s="1"/>
  <c r="E277" i="39"/>
  <c r="G277" i="39" s="1"/>
  <c r="E278" i="39"/>
  <c r="G278" i="39" s="1"/>
  <c r="E279" i="39"/>
  <c r="G279" i="39" s="1"/>
  <c r="E280" i="39"/>
  <c r="G280" i="39" s="1"/>
  <c r="E281" i="39"/>
  <c r="G281" i="39" s="1"/>
  <c r="E282" i="39"/>
  <c r="G282" i="39" s="1"/>
  <c r="E283" i="39"/>
  <c r="G283" i="39" s="1"/>
  <c r="E284" i="39"/>
  <c r="G284" i="39" s="1"/>
  <c r="E285" i="39"/>
  <c r="G285" i="39" s="1"/>
  <c r="E286" i="39"/>
  <c r="G286" i="39" s="1"/>
  <c r="E287" i="39"/>
  <c r="G287" i="39" s="1"/>
  <c r="E288" i="39"/>
  <c r="G288" i="39" s="1"/>
  <c r="E289" i="39"/>
  <c r="G289" i="39" s="1"/>
  <c r="E290" i="39"/>
  <c r="G290" i="39" s="1"/>
  <c r="E291" i="39"/>
  <c r="G291" i="39" s="1"/>
  <c r="E292" i="39"/>
  <c r="G292" i="39" s="1"/>
  <c r="E293" i="39"/>
  <c r="G293" i="39" s="1"/>
  <c r="E294" i="39"/>
  <c r="G294" i="39" s="1"/>
  <c r="E295" i="39"/>
  <c r="G295" i="39" s="1"/>
  <c r="E296" i="39"/>
  <c r="G296" i="39" s="1"/>
  <c r="E297" i="39"/>
  <c r="G297" i="39" s="1"/>
  <c r="E298" i="39"/>
  <c r="G298" i="39" s="1"/>
  <c r="E299" i="39"/>
  <c r="G299" i="39" s="1"/>
  <c r="E300" i="39"/>
  <c r="G300" i="39" s="1"/>
  <c r="E301" i="39"/>
  <c r="G301" i="39" s="1"/>
  <c r="E302" i="39"/>
  <c r="G302" i="39" s="1"/>
  <c r="E303" i="39"/>
  <c r="G303" i="39" s="1"/>
  <c r="E304" i="39"/>
  <c r="G304" i="39" s="1"/>
  <c r="E305" i="39"/>
  <c r="G305" i="39" s="1"/>
  <c r="E306" i="39"/>
  <c r="G306" i="39" s="1"/>
  <c r="E307" i="39"/>
  <c r="G307" i="39" s="1"/>
  <c r="E308" i="39"/>
  <c r="G308" i="39" s="1"/>
  <c r="E309" i="39"/>
  <c r="G309" i="39" s="1"/>
  <c r="E310" i="39"/>
  <c r="G310" i="39" s="1"/>
  <c r="E311" i="39"/>
  <c r="G311" i="39" s="1"/>
  <c r="E312" i="39"/>
  <c r="G312" i="39" s="1"/>
  <c r="E313" i="39"/>
  <c r="G313" i="39" s="1"/>
  <c r="E314" i="39"/>
  <c r="G314" i="39" s="1"/>
  <c r="E315" i="39"/>
  <c r="G315" i="39" s="1"/>
  <c r="E4" i="39"/>
  <c r="G4" i="39" s="1"/>
  <c r="E5" i="36"/>
  <c r="G5" i="36" s="1"/>
  <c r="E6" i="36"/>
  <c r="G6" i="36" s="1"/>
  <c r="E7" i="36"/>
  <c r="G7" i="36" s="1"/>
  <c r="E8" i="36"/>
  <c r="G8" i="36" s="1"/>
  <c r="E9" i="36"/>
  <c r="G9" i="36" s="1"/>
  <c r="E10" i="36"/>
  <c r="G10" i="36" s="1"/>
  <c r="E11" i="36"/>
  <c r="G11" i="36" s="1"/>
  <c r="E12" i="36"/>
  <c r="G12" i="36" s="1"/>
  <c r="E13" i="36"/>
  <c r="G13" i="36" s="1"/>
  <c r="E14" i="36"/>
  <c r="G14" i="36" s="1"/>
  <c r="E15" i="36"/>
  <c r="G15" i="36" s="1"/>
  <c r="E16" i="36"/>
  <c r="G16" i="36" s="1"/>
  <c r="E17" i="36"/>
  <c r="G17" i="36" s="1"/>
  <c r="E18" i="36"/>
  <c r="G18" i="36" s="1"/>
  <c r="E19" i="36"/>
  <c r="G19" i="36" s="1"/>
  <c r="E20" i="36"/>
  <c r="G20" i="36" s="1"/>
  <c r="E21" i="36"/>
  <c r="G21" i="36" s="1"/>
  <c r="E22" i="36"/>
  <c r="G22" i="36" s="1"/>
  <c r="E23" i="36"/>
  <c r="G23" i="36" s="1"/>
  <c r="E24" i="36"/>
  <c r="G24" i="36" s="1"/>
  <c r="E25" i="36"/>
  <c r="G25" i="36" s="1"/>
  <c r="E26" i="36"/>
  <c r="G26" i="36" s="1"/>
  <c r="E27" i="36"/>
  <c r="G27" i="36" s="1"/>
  <c r="E28" i="36"/>
  <c r="G28" i="36" s="1"/>
  <c r="E29" i="36"/>
  <c r="G29" i="36" s="1"/>
  <c r="E30" i="36"/>
  <c r="G30" i="36" s="1"/>
  <c r="E31" i="36"/>
  <c r="G31" i="36" s="1"/>
  <c r="E32" i="36"/>
  <c r="G32" i="36" s="1"/>
  <c r="E33" i="36"/>
  <c r="G33" i="36" s="1"/>
  <c r="E34" i="36"/>
  <c r="G34" i="36" s="1"/>
  <c r="E35" i="36"/>
  <c r="G35" i="36" s="1"/>
  <c r="E36" i="36"/>
  <c r="G36" i="36" s="1"/>
  <c r="E37" i="36"/>
  <c r="G37" i="36" s="1"/>
  <c r="E38" i="36"/>
  <c r="G38" i="36" s="1"/>
  <c r="E39" i="36"/>
  <c r="G39" i="36" s="1"/>
  <c r="E40" i="36"/>
  <c r="G40" i="36" s="1"/>
  <c r="E41" i="36"/>
  <c r="G41" i="36" s="1"/>
  <c r="E42" i="36"/>
  <c r="G42" i="36" s="1"/>
  <c r="E43" i="36"/>
  <c r="G43" i="36" s="1"/>
  <c r="E44" i="36"/>
  <c r="G44" i="36" s="1"/>
  <c r="E45" i="36"/>
  <c r="G45" i="36" s="1"/>
  <c r="E46" i="36"/>
  <c r="G46" i="36" s="1"/>
  <c r="E47" i="36"/>
  <c r="G47" i="36" s="1"/>
  <c r="E48" i="36"/>
  <c r="G48" i="36" s="1"/>
  <c r="E49" i="36"/>
  <c r="G49" i="36" s="1"/>
  <c r="E50" i="36"/>
  <c r="G50" i="36" s="1"/>
  <c r="E51" i="36"/>
  <c r="G51" i="36" s="1"/>
  <c r="E52" i="36"/>
  <c r="G52" i="36" s="1"/>
  <c r="E53" i="36"/>
  <c r="G53" i="36" s="1"/>
  <c r="E54" i="36"/>
  <c r="G54" i="36" s="1"/>
  <c r="E55" i="36"/>
  <c r="G55" i="36" s="1"/>
  <c r="E56" i="36"/>
  <c r="G56" i="36" s="1"/>
  <c r="E57" i="36"/>
  <c r="G57" i="36" s="1"/>
  <c r="E58" i="36"/>
  <c r="G58" i="36" s="1"/>
  <c r="E59" i="36"/>
  <c r="G59" i="36" s="1"/>
  <c r="E60" i="36"/>
  <c r="G60" i="36" s="1"/>
  <c r="E61" i="36"/>
  <c r="G61" i="36" s="1"/>
  <c r="E62" i="36"/>
  <c r="G62" i="36" s="1"/>
  <c r="E63" i="36"/>
  <c r="G63" i="36" s="1"/>
  <c r="E64" i="36"/>
  <c r="G64" i="36" s="1"/>
  <c r="E65" i="36"/>
  <c r="G65" i="36" s="1"/>
  <c r="E66" i="36"/>
  <c r="G66" i="36" s="1"/>
  <c r="E67" i="36"/>
  <c r="G67" i="36" s="1"/>
  <c r="E68" i="36"/>
  <c r="G68" i="36" s="1"/>
  <c r="E69" i="36"/>
  <c r="G69" i="36" s="1"/>
  <c r="E70" i="36"/>
  <c r="G70" i="36" s="1"/>
  <c r="E71" i="36"/>
  <c r="G71" i="36" s="1"/>
  <c r="E72" i="36"/>
  <c r="G72" i="36" s="1"/>
  <c r="E73" i="36"/>
  <c r="G73" i="36" s="1"/>
  <c r="E74" i="36"/>
  <c r="G74" i="36" s="1"/>
  <c r="E75" i="36"/>
  <c r="G75" i="36" s="1"/>
  <c r="E76" i="36"/>
  <c r="G76" i="36" s="1"/>
  <c r="E77" i="36"/>
  <c r="G77" i="36" s="1"/>
  <c r="E78" i="36"/>
  <c r="G78" i="36" s="1"/>
  <c r="E79" i="36"/>
  <c r="G79" i="36" s="1"/>
  <c r="E80" i="36"/>
  <c r="G80" i="36" s="1"/>
  <c r="E81" i="36"/>
  <c r="G81" i="36" s="1"/>
  <c r="E82" i="36"/>
  <c r="G82" i="36" s="1"/>
  <c r="E83" i="36"/>
  <c r="G83" i="36" s="1"/>
  <c r="E84" i="36"/>
  <c r="G84" i="36" s="1"/>
  <c r="E85" i="36"/>
  <c r="G85" i="36" s="1"/>
  <c r="E86" i="36"/>
  <c r="G86" i="36" s="1"/>
  <c r="E87" i="36"/>
  <c r="G87" i="36" s="1"/>
  <c r="E88" i="36"/>
  <c r="G88" i="36" s="1"/>
  <c r="E89" i="36"/>
  <c r="G89" i="36" s="1"/>
  <c r="E90" i="36"/>
  <c r="G90" i="36" s="1"/>
  <c r="E91" i="36"/>
  <c r="G91" i="36" s="1"/>
  <c r="E92" i="36"/>
  <c r="G92" i="36" s="1"/>
  <c r="E93" i="36"/>
  <c r="G93" i="36" s="1"/>
  <c r="E94" i="36"/>
  <c r="G94" i="36" s="1"/>
  <c r="E95" i="36"/>
  <c r="G95" i="36" s="1"/>
  <c r="E96" i="36"/>
  <c r="G96" i="36" s="1"/>
  <c r="E97" i="36"/>
  <c r="G97" i="36" s="1"/>
  <c r="E98" i="36"/>
  <c r="G98" i="36" s="1"/>
  <c r="E99" i="36"/>
  <c r="G99" i="36" s="1"/>
  <c r="E100" i="36"/>
  <c r="G100" i="36" s="1"/>
  <c r="E101" i="36"/>
  <c r="G101" i="36" s="1"/>
  <c r="E102" i="36"/>
  <c r="G102" i="36" s="1"/>
  <c r="E103" i="36"/>
  <c r="G103" i="36" s="1"/>
  <c r="E104" i="36"/>
  <c r="G104" i="36" s="1"/>
  <c r="E105" i="36"/>
  <c r="G105" i="36" s="1"/>
  <c r="E106" i="36"/>
  <c r="G106" i="36" s="1"/>
  <c r="E107" i="36"/>
  <c r="G107" i="36" s="1"/>
  <c r="E108" i="36"/>
  <c r="G108" i="36" s="1"/>
  <c r="E109" i="36"/>
  <c r="G109" i="36" s="1"/>
  <c r="E110" i="36"/>
  <c r="G110" i="36" s="1"/>
  <c r="E111" i="36"/>
  <c r="G111" i="36" s="1"/>
  <c r="E112" i="36"/>
  <c r="G112" i="36" s="1"/>
  <c r="E113" i="36"/>
  <c r="G113" i="36" s="1"/>
  <c r="E114" i="36"/>
  <c r="G114" i="36" s="1"/>
  <c r="E115" i="36"/>
  <c r="G115" i="36" s="1"/>
  <c r="E116" i="36"/>
  <c r="G116" i="36" s="1"/>
  <c r="E117" i="36"/>
  <c r="G117" i="36" s="1"/>
  <c r="E118" i="36"/>
  <c r="G118" i="36" s="1"/>
  <c r="E119" i="36"/>
  <c r="G119" i="36" s="1"/>
  <c r="E120" i="36"/>
  <c r="G120" i="36" s="1"/>
  <c r="E121" i="36"/>
  <c r="G121" i="36" s="1"/>
  <c r="E122" i="36"/>
  <c r="G122" i="36" s="1"/>
  <c r="E123" i="36"/>
  <c r="G123" i="36" s="1"/>
  <c r="E124" i="36"/>
  <c r="G124" i="36" s="1"/>
  <c r="E125" i="36"/>
  <c r="G125" i="36" s="1"/>
  <c r="E126" i="36"/>
  <c r="G126" i="36" s="1"/>
  <c r="E127" i="36"/>
  <c r="G127" i="36" s="1"/>
  <c r="E128" i="36"/>
  <c r="G128" i="36" s="1"/>
  <c r="E129" i="36"/>
  <c r="G129" i="36" s="1"/>
  <c r="E130" i="36"/>
  <c r="G130" i="36" s="1"/>
  <c r="E131" i="36"/>
  <c r="G131" i="36" s="1"/>
  <c r="E132" i="36"/>
  <c r="G132" i="36" s="1"/>
  <c r="E133" i="36"/>
  <c r="G133" i="36" s="1"/>
  <c r="E134" i="36"/>
  <c r="G134" i="36" s="1"/>
  <c r="E135" i="36"/>
  <c r="G135" i="36" s="1"/>
  <c r="E136" i="36"/>
  <c r="G136" i="36" s="1"/>
  <c r="E137" i="36"/>
  <c r="G137" i="36" s="1"/>
  <c r="E138" i="36"/>
  <c r="G138" i="36" s="1"/>
  <c r="E139" i="36"/>
  <c r="G139" i="36" s="1"/>
  <c r="E140" i="36"/>
  <c r="G140" i="36" s="1"/>
  <c r="E141" i="36"/>
  <c r="G141" i="36" s="1"/>
  <c r="E142" i="36"/>
  <c r="G142" i="36" s="1"/>
  <c r="E143" i="36"/>
  <c r="G143" i="36" s="1"/>
  <c r="E144" i="36"/>
  <c r="G144" i="36" s="1"/>
  <c r="E145" i="36"/>
  <c r="G145" i="36" s="1"/>
  <c r="E146" i="36"/>
  <c r="G146" i="36" s="1"/>
  <c r="E147" i="36"/>
  <c r="G147" i="36" s="1"/>
  <c r="E148" i="36"/>
  <c r="G148" i="36" s="1"/>
  <c r="E149" i="36"/>
  <c r="G149" i="36" s="1"/>
  <c r="E150" i="36"/>
  <c r="G150" i="36" s="1"/>
  <c r="E151" i="36"/>
  <c r="G151" i="36" s="1"/>
  <c r="E152" i="36"/>
  <c r="G152" i="36" s="1"/>
  <c r="E153" i="36"/>
  <c r="G153" i="36" s="1"/>
  <c r="E154" i="36"/>
  <c r="G154" i="36" s="1"/>
  <c r="E155" i="36"/>
  <c r="G155" i="36" s="1"/>
  <c r="E156" i="36"/>
  <c r="G156" i="36" s="1"/>
  <c r="E157" i="36"/>
  <c r="G157" i="36" s="1"/>
  <c r="E158" i="36"/>
  <c r="G158" i="36" s="1"/>
  <c r="E159" i="36"/>
  <c r="G159" i="36" s="1"/>
  <c r="E160" i="36"/>
  <c r="G160" i="36" s="1"/>
  <c r="E161" i="36"/>
  <c r="G161" i="36" s="1"/>
  <c r="E162" i="36"/>
  <c r="G162" i="36" s="1"/>
  <c r="E163" i="36"/>
  <c r="G163" i="36" s="1"/>
  <c r="E164" i="36"/>
  <c r="G164" i="36" s="1"/>
  <c r="E165" i="36"/>
  <c r="G165" i="36" s="1"/>
  <c r="E166" i="36"/>
  <c r="G166" i="36" s="1"/>
  <c r="E167" i="36"/>
  <c r="G167" i="36" s="1"/>
  <c r="E168" i="36"/>
  <c r="G168" i="36" s="1"/>
  <c r="E169" i="36"/>
  <c r="G169" i="36" s="1"/>
  <c r="E170" i="36"/>
  <c r="G170" i="36" s="1"/>
  <c r="E171" i="36"/>
  <c r="G171" i="36" s="1"/>
  <c r="E172" i="36"/>
  <c r="G172" i="36" s="1"/>
  <c r="E173" i="36"/>
  <c r="G173" i="36" s="1"/>
  <c r="E174" i="36"/>
  <c r="G174" i="36" s="1"/>
  <c r="E175" i="36"/>
  <c r="G175" i="36" s="1"/>
  <c r="E176" i="36"/>
  <c r="G176" i="36" s="1"/>
  <c r="E177" i="36"/>
  <c r="G177" i="36" s="1"/>
  <c r="E178" i="36"/>
  <c r="G178" i="36" s="1"/>
  <c r="E179" i="36"/>
  <c r="G179" i="36" s="1"/>
  <c r="E180" i="36"/>
  <c r="G180" i="36" s="1"/>
  <c r="E181" i="36"/>
  <c r="G181" i="36" s="1"/>
  <c r="E182" i="36"/>
  <c r="G182" i="36" s="1"/>
  <c r="E183" i="36"/>
  <c r="G183" i="36" s="1"/>
  <c r="E184" i="36"/>
  <c r="G184" i="36" s="1"/>
  <c r="E185" i="36"/>
  <c r="G185" i="36" s="1"/>
  <c r="E186" i="36"/>
  <c r="G186" i="36" s="1"/>
  <c r="E187" i="36"/>
  <c r="G187" i="36" s="1"/>
  <c r="E188" i="36"/>
  <c r="G188" i="36" s="1"/>
  <c r="E189" i="36"/>
  <c r="G189" i="36" s="1"/>
  <c r="E190" i="36"/>
  <c r="G190" i="36" s="1"/>
  <c r="E191" i="36"/>
  <c r="G191" i="36" s="1"/>
  <c r="E192" i="36"/>
  <c r="G192" i="36" s="1"/>
  <c r="E193" i="36"/>
  <c r="G193" i="36" s="1"/>
  <c r="E194" i="36"/>
  <c r="G194" i="36" s="1"/>
  <c r="E195" i="36"/>
  <c r="G195" i="36" s="1"/>
  <c r="E196" i="36"/>
  <c r="G196" i="36" s="1"/>
  <c r="E197" i="36"/>
  <c r="G197" i="36" s="1"/>
  <c r="E198" i="36"/>
  <c r="G198" i="36" s="1"/>
  <c r="E199" i="36"/>
  <c r="G199" i="36" s="1"/>
  <c r="E200" i="36"/>
  <c r="G200" i="36" s="1"/>
  <c r="E201" i="36"/>
  <c r="G201" i="36" s="1"/>
  <c r="E202" i="36"/>
  <c r="G202" i="36" s="1"/>
  <c r="E203" i="36"/>
  <c r="G203" i="36" s="1"/>
  <c r="E204" i="36"/>
  <c r="G204" i="36" s="1"/>
  <c r="E205" i="36"/>
  <c r="G205" i="36" s="1"/>
  <c r="E206" i="36"/>
  <c r="G206" i="36" s="1"/>
  <c r="E207" i="36"/>
  <c r="G207" i="36" s="1"/>
  <c r="E208" i="36"/>
  <c r="G208" i="36" s="1"/>
  <c r="E209" i="36"/>
  <c r="G209" i="36" s="1"/>
  <c r="E210" i="36"/>
  <c r="G210" i="36" s="1"/>
  <c r="E211" i="36"/>
  <c r="G211" i="36" s="1"/>
  <c r="E212" i="36"/>
  <c r="G212" i="36" s="1"/>
  <c r="E213" i="36"/>
  <c r="G213" i="36" s="1"/>
  <c r="E214" i="36"/>
  <c r="G214" i="36" s="1"/>
  <c r="E215" i="36"/>
  <c r="G215" i="36" s="1"/>
  <c r="E216" i="36"/>
  <c r="G216" i="36" s="1"/>
  <c r="E217" i="36"/>
  <c r="G217" i="36" s="1"/>
  <c r="E218" i="36"/>
  <c r="G218" i="36" s="1"/>
  <c r="E219" i="36"/>
  <c r="G219" i="36" s="1"/>
  <c r="E220" i="36"/>
  <c r="G220" i="36" s="1"/>
  <c r="E221" i="36"/>
  <c r="G221" i="36" s="1"/>
  <c r="E222" i="36"/>
  <c r="G222" i="36" s="1"/>
  <c r="E223" i="36"/>
  <c r="G223" i="36" s="1"/>
  <c r="E224" i="36"/>
  <c r="G224" i="36" s="1"/>
  <c r="E225" i="36"/>
  <c r="G225" i="36" s="1"/>
  <c r="E226" i="36"/>
  <c r="G226" i="36" s="1"/>
  <c r="E227" i="36"/>
  <c r="G227" i="36" s="1"/>
  <c r="E228" i="36"/>
  <c r="G228" i="36" s="1"/>
  <c r="E229" i="36"/>
  <c r="G229" i="36" s="1"/>
  <c r="E230" i="36"/>
  <c r="G230" i="36" s="1"/>
  <c r="E231" i="36"/>
  <c r="G231" i="36" s="1"/>
  <c r="E232" i="36"/>
  <c r="G232" i="36" s="1"/>
  <c r="E233" i="36"/>
  <c r="G233" i="36" s="1"/>
  <c r="E234" i="36"/>
  <c r="G234" i="36" s="1"/>
  <c r="E235" i="36"/>
  <c r="G235" i="36" s="1"/>
  <c r="E236" i="36"/>
  <c r="G236" i="36" s="1"/>
  <c r="E237" i="36"/>
  <c r="G237" i="36" s="1"/>
  <c r="E238" i="36"/>
  <c r="G238" i="36" s="1"/>
  <c r="E239" i="36"/>
  <c r="G239" i="36" s="1"/>
  <c r="E240" i="36"/>
  <c r="G240" i="36" s="1"/>
  <c r="E241" i="36"/>
  <c r="G241" i="36" s="1"/>
  <c r="E242" i="36"/>
  <c r="G242" i="36" s="1"/>
  <c r="E243" i="36"/>
  <c r="G243" i="36" s="1"/>
  <c r="E244" i="36"/>
  <c r="G244" i="36" s="1"/>
  <c r="E245" i="36"/>
  <c r="G245" i="36" s="1"/>
  <c r="E246" i="36"/>
  <c r="G246" i="36" s="1"/>
  <c r="E247" i="36"/>
  <c r="G247" i="36" s="1"/>
  <c r="E248" i="36"/>
  <c r="G248" i="36" s="1"/>
  <c r="E249" i="36"/>
  <c r="G249" i="36" s="1"/>
  <c r="E250" i="36"/>
  <c r="G250" i="36" s="1"/>
  <c r="E251" i="36"/>
  <c r="G251" i="36" s="1"/>
  <c r="E252" i="36"/>
  <c r="G252" i="36" s="1"/>
  <c r="E253" i="36"/>
  <c r="G253" i="36" s="1"/>
  <c r="E254" i="36"/>
  <c r="G254" i="36" s="1"/>
  <c r="E255" i="36"/>
  <c r="G255" i="36" s="1"/>
  <c r="E256" i="36"/>
  <c r="G256" i="36" s="1"/>
  <c r="E257" i="36"/>
  <c r="G257" i="36" s="1"/>
  <c r="E258" i="36"/>
  <c r="G258" i="36" s="1"/>
  <c r="E259" i="36"/>
  <c r="G259" i="36" s="1"/>
  <c r="E260" i="36"/>
  <c r="G260" i="36" s="1"/>
  <c r="E261" i="36"/>
  <c r="G261" i="36" s="1"/>
  <c r="E262" i="36"/>
  <c r="G262" i="36" s="1"/>
  <c r="E263" i="36"/>
  <c r="G263" i="36" s="1"/>
  <c r="E264" i="36"/>
  <c r="G264" i="36" s="1"/>
  <c r="E265" i="36"/>
  <c r="G265" i="36" s="1"/>
  <c r="E266" i="36"/>
  <c r="G266" i="36" s="1"/>
  <c r="E267" i="36"/>
  <c r="G267" i="36" s="1"/>
  <c r="E268" i="36"/>
  <c r="G268" i="36" s="1"/>
  <c r="E269" i="36"/>
  <c r="G269" i="36" s="1"/>
  <c r="E270" i="36"/>
  <c r="G270" i="36" s="1"/>
  <c r="E271" i="36"/>
  <c r="G271" i="36" s="1"/>
  <c r="E272" i="36"/>
  <c r="G272" i="36" s="1"/>
  <c r="E273" i="36"/>
  <c r="G273" i="36" s="1"/>
  <c r="E274" i="36"/>
  <c r="G274" i="36" s="1"/>
  <c r="E275" i="36"/>
  <c r="G275" i="36" s="1"/>
  <c r="E276" i="36"/>
  <c r="G276" i="36" s="1"/>
  <c r="E277" i="36"/>
  <c r="G277" i="36" s="1"/>
  <c r="E278" i="36"/>
  <c r="G278" i="36" s="1"/>
  <c r="E279" i="36"/>
  <c r="G279" i="36" s="1"/>
  <c r="E280" i="36"/>
  <c r="G280" i="36" s="1"/>
  <c r="E281" i="36"/>
  <c r="G281" i="36" s="1"/>
  <c r="E282" i="36"/>
  <c r="G282" i="36" s="1"/>
  <c r="E283" i="36"/>
  <c r="G283" i="36" s="1"/>
  <c r="E284" i="36"/>
  <c r="G284" i="36" s="1"/>
  <c r="E285" i="36"/>
  <c r="G285" i="36" s="1"/>
  <c r="E286" i="36"/>
  <c r="G286" i="36" s="1"/>
  <c r="E287" i="36"/>
  <c r="G287" i="36" s="1"/>
  <c r="E288" i="36"/>
  <c r="G288" i="36" s="1"/>
  <c r="E289" i="36"/>
  <c r="G289" i="36" s="1"/>
  <c r="E290" i="36"/>
  <c r="G290" i="36" s="1"/>
  <c r="E291" i="36"/>
  <c r="G291" i="36" s="1"/>
  <c r="E292" i="36"/>
  <c r="G292" i="36" s="1"/>
  <c r="E293" i="36"/>
  <c r="G293" i="36" s="1"/>
  <c r="E294" i="36"/>
  <c r="G294" i="36" s="1"/>
  <c r="E295" i="36"/>
  <c r="G295" i="36" s="1"/>
  <c r="E296" i="36"/>
  <c r="G296" i="36" s="1"/>
  <c r="E297" i="36"/>
  <c r="G297" i="36" s="1"/>
  <c r="E298" i="36"/>
  <c r="G298" i="36" s="1"/>
  <c r="E299" i="36"/>
  <c r="G299" i="36" s="1"/>
  <c r="E300" i="36"/>
  <c r="G300" i="36" s="1"/>
  <c r="E301" i="36"/>
  <c r="G301" i="36" s="1"/>
  <c r="E302" i="36"/>
  <c r="G302" i="36" s="1"/>
  <c r="E303" i="36"/>
  <c r="G303" i="36" s="1"/>
  <c r="E304" i="36"/>
  <c r="G304" i="36" s="1"/>
  <c r="E305" i="36"/>
  <c r="G305" i="36" s="1"/>
  <c r="E306" i="36"/>
  <c r="G306" i="36" s="1"/>
  <c r="E307" i="36"/>
  <c r="G307" i="36" s="1"/>
  <c r="E308" i="36"/>
  <c r="G308" i="36" s="1"/>
  <c r="E309" i="36"/>
  <c r="G309" i="36" s="1"/>
  <c r="E310" i="36"/>
  <c r="G310" i="36" s="1"/>
  <c r="E311" i="36"/>
  <c r="G311" i="36" s="1"/>
  <c r="E312" i="36"/>
  <c r="G312" i="36" s="1"/>
  <c r="E313" i="36"/>
  <c r="G313" i="36" s="1"/>
  <c r="E314" i="36"/>
  <c r="G314" i="36" s="1"/>
  <c r="E315" i="36"/>
  <c r="G315" i="36" s="1"/>
  <c r="E4" i="36"/>
  <c r="G4" i="36" s="1"/>
  <c r="F5" i="39"/>
  <c r="F6" i="39"/>
  <c r="F7" i="39"/>
  <c r="F8" i="39"/>
  <c r="F9" i="39"/>
  <c r="F10" i="39"/>
  <c r="F11" i="39"/>
  <c r="H11" i="39" s="1"/>
  <c r="I11" i="39" s="1"/>
  <c r="F12" i="39"/>
  <c r="F13" i="39"/>
  <c r="F14" i="39"/>
  <c r="F15" i="39"/>
  <c r="H15" i="39" s="1"/>
  <c r="I15" i="39" s="1"/>
  <c r="F16" i="39"/>
  <c r="F17" i="39"/>
  <c r="F18" i="39"/>
  <c r="F19" i="39"/>
  <c r="F20" i="39"/>
  <c r="F21" i="39"/>
  <c r="F22" i="39"/>
  <c r="F23" i="39"/>
  <c r="F24" i="39"/>
  <c r="F25" i="39"/>
  <c r="H25" i="39" s="1"/>
  <c r="I25" i="39" s="1"/>
  <c r="J25" i="39" s="1"/>
  <c r="F26" i="39"/>
  <c r="F27" i="39"/>
  <c r="F28" i="39"/>
  <c r="F29" i="39"/>
  <c r="F30" i="39"/>
  <c r="F31" i="39"/>
  <c r="F32" i="39"/>
  <c r="F33" i="39"/>
  <c r="F34" i="39"/>
  <c r="F35" i="39"/>
  <c r="F36" i="39"/>
  <c r="F37" i="39"/>
  <c r="F38" i="39"/>
  <c r="F39" i="39"/>
  <c r="F40" i="39"/>
  <c r="F41" i="39"/>
  <c r="F42" i="39"/>
  <c r="F43" i="39"/>
  <c r="F44" i="39"/>
  <c r="F45" i="39"/>
  <c r="F46" i="39"/>
  <c r="F47" i="39"/>
  <c r="F48" i="39"/>
  <c r="F49" i="39"/>
  <c r="F50" i="39"/>
  <c r="F51" i="39"/>
  <c r="F52" i="39"/>
  <c r="F53" i="39"/>
  <c r="F54" i="39"/>
  <c r="F55" i="39"/>
  <c r="F56" i="39"/>
  <c r="F57" i="39"/>
  <c r="F58" i="39"/>
  <c r="F59" i="39"/>
  <c r="F60" i="39"/>
  <c r="F61" i="39"/>
  <c r="F62" i="39"/>
  <c r="F63" i="39"/>
  <c r="F64" i="39"/>
  <c r="F65" i="39"/>
  <c r="F66" i="39"/>
  <c r="F67" i="39"/>
  <c r="F68" i="39"/>
  <c r="F69" i="39"/>
  <c r="F70" i="39"/>
  <c r="F71" i="39"/>
  <c r="F72" i="39"/>
  <c r="F73" i="39"/>
  <c r="F74" i="39"/>
  <c r="F75" i="39"/>
  <c r="F76" i="39"/>
  <c r="F77" i="39"/>
  <c r="F78" i="39"/>
  <c r="F79" i="39"/>
  <c r="F80" i="39"/>
  <c r="F81" i="39"/>
  <c r="F82" i="39"/>
  <c r="F83" i="39"/>
  <c r="F84" i="39"/>
  <c r="F85" i="39"/>
  <c r="F86" i="39"/>
  <c r="F87" i="39"/>
  <c r="F88" i="39"/>
  <c r="F89" i="39"/>
  <c r="F90" i="39"/>
  <c r="F91" i="39"/>
  <c r="F92" i="39"/>
  <c r="F93" i="39"/>
  <c r="F94" i="39"/>
  <c r="F95" i="39"/>
  <c r="F96" i="39"/>
  <c r="F97" i="39"/>
  <c r="F98" i="39"/>
  <c r="F99" i="39"/>
  <c r="F100" i="39"/>
  <c r="F101" i="39"/>
  <c r="F102" i="39"/>
  <c r="F103" i="39"/>
  <c r="F104" i="39"/>
  <c r="F105" i="39"/>
  <c r="F106" i="39"/>
  <c r="F107" i="39"/>
  <c r="F108" i="39"/>
  <c r="F109" i="39"/>
  <c r="H109" i="39" s="1"/>
  <c r="F110" i="39"/>
  <c r="F111" i="39"/>
  <c r="F112" i="39"/>
  <c r="F113" i="39"/>
  <c r="F114" i="39"/>
  <c r="F115" i="39"/>
  <c r="F116" i="39"/>
  <c r="F117" i="39"/>
  <c r="F118" i="39"/>
  <c r="F119" i="39"/>
  <c r="F120" i="39"/>
  <c r="F121" i="39"/>
  <c r="F122" i="39"/>
  <c r="F123" i="39"/>
  <c r="F124" i="39"/>
  <c r="F125" i="39"/>
  <c r="H125" i="39" s="1"/>
  <c r="I125" i="39" s="1"/>
  <c r="F126" i="39"/>
  <c r="F127" i="39"/>
  <c r="F128" i="39"/>
  <c r="F129" i="39"/>
  <c r="F130" i="39"/>
  <c r="F131" i="39"/>
  <c r="F132" i="39"/>
  <c r="F133" i="39"/>
  <c r="F134" i="39"/>
  <c r="F135" i="39"/>
  <c r="F136" i="39"/>
  <c r="F137" i="39"/>
  <c r="F138" i="39"/>
  <c r="F139" i="39"/>
  <c r="F140" i="39"/>
  <c r="F141" i="39"/>
  <c r="F142" i="39"/>
  <c r="F143" i="39"/>
  <c r="F144" i="39"/>
  <c r="F145" i="39"/>
  <c r="H145" i="39" s="1"/>
  <c r="I145" i="39" s="1"/>
  <c r="F146" i="39"/>
  <c r="F147" i="39"/>
  <c r="F148" i="39"/>
  <c r="F149" i="39"/>
  <c r="F150" i="39"/>
  <c r="F151" i="39"/>
  <c r="F152" i="39"/>
  <c r="F153" i="39"/>
  <c r="F154" i="39"/>
  <c r="F155" i="39"/>
  <c r="F156" i="39"/>
  <c r="H156" i="39" s="1"/>
  <c r="F157" i="39"/>
  <c r="F158" i="39"/>
  <c r="F159" i="39"/>
  <c r="F160" i="39"/>
  <c r="F161" i="39"/>
  <c r="F162" i="39"/>
  <c r="F163" i="39"/>
  <c r="F164" i="39"/>
  <c r="F165" i="39"/>
  <c r="F166" i="39"/>
  <c r="F167" i="39"/>
  <c r="F168" i="39"/>
  <c r="F169" i="39"/>
  <c r="F170" i="39"/>
  <c r="F171" i="39"/>
  <c r="F172" i="39"/>
  <c r="F173" i="39"/>
  <c r="H173" i="39" s="1"/>
  <c r="I173" i="39" s="1"/>
  <c r="F174" i="39"/>
  <c r="F175" i="39"/>
  <c r="F176" i="39"/>
  <c r="F177" i="39"/>
  <c r="F178" i="39"/>
  <c r="F179" i="39"/>
  <c r="F180" i="39"/>
  <c r="F181" i="39"/>
  <c r="F182" i="39"/>
  <c r="F183" i="39"/>
  <c r="F184" i="39"/>
  <c r="F185" i="39"/>
  <c r="F186" i="39"/>
  <c r="F187" i="39"/>
  <c r="F188" i="39"/>
  <c r="F189" i="39"/>
  <c r="F190" i="39"/>
  <c r="F191" i="39"/>
  <c r="F192" i="39"/>
  <c r="F193" i="39"/>
  <c r="F194" i="39"/>
  <c r="F195" i="39"/>
  <c r="F196" i="39"/>
  <c r="F197" i="39"/>
  <c r="F198" i="39"/>
  <c r="F199" i="39"/>
  <c r="F200" i="39"/>
  <c r="F201" i="39"/>
  <c r="F202" i="39"/>
  <c r="F203" i="39"/>
  <c r="F204" i="39"/>
  <c r="F205" i="39"/>
  <c r="F206" i="39"/>
  <c r="F207" i="39"/>
  <c r="F208" i="39"/>
  <c r="F209" i="39"/>
  <c r="F210" i="39"/>
  <c r="F211" i="39"/>
  <c r="F212" i="39"/>
  <c r="F213" i="39"/>
  <c r="F214" i="39"/>
  <c r="F215" i="39"/>
  <c r="F216" i="39"/>
  <c r="F217" i="39"/>
  <c r="F218" i="39"/>
  <c r="F219" i="39"/>
  <c r="F220" i="39"/>
  <c r="F221" i="39"/>
  <c r="F222" i="39"/>
  <c r="F223" i="39"/>
  <c r="F224" i="39"/>
  <c r="F225" i="39"/>
  <c r="F226" i="39"/>
  <c r="F227" i="39"/>
  <c r="F228" i="39"/>
  <c r="F229" i="39"/>
  <c r="F230" i="39"/>
  <c r="F231" i="39"/>
  <c r="F232" i="39"/>
  <c r="F233" i="39"/>
  <c r="H233" i="39" s="1"/>
  <c r="I233" i="39" s="1"/>
  <c r="F234" i="39"/>
  <c r="F235" i="39"/>
  <c r="F236" i="39"/>
  <c r="F237" i="39"/>
  <c r="F238" i="39"/>
  <c r="F239" i="39"/>
  <c r="F240" i="39"/>
  <c r="F241" i="39"/>
  <c r="F242" i="39"/>
  <c r="F243" i="39"/>
  <c r="F244" i="39"/>
  <c r="F245" i="39"/>
  <c r="F246" i="39"/>
  <c r="F247" i="39"/>
  <c r="F248" i="39"/>
  <c r="F249" i="39"/>
  <c r="F250" i="39"/>
  <c r="F251" i="39"/>
  <c r="F252" i="39"/>
  <c r="F253" i="39"/>
  <c r="F254" i="39"/>
  <c r="F255" i="39"/>
  <c r="F256" i="39"/>
  <c r="H256" i="39" s="1"/>
  <c r="I256" i="39" s="1"/>
  <c r="F257" i="39"/>
  <c r="F258" i="39"/>
  <c r="F259" i="39"/>
  <c r="F260" i="39"/>
  <c r="F261" i="39"/>
  <c r="F262" i="39"/>
  <c r="F263" i="39"/>
  <c r="F264" i="39"/>
  <c r="F265" i="39"/>
  <c r="F266" i="39"/>
  <c r="F267" i="39"/>
  <c r="F268" i="39"/>
  <c r="F269" i="39"/>
  <c r="F270" i="39"/>
  <c r="F271" i="39"/>
  <c r="F272" i="39"/>
  <c r="F273" i="39"/>
  <c r="F274" i="39"/>
  <c r="F275" i="39"/>
  <c r="F276" i="39"/>
  <c r="F277" i="39"/>
  <c r="F278" i="39"/>
  <c r="F279" i="39"/>
  <c r="F280" i="39"/>
  <c r="F281" i="39"/>
  <c r="F282" i="39"/>
  <c r="F283" i="39"/>
  <c r="F284" i="39"/>
  <c r="F285" i="39"/>
  <c r="F286" i="39"/>
  <c r="F287" i="39"/>
  <c r="F288" i="39"/>
  <c r="F289" i="39"/>
  <c r="F290" i="39"/>
  <c r="F291" i="39"/>
  <c r="F292" i="39"/>
  <c r="F293" i="39"/>
  <c r="F294" i="39"/>
  <c r="F295" i="39"/>
  <c r="F296" i="39"/>
  <c r="F297" i="39"/>
  <c r="F298" i="39"/>
  <c r="F299" i="39"/>
  <c r="F300" i="39"/>
  <c r="F301" i="39"/>
  <c r="F302" i="39"/>
  <c r="F303" i="39"/>
  <c r="F304" i="39"/>
  <c r="F305" i="39"/>
  <c r="F306" i="39"/>
  <c r="F307" i="39"/>
  <c r="F308" i="39"/>
  <c r="F309" i="39"/>
  <c r="F310" i="39"/>
  <c r="F311" i="39"/>
  <c r="F312" i="39"/>
  <c r="F313" i="39"/>
  <c r="F314" i="39"/>
  <c r="F315" i="39"/>
  <c r="F4" i="39"/>
  <c r="D5" i="39"/>
  <c r="D6" i="39"/>
  <c r="D7" i="39"/>
  <c r="D8" i="39"/>
  <c r="D9" i="39"/>
  <c r="D10" i="39"/>
  <c r="D11" i="39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D78" i="39"/>
  <c r="D79" i="39"/>
  <c r="D80" i="39"/>
  <c r="D81" i="39"/>
  <c r="D82" i="39"/>
  <c r="D83" i="39"/>
  <c r="D84" i="39"/>
  <c r="D85" i="39"/>
  <c r="D86" i="39"/>
  <c r="D87" i="39"/>
  <c r="D88" i="39"/>
  <c r="D89" i="39"/>
  <c r="D90" i="39"/>
  <c r="D91" i="39"/>
  <c r="D92" i="39"/>
  <c r="D93" i="39"/>
  <c r="D94" i="39"/>
  <c r="D95" i="39"/>
  <c r="D96" i="39"/>
  <c r="D97" i="39"/>
  <c r="D98" i="39"/>
  <c r="D99" i="39"/>
  <c r="D100" i="39"/>
  <c r="D101" i="39"/>
  <c r="D102" i="39"/>
  <c r="D103" i="39"/>
  <c r="D104" i="39"/>
  <c r="D105" i="39"/>
  <c r="D106" i="39"/>
  <c r="D107" i="39"/>
  <c r="D108" i="39"/>
  <c r="D109" i="39"/>
  <c r="D110" i="39"/>
  <c r="D111" i="39"/>
  <c r="D112" i="39"/>
  <c r="D113" i="39"/>
  <c r="D114" i="39"/>
  <c r="D115" i="39"/>
  <c r="D116" i="39"/>
  <c r="D117" i="39"/>
  <c r="D118" i="39"/>
  <c r="D119" i="39"/>
  <c r="D120" i="39"/>
  <c r="D121" i="39"/>
  <c r="D122" i="39"/>
  <c r="D123" i="39"/>
  <c r="D124" i="39"/>
  <c r="D125" i="39"/>
  <c r="D126" i="39"/>
  <c r="D127" i="39"/>
  <c r="D128" i="39"/>
  <c r="D129" i="39"/>
  <c r="D130" i="39"/>
  <c r="D131" i="39"/>
  <c r="D132" i="39"/>
  <c r="D133" i="39"/>
  <c r="D134" i="39"/>
  <c r="D135" i="39"/>
  <c r="D136" i="39"/>
  <c r="D137" i="39"/>
  <c r="D138" i="39"/>
  <c r="D139" i="39"/>
  <c r="D140" i="39"/>
  <c r="D141" i="39"/>
  <c r="D142" i="39"/>
  <c r="D143" i="39"/>
  <c r="D144" i="39"/>
  <c r="D145" i="39"/>
  <c r="D146" i="39"/>
  <c r="D147" i="39"/>
  <c r="D148" i="39"/>
  <c r="D149" i="39"/>
  <c r="D150" i="39"/>
  <c r="D151" i="39"/>
  <c r="D152" i="39"/>
  <c r="D153" i="39"/>
  <c r="D154" i="39"/>
  <c r="D155" i="39"/>
  <c r="D156" i="39"/>
  <c r="D157" i="39"/>
  <c r="D158" i="39"/>
  <c r="D159" i="39"/>
  <c r="D160" i="39"/>
  <c r="D161" i="39"/>
  <c r="D162" i="39"/>
  <c r="D163" i="39"/>
  <c r="D164" i="39"/>
  <c r="D165" i="39"/>
  <c r="D166" i="39"/>
  <c r="D167" i="39"/>
  <c r="D168" i="39"/>
  <c r="D169" i="39"/>
  <c r="D170" i="39"/>
  <c r="D171" i="39"/>
  <c r="D172" i="39"/>
  <c r="D173" i="39"/>
  <c r="D174" i="39"/>
  <c r="D175" i="39"/>
  <c r="D176" i="39"/>
  <c r="D177" i="39"/>
  <c r="D178" i="39"/>
  <c r="D179" i="39"/>
  <c r="D180" i="39"/>
  <c r="D181" i="39"/>
  <c r="D182" i="39"/>
  <c r="D183" i="39"/>
  <c r="D184" i="39"/>
  <c r="D185" i="39"/>
  <c r="D186" i="39"/>
  <c r="D187" i="39"/>
  <c r="D188" i="39"/>
  <c r="D189" i="39"/>
  <c r="D190" i="39"/>
  <c r="D191" i="39"/>
  <c r="D192" i="39"/>
  <c r="D193" i="39"/>
  <c r="D194" i="39"/>
  <c r="D195" i="39"/>
  <c r="D196" i="39"/>
  <c r="D197" i="39"/>
  <c r="D198" i="39"/>
  <c r="D199" i="39"/>
  <c r="D200" i="39"/>
  <c r="D201" i="39"/>
  <c r="D202" i="39"/>
  <c r="D203" i="39"/>
  <c r="D204" i="39"/>
  <c r="D205" i="39"/>
  <c r="D206" i="39"/>
  <c r="D207" i="39"/>
  <c r="D208" i="39"/>
  <c r="D209" i="39"/>
  <c r="D210" i="39"/>
  <c r="D211" i="39"/>
  <c r="D212" i="39"/>
  <c r="D213" i="39"/>
  <c r="D214" i="39"/>
  <c r="D215" i="39"/>
  <c r="D216" i="39"/>
  <c r="D217" i="39"/>
  <c r="D218" i="39"/>
  <c r="D219" i="39"/>
  <c r="D220" i="39"/>
  <c r="D221" i="39"/>
  <c r="D222" i="39"/>
  <c r="D223" i="39"/>
  <c r="D224" i="39"/>
  <c r="D225" i="39"/>
  <c r="D226" i="39"/>
  <c r="D227" i="39"/>
  <c r="D228" i="39"/>
  <c r="D229" i="39"/>
  <c r="D230" i="39"/>
  <c r="D231" i="39"/>
  <c r="D232" i="39"/>
  <c r="D233" i="39"/>
  <c r="D234" i="39"/>
  <c r="D235" i="39"/>
  <c r="D236" i="39"/>
  <c r="D237" i="39"/>
  <c r="D238" i="39"/>
  <c r="D239" i="39"/>
  <c r="D240" i="39"/>
  <c r="D241" i="39"/>
  <c r="D242" i="39"/>
  <c r="D243" i="39"/>
  <c r="D244" i="39"/>
  <c r="D245" i="39"/>
  <c r="D246" i="39"/>
  <c r="D247" i="39"/>
  <c r="D248" i="39"/>
  <c r="D249" i="39"/>
  <c r="D250" i="39"/>
  <c r="D251" i="39"/>
  <c r="D252" i="39"/>
  <c r="D253" i="39"/>
  <c r="D254" i="39"/>
  <c r="D255" i="39"/>
  <c r="D256" i="39"/>
  <c r="D257" i="39"/>
  <c r="D258" i="39"/>
  <c r="D259" i="39"/>
  <c r="D260" i="39"/>
  <c r="D261" i="39"/>
  <c r="D262" i="39"/>
  <c r="D263" i="39"/>
  <c r="D264" i="39"/>
  <c r="D265" i="39"/>
  <c r="D266" i="39"/>
  <c r="D267" i="39"/>
  <c r="D268" i="39"/>
  <c r="D269" i="39"/>
  <c r="D270" i="39"/>
  <c r="D271" i="39"/>
  <c r="D272" i="39"/>
  <c r="D273" i="39"/>
  <c r="D274" i="39"/>
  <c r="D275" i="39"/>
  <c r="D276" i="39"/>
  <c r="D277" i="39"/>
  <c r="D278" i="39"/>
  <c r="D279" i="39"/>
  <c r="D280" i="39"/>
  <c r="D281" i="39"/>
  <c r="D282" i="39"/>
  <c r="D283" i="39"/>
  <c r="D284" i="39"/>
  <c r="D285" i="39"/>
  <c r="D286" i="39"/>
  <c r="D287" i="39"/>
  <c r="D288" i="39"/>
  <c r="D289" i="39"/>
  <c r="D290" i="39"/>
  <c r="D291" i="39"/>
  <c r="D292" i="39"/>
  <c r="D293" i="39"/>
  <c r="D294" i="39"/>
  <c r="D295" i="39"/>
  <c r="D296" i="39"/>
  <c r="D297" i="39"/>
  <c r="D298" i="39"/>
  <c r="D299" i="39"/>
  <c r="D300" i="39"/>
  <c r="D301" i="39"/>
  <c r="D302" i="39"/>
  <c r="D303" i="39"/>
  <c r="D304" i="39"/>
  <c r="D305" i="39"/>
  <c r="D306" i="39"/>
  <c r="D307" i="39"/>
  <c r="D308" i="39"/>
  <c r="D309" i="39"/>
  <c r="D310" i="39"/>
  <c r="D311" i="39"/>
  <c r="D312" i="39"/>
  <c r="D313" i="39"/>
  <c r="D314" i="39"/>
  <c r="D315" i="39"/>
  <c r="D4" i="39"/>
  <c r="E5" i="38"/>
  <c r="G5" i="38" s="1"/>
  <c r="E6" i="38"/>
  <c r="G6" i="38" s="1"/>
  <c r="E7" i="38"/>
  <c r="G7" i="38" s="1"/>
  <c r="E8" i="38"/>
  <c r="G8" i="38" s="1"/>
  <c r="E9" i="38"/>
  <c r="G9" i="38" s="1"/>
  <c r="E10" i="38"/>
  <c r="G10" i="38" s="1"/>
  <c r="E11" i="38"/>
  <c r="G11" i="38" s="1"/>
  <c r="E12" i="38"/>
  <c r="G12" i="38" s="1"/>
  <c r="E13" i="38"/>
  <c r="G13" i="38" s="1"/>
  <c r="E14" i="38"/>
  <c r="G14" i="38" s="1"/>
  <c r="E15" i="38"/>
  <c r="G15" i="38" s="1"/>
  <c r="E16" i="38"/>
  <c r="G16" i="38" s="1"/>
  <c r="E17" i="38"/>
  <c r="G17" i="38" s="1"/>
  <c r="E18" i="38"/>
  <c r="G18" i="38" s="1"/>
  <c r="E19" i="38"/>
  <c r="G19" i="38" s="1"/>
  <c r="E20" i="38"/>
  <c r="G20" i="38" s="1"/>
  <c r="E21" i="38"/>
  <c r="G21" i="38" s="1"/>
  <c r="E22" i="38"/>
  <c r="G22" i="38" s="1"/>
  <c r="E23" i="38"/>
  <c r="G23" i="38" s="1"/>
  <c r="E24" i="38"/>
  <c r="G24" i="38" s="1"/>
  <c r="E25" i="38"/>
  <c r="G25" i="38" s="1"/>
  <c r="E26" i="38"/>
  <c r="G26" i="38" s="1"/>
  <c r="E27" i="38"/>
  <c r="G27" i="38" s="1"/>
  <c r="E28" i="38"/>
  <c r="G28" i="38" s="1"/>
  <c r="E29" i="38"/>
  <c r="G29" i="38" s="1"/>
  <c r="E30" i="38"/>
  <c r="G30" i="38" s="1"/>
  <c r="E31" i="38"/>
  <c r="G31" i="38" s="1"/>
  <c r="E32" i="38"/>
  <c r="G32" i="38" s="1"/>
  <c r="E33" i="38"/>
  <c r="G33" i="38" s="1"/>
  <c r="E34" i="38"/>
  <c r="G34" i="38" s="1"/>
  <c r="E35" i="38"/>
  <c r="G35" i="38" s="1"/>
  <c r="E36" i="38"/>
  <c r="G36" i="38" s="1"/>
  <c r="E37" i="38"/>
  <c r="G37" i="38" s="1"/>
  <c r="E38" i="38"/>
  <c r="G38" i="38" s="1"/>
  <c r="E39" i="38"/>
  <c r="G39" i="38" s="1"/>
  <c r="E40" i="38"/>
  <c r="G40" i="38" s="1"/>
  <c r="E41" i="38"/>
  <c r="G41" i="38" s="1"/>
  <c r="E42" i="38"/>
  <c r="G42" i="38" s="1"/>
  <c r="E43" i="38"/>
  <c r="G43" i="38" s="1"/>
  <c r="E44" i="38"/>
  <c r="G44" i="38" s="1"/>
  <c r="E45" i="38"/>
  <c r="G45" i="38" s="1"/>
  <c r="E46" i="38"/>
  <c r="G46" i="38" s="1"/>
  <c r="E47" i="38"/>
  <c r="G47" i="38" s="1"/>
  <c r="E48" i="38"/>
  <c r="G48" i="38" s="1"/>
  <c r="E49" i="38"/>
  <c r="G49" i="38" s="1"/>
  <c r="E50" i="38"/>
  <c r="G50" i="38" s="1"/>
  <c r="E51" i="38"/>
  <c r="G51" i="38" s="1"/>
  <c r="E52" i="38"/>
  <c r="G52" i="38" s="1"/>
  <c r="E53" i="38"/>
  <c r="G53" i="38" s="1"/>
  <c r="E54" i="38"/>
  <c r="G54" i="38" s="1"/>
  <c r="E55" i="38"/>
  <c r="G55" i="38" s="1"/>
  <c r="E56" i="38"/>
  <c r="G56" i="38" s="1"/>
  <c r="E57" i="38"/>
  <c r="G57" i="38" s="1"/>
  <c r="E58" i="38"/>
  <c r="G58" i="38" s="1"/>
  <c r="E59" i="38"/>
  <c r="G59" i="38" s="1"/>
  <c r="E60" i="38"/>
  <c r="G60" i="38" s="1"/>
  <c r="E61" i="38"/>
  <c r="G61" i="38" s="1"/>
  <c r="E62" i="38"/>
  <c r="G62" i="38" s="1"/>
  <c r="E63" i="38"/>
  <c r="G63" i="38" s="1"/>
  <c r="E64" i="38"/>
  <c r="G64" i="38" s="1"/>
  <c r="E65" i="38"/>
  <c r="G65" i="38" s="1"/>
  <c r="E66" i="38"/>
  <c r="G66" i="38" s="1"/>
  <c r="E67" i="38"/>
  <c r="G67" i="38" s="1"/>
  <c r="E68" i="38"/>
  <c r="G68" i="38" s="1"/>
  <c r="E69" i="38"/>
  <c r="G69" i="38" s="1"/>
  <c r="E70" i="38"/>
  <c r="G70" i="38" s="1"/>
  <c r="E71" i="38"/>
  <c r="G71" i="38" s="1"/>
  <c r="E72" i="38"/>
  <c r="G72" i="38" s="1"/>
  <c r="E73" i="38"/>
  <c r="G73" i="38" s="1"/>
  <c r="E74" i="38"/>
  <c r="G74" i="38" s="1"/>
  <c r="E75" i="38"/>
  <c r="G75" i="38" s="1"/>
  <c r="E76" i="38"/>
  <c r="G76" i="38" s="1"/>
  <c r="E77" i="38"/>
  <c r="G77" i="38" s="1"/>
  <c r="E78" i="38"/>
  <c r="G78" i="38" s="1"/>
  <c r="E79" i="38"/>
  <c r="G79" i="38" s="1"/>
  <c r="E80" i="38"/>
  <c r="G80" i="38" s="1"/>
  <c r="E81" i="38"/>
  <c r="G81" i="38" s="1"/>
  <c r="E82" i="38"/>
  <c r="G82" i="38" s="1"/>
  <c r="E83" i="38"/>
  <c r="G83" i="38" s="1"/>
  <c r="E84" i="38"/>
  <c r="G84" i="38" s="1"/>
  <c r="E85" i="38"/>
  <c r="G85" i="38" s="1"/>
  <c r="E86" i="38"/>
  <c r="G86" i="38" s="1"/>
  <c r="E87" i="38"/>
  <c r="G87" i="38" s="1"/>
  <c r="E88" i="38"/>
  <c r="G88" i="38" s="1"/>
  <c r="E89" i="38"/>
  <c r="G89" i="38" s="1"/>
  <c r="E90" i="38"/>
  <c r="G90" i="38" s="1"/>
  <c r="E91" i="38"/>
  <c r="G91" i="38" s="1"/>
  <c r="E92" i="38"/>
  <c r="G92" i="38" s="1"/>
  <c r="E93" i="38"/>
  <c r="G93" i="38" s="1"/>
  <c r="E94" i="38"/>
  <c r="G94" i="38" s="1"/>
  <c r="E95" i="38"/>
  <c r="G95" i="38" s="1"/>
  <c r="E96" i="38"/>
  <c r="G96" i="38" s="1"/>
  <c r="E97" i="38"/>
  <c r="G97" i="38" s="1"/>
  <c r="E98" i="38"/>
  <c r="G98" i="38" s="1"/>
  <c r="E99" i="38"/>
  <c r="G99" i="38" s="1"/>
  <c r="E100" i="38"/>
  <c r="G100" i="38" s="1"/>
  <c r="E101" i="38"/>
  <c r="G101" i="38" s="1"/>
  <c r="E102" i="38"/>
  <c r="G102" i="38" s="1"/>
  <c r="E103" i="38"/>
  <c r="G103" i="38" s="1"/>
  <c r="E104" i="38"/>
  <c r="G104" i="38" s="1"/>
  <c r="E105" i="38"/>
  <c r="G105" i="38" s="1"/>
  <c r="E106" i="38"/>
  <c r="G106" i="38" s="1"/>
  <c r="E107" i="38"/>
  <c r="G107" i="38" s="1"/>
  <c r="E108" i="38"/>
  <c r="G108" i="38" s="1"/>
  <c r="E109" i="38"/>
  <c r="G109" i="38" s="1"/>
  <c r="E110" i="38"/>
  <c r="G110" i="38" s="1"/>
  <c r="E111" i="38"/>
  <c r="G111" i="38" s="1"/>
  <c r="E112" i="38"/>
  <c r="G112" i="38" s="1"/>
  <c r="E113" i="38"/>
  <c r="G113" i="38" s="1"/>
  <c r="E114" i="38"/>
  <c r="G114" i="38" s="1"/>
  <c r="E115" i="38"/>
  <c r="G115" i="38" s="1"/>
  <c r="E116" i="38"/>
  <c r="G116" i="38" s="1"/>
  <c r="E117" i="38"/>
  <c r="G117" i="38" s="1"/>
  <c r="E118" i="38"/>
  <c r="G118" i="38" s="1"/>
  <c r="E119" i="38"/>
  <c r="G119" i="38" s="1"/>
  <c r="E120" i="38"/>
  <c r="G120" i="38" s="1"/>
  <c r="E121" i="38"/>
  <c r="G121" i="38" s="1"/>
  <c r="E122" i="38"/>
  <c r="G122" i="38" s="1"/>
  <c r="E123" i="38"/>
  <c r="G123" i="38" s="1"/>
  <c r="E124" i="38"/>
  <c r="G124" i="38" s="1"/>
  <c r="E125" i="38"/>
  <c r="G125" i="38" s="1"/>
  <c r="E126" i="38"/>
  <c r="G126" i="38" s="1"/>
  <c r="E127" i="38"/>
  <c r="G127" i="38" s="1"/>
  <c r="E128" i="38"/>
  <c r="G128" i="38" s="1"/>
  <c r="E129" i="38"/>
  <c r="G129" i="38" s="1"/>
  <c r="E130" i="38"/>
  <c r="G130" i="38" s="1"/>
  <c r="E131" i="38"/>
  <c r="G131" i="38" s="1"/>
  <c r="E132" i="38"/>
  <c r="G132" i="38" s="1"/>
  <c r="E133" i="38"/>
  <c r="G133" i="38" s="1"/>
  <c r="E134" i="38"/>
  <c r="G134" i="38" s="1"/>
  <c r="E135" i="38"/>
  <c r="G135" i="38" s="1"/>
  <c r="E136" i="38"/>
  <c r="G136" i="38" s="1"/>
  <c r="E137" i="38"/>
  <c r="G137" i="38" s="1"/>
  <c r="E138" i="38"/>
  <c r="G138" i="38" s="1"/>
  <c r="E139" i="38"/>
  <c r="G139" i="38" s="1"/>
  <c r="E140" i="38"/>
  <c r="G140" i="38" s="1"/>
  <c r="E141" i="38"/>
  <c r="G141" i="38" s="1"/>
  <c r="E142" i="38"/>
  <c r="G142" i="38" s="1"/>
  <c r="E143" i="38"/>
  <c r="G143" i="38" s="1"/>
  <c r="E144" i="38"/>
  <c r="G144" i="38" s="1"/>
  <c r="E145" i="38"/>
  <c r="G145" i="38" s="1"/>
  <c r="E146" i="38"/>
  <c r="G146" i="38" s="1"/>
  <c r="E147" i="38"/>
  <c r="G147" i="38" s="1"/>
  <c r="E148" i="38"/>
  <c r="G148" i="38" s="1"/>
  <c r="E149" i="38"/>
  <c r="G149" i="38" s="1"/>
  <c r="E150" i="38"/>
  <c r="G150" i="38" s="1"/>
  <c r="E151" i="38"/>
  <c r="G151" i="38" s="1"/>
  <c r="E152" i="38"/>
  <c r="G152" i="38" s="1"/>
  <c r="E153" i="38"/>
  <c r="G153" i="38" s="1"/>
  <c r="E154" i="38"/>
  <c r="G154" i="38" s="1"/>
  <c r="E155" i="38"/>
  <c r="G155" i="38" s="1"/>
  <c r="E156" i="38"/>
  <c r="G156" i="38" s="1"/>
  <c r="E157" i="38"/>
  <c r="G157" i="38" s="1"/>
  <c r="E158" i="38"/>
  <c r="G158" i="38" s="1"/>
  <c r="E159" i="38"/>
  <c r="G159" i="38" s="1"/>
  <c r="E160" i="38"/>
  <c r="G160" i="38" s="1"/>
  <c r="E161" i="38"/>
  <c r="G161" i="38" s="1"/>
  <c r="E162" i="38"/>
  <c r="G162" i="38" s="1"/>
  <c r="E163" i="38"/>
  <c r="G163" i="38" s="1"/>
  <c r="E164" i="38"/>
  <c r="G164" i="38" s="1"/>
  <c r="E165" i="38"/>
  <c r="G165" i="38" s="1"/>
  <c r="E166" i="38"/>
  <c r="G166" i="38" s="1"/>
  <c r="E167" i="38"/>
  <c r="G167" i="38" s="1"/>
  <c r="E168" i="38"/>
  <c r="G168" i="38" s="1"/>
  <c r="E169" i="38"/>
  <c r="G169" i="38" s="1"/>
  <c r="E170" i="38"/>
  <c r="G170" i="38" s="1"/>
  <c r="E171" i="38"/>
  <c r="G171" i="38" s="1"/>
  <c r="E172" i="38"/>
  <c r="G172" i="38" s="1"/>
  <c r="E173" i="38"/>
  <c r="G173" i="38" s="1"/>
  <c r="E174" i="38"/>
  <c r="G174" i="38" s="1"/>
  <c r="E175" i="38"/>
  <c r="G175" i="38" s="1"/>
  <c r="E176" i="38"/>
  <c r="G176" i="38" s="1"/>
  <c r="E177" i="38"/>
  <c r="G177" i="38" s="1"/>
  <c r="E178" i="38"/>
  <c r="G178" i="38" s="1"/>
  <c r="E179" i="38"/>
  <c r="G179" i="38" s="1"/>
  <c r="E180" i="38"/>
  <c r="G180" i="38" s="1"/>
  <c r="E181" i="38"/>
  <c r="G181" i="38" s="1"/>
  <c r="E182" i="38"/>
  <c r="G182" i="38" s="1"/>
  <c r="E183" i="38"/>
  <c r="G183" i="38" s="1"/>
  <c r="E184" i="38"/>
  <c r="G184" i="38" s="1"/>
  <c r="E185" i="38"/>
  <c r="G185" i="38" s="1"/>
  <c r="E186" i="38"/>
  <c r="G186" i="38" s="1"/>
  <c r="E187" i="38"/>
  <c r="G187" i="38" s="1"/>
  <c r="E188" i="38"/>
  <c r="G188" i="38" s="1"/>
  <c r="E189" i="38"/>
  <c r="G189" i="38" s="1"/>
  <c r="E190" i="38"/>
  <c r="G190" i="38" s="1"/>
  <c r="E191" i="38"/>
  <c r="G191" i="38" s="1"/>
  <c r="E192" i="38"/>
  <c r="G192" i="38" s="1"/>
  <c r="E193" i="38"/>
  <c r="G193" i="38" s="1"/>
  <c r="E194" i="38"/>
  <c r="G194" i="38" s="1"/>
  <c r="E195" i="38"/>
  <c r="G195" i="38" s="1"/>
  <c r="E196" i="38"/>
  <c r="G196" i="38" s="1"/>
  <c r="E197" i="38"/>
  <c r="G197" i="38" s="1"/>
  <c r="E198" i="38"/>
  <c r="G198" i="38" s="1"/>
  <c r="E199" i="38"/>
  <c r="G199" i="38" s="1"/>
  <c r="E200" i="38"/>
  <c r="G200" i="38" s="1"/>
  <c r="E201" i="38"/>
  <c r="G201" i="38" s="1"/>
  <c r="E202" i="38"/>
  <c r="G202" i="38" s="1"/>
  <c r="E203" i="38"/>
  <c r="G203" i="38" s="1"/>
  <c r="E204" i="38"/>
  <c r="G204" i="38" s="1"/>
  <c r="E205" i="38"/>
  <c r="G205" i="38" s="1"/>
  <c r="E206" i="38"/>
  <c r="G206" i="38" s="1"/>
  <c r="E207" i="38"/>
  <c r="G207" i="38" s="1"/>
  <c r="E208" i="38"/>
  <c r="G208" i="38" s="1"/>
  <c r="E209" i="38"/>
  <c r="G209" i="38" s="1"/>
  <c r="E210" i="38"/>
  <c r="G210" i="38" s="1"/>
  <c r="E211" i="38"/>
  <c r="G211" i="38" s="1"/>
  <c r="E212" i="38"/>
  <c r="G212" i="38" s="1"/>
  <c r="E213" i="38"/>
  <c r="G213" i="38" s="1"/>
  <c r="E214" i="38"/>
  <c r="G214" i="38" s="1"/>
  <c r="E215" i="38"/>
  <c r="G215" i="38" s="1"/>
  <c r="E216" i="38"/>
  <c r="G216" i="38" s="1"/>
  <c r="E217" i="38"/>
  <c r="G217" i="38" s="1"/>
  <c r="E218" i="38"/>
  <c r="G218" i="38" s="1"/>
  <c r="E219" i="38"/>
  <c r="G219" i="38" s="1"/>
  <c r="E220" i="38"/>
  <c r="G220" i="38" s="1"/>
  <c r="E221" i="38"/>
  <c r="G221" i="38" s="1"/>
  <c r="E222" i="38"/>
  <c r="G222" i="38" s="1"/>
  <c r="E223" i="38"/>
  <c r="G223" i="38" s="1"/>
  <c r="E224" i="38"/>
  <c r="G224" i="38" s="1"/>
  <c r="E225" i="38"/>
  <c r="G225" i="38" s="1"/>
  <c r="E226" i="38"/>
  <c r="G226" i="38" s="1"/>
  <c r="E227" i="38"/>
  <c r="G227" i="38" s="1"/>
  <c r="E228" i="38"/>
  <c r="G228" i="38" s="1"/>
  <c r="E229" i="38"/>
  <c r="G229" i="38" s="1"/>
  <c r="E230" i="38"/>
  <c r="G230" i="38" s="1"/>
  <c r="E231" i="38"/>
  <c r="G231" i="38" s="1"/>
  <c r="E232" i="38"/>
  <c r="G232" i="38" s="1"/>
  <c r="E233" i="38"/>
  <c r="G233" i="38" s="1"/>
  <c r="E234" i="38"/>
  <c r="G234" i="38" s="1"/>
  <c r="E235" i="38"/>
  <c r="G235" i="38" s="1"/>
  <c r="E236" i="38"/>
  <c r="G236" i="38" s="1"/>
  <c r="E237" i="38"/>
  <c r="G237" i="38" s="1"/>
  <c r="E238" i="38"/>
  <c r="G238" i="38" s="1"/>
  <c r="E239" i="38"/>
  <c r="G239" i="38" s="1"/>
  <c r="E240" i="38"/>
  <c r="G240" i="38" s="1"/>
  <c r="E241" i="38"/>
  <c r="G241" i="38" s="1"/>
  <c r="E242" i="38"/>
  <c r="G242" i="38" s="1"/>
  <c r="E243" i="38"/>
  <c r="G243" i="38" s="1"/>
  <c r="E244" i="38"/>
  <c r="G244" i="38" s="1"/>
  <c r="E245" i="38"/>
  <c r="G245" i="38" s="1"/>
  <c r="E246" i="38"/>
  <c r="G246" i="38" s="1"/>
  <c r="E247" i="38"/>
  <c r="G247" i="38" s="1"/>
  <c r="E248" i="38"/>
  <c r="G248" i="38" s="1"/>
  <c r="E249" i="38"/>
  <c r="G249" i="38" s="1"/>
  <c r="E250" i="38"/>
  <c r="G250" i="38" s="1"/>
  <c r="E251" i="38"/>
  <c r="G251" i="38" s="1"/>
  <c r="E252" i="38"/>
  <c r="G252" i="38" s="1"/>
  <c r="E253" i="38"/>
  <c r="G253" i="38" s="1"/>
  <c r="E254" i="38"/>
  <c r="G254" i="38" s="1"/>
  <c r="E255" i="38"/>
  <c r="G255" i="38" s="1"/>
  <c r="E256" i="38"/>
  <c r="G256" i="38" s="1"/>
  <c r="E257" i="38"/>
  <c r="G257" i="38" s="1"/>
  <c r="E258" i="38"/>
  <c r="G258" i="38" s="1"/>
  <c r="E259" i="38"/>
  <c r="G259" i="38" s="1"/>
  <c r="E260" i="38"/>
  <c r="G260" i="38" s="1"/>
  <c r="E261" i="38"/>
  <c r="G261" i="38" s="1"/>
  <c r="E262" i="38"/>
  <c r="G262" i="38" s="1"/>
  <c r="E263" i="38"/>
  <c r="G263" i="38" s="1"/>
  <c r="E264" i="38"/>
  <c r="G264" i="38" s="1"/>
  <c r="E265" i="38"/>
  <c r="G265" i="38" s="1"/>
  <c r="E266" i="38"/>
  <c r="G266" i="38" s="1"/>
  <c r="E267" i="38"/>
  <c r="G267" i="38" s="1"/>
  <c r="E268" i="38"/>
  <c r="G268" i="38" s="1"/>
  <c r="E269" i="38"/>
  <c r="G269" i="38" s="1"/>
  <c r="E270" i="38"/>
  <c r="G270" i="38" s="1"/>
  <c r="E271" i="38"/>
  <c r="G271" i="38" s="1"/>
  <c r="E272" i="38"/>
  <c r="G272" i="38" s="1"/>
  <c r="E273" i="38"/>
  <c r="G273" i="38" s="1"/>
  <c r="E274" i="38"/>
  <c r="G274" i="38" s="1"/>
  <c r="E275" i="38"/>
  <c r="G275" i="38" s="1"/>
  <c r="E276" i="38"/>
  <c r="G276" i="38" s="1"/>
  <c r="E277" i="38"/>
  <c r="G277" i="38" s="1"/>
  <c r="E278" i="38"/>
  <c r="G278" i="38" s="1"/>
  <c r="E279" i="38"/>
  <c r="G279" i="38" s="1"/>
  <c r="E280" i="38"/>
  <c r="G280" i="38" s="1"/>
  <c r="E281" i="38"/>
  <c r="G281" i="38" s="1"/>
  <c r="E282" i="38"/>
  <c r="G282" i="38" s="1"/>
  <c r="E283" i="38"/>
  <c r="G283" i="38" s="1"/>
  <c r="E284" i="38"/>
  <c r="G284" i="38" s="1"/>
  <c r="E285" i="38"/>
  <c r="G285" i="38" s="1"/>
  <c r="E286" i="38"/>
  <c r="G286" i="38" s="1"/>
  <c r="E287" i="38"/>
  <c r="G287" i="38" s="1"/>
  <c r="E288" i="38"/>
  <c r="G288" i="38" s="1"/>
  <c r="E289" i="38"/>
  <c r="G289" i="38" s="1"/>
  <c r="E290" i="38"/>
  <c r="G290" i="38" s="1"/>
  <c r="E291" i="38"/>
  <c r="G291" i="38" s="1"/>
  <c r="E292" i="38"/>
  <c r="G292" i="38" s="1"/>
  <c r="E293" i="38"/>
  <c r="G293" i="38" s="1"/>
  <c r="E294" i="38"/>
  <c r="G294" i="38" s="1"/>
  <c r="E295" i="38"/>
  <c r="G295" i="38" s="1"/>
  <c r="E296" i="38"/>
  <c r="G296" i="38" s="1"/>
  <c r="E297" i="38"/>
  <c r="G297" i="38" s="1"/>
  <c r="E298" i="38"/>
  <c r="G298" i="38" s="1"/>
  <c r="E299" i="38"/>
  <c r="G299" i="38" s="1"/>
  <c r="E300" i="38"/>
  <c r="G300" i="38" s="1"/>
  <c r="E301" i="38"/>
  <c r="G301" i="38" s="1"/>
  <c r="E302" i="38"/>
  <c r="G302" i="38" s="1"/>
  <c r="E303" i="38"/>
  <c r="G303" i="38" s="1"/>
  <c r="E304" i="38"/>
  <c r="G304" i="38" s="1"/>
  <c r="E305" i="38"/>
  <c r="G305" i="38" s="1"/>
  <c r="E306" i="38"/>
  <c r="G306" i="38" s="1"/>
  <c r="E307" i="38"/>
  <c r="G307" i="38" s="1"/>
  <c r="E308" i="38"/>
  <c r="G308" i="38" s="1"/>
  <c r="E309" i="38"/>
  <c r="G309" i="38" s="1"/>
  <c r="E310" i="38"/>
  <c r="G310" i="38" s="1"/>
  <c r="E311" i="38"/>
  <c r="G311" i="38" s="1"/>
  <c r="E312" i="38"/>
  <c r="G312" i="38" s="1"/>
  <c r="E313" i="38"/>
  <c r="G313" i="38" s="1"/>
  <c r="E314" i="38"/>
  <c r="G314" i="38" s="1"/>
  <c r="E315" i="38"/>
  <c r="G315" i="38" s="1"/>
  <c r="E4" i="38"/>
  <c r="G4" i="38" s="1"/>
  <c r="F5" i="38"/>
  <c r="F6" i="38"/>
  <c r="F7" i="38"/>
  <c r="F8" i="38"/>
  <c r="F9" i="38"/>
  <c r="F10" i="38"/>
  <c r="F11" i="38"/>
  <c r="H11" i="38" s="1"/>
  <c r="F12" i="38"/>
  <c r="F13" i="38"/>
  <c r="F14" i="38"/>
  <c r="F15" i="38"/>
  <c r="H15" i="38" s="1"/>
  <c r="F16" i="38"/>
  <c r="F17" i="38"/>
  <c r="F18" i="38"/>
  <c r="F19" i="38"/>
  <c r="F20" i="38"/>
  <c r="F21" i="38"/>
  <c r="F22" i="38"/>
  <c r="F23" i="38"/>
  <c r="F24" i="38"/>
  <c r="F25" i="38"/>
  <c r="F26" i="38"/>
  <c r="F27" i="38"/>
  <c r="F28" i="38"/>
  <c r="F29" i="38"/>
  <c r="F30" i="38"/>
  <c r="F31" i="38"/>
  <c r="F32" i="38"/>
  <c r="F33" i="38"/>
  <c r="F34" i="38"/>
  <c r="F35" i="38"/>
  <c r="F36" i="38"/>
  <c r="F37" i="38"/>
  <c r="F38" i="38"/>
  <c r="F39" i="38"/>
  <c r="F40" i="38"/>
  <c r="F41" i="38"/>
  <c r="F42" i="38"/>
  <c r="F43" i="38"/>
  <c r="F44" i="38"/>
  <c r="F45" i="38"/>
  <c r="F46" i="38"/>
  <c r="F47" i="38"/>
  <c r="F48" i="38"/>
  <c r="F49" i="38"/>
  <c r="F50" i="38"/>
  <c r="F51" i="38"/>
  <c r="F52" i="38"/>
  <c r="F53" i="38"/>
  <c r="F54" i="38"/>
  <c r="F55" i="38"/>
  <c r="F56" i="38"/>
  <c r="F57" i="38"/>
  <c r="F58" i="38"/>
  <c r="F59" i="38"/>
  <c r="F60" i="38"/>
  <c r="F61" i="38"/>
  <c r="F62" i="38"/>
  <c r="F63" i="38"/>
  <c r="F64" i="38"/>
  <c r="F65" i="38"/>
  <c r="F66" i="38"/>
  <c r="F67" i="38"/>
  <c r="F68" i="38"/>
  <c r="F69" i="38"/>
  <c r="F70" i="38"/>
  <c r="F71" i="38"/>
  <c r="F72" i="38"/>
  <c r="F73" i="38"/>
  <c r="F74" i="38"/>
  <c r="F75" i="38"/>
  <c r="F76" i="38"/>
  <c r="F77" i="38"/>
  <c r="F78" i="38"/>
  <c r="F79" i="38"/>
  <c r="F80" i="38"/>
  <c r="F81" i="38"/>
  <c r="F82" i="38"/>
  <c r="F83" i="38"/>
  <c r="F84" i="38"/>
  <c r="F85" i="38"/>
  <c r="F86" i="38"/>
  <c r="F87" i="38"/>
  <c r="F88" i="38"/>
  <c r="F89" i="38"/>
  <c r="F90" i="38"/>
  <c r="F91" i="38"/>
  <c r="F92" i="38"/>
  <c r="F93" i="38"/>
  <c r="F94" i="38"/>
  <c r="F95" i="38"/>
  <c r="F96" i="38"/>
  <c r="F97" i="38"/>
  <c r="F98" i="38"/>
  <c r="F99" i="38"/>
  <c r="F100" i="38"/>
  <c r="F101" i="38"/>
  <c r="F102" i="38"/>
  <c r="F103" i="38"/>
  <c r="F104" i="38"/>
  <c r="F105" i="38"/>
  <c r="F106" i="38"/>
  <c r="F107" i="38"/>
  <c r="F108" i="38"/>
  <c r="F109" i="38"/>
  <c r="F110" i="38"/>
  <c r="F111" i="38"/>
  <c r="F112" i="38"/>
  <c r="F113" i="38"/>
  <c r="F114" i="38"/>
  <c r="F115" i="38"/>
  <c r="F116" i="38"/>
  <c r="F117" i="38"/>
  <c r="F118" i="38"/>
  <c r="F119" i="38"/>
  <c r="F120" i="38"/>
  <c r="F121" i="38"/>
  <c r="F122" i="38"/>
  <c r="F123" i="38"/>
  <c r="F124" i="38"/>
  <c r="F125" i="38"/>
  <c r="H125" i="38" s="1"/>
  <c r="I125" i="38" s="1"/>
  <c r="F126" i="38"/>
  <c r="F127" i="38"/>
  <c r="F128" i="38"/>
  <c r="F129" i="38"/>
  <c r="F130" i="38"/>
  <c r="F131" i="38"/>
  <c r="F132" i="38"/>
  <c r="F133" i="38"/>
  <c r="F134" i="38"/>
  <c r="F135" i="38"/>
  <c r="F136" i="38"/>
  <c r="F137" i="38"/>
  <c r="F138" i="38"/>
  <c r="F139" i="38"/>
  <c r="F140" i="38"/>
  <c r="F141" i="38"/>
  <c r="F142" i="38"/>
  <c r="F143" i="38"/>
  <c r="F144" i="38"/>
  <c r="F145" i="38"/>
  <c r="H145" i="38" s="1"/>
  <c r="I145" i="38" s="1"/>
  <c r="J145" i="38" s="1"/>
  <c r="F146" i="38"/>
  <c r="F147" i="38"/>
  <c r="F148" i="38"/>
  <c r="F149" i="38"/>
  <c r="F150" i="38"/>
  <c r="F151" i="38"/>
  <c r="F152" i="38"/>
  <c r="F153" i="38"/>
  <c r="F154" i="38"/>
  <c r="F155" i="38"/>
  <c r="F156" i="38"/>
  <c r="H156" i="38" s="1"/>
  <c r="I156" i="38" s="1"/>
  <c r="J156" i="38" s="1"/>
  <c r="F157" i="38"/>
  <c r="F158" i="38"/>
  <c r="F159" i="38"/>
  <c r="F160" i="38"/>
  <c r="F161" i="38"/>
  <c r="F162" i="38"/>
  <c r="F163" i="38"/>
  <c r="F164" i="38"/>
  <c r="F165" i="38"/>
  <c r="F166" i="38"/>
  <c r="F167" i="38"/>
  <c r="F168" i="38"/>
  <c r="F169" i="38"/>
  <c r="F170" i="38"/>
  <c r="F171" i="38"/>
  <c r="F172" i="38"/>
  <c r="F173" i="38"/>
  <c r="H173" i="38" s="1"/>
  <c r="I173" i="38" s="1"/>
  <c r="F174" i="38"/>
  <c r="F175" i="38"/>
  <c r="F176" i="38"/>
  <c r="F177" i="38"/>
  <c r="F178" i="38"/>
  <c r="F179" i="38"/>
  <c r="F180" i="38"/>
  <c r="F181" i="38"/>
  <c r="F182" i="38"/>
  <c r="F183" i="38"/>
  <c r="F184" i="38"/>
  <c r="F185" i="38"/>
  <c r="F186" i="38"/>
  <c r="F187" i="38"/>
  <c r="F188" i="38"/>
  <c r="F189" i="38"/>
  <c r="F190" i="38"/>
  <c r="F191" i="38"/>
  <c r="F192" i="38"/>
  <c r="F193" i="38"/>
  <c r="F194" i="38"/>
  <c r="F195" i="38"/>
  <c r="F196" i="38"/>
  <c r="F197" i="38"/>
  <c r="F198" i="38"/>
  <c r="F199" i="38"/>
  <c r="F200" i="38"/>
  <c r="F201" i="38"/>
  <c r="F202" i="38"/>
  <c r="F203" i="38"/>
  <c r="F204" i="38"/>
  <c r="F205" i="38"/>
  <c r="F206" i="38"/>
  <c r="F207" i="38"/>
  <c r="F208" i="38"/>
  <c r="F209" i="38"/>
  <c r="F210" i="38"/>
  <c r="F211" i="38"/>
  <c r="F212" i="38"/>
  <c r="F213" i="38"/>
  <c r="F214" i="38"/>
  <c r="F215" i="38"/>
  <c r="F216" i="38"/>
  <c r="F217" i="38"/>
  <c r="F218" i="38"/>
  <c r="F219" i="38"/>
  <c r="F220" i="38"/>
  <c r="F221" i="38"/>
  <c r="F222" i="38"/>
  <c r="F223" i="38"/>
  <c r="F224" i="38"/>
  <c r="F225" i="38"/>
  <c r="F226" i="38"/>
  <c r="F227" i="38"/>
  <c r="F228" i="38"/>
  <c r="F229" i="38"/>
  <c r="F230" i="38"/>
  <c r="F231" i="38"/>
  <c r="F232" i="38"/>
  <c r="F233" i="38"/>
  <c r="F234" i="38"/>
  <c r="F235" i="38"/>
  <c r="F236" i="38"/>
  <c r="F237" i="38"/>
  <c r="F238" i="38"/>
  <c r="F239" i="38"/>
  <c r="H239" i="38" s="1"/>
  <c r="I239" i="38" s="1"/>
  <c r="F240" i="38"/>
  <c r="F241" i="38"/>
  <c r="F242" i="38"/>
  <c r="F243" i="38"/>
  <c r="F244" i="38"/>
  <c r="F245" i="38"/>
  <c r="F246" i="38"/>
  <c r="F247" i="38"/>
  <c r="F248" i="38"/>
  <c r="F249" i="38"/>
  <c r="F250" i="38"/>
  <c r="F251" i="38"/>
  <c r="F252" i="38"/>
  <c r="F253" i="38"/>
  <c r="F254" i="38"/>
  <c r="F255" i="38"/>
  <c r="F256" i="38"/>
  <c r="H256" i="38" s="1"/>
  <c r="F257" i="38"/>
  <c r="F258" i="38"/>
  <c r="F259" i="38"/>
  <c r="F260" i="38"/>
  <c r="F261" i="38"/>
  <c r="F262" i="38"/>
  <c r="F263" i="38"/>
  <c r="F264" i="38"/>
  <c r="F265" i="38"/>
  <c r="F266" i="38"/>
  <c r="F267" i="38"/>
  <c r="F268" i="38"/>
  <c r="F269" i="38"/>
  <c r="F270" i="38"/>
  <c r="F271" i="38"/>
  <c r="H271" i="38" s="1"/>
  <c r="I271" i="38" s="1"/>
  <c r="J271" i="38" s="1"/>
  <c r="F272" i="38"/>
  <c r="F273" i="38"/>
  <c r="F274" i="38"/>
  <c r="F275" i="38"/>
  <c r="F276" i="38"/>
  <c r="F277" i="38"/>
  <c r="F278" i="38"/>
  <c r="F279" i="38"/>
  <c r="F280" i="38"/>
  <c r="F281" i="38"/>
  <c r="F282" i="38"/>
  <c r="F283" i="38"/>
  <c r="F284" i="38"/>
  <c r="F285" i="38"/>
  <c r="F286" i="38"/>
  <c r="F287" i="38"/>
  <c r="F288" i="38"/>
  <c r="F289" i="38"/>
  <c r="F290" i="38"/>
  <c r="F291" i="38"/>
  <c r="F292" i="38"/>
  <c r="F293" i="38"/>
  <c r="F294" i="38"/>
  <c r="F295" i="38"/>
  <c r="F296" i="38"/>
  <c r="F297" i="38"/>
  <c r="F298" i="38"/>
  <c r="F299" i="38"/>
  <c r="F300" i="38"/>
  <c r="F301" i="38"/>
  <c r="F302" i="38"/>
  <c r="F303" i="38"/>
  <c r="F304" i="38"/>
  <c r="F305" i="38"/>
  <c r="F306" i="38"/>
  <c r="F307" i="38"/>
  <c r="F308" i="38"/>
  <c r="F309" i="38"/>
  <c r="F310" i="38"/>
  <c r="F311" i="38"/>
  <c r="F312" i="38"/>
  <c r="F313" i="38"/>
  <c r="F314" i="38"/>
  <c r="F315" i="38"/>
  <c r="F4" i="38"/>
  <c r="D5" i="38"/>
  <c r="D6" i="38"/>
  <c r="D7" i="38"/>
  <c r="D8" i="38"/>
  <c r="D9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35" i="38"/>
  <c r="D36" i="38"/>
  <c r="D37" i="38"/>
  <c r="D38" i="38"/>
  <c r="D39" i="38"/>
  <c r="D40" i="38"/>
  <c r="D41" i="38"/>
  <c r="D42" i="38"/>
  <c r="D43" i="38"/>
  <c r="D44" i="38"/>
  <c r="D45" i="38"/>
  <c r="D46" i="38"/>
  <c r="D47" i="38"/>
  <c r="D48" i="38"/>
  <c r="D49" i="38"/>
  <c r="D50" i="38"/>
  <c r="D51" i="38"/>
  <c r="D52" i="38"/>
  <c r="D53" i="38"/>
  <c r="D54" i="38"/>
  <c r="D55" i="38"/>
  <c r="D56" i="38"/>
  <c r="D57" i="38"/>
  <c r="D58" i="38"/>
  <c r="D59" i="38"/>
  <c r="D60" i="38"/>
  <c r="D61" i="38"/>
  <c r="D62" i="38"/>
  <c r="D63" i="38"/>
  <c r="D64" i="38"/>
  <c r="D65" i="38"/>
  <c r="D66" i="38"/>
  <c r="D67" i="38"/>
  <c r="D68" i="38"/>
  <c r="D69" i="38"/>
  <c r="D70" i="38"/>
  <c r="D71" i="38"/>
  <c r="D72" i="38"/>
  <c r="D73" i="38"/>
  <c r="D74" i="38"/>
  <c r="D75" i="38"/>
  <c r="D76" i="38"/>
  <c r="D77" i="38"/>
  <c r="D78" i="38"/>
  <c r="D79" i="38"/>
  <c r="D80" i="38"/>
  <c r="D81" i="38"/>
  <c r="D82" i="38"/>
  <c r="D83" i="38"/>
  <c r="D84" i="38"/>
  <c r="D85" i="38"/>
  <c r="D86" i="38"/>
  <c r="D87" i="38"/>
  <c r="D88" i="38"/>
  <c r="D89" i="38"/>
  <c r="D90" i="38"/>
  <c r="D91" i="38"/>
  <c r="D92" i="38"/>
  <c r="D93" i="38"/>
  <c r="D94" i="38"/>
  <c r="D95" i="38"/>
  <c r="D96" i="38"/>
  <c r="D97" i="38"/>
  <c r="D98" i="38"/>
  <c r="D99" i="38"/>
  <c r="D100" i="38"/>
  <c r="D101" i="38"/>
  <c r="D102" i="38"/>
  <c r="D103" i="38"/>
  <c r="D104" i="38"/>
  <c r="D105" i="38"/>
  <c r="D106" i="38"/>
  <c r="D107" i="38"/>
  <c r="D108" i="38"/>
  <c r="D109" i="38"/>
  <c r="D110" i="38"/>
  <c r="D111" i="38"/>
  <c r="D112" i="38"/>
  <c r="D113" i="38"/>
  <c r="D114" i="38"/>
  <c r="D115" i="38"/>
  <c r="D116" i="38"/>
  <c r="D117" i="38"/>
  <c r="D118" i="38"/>
  <c r="D119" i="38"/>
  <c r="D120" i="38"/>
  <c r="D121" i="38"/>
  <c r="D122" i="38"/>
  <c r="D123" i="38"/>
  <c r="D124" i="38"/>
  <c r="D125" i="38"/>
  <c r="D126" i="38"/>
  <c r="D127" i="38"/>
  <c r="D128" i="38"/>
  <c r="D129" i="38"/>
  <c r="D130" i="38"/>
  <c r="D131" i="38"/>
  <c r="D132" i="38"/>
  <c r="D133" i="38"/>
  <c r="D134" i="38"/>
  <c r="D135" i="38"/>
  <c r="D136" i="38"/>
  <c r="D137" i="38"/>
  <c r="D138" i="38"/>
  <c r="D139" i="38"/>
  <c r="D140" i="38"/>
  <c r="D141" i="38"/>
  <c r="D142" i="38"/>
  <c r="D143" i="38"/>
  <c r="D144" i="38"/>
  <c r="D145" i="38"/>
  <c r="D146" i="38"/>
  <c r="D147" i="38"/>
  <c r="D148" i="38"/>
  <c r="D149" i="38"/>
  <c r="D150" i="38"/>
  <c r="D151" i="38"/>
  <c r="D152" i="38"/>
  <c r="D153" i="38"/>
  <c r="D154" i="38"/>
  <c r="D155" i="38"/>
  <c r="D156" i="38"/>
  <c r="D157" i="38"/>
  <c r="D158" i="38"/>
  <c r="D159" i="38"/>
  <c r="D160" i="38"/>
  <c r="D161" i="38"/>
  <c r="D162" i="38"/>
  <c r="D163" i="38"/>
  <c r="D164" i="38"/>
  <c r="D165" i="38"/>
  <c r="D166" i="38"/>
  <c r="D167" i="38"/>
  <c r="D168" i="38"/>
  <c r="D169" i="38"/>
  <c r="D170" i="38"/>
  <c r="D171" i="38"/>
  <c r="D172" i="38"/>
  <c r="D173" i="38"/>
  <c r="D174" i="38"/>
  <c r="D175" i="38"/>
  <c r="D176" i="38"/>
  <c r="D177" i="38"/>
  <c r="D178" i="38"/>
  <c r="D179" i="38"/>
  <c r="D180" i="38"/>
  <c r="D181" i="38"/>
  <c r="D182" i="38"/>
  <c r="D183" i="38"/>
  <c r="D184" i="38"/>
  <c r="D185" i="38"/>
  <c r="D186" i="38"/>
  <c r="D187" i="38"/>
  <c r="D188" i="38"/>
  <c r="D189" i="38"/>
  <c r="D190" i="38"/>
  <c r="D191" i="38"/>
  <c r="D192" i="38"/>
  <c r="D193" i="38"/>
  <c r="D194" i="38"/>
  <c r="D195" i="38"/>
  <c r="D196" i="38"/>
  <c r="D197" i="38"/>
  <c r="D198" i="38"/>
  <c r="D199" i="38"/>
  <c r="D200" i="38"/>
  <c r="D201" i="38"/>
  <c r="D202" i="38"/>
  <c r="D203" i="38"/>
  <c r="D204" i="38"/>
  <c r="D205" i="38"/>
  <c r="D206" i="38"/>
  <c r="D207" i="38"/>
  <c r="D208" i="38"/>
  <c r="D209" i="38"/>
  <c r="D210" i="38"/>
  <c r="D211" i="38"/>
  <c r="D212" i="38"/>
  <c r="D213" i="38"/>
  <c r="D214" i="38"/>
  <c r="D215" i="38"/>
  <c r="D216" i="38"/>
  <c r="D217" i="38"/>
  <c r="D218" i="38"/>
  <c r="D219" i="38"/>
  <c r="D220" i="38"/>
  <c r="D221" i="38"/>
  <c r="D222" i="38"/>
  <c r="D223" i="38"/>
  <c r="D224" i="38"/>
  <c r="D225" i="38"/>
  <c r="D226" i="38"/>
  <c r="D227" i="38"/>
  <c r="D228" i="38"/>
  <c r="D229" i="38"/>
  <c r="D230" i="38"/>
  <c r="D231" i="38"/>
  <c r="D232" i="38"/>
  <c r="D233" i="38"/>
  <c r="D234" i="38"/>
  <c r="D235" i="38"/>
  <c r="D236" i="38"/>
  <c r="D237" i="38"/>
  <c r="D238" i="38"/>
  <c r="D239" i="38"/>
  <c r="D240" i="38"/>
  <c r="D241" i="38"/>
  <c r="D242" i="38"/>
  <c r="D243" i="38"/>
  <c r="D244" i="38"/>
  <c r="D245" i="38"/>
  <c r="D246" i="38"/>
  <c r="D247" i="38"/>
  <c r="D248" i="38"/>
  <c r="D249" i="38"/>
  <c r="D250" i="38"/>
  <c r="D251" i="38"/>
  <c r="D252" i="38"/>
  <c r="D253" i="38"/>
  <c r="D254" i="38"/>
  <c r="D255" i="38"/>
  <c r="D256" i="38"/>
  <c r="D257" i="38"/>
  <c r="D258" i="38"/>
  <c r="D259" i="38"/>
  <c r="D260" i="38"/>
  <c r="D261" i="38"/>
  <c r="D262" i="38"/>
  <c r="D263" i="38"/>
  <c r="D264" i="38"/>
  <c r="D265" i="38"/>
  <c r="D266" i="38"/>
  <c r="D267" i="38"/>
  <c r="D268" i="38"/>
  <c r="D269" i="38"/>
  <c r="D270" i="38"/>
  <c r="D271" i="38"/>
  <c r="D272" i="38"/>
  <c r="D273" i="38"/>
  <c r="D274" i="38"/>
  <c r="D275" i="38"/>
  <c r="D276" i="38"/>
  <c r="D277" i="38"/>
  <c r="D278" i="38"/>
  <c r="D279" i="38"/>
  <c r="D280" i="38"/>
  <c r="D281" i="38"/>
  <c r="D282" i="38"/>
  <c r="D283" i="38"/>
  <c r="D284" i="38"/>
  <c r="D285" i="38"/>
  <c r="D286" i="38"/>
  <c r="D287" i="38"/>
  <c r="D288" i="38"/>
  <c r="D289" i="38"/>
  <c r="D290" i="38"/>
  <c r="D291" i="38"/>
  <c r="D292" i="38"/>
  <c r="D293" i="38"/>
  <c r="D294" i="38"/>
  <c r="D295" i="38"/>
  <c r="D296" i="38"/>
  <c r="D297" i="38"/>
  <c r="D298" i="38"/>
  <c r="D299" i="38"/>
  <c r="D300" i="38"/>
  <c r="D301" i="38"/>
  <c r="D302" i="38"/>
  <c r="D303" i="38"/>
  <c r="D304" i="38"/>
  <c r="D305" i="38"/>
  <c r="D306" i="38"/>
  <c r="D307" i="38"/>
  <c r="D308" i="38"/>
  <c r="D309" i="38"/>
  <c r="D310" i="38"/>
  <c r="D311" i="38"/>
  <c r="D312" i="38"/>
  <c r="D313" i="38"/>
  <c r="D314" i="38"/>
  <c r="D315" i="38"/>
  <c r="D4" i="38"/>
  <c r="H15" i="37"/>
  <c r="H58" i="37"/>
  <c r="H156" i="37"/>
  <c r="H175" i="37"/>
  <c r="H196" i="37"/>
  <c r="H239" i="37"/>
  <c r="H243" i="37"/>
  <c r="H256" i="37"/>
  <c r="H258" i="37"/>
  <c r="H301" i="37"/>
  <c r="E5" i="37"/>
  <c r="G5" i="37" s="1"/>
  <c r="E6" i="37"/>
  <c r="G6" i="37" s="1"/>
  <c r="E7" i="37"/>
  <c r="G7" i="37" s="1"/>
  <c r="E8" i="37"/>
  <c r="G8" i="37" s="1"/>
  <c r="E9" i="37"/>
  <c r="G9" i="37" s="1"/>
  <c r="E10" i="37"/>
  <c r="G10" i="37" s="1"/>
  <c r="E11" i="37"/>
  <c r="G11" i="37" s="1"/>
  <c r="E12" i="37"/>
  <c r="G12" i="37" s="1"/>
  <c r="E13" i="37"/>
  <c r="G13" i="37" s="1"/>
  <c r="E14" i="37"/>
  <c r="G14" i="37" s="1"/>
  <c r="E15" i="37"/>
  <c r="G15" i="37" s="1"/>
  <c r="E16" i="37"/>
  <c r="G16" i="37" s="1"/>
  <c r="E17" i="37"/>
  <c r="G17" i="37" s="1"/>
  <c r="E18" i="37"/>
  <c r="G18" i="37" s="1"/>
  <c r="E19" i="37"/>
  <c r="G19" i="37" s="1"/>
  <c r="E20" i="37"/>
  <c r="G20" i="37" s="1"/>
  <c r="E21" i="37"/>
  <c r="G21" i="37" s="1"/>
  <c r="E22" i="37"/>
  <c r="G22" i="37" s="1"/>
  <c r="E23" i="37"/>
  <c r="G23" i="37" s="1"/>
  <c r="E24" i="37"/>
  <c r="G24" i="37" s="1"/>
  <c r="E25" i="37"/>
  <c r="G25" i="37" s="1"/>
  <c r="E26" i="37"/>
  <c r="G26" i="37" s="1"/>
  <c r="E27" i="37"/>
  <c r="G27" i="37" s="1"/>
  <c r="E28" i="37"/>
  <c r="G28" i="37" s="1"/>
  <c r="E29" i="37"/>
  <c r="G29" i="37" s="1"/>
  <c r="E30" i="37"/>
  <c r="G30" i="37" s="1"/>
  <c r="E31" i="37"/>
  <c r="G31" i="37" s="1"/>
  <c r="E32" i="37"/>
  <c r="G32" i="37" s="1"/>
  <c r="E33" i="37"/>
  <c r="G33" i="37" s="1"/>
  <c r="E34" i="37"/>
  <c r="G34" i="37" s="1"/>
  <c r="E35" i="37"/>
  <c r="G35" i="37" s="1"/>
  <c r="E36" i="37"/>
  <c r="G36" i="37" s="1"/>
  <c r="E37" i="37"/>
  <c r="G37" i="37" s="1"/>
  <c r="E38" i="37"/>
  <c r="G38" i="37" s="1"/>
  <c r="E39" i="37"/>
  <c r="G39" i="37" s="1"/>
  <c r="E40" i="37"/>
  <c r="G40" i="37" s="1"/>
  <c r="E41" i="37"/>
  <c r="G41" i="37" s="1"/>
  <c r="E42" i="37"/>
  <c r="G42" i="37" s="1"/>
  <c r="E43" i="37"/>
  <c r="G43" i="37" s="1"/>
  <c r="E44" i="37"/>
  <c r="G44" i="37" s="1"/>
  <c r="E45" i="37"/>
  <c r="G45" i="37" s="1"/>
  <c r="E46" i="37"/>
  <c r="G46" i="37" s="1"/>
  <c r="E47" i="37"/>
  <c r="G47" i="37" s="1"/>
  <c r="E48" i="37"/>
  <c r="G48" i="37" s="1"/>
  <c r="E49" i="37"/>
  <c r="G49" i="37" s="1"/>
  <c r="E50" i="37"/>
  <c r="G50" i="37" s="1"/>
  <c r="E51" i="37"/>
  <c r="G51" i="37" s="1"/>
  <c r="E52" i="37"/>
  <c r="G52" i="37" s="1"/>
  <c r="E53" i="37"/>
  <c r="G53" i="37" s="1"/>
  <c r="E54" i="37"/>
  <c r="G54" i="37" s="1"/>
  <c r="E55" i="37"/>
  <c r="G55" i="37" s="1"/>
  <c r="E56" i="37"/>
  <c r="G56" i="37" s="1"/>
  <c r="E57" i="37"/>
  <c r="G57" i="37" s="1"/>
  <c r="E58" i="37"/>
  <c r="G58" i="37" s="1"/>
  <c r="E59" i="37"/>
  <c r="G59" i="37" s="1"/>
  <c r="E60" i="37"/>
  <c r="G60" i="37" s="1"/>
  <c r="E61" i="37"/>
  <c r="G61" i="37" s="1"/>
  <c r="E62" i="37"/>
  <c r="G62" i="37" s="1"/>
  <c r="E63" i="37"/>
  <c r="G63" i="37" s="1"/>
  <c r="E64" i="37"/>
  <c r="G64" i="37" s="1"/>
  <c r="E65" i="37"/>
  <c r="G65" i="37" s="1"/>
  <c r="E66" i="37"/>
  <c r="G66" i="37" s="1"/>
  <c r="E67" i="37"/>
  <c r="G67" i="37" s="1"/>
  <c r="E68" i="37"/>
  <c r="G68" i="37" s="1"/>
  <c r="E69" i="37"/>
  <c r="G69" i="37" s="1"/>
  <c r="E70" i="37"/>
  <c r="G70" i="37" s="1"/>
  <c r="E71" i="37"/>
  <c r="G71" i="37" s="1"/>
  <c r="E72" i="37"/>
  <c r="G72" i="37" s="1"/>
  <c r="E73" i="37"/>
  <c r="G73" i="37" s="1"/>
  <c r="E74" i="37"/>
  <c r="G74" i="37" s="1"/>
  <c r="E75" i="37"/>
  <c r="G75" i="37" s="1"/>
  <c r="E76" i="37"/>
  <c r="G76" i="37" s="1"/>
  <c r="E77" i="37"/>
  <c r="G77" i="37" s="1"/>
  <c r="E78" i="37"/>
  <c r="G78" i="37" s="1"/>
  <c r="E79" i="37"/>
  <c r="G79" i="37" s="1"/>
  <c r="E80" i="37"/>
  <c r="G80" i="37" s="1"/>
  <c r="E81" i="37"/>
  <c r="G81" i="37" s="1"/>
  <c r="E82" i="37"/>
  <c r="G82" i="37" s="1"/>
  <c r="E83" i="37"/>
  <c r="G83" i="37" s="1"/>
  <c r="E84" i="37"/>
  <c r="G84" i="37" s="1"/>
  <c r="E85" i="37"/>
  <c r="G85" i="37" s="1"/>
  <c r="E86" i="37"/>
  <c r="G86" i="37" s="1"/>
  <c r="E87" i="37"/>
  <c r="G87" i="37" s="1"/>
  <c r="E88" i="37"/>
  <c r="G88" i="37" s="1"/>
  <c r="E89" i="37"/>
  <c r="G89" i="37" s="1"/>
  <c r="E90" i="37"/>
  <c r="G90" i="37" s="1"/>
  <c r="E91" i="37"/>
  <c r="G91" i="37" s="1"/>
  <c r="E92" i="37"/>
  <c r="G92" i="37" s="1"/>
  <c r="E93" i="37"/>
  <c r="G93" i="37" s="1"/>
  <c r="E94" i="37"/>
  <c r="G94" i="37" s="1"/>
  <c r="E95" i="37"/>
  <c r="G95" i="37" s="1"/>
  <c r="E96" i="37"/>
  <c r="G96" i="37" s="1"/>
  <c r="E97" i="37"/>
  <c r="G97" i="37" s="1"/>
  <c r="E98" i="37"/>
  <c r="G98" i="37" s="1"/>
  <c r="E99" i="37"/>
  <c r="G99" i="37" s="1"/>
  <c r="E100" i="37"/>
  <c r="G100" i="37" s="1"/>
  <c r="E101" i="37"/>
  <c r="G101" i="37" s="1"/>
  <c r="E102" i="37"/>
  <c r="G102" i="37" s="1"/>
  <c r="E103" i="37"/>
  <c r="G103" i="37" s="1"/>
  <c r="E104" i="37"/>
  <c r="G104" i="37" s="1"/>
  <c r="E105" i="37"/>
  <c r="G105" i="37" s="1"/>
  <c r="E106" i="37"/>
  <c r="G106" i="37" s="1"/>
  <c r="E107" i="37"/>
  <c r="G107" i="37" s="1"/>
  <c r="E108" i="37"/>
  <c r="G108" i="37" s="1"/>
  <c r="E109" i="37"/>
  <c r="G109" i="37" s="1"/>
  <c r="E110" i="37"/>
  <c r="G110" i="37" s="1"/>
  <c r="E111" i="37"/>
  <c r="G111" i="37" s="1"/>
  <c r="E112" i="37"/>
  <c r="G112" i="37" s="1"/>
  <c r="E113" i="37"/>
  <c r="G113" i="37" s="1"/>
  <c r="E114" i="37"/>
  <c r="G114" i="37" s="1"/>
  <c r="E115" i="37"/>
  <c r="G115" i="37" s="1"/>
  <c r="E116" i="37"/>
  <c r="G116" i="37" s="1"/>
  <c r="E117" i="37"/>
  <c r="G117" i="37" s="1"/>
  <c r="E118" i="37"/>
  <c r="G118" i="37" s="1"/>
  <c r="E119" i="37"/>
  <c r="G119" i="37" s="1"/>
  <c r="E120" i="37"/>
  <c r="G120" i="37" s="1"/>
  <c r="E121" i="37"/>
  <c r="G121" i="37" s="1"/>
  <c r="E122" i="37"/>
  <c r="G122" i="37" s="1"/>
  <c r="E123" i="37"/>
  <c r="G123" i="37" s="1"/>
  <c r="E124" i="37"/>
  <c r="G124" i="37" s="1"/>
  <c r="E125" i="37"/>
  <c r="G125" i="37" s="1"/>
  <c r="E126" i="37"/>
  <c r="G126" i="37" s="1"/>
  <c r="E127" i="37"/>
  <c r="G127" i="37" s="1"/>
  <c r="H127" i="37" s="1"/>
  <c r="E128" i="37"/>
  <c r="G128" i="37" s="1"/>
  <c r="E129" i="37"/>
  <c r="G129" i="37" s="1"/>
  <c r="E130" i="37"/>
  <c r="G130" i="37" s="1"/>
  <c r="E131" i="37"/>
  <c r="G131" i="37" s="1"/>
  <c r="E132" i="37"/>
  <c r="G132" i="37" s="1"/>
  <c r="E133" i="37"/>
  <c r="G133" i="37" s="1"/>
  <c r="E134" i="37"/>
  <c r="G134" i="37" s="1"/>
  <c r="E135" i="37"/>
  <c r="G135" i="37" s="1"/>
  <c r="E136" i="37"/>
  <c r="G136" i="37" s="1"/>
  <c r="E137" i="37"/>
  <c r="G137" i="37" s="1"/>
  <c r="E138" i="37"/>
  <c r="G138" i="37" s="1"/>
  <c r="E139" i="37"/>
  <c r="G139" i="37" s="1"/>
  <c r="E140" i="37"/>
  <c r="G140" i="37" s="1"/>
  <c r="E141" i="37"/>
  <c r="G141" i="37" s="1"/>
  <c r="E142" i="37"/>
  <c r="G142" i="37" s="1"/>
  <c r="E143" i="37"/>
  <c r="G143" i="37" s="1"/>
  <c r="E144" i="37"/>
  <c r="G144" i="37" s="1"/>
  <c r="E145" i="37"/>
  <c r="G145" i="37" s="1"/>
  <c r="E146" i="37"/>
  <c r="G146" i="37" s="1"/>
  <c r="E147" i="37"/>
  <c r="G147" i="37" s="1"/>
  <c r="E148" i="37"/>
  <c r="G148" i="37" s="1"/>
  <c r="E149" i="37"/>
  <c r="G149" i="37" s="1"/>
  <c r="E150" i="37"/>
  <c r="G150" i="37" s="1"/>
  <c r="E151" i="37"/>
  <c r="G151" i="37" s="1"/>
  <c r="E152" i="37"/>
  <c r="G152" i="37" s="1"/>
  <c r="E153" i="37"/>
  <c r="G153" i="37" s="1"/>
  <c r="E154" i="37"/>
  <c r="G154" i="37" s="1"/>
  <c r="E155" i="37"/>
  <c r="G155" i="37" s="1"/>
  <c r="E156" i="37"/>
  <c r="G156" i="37" s="1"/>
  <c r="E157" i="37"/>
  <c r="G157" i="37" s="1"/>
  <c r="E158" i="37"/>
  <c r="G158" i="37" s="1"/>
  <c r="E159" i="37"/>
  <c r="G159" i="37" s="1"/>
  <c r="E160" i="37"/>
  <c r="G160" i="37" s="1"/>
  <c r="E161" i="37"/>
  <c r="G161" i="37" s="1"/>
  <c r="E162" i="37"/>
  <c r="G162" i="37" s="1"/>
  <c r="E163" i="37"/>
  <c r="G163" i="37" s="1"/>
  <c r="E164" i="37"/>
  <c r="G164" i="37" s="1"/>
  <c r="E165" i="37"/>
  <c r="G165" i="37" s="1"/>
  <c r="E166" i="37"/>
  <c r="G166" i="37" s="1"/>
  <c r="E167" i="37"/>
  <c r="G167" i="37" s="1"/>
  <c r="E168" i="37"/>
  <c r="G168" i="37" s="1"/>
  <c r="E169" i="37"/>
  <c r="G169" i="37" s="1"/>
  <c r="E170" i="37"/>
  <c r="G170" i="37" s="1"/>
  <c r="E171" i="37"/>
  <c r="G171" i="37" s="1"/>
  <c r="E172" i="37"/>
  <c r="G172" i="37" s="1"/>
  <c r="E173" i="37"/>
  <c r="G173" i="37" s="1"/>
  <c r="E174" i="37"/>
  <c r="G174" i="37" s="1"/>
  <c r="E175" i="37"/>
  <c r="G175" i="37" s="1"/>
  <c r="E176" i="37"/>
  <c r="G176" i="37" s="1"/>
  <c r="E177" i="37"/>
  <c r="G177" i="37" s="1"/>
  <c r="E178" i="37"/>
  <c r="G178" i="37" s="1"/>
  <c r="E179" i="37"/>
  <c r="G179" i="37" s="1"/>
  <c r="E180" i="37"/>
  <c r="G180" i="37" s="1"/>
  <c r="E181" i="37"/>
  <c r="G181" i="37" s="1"/>
  <c r="E182" i="37"/>
  <c r="G182" i="37" s="1"/>
  <c r="E183" i="37"/>
  <c r="G183" i="37" s="1"/>
  <c r="E184" i="37"/>
  <c r="G184" i="37" s="1"/>
  <c r="E185" i="37"/>
  <c r="G185" i="37" s="1"/>
  <c r="E186" i="37"/>
  <c r="G186" i="37" s="1"/>
  <c r="E187" i="37"/>
  <c r="G187" i="37" s="1"/>
  <c r="E188" i="37"/>
  <c r="G188" i="37" s="1"/>
  <c r="E189" i="37"/>
  <c r="G189" i="37" s="1"/>
  <c r="E190" i="37"/>
  <c r="G190" i="37" s="1"/>
  <c r="E191" i="37"/>
  <c r="G191" i="37" s="1"/>
  <c r="E192" i="37"/>
  <c r="G192" i="37" s="1"/>
  <c r="E193" i="37"/>
  <c r="G193" i="37" s="1"/>
  <c r="E194" i="37"/>
  <c r="G194" i="37" s="1"/>
  <c r="E195" i="37"/>
  <c r="G195" i="37" s="1"/>
  <c r="E196" i="37"/>
  <c r="G196" i="37" s="1"/>
  <c r="E197" i="37"/>
  <c r="G197" i="37" s="1"/>
  <c r="E198" i="37"/>
  <c r="G198" i="37" s="1"/>
  <c r="E199" i="37"/>
  <c r="G199" i="37" s="1"/>
  <c r="E200" i="37"/>
  <c r="G200" i="37" s="1"/>
  <c r="E201" i="37"/>
  <c r="G201" i="37" s="1"/>
  <c r="E202" i="37"/>
  <c r="G202" i="37" s="1"/>
  <c r="E203" i="37"/>
  <c r="G203" i="37" s="1"/>
  <c r="E204" i="37"/>
  <c r="G204" i="37" s="1"/>
  <c r="E205" i="37"/>
  <c r="G205" i="37" s="1"/>
  <c r="E206" i="37"/>
  <c r="G206" i="37" s="1"/>
  <c r="E207" i="37"/>
  <c r="G207" i="37" s="1"/>
  <c r="E208" i="37"/>
  <c r="G208" i="37" s="1"/>
  <c r="E209" i="37"/>
  <c r="G209" i="37" s="1"/>
  <c r="E210" i="37"/>
  <c r="G210" i="37" s="1"/>
  <c r="E211" i="37"/>
  <c r="G211" i="37" s="1"/>
  <c r="E212" i="37"/>
  <c r="G212" i="37" s="1"/>
  <c r="E213" i="37"/>
  <c r="G213" i="37" s="1"/>
  <c r="E214" i="37"/>
  <c r="G214" i="37" s="1"/>
  <c r="E215" i="37"/>
  <c r="G215" i="37" s="1"/>
  <c r="E216" i="37"/>
  <c r="G216" i="37" s="1"/>
  <c r="E217" i="37"/>
  <c r="G217" i="37" s="1"/>
  <c r="E218" i="37"/>
  <c r="G218" i="37" s="1"/>
  <c r="E219" i="37"/>
  <c r="G219" i="37" s="1"/>
  <c r="E220" i="37"/>
  <c r="G220" i="37" s="1"/>
  <c r="E221" i="37"/>
  <c r="G221" i="37" s="1"/>
  <c r="E222" i="37"/>
  <c r="G222" i="37" s="1"/>
  <c r="E223" i="37"/>
  <c r="G223" i="37" s="1"/>
  <c r="E224" i="37"/>
  <c r="G224" i="37" s="1"/>
  <c r="E225" i="37"/>
  <c r="G225" i="37" s="1"/>
  <c r="E226" i="37"/>
  <c r="G226" i="37" s="1"/>
  <c r="E227" i="37"/>
  <c r="G227" i="37" s="1"/>
  <c r="E228" i="37"/>
  <c r="G228" i="37" s="1"/>
  <c r="E229" i="37"/>
  <c r="G229" i="37" s="1"/>
  <c r="E230" i="37"/>
  <c r="G230" i="37" s="1"/>
  <c r="E231" i="37"/>
  <c r="G231" i="37" s="1"/>
  <c r="E232" i="37"/>
  <c r="G232" i="37" s="1"/>
  <c r="E233" i="37"/>
  <c r="G233" i="37" s="1"/>
  <c r="E234" i="37"/>
  <c r="G234" i="37" s="1"/>
  <c r="E235" i="37"/>
  <c r="G235" i="37" s="1"/>
  <c r="E236" i="37"/>
  <c r="G236" i="37" s="1"/>
  <c r="E237" i="37"/>
  <c r="G237" i="37" s="1"/>
  <c r="E238" i="37"/>
  <c r="G238" i="37" s="1"/>
  <c r="E239" i="37"/>
  <c r="G239" i="37" s="1"/>
  <c r="E240" i="37"/>
  <c r="G240" i="37" s="1"/>
  <c r="E241" i="37"/>
  <c r="G241" i="37" s="1"/>
  <c r="E242" i="37"/>
  <c r="G242" i="37" s="1"/>
  <c r="E243" i="37"/>
  <c r="G243" i="37" s="1"/>
  <c r="E244" i="37"/>
  <c r="G244" i="37" s="1"/>
  <c r="E245" i="37"/>
  <c r="G245" i="37" s="1"/>
  <c r="E246" i="37"/>
  <c r="G246" i="37" s="1"/>
  <c r="E247" i="37"/>
  <c r="G247" i="37" s="1"/>
  <c r="E248" i="37"/>
  <c r="G248" i="37" s="1"/>
  <c r="E249" i="37"/>
  <c r="G249" i="37" s="1"/>
  <c r="E250" i="37"/>
  <c r="G250" i="37" s="1"/>
  <c r="E251" i="37"/>
  <c r="G251" i="37" s="1"/>
  <c r="E252" i="37"/>
  <c r="G252" i="37" s="1"/>
  <c r="E253" i="37"/>
  <c r="G253" i="37" s="1"/>
  <c r="E254" i="37"/>
  <c r="G254" i="37" s="1"/>
  <c r="E255" i="37"/>
  <c r="G255" i="37" s="1"/>
  <c r="E256" i="37"/>
  <c r="G256" i="37" s="1"/>
  <c r="E257" i="37"/>
  <c r="G257" i="37" s="1"/>
  <c r="E258" i="37"/>
  <c r="G258" i="37" s="1"/>
  <c r="E259" i="37"/>
  <c r="G259" i="37" s="1"/>
  <c r="E260" i="37"/>
  <c r="G260" i="37" s="1"/>
  <c r="E261" i="37"/>
  <c r="G261" i="37" s="1"/>
  <c r="E262" i="37"/>
  <c r="G262" i="37" s="1"/>
  <c r="E263" i="37"/>
  <c r="G263" i="37" s="1"/>
  <c r="E264" i="37"/>
  <c r="G264" i="37" s="1"/>
  <c r="E265" i="37"/>
  <c r="G265" i="37" s="1"/>
  <c r="E266" i="37"/>
  <c r="G266" i="37" s="1"/>
  <c r="E267" i="37"/>
  <c r="G267" i="37" s="1"/>
  <c r="E268" i="37"/>
  <c r="G268" i="37" s="1"/>
  <c r="E269" i="37"/>
  <c r="G269" i="37" s="1"/>
  <c r="E270" i="37"/>
  <c r="G270" i="37" s="1"/>
  <c r="E271" i="37"/>
  <c r="G271" i="37" s="1"/>
  <c r="E272" i="37"/>
  <c r="G272" i="37" s="1"/>
  <c r="E273" i="37"/>
  <c r="G273" i="37" s="1"/>
  <c r="E274" i="37"/>
  <c r="G274" i="37" s="1"/>
  <c r="E275" i="37"/>
  <c r="G275" i="37" s="1"/>
  <c r="E276" i="37"/>
  <c r="G276" i="37" s="1"/>
  <c r="E277" i="37"/>
  <c r="G277" i="37" s="1"/>
  <c r="E278" i="37"/>
  <c r="G278" i="37" s="1"/>
  <c r="E279" i="37"/>
  <c r="G279" i="37" s="1"/>
  <c r="E280" i="37"/>
  <c r="G280" i="37" s="1"/>
  <c r="E281" i="37"/>
  <c r="G281" i="37" s="1"/>
  <c r="E282" i="37"/>
  <c r="G282" i="37" s="1"/>
  <c r="E283" i="37"/>
  <c r="G283" i="37" s="1"/>
  <c r="E284" i="37"/>
  <c r="G284" i="37" s="1"/>
  <c r="E285" i="37"/>
  <c r="G285" i="37" s="1"/>
  <c r="E286" i="37"/>
  <c r="G286" i="37" s="1"/>
  <c r="E287" i="37"/>
  <c r="G287" i="37" s="1"/>
  <c r="E288" i="37"/>
  <c r="G288" i="37" s="1"/>
  <c r="E289" i="37"/>
  <c r="G289" i="37" s="1"/>
  <c r="E290" i="37"/>
  <c r="G290" i="37" s="1"/>
  <c r="E291" i="37"/>
  <c r="G291" i="37" s="1"/>
  <c r="E292" i="37"/>
  <c r="G292" i="37" s="1"/>
  <c r="E293" i="37"/>
  <c r="G293" i="37" s="1"/>
  <c r="E294" i="37"/>
  <c r="G294" i="37" s="1"/>
  <c r="E295" i="37"/>
  <c r="G295" i="37" s="1"/>
  <c r="E296" i="37"/>
  <c r="G296" i="37" s="1"/>
  <c r="E297" i="37"/>
  <c r="G297" i="37" s="1"/>
  <c r="E298" i="37"/>
  <c r="G298" i="37" s="1"/>
  <c r="E299" i="37"/>
  <c r="G299" i="37" s="1"/>
  <c r="E300" i="37"/>
  <c r="G300" i="37" s="1"/>
  <c r="E301" i="37"/>
  <c r="G301" i="37" s="1"/>
  <c r="E302" i="37"/>
  <c r="G302" i="37" s="1"/>
  <c r="E303" i="37"/>
  <c r="G303" i="37" s="1"/>
  <c r="E304" i="37"/>
  <c r="G304" i="37" s="1"/>
  <c r="E305" i="37"/>
  <c r="G305" i="37" s="1"/>
  <c r="E306" i="37"/>
  <c r="G306" i="37" s="1"/>
  <c r="E307" i="37"/>
  <c r="G307" i="37" s="1"/>
  <c r="E308" i="37"/>
  <c r="G308" i="37" s="1"/>
  <c r="E309" i="37"/>
  <c r="G309" i="37" s="1"/>
  <c r="E310" i="37"/>
  <c r="G310" i="37" s="1"/>
  <c r="E311" i="37"/>
  <c r="G311" i="37" s="1"/>
  <c r="E312" i="37"/>
  <c r="G312" i="37" s="1"/>
  <c r="E313" i="37"/>
  <c r="G313" i="37" s="1"/>
  <c r="E314" i="37"/>
  <c r="G314" i="37" s="1"/>
  <c r="E315" i="37"/>
  <c r="G315" i="37" s="1"/>
  <c r="E4" i="37"/>
  <c r="G4" i="37" s="1"/>
  <c r="F5" i="36"/>
  <c r="F6" i="36"/>
  <c r="F7" i="36"/>
  <c r="F8" i="36"/>
  <c r="F9" i="36"/>
  <c r="F10" i="36"/>
  <c r="F11" i="36"/>
  <c r="F12" i="36"/>
  <c r="F13" i="36"/>
  <c r="F14" i="36"/>
  <c r="F15" i="36"/>
  <c r="H15" i="36" s="1"/>
  <c r="I15" i="36" s="1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54" i="36"/>
  <c r="F55" i="36"/>
  <c r="F56" i="36"/>
  <c r="F57" i="36"/>
  <c r="F58" i="36"/>
  <c r="F59" i="36"/>
  <c r="F60" i="36"/>
  <c r="F61" i="36"/>
  <c r="F62" i="36"/>
  <c r="F63" i="36"/>
  <c r="F64" i="36"/>
  <c r="F65" i="36"/>
  <c r="F66" i="36"/>
  <c r="F67" i="36"/>
  <c r="F68" i="36"/>
  <c r="F69" i="36"/>
  <c r="F70" i="36"/>
  <c r="F71" i="36"/>
  <c r="F72" i="36"/>
  <c r="F73" i="36"/>
  <c r="F74" i="36"/>
  <c r="F75" i="36"/>
  <c r="F76" i="36"/>
  <c r="F77" i="36"/>
  <c r="F78" i="36"/>
  <c r="F79" i="36"/>
  <c r="F80" i="36"/>
  <c r="F81" i="36"/>
  <c r="F82" i="36"/>
  <c r="F83" i="36"/>
  <c r="F84" i="36"/>
  <c r="F85" i="36"/>
  <c r="F86" i="36"/>
  <c r="F87" i="36"/>
  <c r="F88" i="36"/>
  <c r="F89" i="36"/>
  <c r="F90" i="36"/>
  <c r="F91" i="36"/>
  <c r="F92" i="36"/>
  <c r="F93" i="36"/>
  <c r="F94" i="36"/>
  <c r="F95" i="36"/>
  <c r="F96" i="36"/>
  <c r="F97" i="36"/>
  <c r="F98" i="36"/>
  <c r="F99" i="36"/>
  <c r="F100" i="36"/>
  <c r="F101" i="36"/>
  <c r="F102" i="36"/>
  <c r="F103" i="36"/>
  <c r="F104" i="36"/>
  <c r="F105" i="36"/>
  <c r="F106" i="36"/>
  <c r="F107" i="36"/>
  <c r="F108" i="36"/>
  <c r="F109" i="36"/>
  <c r="F110" i="36"/>
  <c r="F111" i="36"/>
  <c r="F112" i="36"/>
  <c r="F113" i="36"/>
  <c r="F114" i="36"/>
  <c r="F115" i="36"/>
  <c r="F116" i="36"/>
  <c r="F117" i="36"/>
  <c r="F118" i="36"/>
  <c r="F119" i="36"/>
  <c r="F120" i="36"/>
  <c r="F121" i="36"/>
  <c r="F122" i="36"/>
  <c r="F123" i="36"/>
  <c r="F124" i="36"/>
  <c r="F125" i="36"/>
  <c r="F126" i="36"/>
  <c r="F127" i="36"/>
  <c r="F128" i="36"/>
  <c r="F129" i="36"/>
  <c r="F130" i="36"/>
  <c r="F131" i="36"/>
  <c r="F132" i="36"/>
  <c r="F133" i="36"/>
  <c r="F134" i="36"/>
  <c r="F135" i="36"/>
  <c r="F136" i="36"/>
  <c r="F137" i="36"/>
  <c r="F138" i="36"/>
  <c r="F139" i="36"/>
  <c r="F140" i="36"/>
  <c r="F141" i="36"/>
  <c r="F142" i="36"/>
  <c r="F143" i="36"/>
  <c r="F144" i="36"/>
  <c r="F145" i="36"/>
  <c r="F146" i="36"/>
  <c r="F147" i="36"/>
  <c r="F148" i="36"/>
  <c r="F149" i="36"/>
  <c r="F150" i="36"/>
  <c r="F151" i="36"/>
  <c r="F152" i="36"/>
  <c r="F153" i="36"/>
  <c r="F154" i="36"/>
  <c r="F155" i="36"/>
  <c r="F156" i="36"/>
  <c r="H156" i="36" s="1"/>
  <c r="F157" i="36"/>
  <c r="F158" i="36"/>
  <c r="F159" i="36"/>
  <c r="F160" i="36"/>
  <c r="F161" i="36"/>
  <c r="F162" i="36"/>
  <c r="F163" i="36"/>
  <c r="F164" i="36"/>
  <c r="F165" i="36"/>
  <c r="F166" i="36"/>
  <c r="F167" i="36"/>
  <c r="F168" i="36"/>
  <c r="F169" i="36"/>
  <c r="F170" i="36"/>
  <c r="F171" i="36"/>
  <c r="F172" i="36"/>
  <c r="F173" i="36"/>
  <c r="F174" i="36"/>
  <c r="F175" i="36"/>
  <c r="F176" i="36"/>
  <c r="F177" i="36"/>
  <c r="F178" i="36"/>
  <c r="F179" i="36"/>
  <c r="F180" i="36"/>
  <c r="F181" i="36"/>
  <c r="F182" i="36"/>
  <c r="F183" i="36"/>
  <c r="F184" i="36"/>
  <c r="F185" i="36"/>
  <c r="F186" i="36"/>
  <c r="F187" i="36"/>
  <c r="F188" i="36"/>
  <c r="F189" i="36"/>
  <c r="F190" i="36"/>
  <c r="F191" i="36"/>
  <c r="F192" i="36"/>
  <c r="F193" i="36"/>
  <c r="F194" i="36"/>
  <c r="F195" i="36"/>
  <c r="F196" i="36"/>
  <c r="F197" i="36"/>
  <c r="F198" i="36"/>
  <c r="F199" i="36"/>
  <c r="F200" i="36"/>
  <c r="F201" i="36"/>
  <c r="F202" i="36"/>
  <c r="F203" i="36"/>
  <c r="F204" i="36"/>
  <c r="F205" i="36"/>
  <c r="F206" i="36"/>
  <c r="F207" i="36"/>
  <c r="F208" i="36"/>
  <c r="F209" i="36"/>
  <c r="F210" i="36"/>
  <c r="F211" i="36"/>
  <c r="F212" i="36"/>
  <c r="F213" i="36"/>
  <c r="F214" i="36"/>
  <c r="F215" i="36"/>
  <c r="F216" i="36"/>
  <c r="F217" i="36"/>
  <c r="F218" i="36"/>
  <c r="F219" i="36"/>
  <c r="F220" i="36"/>
  <c r="F221" i="36"/>
  <c r="F222" i="36"/>
  <c r="F223" i="36"/>
  <c r="F224" i="36"/>
  <c r="F225" i="36"/>
  <c r="F226" i="36"/>
  <c r="F227" i="36"/>
  <c r="F228" i="36"/>
  <c r="F229" i="36"/>
  <c r="F230" i="36"/>
  <c r="F231" i="36"/>
  <c r="F232" i="36"/>
  <c r="F233" i="36"/>
  <c r="F234" i="36"/>
  <c r="F235" i="36"/>
  <c r="F236" i="36"/>
  <c r="F237" i="36"/>
  <c r="F238" i="36"/>
  <c r="F239" i="36"/>
  <c r="F240" i="36"/>
  <c r="F241" i="36"/>
  <c r="F242" i="36"/>
  <c r="F243" i="36"/>
  <c r="F244" i="36"/>
  <c r="F245" i="36"/>
  <c r="F246" i="36"/>
  <c r="F247" i="36"/>
  <c r="F248" i="36"/>
  <c r="F249" i="36"/>
  <c r="F250" i="36"/>
  <c r="F251" i="36"/>
  <c r="F252" i="36"/>
  <c r="F253" i="36"/>
  <c r="F254" i="36"/>
  <c r="F255" i="36"/>
  <c r="F256" i="36"/>
  <c r="H256" i="36" s="1"/>
  <c r="F257" i="36"/>
  <c r="F258" i="36"/>
  <c r="H258" i="36" s="1"/>
  <c r="I258" i="36" s="1"/>
  <c r="F259" i="36"/>
  <c r="F260" i="36"/>
  <c r="F261" i="36"/>
  <c r="F262" i="36"/>
  <c r="F263" i="36"/>
  <c r="F264" i="36"/>
  <c r="F265" i="36"/>
  <c r="F266" i="36"/>
  <c r="F267" i="36"/>
  <c r="F268" i="36"/>
  <c r="F269" i="36"/>
  <c r="F270" i="36"/>
  <c r="F271" i="36"/>
  <c r="F272" i="36"/>
  <c r="F273" i="36"/>
  <c r="F274" i="36"/>
  <c r="F275" i="36"/>
  <c r="F276" i="36"/>
  <c r="F277" i="36"/>
  <c r="F278" i="36"/>
  <c r="F279" i="36"/>
  <c r="F280" i="36"/>
  <c r="F281" i="36"/>
  <c r="F282" i="36"/>
  <c r="F283" i="36"/>
  <c r="F284" i="36"/>
  <c r="F285" i="36"/>
  <c r="F286" i="36"/>
  <c r="F287" i="36"/>
  <c r="F288" i="36"/>
  <c r="F289" i="36"/>
  <c r="F290" i="36"/>
  <c r="F291" i="36"/>
  <c r="F292" i="36"/>
  <c r="F293" i="36"/>
  <c r="F294" i="36"/>
  <c r="F295" i="36"/>
  <c r="F296" i="36"/>
  <c r="F297" i="36"/>
  <c r="F298" i="36"/>
  <c r="F299" i="36"/>
  <c r="F300" i="36"/>
  <c r="F301" i="36"/>
  <c r="F302" i="36"/>
  <c r="F303" i="36"/>
  <c r="F304" i="36"/>
  <c r="F305" i="36"/>
  <c r="F306" i="36"/>
  <c r="F307" i="36"/>
  <c r="F308" i="36"/>
  <c r="F309" i="36"/>
  <c r="F310" i="36"/>
  <c r="F311" i="36"/>
  <c r="F312" i="36"/>
  <c r="F313" i="36"/>
  <c r="F314" i="36"/>
  <c r="F315" i="36"/>
  <c r="F4" i="36"/>
  <c r="D5" i="36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0" i="36"/>
  <c r="D151" i="36"/>
  <c r="D152" i="36"/>
  <c r="D153" i="36"/>
  <c r="D154" i="36"/>
  <c r="D155" i="36"/>
  <c r="D156" i="36"/>
  <c r="D157" i="36"/>
  <c r="D158" i="36"/>
  <c r="D159" i="36"/>
  <c r="D160" i="36"/>
  <c r="D161" i="36"/>
  <c r="D162" i="36"/>
  <c r="D163" i="36"/>
  <c r="D164" i="36"/>
  <c r="D165" i="36"/>
  <c r="D166" i="36"/>
  <c r="D167" i="36"/>
  <c r="D168" i="36"/>
  <c r="D169" i="36"/>
  <c r="D170" i="36"/>
  <c r="D171" i="36"/>
  <c r="D172" i="36"/>
  <c r="D173" i="36"/>
  <c r="D174" i="36"/>
  <c r="D175" i="36"/>
  <c r="D176" i="36"/>
  <c r="D177" i="36"/>
  <c r="D178" i="36"/>
  <c r="D179" i="36"/>
  <c r="D180" i="36"/>
  <c r="D181" i="36"/>
  <c r="D182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97" i="36"/>
  <c r="D198" i="36"/>
  <c r="D199" i="36"/>
  <c r="D200" i="36"/>
  <c r="D201" i="36"/>
  <c r="D202" i="36"/>
  <c r="D203" i="36"/>
  <c r="D204" i="36"/>
  <c r="D205" i="36"/>
  <c r="D206" i="36"/>
  <c r="D207" i="36"/>
  <c r="D208" i="36"/>
  <c r="D209" i="36"/>
  <c r="D210" i="36"/>
  <c r="D211" i="36"/>
  <c r="D212" i="36"/>
  <c r="D213" i="36"/>
  <c r="D214" i="36"/>
  <c r="D215" i="36"/>
  <c r="D216" i="36"/>
  <c r="D217" i="36"/>
  <c r="D218" i="36"/>
  <c r="D219" i="36"/>
  <c r="D220" i="36"/>
  <c r="D221" i="36"/>
  <c r="D222" i="36"/>
  <c r="D223" i="36"/>
  <c r="D224" i="36"/>
  <c r="D225" i="36"/>
  <c r="D226" i="36"/>
  <c r="D227" i="36"/>
  <c r="D228" i="36"/>
  <c r="D229" i="36"/>
  <c r="D230" i="36"/>
  <c r="D231" i="36"/>
  <c r="D232" i="36"/>
  <c r="D233" i="36"/>
  <c r="D234" i="36"/>
  <c r="D235" i="36"/>
  <c r="D236" i="36"/>
  <c r="D237" i="36"/>
  <c r="D238" i="36"/>
  <c r="D239" i="36"/>
  <c r="D240" i="36"/>
  <c r="D241" i="36"/>
  <c r="D242" i="36"/>
  <c r="D243" i="36"/>
  <c r="D244" i="36"/>
  <c r="D245" i="36"/>
  <c r="D246" i="36"/>
  <c r="D247" i="36"/>
  <c r="D248" i="36"/>
  <c r="D249" i="36"/>
  <c r="D250" i="36"/>
  <c r="D251" i="36"/>
  <c r="D252" i="36"/>
  <c r="D253" i="36"/>
  <c r="D254" i="36"/>
  <c r="D255" i="36"/>
  <c r="D256" i="36"/>
  <c r="D257" i="36"/>
  <c r="D258" i="36"/>
  <c r="D259" i="36"/>
  <c r="D260" i="36"/>
  <c r="D261" i="36"/>
  <c r="D262" i="36"/>
  <c r="D263" i="36"/>
  <c r="D264" i="36"/>
  <c r="D265" i="36"/>
  <c r="D266" i="36"/>
  <c r="D267" i="36"/>
  <c r="D268" i="36"/>
  <c r="D269" i="36"/>
  <c r="D270" i="36"/>
  <c r="D271" i="36"/>
  <c r="D272" i="36"/>
  <c r="D273" i="36"/>
  <c r="D274" i="36"/>
  <c r="D275" i="36"/>
  <c r="D276" i="36"/>
  <c r="D277" i="36"/>
  <c r="D278" i="36"/>
  <c r="D279" i="36"/>
  <c r="D280" i="36"/>
  <c r="D281" i="36"/>
  <c r="D282" i="36"/>
  <c r="D283" i="36"/>
  <c r="D284" i="36"/>
  <c r="D285" i="36"/>
  <c r="D286" i="36"/>
  <c r="D287" i="36"/>
  <c r="D288" i="36"/>
  <c r="D289" i="36"/>
  <c r="D290" i="36"/>
  <c r="D291" i="36"/>
  <c r="D292" i="36"/>
  <c r="D293" i="36"/>
  <c r="D294" i="36"/>
  <c r="D295" i="36"/>
  <c r="D296" i="36"/>
  <c r="D297" i="36"/>
  <c r="D298" i="36"/>
  <c r="D299" i="36"/>
  <c r="D300" i="36"/>
  <c r="D301" i="36"/>
  <c r="D302" i="36"/>
  <c r="D303" i="36"/>
  <c r="D304" i="36"/>
  <c r="D305" i="36"/>
  <c r="D306" i="36"/>
  <c r="D307" i="36"/>
  <c r="D308" i="36"/>
  <c r="D309" i="36"/>
  <c r="D310" i="36"/>
  <c r="D311" i="36"/>
  <c r="D312" i="36"/>
  <c r="D313" i="36"/>
  <c r="D314" i="36"/>
  <c r="D315" i="36"/>
  <c r="D4" i="36"/>
  <c r="B1" i="36"/>
  <c r="C1" i="36" s="1"/>
  <c r="D1" i="36" s="1"/>
  <c r="E1" i="36" s="1"/>
  <c r="H1" i="36" s="1"/>
  <c r="I1" i="36" s="1"/>
  <c r="J1" i="36" s="1"/>
  <c r="K1" i="36" s="1"/>
  <c r="L1" i="36" s="1"/>
  <c r="M1" i="36" s="1"/>
  <c r="N1" i="36" s="1"/>
  <c r="O1" i="36" s="1"/>
  <c r="P1" i="36" s="1"/>
  <c r="Q1" i="36" s="1"/>
  <c r="R1" i="36" s="1"/>
  <c r="S1" i="36" s="1"/>
  <c r="T1" i="36" s="1"/>
  <c r="U1" i="36" s="1"/>
  <c r="V1" i="36" s="1"/>
  <c r="W1" i="36" s="1"/>
  <c r="X1" i="36" s="1"/>
  <c r="H58" i="39" l="1"/>
  <c r="I58" i="39" s="1"/>
  <c r="J58" i="39" s="1"/>
  <c r="D3" i="36"/>
  <c r="H127" i="36"/>
  <c r="I127" i="36" s="1"/>
  <c r="H127" i="39"/>
  <c r="I127" i="39" s="1"/>
  <c r="D3" i="39"/>
  <c r="F3" i="39" a="1"/>
  <c r="F3" i="39" s="1"/>
  <c r="F1" i="39" s="1"/>
  <c r="F3" i="36" a="1"/>
  <c r="F3" i="36" s="1"/>
  <c r="F1" i="36" s="1"/>
  <c r="D3" i="38"/>
  <c r="F3" i="38" a="1"/>
  <c r="F3" i="38" s="1"/>
  <c r="H244" i="39"/>
  <c r="I244" i="39" s="1"/>
  <c r="J244" i="39" s="1"/>
  <c r="H244" i="38"/>
  <c r="I244" i="38" s="1"/>
  <c r="J244" i="38" s="1"/>
  <c r="H171" i="37"/>
  <c r="I171" i="37" s="1"/>
  <c r="H83" i="37"/>
  <c r="I83" i="37" s="1"/>
  <c r="H75" i="37"/>
  <c r="I75" i="37" s="1"/>
  <c r="J75" i="37" s="1"/>
  <c r="H27" i="37"/>
  <c r="I27" i="37" s="1"/>
  <c r="H11" i="37"/>
  <c r="I11" i="37" s="1"/>
  <c r="J11" i="37" s="1"/>
  <c r="H233" i="38"/>
  <c r="I233" i="38" s="1"/>
  <c r="J233" i="38" s="1"/>
  <c r="H300" i="37"/>
  <c r="I300" i="37" s="1"/>
  <c r="J300" i="37" s="1"/>
  <c r="H284" i="37"/>
  <c r="I284" i="37" s="1"/>
  <c r="J284" i="37" s="1"/>
  <c r="H245" i="37"/>
  <c r="I245" i="37" s="1"/>
  <c r="H221" i="37"/>
  <c r="I221" i="37" s="1"/>
  <c r="H198" i="37"/>
  <c r="I198" i="37" s="1"/>
  <c r="H126" i="37"/>
  <c r="I126" i="37" s="1"/>
  <c r="J126" i="37" s="1"/>
  <c r="H86" i="37"/>
  <c r="I86" i="37" s="1"/>
  <c r="J86" i="37" s="1"/>
  <c r="H78" i="37"/>
  <c r="I78" i="37" s="1"/>
  <c r="H70" i="37"/>
  <c r="I70" i="37" s="1"/>
  <c r="J70" i="37" s="1"/>
  <c r="H275" i="37"/>
  <c r="I275" i="37" s="1"/>
  <c r="H244" i="37"/>
  <c r="I244" i="37" s="1"/>
  <c r="J244" i="37" s="1"/>
  <c r="H181" i="37"/>
  <c r="I181" i="37" s="1"/>
  <c r="J181" i="37" s="1"/>
  <c r="H173" i="37"/>
  <c r="I173" i="37" s="1"/>
  <c r="J173" i="37" s="1"/>
  <c r="H149" i="37"/>
  <c r="I149" i="37" s="1"/>
  <c r="H141" i="37"/>
  <c r="I141" i="37" s="1"/>
  <c r="H125" i="37"/>
  <c r="I125" i="37" s="1"/>
  <c r="H109" i="37"/>
  <c r="I109" i="37" s="1"/>
  <c r="H101" i="37"/>
  <c r="I101" i="37" s="1"/>
  <c r="H93" i="37"/>
  <c r="I93" i="37" s="1"/>
  <c r="H69" i="37"/>
  <c r="I69" i="37" s="1"/>
  <c r="H13" i="37"/>
  <c r="I13" i="37" s="1"/>
  <c r="J13" i="37" s="1"/>
  <c r="H233" i="36"/>
  <c r="I233" i="36" s="1"/>
  <c r="J233" i="36" s="1"/>
  <c r="H305" i="37"/>
  <c r="I305" i="37" s="1"/>
  <c r="H282" i="37"/>
  <c r="I282" i="37" s="1"/>
  <c r="H266" i="37"/>
  <c r="I266" i="37" s="1"/>
  <c r="H259" i="37"/>
  <c r="I259" i="37" s="1"/>
  <c r="J259" i="37" s="1"/>
  <c r="H124" i="37"/>
  <c r="I124" i="37" s="1"/>
  <c r="H68" i="37"/>
  <c r="I68" i="37" s="1"/>
  <c r="J68" i="37" s="1"/>
  <c r="H12" i="37"/>
  <c r="I12" i="37" s="1"/>
  <c r="J12" i="37" s="1"/>
  <c r="H249" i="37"/>
  <c r="I249" i="37" s="1"/>
  <c r="J249" i="37" s="1"/>
  <c r="H241" i="37"/>
  <c r="I241" i="37" s="1"/>
  <c r="H225" i="37"/>
  <c r="I225" i="37" s="1"/>
  <c r="H50" i="37"/>
  <c r="I50" i="37" s="1"/>
  <c r="J50" i="37" s="1"/>
  <c r="H303" i="37"/>
  <c r="I303" i="37" s="1"/>
  <c r="H287" i="37"/>
  <c r="I287" i="37" s="1"/>
  <c r="H279" i="37"/>
  <c r="I279" i="37" s="1"/>
  <c r="J279" i="37" s="1"/>
  <c r="H271" i="37"/>
  <c r="I271" i="37" s="1"/>
  <c r="H208" i="37"/>
  <c r="I208" i="37" s="1"/>
  <c r="J208" i="37" s="1"/>
  <c r="H145" i="37"/>
  <c r="I145" i="37" s="1"/>
  <c r="H97" i="37"/>
  <c r="I97" i="37" s="1"/>
  <c r="H33" i="37"/>
  <c r="I33" i="37" s="1"/>
  <c r="H25" i="37"/>
  <c r="I25" i="37" s="1"/>
  <c r="J25" i="37" s="1"/>
  <c r="H294" i="37"/>
  <c r="I294" i="37" s="1"/>
  <c r="H278" i="37"/>
  <c r="I278" i="37" s="1"/>
  <c r="H255" i="37"/>
  <c r="I255" i="37" s="1"/>
  <c r="J255" i="37" s="1"/>
  <c r="H223" i="37"/>
  <c r="I223" i="37" s="1"/>
  <c r="H168" i="37"/>
  <c r="I168" i="37" s="1"/>
  <c r="J168" i="37" s="1"/>
  <c r="H144" i="37"/>
  <c r="I144" i="37" s="1"/>
  <c r="J144" i="37" s="1"/>
  <c r="H128" i="37"/>
  <c r="I128" i="37" s="1"/>
  <c r="J128" i="37" s="1"/>
  <c r="H120" i="37"/>
  <c r="I120" i="37" s="1"/>
  <c r="H96" i="37"/>
  <c r="I96" i="37" s="1"/>
  <c r="H16" i="37"/>
  <c r="I16" i="37" s="1"/>
  <c r="J16" i="37" s="1"/>
  <c r="H8" i="37"/>
  <c r="I8" i="37" s="1"/>
  <c r="J8" i="37" s="1"/>
  <c r="H262" i="37"/>
  <c r="I262" i="37" s="1"/>
  <c r="J262" i="37" s="1"/>
  <c r="H230" i="37"/>
  <c r="I230" i="37" s="1"/>
  <c r="H222" i="37"/>
  <c r="I222" i="37" s="1"/>
  <c r="H207" i="37"/>
  <c r="I207" i="37" s="1"/>
  <c r="H143" i="37"/>
  <c r="I143" i="37" s="1"/>
  <c r="H135" i="37"/>
  <c r="I135" i="37" s="1"/>
  <c r="J135" i="37" s="1"/>
  <c r="H63" i="37"/>
  <c r="I63" i="37" s="1"/>
  <c r="J63" i="37" s="1"/>
  <c r="H7" i="37"/>
  <c r="I7" i="37" s="1"/>
  <c r="H6" i="36"/>
  <c r="I6" i="36" s="1"/>
  <c r="J6" i="36" s="1"/>
  <c r="H295" i="39"/>
  <c r="I295" i="39" s="1"/>
  <c r="H260" i="36"/>
  <c r="I260" i="36" s="1"/>
  <c r="J260" i="36" s="1"/>
  <c r="H260" i="39"/>
  <c r="I260" i="39" s="1"/>
  <c r="J260" i="39" s="1"/>
  <c r="H133" i="39"/>
  <c r="I133" i="39" s="1"/>
  <c r="J133" i="39" s="1"/>
  <c r="H133" i="38"/>
  <c r="I133" i="38" s="1"/>
  <c r="J133" i="38" s="1"/>
  <c r="H295" i="36"/>
  <c r="I295" i="36" s="1"/>
  <c r="J295" i="36" s="1"/>
  <c r="H108" i="38"/>
  <c r="I108" i="38" s="1"/>
  <c r="J108" i="38" s="1"/>
  <c r="H257" i="38"/>
  <c r="I257" i="38" s="1"/>
  <c r="J257" i="38" s="1"/>
  <c r="H209" i="38"/>
  <c r="I209" i="38" s="1"/>
  <c r="H170" i="38"/>
  <c r="I170" i="38" s="1"/>
  <c r="H122" i="38"/>
  <c r="I122" i="38" s="1"/>
  <c r="J122" i="38" s="1"/>
  <c r="H257" i="39"/>
  <c r="I257" i="39" s="1"/>
  <c r="J257" i="39" s="1"/>
  <c r="H122" i="39"/>
  <c r="I122" i="39" s="1"/>
  <c r="J122" i="39" s="1"/>
  <c r="H248" i="37"/>
  <c r="I248" i="37" s="1"/>
  <c r="J248" i="37" s="1"/>
  <c r="H224" i="37"/>
  <c r="I224" i="37" s="1"/>
  <c r="J224" i="37" s="1"/>
  <c r="H193" i="37"/>
  <c r="I193" i="37" s="1"/>
  <c r="J193" i="37" s="1"/>
  <c r="H9" i="37"/>
  <c r="I9" i="37" s="1"/>
  <c r="J9" i="37" s="1"/>
  <c r="H159" i="37"/>
  <c r="I159" i="37" s="1"/>
  <c r="H111" i="37"/>
  <c r="I111" i="37" s="1"/>
  <c r="H79" i="37"/>
  <c r="I79" i="37" s="1"/>
  <c r="J79" i="37" s="1"/>
  <c r="H190" i="37"/>
  <c r="I190" i="37" s="1"/>
  <c r="H174" i="37"/>
  <c r="I174" i="37" s="1"/>
  <c r="H158" i="37"/>
  <c r="I158" i="37" s="1"/>
  <c r="H118" i="37"/>
  <c r="I118" i="37" s="1"/>
  <c r="H30" i="37"/>
  <c r="I30" i="37" s="1"/>
  <c r="H14" i="37"/>
  <c r="I14" i="37" s="1"/>
  <c r="H6" i="37"/>
  <c r="H299" i="37"/>
  <c r="I299" i="37" s="1"/>
  <c r="H197" i="37"/>
  <c r="I197" i="37" s="1"/>
  <c r="J197" i="37" s="1"/>
  <c r="H165" i="37"/>
  <c r="I165" i="37" s="1"/>
  <c r="J165" i="37" s="1"/>
  <c r="H45" i="37"/>
  <c r="I45" i="37" s="1"/>
  <c r="H37" i="37"/>
  <c r="I37" i="37" s="1"/>
  <c r="J37" i="37" s="1"/>
  <c r="H5" i="37"/>
  <c r="I5" i="37" s="1"/>
  <c r="H313" i="37"/>
  <c r="I313" i="37" s="1"/>
  <c r="H235" i="37"/>
  <c r="I235" i="37" s="1"/>
  <c r="H273" i="37"/>
  <c r="I273" i="37" s="1"/>
  <c r="J273" i="37" s="1"/>
  <c r="H242" i="37"/>
  <c r="I242" i="37" s="1"/>
  <c r="J242" i="37" s="1"/>
  <c r="H179" i="37"/>
  <c r="I179" i="37" s="1"/>
  <c r="J179" i="37" s="1"/>
  <c r="H123" i="37"/>
  <c r="I123" i="37" s="1"/>
  <c r="H51" i="37"/>
  <c r="I51" i="37" s="1"/>
  <c r="H43" i="37"/>
  <c r="I43" i="37" s="1"/>
  <c r="H209" i="36"/>
  <c r="I209" i="36" s="1"/>
  <c r="J209" i="36" s="1"/>
  <c r="H170" i="36"/>
  <c r="I170" i="36" s="1"/>
  <c r="J170" i="36" s="1"/>
  <c r="H311" i="37"/>
  <c r="I311" i="37" s="1"/>
  <c r="H304" i="37"/>
  <c r="I304" i="37" s="1"/>
  <c r="H186" i="37"/>
  <c r="I186" i="37" s="1"/>
  <c r="H146" i="37"/>
  <c r="I146" i="37" s="1"/>
  <c r="H34" i="37"/>
  <c r="I34" i="37" s="1"/>
  <c r="H309" i="37"/>
  <c r="I309" i="37" s="1"/>
  <c r="H302" i="37"/>
  <c r="I302" i="37" s="1"/>
  <c r="H286" i="37"/>
  <c r="I286" i="37" s="1"/>
  <c r="J286" i="37" s="1"/>
  <c r="H270" i="37"/>
  <c r="I270" i="37" s="1"/>
  <c r="H263" i="37"/>
  <c r="I263" i="37" s="1"/>
  <c r="J263" i="37" s="1"/>
  <c r="H247" i="37"/>
  <c r="I247" i="37" s="1"/>
  <c r="H231" i="37"/>
  <c r="H215" i="37"/>
  <c r="I215" i="37" s="1"/>
  <c r="J215" i="37" s="1"/>
  <c r="H200" i="37"/>
  <c r="I200" i="37" s="1"/>
  <c r="H192" i="37"/>
  <c r="I192" i="37" s="1"/>
  <c r="H184" i="37"/>
  <c r="I184" i="37" s="1"/>
  <c r="H176" i="37"/>
  <c r="I176" i="37" s="1"/>
  <c r="H160" i="37"/>
  <c r="I160" i="37" s="1"/>
  <c r="J160" i="37" s="1"/>
  <c r="H152" i="37"/>
  <c r="I152" i="37" s="1"/>
  <c r="J152" i="37" s="1"/>
  <c r="H136" i="37"/>
  <c r="H112" i="37"/>
  <c r="I112" i="37" s="1"/>
  <c r="J112" i="37" s="1"/>
  <c r="H104" i="37"/>
  <c r="I104" i="37" s="1"/>
  <c r="J104" i="37" s="1"/>
  <c r="H88" i="37"/>
  <c r="I88" i="37" s="1"/>
  <c r="H80" i="37"/>
  <c r="I80" i="37" s="1"/>
  <c r="J80" i="37" s="1"/>
  <c r="H72" i="37"/>
  <c r="I72" i="37" s="1"/>
  <c r="H64" i="37"/>
  <c r="I64" i="37" s="1"/>
  <c r="J64" i="37" s="1"/>
  <c r="H56" i="37"/>
  <c r="I56" i="37" s="1"/>
  <c r="J56" i="37" s="1"/>
  <c r="H48" i="37"/>
  <c r="H40" i="37"/>
  <c r="I40" i="37" s="1"/>
  <c r="H32" i="37"/>
  <c r="I32" i="37" s="1"/>
  <c r="J32" i="37" s="1"/>
  <c r="H24" i="37"/>
  <c r="I24" i="37" s="1"/>
  <c r="J24" i="37" s="1"/>
  <c r="H312" i="37"/>
  <c r="I312" i="37" s="1"/>
  <c r="J312" i="37" s="1"/>
  <c r="H297" i="37"/>
  <c r="I297" i="37" s="1"/>
  <c r="J297" i="37" s="1"/>
  <c r="H289" i="37"/>
  <c r="I289" i="37" s="1"/>
  <c r="H281" i="37"/>
  <c r="H265" i="37"/>
  <c r="I265" i="37" s="1"/>
  <c r="J265" i="37" s="1"/>
  <c r="H250" i="37"/>
  <c r="I250" i="37" s="1"/>
  <c r="H234" i="37"/>
  <c r="H226" i="37"/>
  <c r="I226" i="37" s="1"/>
  <c r="H218" i="37"/>
  <c r="I218" i="37" s="1"/>
  <c r="H210" i="37"/>
  <c r="I210" i="37" s="1"/>
  <c r="J210" i="37" s="1"/>
  <c r="H203" i="37"/>
  <c r="H195" i="37"/>
  <c r="H187" i="37"/>
  <c r="I187" i="37" s="1"/>
  <c r="H163" i="37"/>
  <c r="I163" i="37" s="1"/>
  <c r="H155" i="37"/>
  <c r="H147" i="37"/>
  <c r="I147" i="37" s="1"/>
  <c r="J147" i="37" s="1"/>
  <c r="H139" i="37"/>
  <c r="I139" i="37" s="1"/>
  <c r="H131" i="37"/>
  <c r="H115" i="37"/>
  <c r="I115" i="37" s="1"/>
  <c r="H107" i="37"/>
  <c r="H99" i="37"/>
  <c r="H91" i="37"/>
  <c r="I91" i="37" s="1"/>
  <c r="J91" i="37" s="1"/>
  <c r="H67" i="37"/>
  <c r="H59" i="37"/>
  <c r="I59" i="37" s="1"/>
  <c r="J59" i="37" s="1"/>
  <c r="H35" i="37"/>
  <c r="H19" i="37"/>
  <c r="I19" i="37" s="1"/>
  <c r="J19" i="37" s="1"/>
  <c r="H296" i="37"/>
  <c r="I296" i="37" s="1"/>
  <c r="H288" i="37"/>
  <c r="H280" i="37"/>
  <c r="I280" i="37" s="1"/>
  <c r="J280" i="37" s="1"/>
  <c r="H272" i="37"/>
  <c r="H264" i="37"/>
  <c r="H257" i="37"/>
  <c r="I257" i="37" s="1"/>
  <c r="J257" i="37" s="1"/>
  <c r="H233" i="37"/>
  <c r="H217" i="37"/>
  <c r="I217" i="37" s="1"/>
  <c r="H209" i="37"/>
  <c r="I209" i="37" s="1"/>
  <c r="H202" i="37"/>
  <c r="H194" i="37"/>
  <c r="I194" i="37" s="1"/>
  <c r="H178" i="37"/>
  <c r="I178" i="37" s="1"/>
  <c r="H170" i="37"/>
  <c r="H162" i="37"/>
  <c r="I162" i="37" s="1"/>
  <c r="H154" i="37"/>
  <c r="H138" i="37"/>
  <c r="I138" i="37" s="1"/>
  <c r="H130" i="37"/>
  <c r="I130" i="37" s="1"/>
  <c r="H122" i="37"/>
  <c r="H114" i="37"/>
  <c r="I114" i="37" s="1"/>
  <c r="H106" i="37"/>
  <c r="I106" i="37" s="1"/>
  <c r="H98" i="37"/>
  <c r="H90" i="37"/>
  <c r="I90" i="37" s="1"/>
  <c r="H82" i="37"/>
  <c r="H74" i="37"/>
  <c r="I74" i="37" s="1"/>
  <c r="J74" i="37" s="1"/>
  <c r="H66" i="37"/>
  <c r="I66" i="37" s="1"/>
  <c r="J66" i="37" s="1"/>
  <c r="H42" i="37"/>
  <c r="H26" i="37"/>
  <c r="I26" i="37" s="1"/>
  <c r="H18" i="37"/>
  <c r="I18" i="37" s="1"/>
  <c r="H10" i="37"/>
  <c r="H4" i="37"/>
  <c r="H310" i="37"/>
  <c r="H295" i="37"/>
  <c r="I295" i="37" s="1"/>
  <c r="H240" i="37"/>
  <c r="H232" i="37"/>
  <c r="I232" i="37" s="1"/>
  <c r="H216" i="37"/>
  <c r="I216" i="37" s="1"/>
  <c r="H201" i="37"/>
  <c r="H185" i="37"/>
  <c r="I185" i="37" s="1"/>
  <c r="H177" i="37"/>
  <c r="I177" i="37" s="1"/>
  <c r="J177" i="37" s="1"/>
  <c r="H169" i="37"/>
  <c r="I169" i="37" s="1"/>
  <c r="J169" i="37" s="1"/>
  <c r="H161" i="37"/>
  <c r="I161" i="37" s="1"/>
  <c r="J161" i="37" s="1"/>
  <c r="H153" i="37"/>
  <c r="H137" i="37"/>
  <c r="I137" i="37" s="1"/>
  <c r="H129" i="37"/>
  <c r="I129" i="37" s="1"/>
  <c r="H121" i="37"/>
  <c r="H113" i="37"/>
  <c r="I113" i="37" s="1"/>
  <c r="H105" i="37"/>
  <c r="H89" i="37"/>
  <c r="I89" i="37" s="1"/>
  <c r="J89" i="37" s="1"/>
  <c r="H81" i="37"/>
  <c r="I81" i="37" s="1"/>
  <c r="H73" i="37"/>
  <c r="H65" i="37"/>
  <c r="I65" i="37" s="1"/>
  <c r="H57" i="37"/>
  <c r="H49" i="37"/>
  <c r="H41" i="37"/>
  <c r="I41" i="37" s="1"/>
  <c r="H17" i="37"/>
  <c r="I17" i="37" s="1"/>
  <c r="H308" i="37"/>
  <c r="I308" i="37" s="1"/>
  <c r="J308" i="37" s="1"/>
  <c r="H293" i="37"/>
  <c r="H285" i="37"/>
  <c r="I285" i="37" s="1"/>
  <c r="H277" i="37"/>
  <c r="H269" i="37"/>
  <c r="H254" i="37"/>
  <c r="I254" i="37" s="1"/>
  <c r="J254" i="37" s="1"/>
  <c r="H246" i="37"/>
  <c r="I246" i="37" s="1"/>
  <c r="J246" i="37" s="1"/>
  <c r="H238" i="37"/>
  <c r="H214" i="37"/>
  <c r="H199" i="37"/>
  <c r="H191" i="37"/>
  <c r="H183" i="37"/>
  <c r="I183" i="37" s="1"/>
  <c r="H167" i="37"/>
  <c r="H151" i="37"/>
  <c r="I151" i="37" s="1"/>
  <c r="J151" i="37" s="1"/>
  <c r="H119" i="37"/>
  <c r="H103" i="37"/>
  <c r="H95" i="37"/>
  <c r="I95" i="37" s="1"/>
  <c r="H87" i="37"/>
  <c r="H71" i="37"/>
  <c r="I71" i="37" s="1"/>
  <c r="J71" i="37" s="1"/>
  <c r="H55" i="37"/>
  <c r="H47" i="37"/>
  <c r="H39" i="37"/>
  <c r="I39" i="37" s="1"/>
  <c r="H31" i="37"/>
  <c r="I31" i="37" s="1"/>
  <c r="H23" i="37"/>
  <c r="I23" i="37" s="1"/>
  <c r="J23" i="37" s="1"/>
  <c r="H315" i="37"/>
  <c r="I315" i="37" s="1"/>
  <c r="H307" i="37"/>
  <c r="H292" i="37"/>
  <c r="I292" i="37" s="1"/>
  <c r="H276" i="37"/>
  <c r="H268" i="37"/>
  <c r="H261" i="37"/>
  <c r="I261" i="37" s="1"/>
  <c r="J261" i="37" s="1"/>
  <c r="H253" i="37"/>
  <c r="H237" i="37"/>
  <c r="H229" i="37"/>
  <c r="H213" i="37"/>
  <c r="H206" i="37"/>
  <c r="H182" i="37"/>
  <c r="H166" i="37"/>
  <c r="H150" i="37"/>
  <c r="I150" i="37" s="1"/>
  <c r="J150" i="37" s="1"/>
  <c r="H142" i="37"/>
  <c r="H134" i="37"/>
  <c r="H110" i="37"/>
  <c r="I110" i="37" s="1"/>
  <c r="H102" i="37"/>
  <c r="H94" i="37"/>
  <c r="I94" i="37" s="1"/>
  <c r="H62" i="37"/>
  <c r="I62" i="37" s="1"/>
  <c r="J62" i="37" s="1"/>
  <c r="H54" i="37"/>
  <c r="I54" i="37" s="1"/>
  <c r="H46" i="37"/>
  <c r="I46" i="37" s="1"/>
  <c r="H38" i="37"/>
  <c r="I38" i="37" s="1"/>
  <c r="H22" i="37"/>
  <c r="H314" i="37"/>
  <c r="I314" i="37" s="1"/>
  <c r="H306" i="37"/>
  <c r="H291" i="37"/>
  <c r="H283" i="37"/>
  <c r="H267" i="37"/>
  <c r="H260" i="37"/>
  <c r="I260" i="37" s="1"/>
  <c r="H252" i="37"/>
  <c r="I252" i="37" s="1"/>
  <c r="J252" i="37" s="1"/>
  <c r="H236" i="37"/>
  <c r="H228" i="37"/>
  <c r="H220" i="37"/>
  <c r="H212" i="37"/>
  <c r="H205" i="37"/>
  <c r="I205" i="37" s="1"/>
  <c r="H189" i="37"/>
  <c r="H157" i="37"/>
  <c r="I157" i="37" s="1"/>
  <c r="J157" i="37" s="1"/>
  <c r="H133" i="37"/>
  <c r="H117" i="37"/>
  <c r="H85" i="37"/>
  <c r="H77" i="37"/>
  <c r="H61" i="37"/>
  <c r="H53" i="37"/>
  <c r="H29" i="37"/>
  <c r="H21" i="37"/>
  <c r="I21" i="37" s="1"/>
  <c r="H298" i="37"/>
  <c r="H290" i="37"/>
  <c r="I290" i="37" s="1"/>
  <c r="J290" i="37" s="1"/>
  <c r="H274" i="37"/>
  <c r="I274" i="37" s="1"/>
  <c r="H251" i="37"/>
  <c r="H227" i="37"/>
  <c r="H219" i="37"/>
  <c r="H211" i="37"/>
  <c r="I211" i="37" s="1"/>
  <c r="H204" i="37"/>
  <c r="I204" i="37" s="1"/>
  <c r="J204" i="37" s="1"/>
  <c r="H188" i="37"/>
  <c r="H180" i="37"/>
  <c r="I180" i="37" s="1"/>
  <c r="H172" i="37"/>
  <c r="H164" i="37"/>
  <c r="H148" i="37"/>
  <c r="H140" i="37"/>
  <c r="H132" i="37"/>
  <c r="H116" i="37"/>
  <c r="I116" i="37" s="1"/>
  <c r="H108" i="37"/>
  <c r="I108" i="37" s="1"/>
  <c r="J108" i="37" s="1"/>
  <c r="H100" i="37"/>
  <c r="H92" i="37"/>
  <c r="H84" i="37"/>
  <c r="H76" i="37"/>
  <c r="H60" i="37"/>
  <c r="I60" i="37" s="1"/>
  <c r="J60" i="37" s="1"/>
  <c r="H52" i="37"/>
  <c r="H44" i="37"/>
  <c r="I44" i="37" s="1"/>
  <c r="H36" i="37"/>
  <c r="I36" i="37" s="1"/>
  <c r="H28" i="37"/>
  <c r="I28" i="37" s="1"/>
  <c r="J28" i="37" s="1"/>
  <c r="H20" i="37"/>
  <c r="H245" i="39"/>
  <c r="I245" i="39" s="1"/>
  <c r="J245" i="39" s="1"/>
  <c r="H245" i="38"/>
  <c r="I245" i="38" s="1"/>
  <c r="J245" i="38" s="1"/>
  <c r="H17" i="39"/>
  <c r="I17" i="39" s="1"/>
  <c r="H269" i="39"/>
  <c r="I269" i="39" s="1"/>
  <c r="H166" i="39"/>
  <c r="I166" i="39" s="1"/>
  <c r="I15" i="37"/>
  <c r="J15" i="37" s="1"/>
  <c r="H315" i="39"/>
  <c r="I315" i="39" s="1"/>
  <c r="J315" i="39" s="1"/>
  <c r="H261" i="39"/>
  <c r="I261" i="39" s="1"/>
  <c r="J261" i="39" s="1"/>
  <c r="H229" i="39"/>
  <c r="I229" i="39" s="1"/>
  <c r="J229" i="39" s="1"/>
  <c r="H54" i="39"/>
  <c r="I54" i="39" s="1"/>
  <c r="J54" i="39" s="1"/>
  <c r="H284" i="39"/>
  <c r="I284" i="39" s="1"/>
  <c r="J284" i="39" s="1"/>
  <c r="H158" i="39"/>
  <c r="I158" i="39" s="1"/>
  <c r="H94" i="39"/>
  <c r="I94" i="39" s="1"/>
  <c r="J94" i="39" s="1"/>
  <c r="H56" i="39"/>
  <c r="I56" i="39" s="1"/>
  <c r="J56" i="39" s="1"/>
  <c r="I175" i="37"/>
  <c r="I127" i="37"/>
  <c r="H291" i="38"/>
  <c r="I291" i="38" s="1"/>
  <c r="H283" i="38"/>
  <c r="I283" i="38" s="1"/>
  <c r="J283" i="38" s="1"/>
  <c r="H267" i="38"/>
  <c r="I267" i="38" s="1"/>
  <c r="J267" i="38" s="1"/>
  <c r="H205" i="38"/>
  <c r="I205" i="38" s="1"/>
  <c r="J205" i="38" s="1"/>
  <c r="H165" i="38"/>
  <c r="I165" i="38" s="1"/>
  <c r="J165" i="38" s="1"/>
  <c r="H141" i="38"/>
  <c r="I141" i="38" s="1"/>
  <c r="J141" i="38" s="1"/>
  <c r="H101" i="38"/>
  <c r="I101" i="38" s="1"/>
  <c r="J101" i="38" s="1"/>
  <c r="H69" i="38"/>
  <c r="I69" i="38" s="1"/>
  <c r="J69" i="38" s="1"/>
  <c r="H106" i="38"/>
  <c r="I106" i="38" s="1"/>
  <c r="J106" i="38" s="1"/>
  <c r="H142" i="39"/>
  <c r="I142" i="39" s="1"/>
  <c r="J142" i="39" s="1"/>
  <c r="H110" i="39"/>
  <c r="I110" i="39" s="1"/>
  <c r="H78" i="39"/>
  <c r="I78" i="39" s="1"/>
  <c r="J78" i="39" s="1"/>
  <c r="H47" i="38"/>
  <c r="I47" i="38" s="1"/>
  <c r="I243" i="37"/>
  <c r="I196" i="37"/>
  <c r="I156" i="37"/>
  <c r="J156" i="37" s="1"/>
  <c r="I58" i="37"/>
  <c r="I258" i="37"/>
  <c r="J258" i="37" s="1"/>
  <c r="I256" i="37"/>
  <c r="J256" i="37" s="1"/>
  <c r="I301" i="37"/>
  <c r="J301" i="37" s="1"/>
  <c r="H120" i="39"/>
  <c r="I120" i="39" s="1"/>
  <c r="I239" i="37"/>
  <c r="H161" i="38"/>
  <c r="I161" i="38" s="1"/>
  <c r="J161" i="38" s="1"/>
  <c r="H105" i="38"/>
  <c r="I105" i="38" s="1"/>
  <c r="J105" i="38" s="1"/>
  <c r="H89" i="38"/>
  <c r="I89" i="38" s="1"/>
  <c r="J89" i="38" s="1"/>
  <c r="H81" i="38"/>
  <c r="I81" i="38" s="1"/>
  <c r="J81" i="38" s="1"/>
  <c r="H223" i="39"/>
  <c r="I223" i="39" s="1"/>
  <c r="J223" i="39" s="1"/>
  <c r="H215" i="39"/>
  <c r="I215" i="39" s="1"/>
  <c r="J215" i="39" s="1"/>
  <c r="H128" i="39"/>
  <c r="I128" i="39" s="1"/>
  <c r="H96" i="39"/>
  <c r="I96" i="39" s="1"/>
  <c r="J96" i="39" s="1"/>
  <c r="H88" i="39"/>
  <c r="I88" i="39" s="1"/>
  <c r="H48" i="39"/>
  <c r="I48" i="39" s="1"/>
  <c r="J48" i="39" s="1"/>
  <c r="H32" i="39"/>
  <c r="I32" i="39" s="1"/>
  <c r="J32" i="39" s="1"/>
  <c r="H16" i="39"/>
  <c r="I16" i="39" s="1"/>
  <c r="J16" i="39" s="1"/>
  <c r="H268" i="39"/>
  <c r="I268" i="39" s="1"/>
  <c r="J268" i="39" s="1"/>
  <c r="H226" i="39"/>
  <c r="I226" i="39" s="1"/>
  <c r="J226" i="39" s="1"/>
  <c r="H195" i="39"/>
  <c r="I195" i="39" s="1"/>
  <c r="J195" i="39" s="1"/>
  <c r="H49" i="39"/>
  <c r="I49" i="39" s="1"/>
  <c r="J49" i="39" s="1"/>
  <c r="H299" i="39"/>
  <c r="I299" i="39" s="1"/>
  <c r="H291" i="39"/>
  <c r="I291" i="39" s="1"/>
  <c r="H236" i="39"/>
  <c r="I236" i="39" s="1"/>
  <c r="J236" i="39" s="1"/>
  <c r="H228" i="39"/>
  <c r="I228" i="39" s="1"/>
  <c r="H205" i="39"/>
  <c r="I205" i="39" s="1"/>
  <c r="H197" i="39"/>
  <c r="I197" i="39" s="1"/>
  <c r="H165" i="39"/>
  <c r="I165" i="39" s="1"/>
  <c r="J165" i="39" s="1"/>
  <c r="H157" i="39"/>
  <c r="I157" i="39" s="1"/>
  <c r="J157" i="39" s="1"/>
  <c r="H149" i="39"/>
  <c r="I149" i="39" s="1"/>
  <c r="H141" i="39"/>
  <c r="I141" i="39" s="1"/>
  <c r="J141" i="39" s="1"/>
  <c r="H117" i="39"/>
  <c r="I117" i="39" s="1"/>
  <c r="H85" i="39"/>
  <c r="I85" i="39" s="1"/>
  <c r="J85" i="39" s="1"/>
  <c r="H77" i="39"/>
  <c r="I77" i="39" s="1"/>
  <c r="J77" i="39" s="1"/>
  <c r="H69" i="39"/>
  <c r="I69" i="39" s="1"/>
  <c r="J69" i="39" s="1"/>
  <c r="H61" i="39"/>
  <c r="I61" i="39" s="1"/>
  <c r="J61" i="39" s="1"/>
  <c r="H53" i="39"/>
  <c r="I53" i="39" s="1"/>
  <c r="J53" i="39" s="1"/>
  <c r="H45" i="39"/>
  <c r="I45" i="39" s="1"/>
  <c r="J45" i="39" s="1"/>
  <c r="H21" i="39"/>
  <c r="I21" i="39" s="1"/>
  <c r="J21" i="39" s="1"/>
  <c r="H232" i="39"/>
  <c r="I232" i="39" s="1"/>
  <c r="J232" i="39" s="1"/>
  <c r="H201" i="39"/>
  <c r="I201" i="39" s="1"/>
  <c r="H105" i="39"/>
  <c r="I105" i="39" s="1"/>
  <c r="J105" i="39" s="1"/>
  <c r="H73" i="39"/>
  <c r="I73" i="39" s="1"/>
  <c r="J73" i="39" s="1"/>
  <c r="H46" i="39"/>
  <c r="I46" i="39" s="1"/>
  <c r="H307" i="39"/>
  <c r="I307" i="39" s="1"/>
  <c r="J307" i="39" s="1"/>
  <c r="H126" i="39"/>
  <c r="I126" i="39" s="1"/>
  <c r="J126" i="39" s="1"/>
  <c r="H208" i="39"/>
  <c r="I208" i="39" s="1"/>
  <c r="J208" i="39" s="1"/>
  <c r="H81" i="39"/>
  <c r="I81" i="39" s="1"/>
  <c r="J81" i="39" s="1"/>
  <c r="H62" i="39"/>
  <c r="I62" i="39" s="1"/>
  <c r="J62" i="39" s="1"/>
  <c r="H134" i="39"/>
  <c r="I134" i="39" s="1"/>
  <c r="J134" i="39" s="1"/>
  <c r="H102" i="39"/>
  <c r="I102" i="39" s="1"/>
  <c r="H70" i="39"/>
  <c r="I70" i="39" s="1"/>
  <c r="J70" i="39" s="1"/>
  <c r="H33" i="39"/>
  <c r="I33" i="39" s="1"/>
  <c r="H207" i="39"/>
  <c r="I207" i="39" s="1"/>
  <c r="J207" i="39" s="1"/>
  <c r="H121" i="39"/>
  <c r="I121" i="39" s="1"/>
  <c r="J121" i="39" s="1"/>
  <c r="H89" i="39"/>
  <c r="I89" i="39" s="1"/>
  <c r="J89" i="39" s="1"/>
  <c r="H300" i="39"/>
  <c r="I300" i="39" s="1"/>
  <c r="J300" i="39" s="1"/>
  <c r="H97" i="39"/>
  <c r="I97" i="39" s="1"/>
  <c r="H57" i="39"/>
  <c r="I57" i="39" s="1"/>
  <c r="J57" i="39" s="1"/>
  <c r="H30" i="39"/>
  <c r="I30" i="39" s="1"/>
  <c r="J30" i="39" s="1"/>
  <c r="H286" i="39"/>
  <c r="I286" i="39" s="1"/>
  <c r="J286" i="39" s="1"/>
  <c r="H234" i="39"/>
  <c r="I234" i="39" s="1"/>
  <c r="J234" i="39" s="1"/>
  <c r="H203" i="39"/>
  <c r="I203" i="39" s="1"/>
  <c r="J203" i="39" s="1"/>
  <c r="H118" i="39"/>
  <c r="I118" i="39" s="1"/>
  <c r="H65" i="39"/>
  <c r="I65" i="39" s="1"/>
  <c r="J65" i="39" s="1"/>
  <c r="H38" i="39"/>
  <c r="I38" i="39" s="1"/>
  <c r="H312" i="39"/>
  <c r="I312" i="39" s="1"/>
  <c r="J312" i="39" s="1"/>
  <c r="H248" i="39"/>
  <c r="I248" i="39" s="1"/>
  <c r="J248" i="39" s="1"/>
  <c r="H216" i="39"/>
  <c r="I216" i="39" s="1"/>
  <c r="J216" i="39" s="1"/>
  <c r="H153" i="39"/>
  <c r="I153" i="39" s="1"/>
  <c r="J153" i="39" s="1"/>
  <c r="H137" i="39"/>
  <c r="I137" i="39" s="1"/>
  <c r="J137" i="39" s="1"/>
  <c r="H129" i="39"/>
  <c r="I129" i="39" s="1"/>
  <c r="J129" i="39" s="1"/>
  <c r="H293" i="39"/>
  <c r="I293" i="39" s="1"/>
  <c r="J293" i="39" s="1"/>
  <c r="H199" i="39"/>
  <c r="I199" i="39" s="1"/>
  <c r="J199" i="39" s="1"/>
  <c r="H183" i="39"/>
  <c r="I183" i="39" s="1"/>
  <c r="J183" i="39" s="1"/>
  <c r="H111" i="39"/>
  <c r="I111" i="39" s="1"/>
  <c r="H103" i="39"/>
  <c r="I103" i="39" s="1"/>
  <c r="H13" i="36"/>
  <c r="I13" i="36" s="1"/>
  <c r="J13" i="36" s="1"/>
  <c r="H262" i="39"/>
  <c r="I262" i="39" s="1"/>
  <c r="H308" i="39"/>
  <c r="I308" i="39" s="1"/>
  <c r="J308" i="39" s="1"/>
  <c r="H301" i="39"/>
  <c r="I301" i="39" s="1"/>
  <c r="J301" i="39" s="1"/>
  <c r="H238" i="39"/>
  <c r="I238" i="39" s="1"/>
  <c r="J238" i="39" s="1"/>
  <c r="H222" i="39"/>
  <c r="I222" i="39" s="1"/>
  <c r="J222" i="39" s="1"/>
  <c r="H167" i="39"/>
  <c r="I167" i="39" s="1"/>
  <c r="H159" i="39"/>
  <c r="I159" i="39" s="1"/>
  <c r="H119" i="39"/>
  <c r="I119" i="39" s="1"/>
  <c r="H95" i="39"/>
  <c r="I95" i="39" s="1"/>
  <c r="H79" i="39"/>
  <c r="I79" i="39" s="1"/>
  <c r="J79" i="39" s="1"/>
  <c r="H7" i="39"/>
  <c r="I7" i="39" s="1"/>
  <c r="J7" i="39" s="1"/>
  <c r="H138" i="38"/>
  <c r="I138" i="38" s="1"/>
  <c r="J138" i="38" s="1"/>
  <c r="H183" i="38"/>
  <c r="I183" i="38" s="1"/>
  <c r="J183" i="38" s="1"/>
  <c r="H304" i="38"/>
  <c r="I304" i="38" s="1"/>
  <c r="H296" i="38"/>
  <c r="I296" i="38" s="1"/>
  <c r="H79" i="38"/>
  <c r="I79" i="38" s="1"/>
  <c r="J79" i="38" s="1"/>
  <c r="H178" i="38"/>
  <c r="I178" i="38" s="1"/>
  <c r="J178" i="38" s="1"/>
  <c r="H311" i="38"/>
  <c r="I311" i="38" s="1"/>
  <c r="H177" i="39"/>
  <c r="I177" i="39" s="1"/>
  <c r="J177" i="39" s="1"/>
  <c r="H264" i="38"/>
  <c r="I264" i="38" s="1"/>
  <c r="J264" i="38" s="1"/>
  <c r="H114" i="38"/>
  <c r="I114" i="38" s="1"/>
  <c r="J114" i="38" s="1"/>
  <c r="H202" i="38"/>
  <c r="I202" i="38" s="1"/>
  <c r="J202" i="38" s="1"/>
  <c r="H240" i="39"/>
  <c r="I240" i="39" s="1"/>
  <c r="J240" i="39" s="1"/>
  <c r="H249" i="38"/>
  <c r="I249" i="38" s="1"/>
  <c r="H301" i="38"/>
  <c r="I301" i="38" s="1"/>
  <c r="J301" i="38" s="1"/>
  <c r="H114" i="39"/>
  <c r="I114" i="39" s="1"/>
  <c r="J114" i="39" s="1"/>
  <c r="H255" i="38"/>
  <c r="I255" i="38" s="1"/>
  <c r="J255" i="38" s="1"/>
  <c r="H308" i="38"/>
  <c r="I308" i="38" s="1"/>
  <c r="J308" i="38" s="1"/>
  <c r="H293" i="38"/>
  <c r="I293" i="38" s="1"/>
  <c r="J293" i="38" s="1"/>
  <c r="H214" i="38"/>
  <c r="I214" i="38" s="1"/>
  <c r="H207" i="38"/>
  <c r="I207" i="38" s="1"/>
  <c r="H191" i="38"/>
  <c r="I191" i="38" s="1"/>
  <c r="J191" i="38" s="1"/>
  <c r="H159" i="38"/>
  <c r="I159" i="38" s="1"/>
  <c r="H103" i="38"/>
  <c r="I103" i="38" s="1"/>
  <c r="H87" i="38"/>
  <c r="I87" i="38" s="1"/>
  <c r="J87" i="38" s="1"/>
  <c r="H71" i="38"/>
  <c r="I71" i="38" s="1"/>
  <c r="H163" i="38"/>
  <c r="I163" i="38" s="1"/>
  <c r="J163" i="38" s="1"/>
  <c r="H210" i="38"/>
  <c r="I210" i="38" s="1"/>
  <c r="H182" i="38"/>
  <c r="I182" i="38" s="1"/>
  <c r="J182" i="38" s="1"/>
  <c r="H67" i="38"/>
  <c r="I67" i="38" s="1"/>
  <c r="J67" i="38" s="1"/>
  <c r="H297" i="38"/>
  <c r="I297" i="38" s="1"/>
  <c r="J297" i="38" s="1"/>
  <c r="H109" i="36"/>
  <c r="I109" i="36" s="1"/>
  <c r="J109" i="36" s="1"/>
  <c r="H299" i="36"/>
  <c r="I299" i="36" s="1"/>
  <c r="J299" i="36" s="1"/>
  <c r="H99" i="38"/>
  <c r="I99" i="38" s="1"/>
  <c r="H195" i="38"/>
  <c r="I195" i="38" s="1"/>
  <c r="J195" i="38" s="1"/>
  <c r="H273" i="38"/>
  <c r="I273" i="38" s="1"/>
  <c r="H292" i="38"/>
  <c r="I292" i="38" s="1"/>
  <c r="H268" i="38"/>
  <c r="I268" i="38" s="1"/>
  <c r="J268" i="38" s="1"/>
  <c r="H261" i="38"/>
  <c r="I261" i="38" s="1"/>
  <c r="J261" i="38" s="1"/>
  <c r="H78" i="38"/>
  <c r="I78" i="38" s="1"/>
  <c r="J78" i="38" s="1"/>
  <c r="H134" i="38"/>
  <c r="I134" i="38" s="1"/>
  <c r="J134" i="38" s="1"/>
  <c r="H181" i="36"/>
  <c r="I181" i="36" s="1"/>
  <c r="J181" i="36" s="1"/>
  <c r="H27" i="38"/>
  <c r="I27" i="38" s="1"/>
  <c r="H70" i="38"/>
  <c r="I70" i="38" s="1"/>
  <c r="H312" i="38"/>
  <c r="I312" i="38" s="1"/>
  <c r="J312" i="38" s="1"/>
  <c r="H275" i="39"/>
  <c r="I275" i="39" s="1"/>
  <c r="J275" i="39" s="1"/>
  <c r="H197" i="36"/>
  <c r="I197" i="36" s="1"/>
  <c r="J197" i="36" s="1"/>
  <c r="H236" i="36"/>
  <c r="I236" i="36" s="1"/>
  <c r="J236" i="36" s="1"/>
  <c r="H314" i="36"/>
  <c r="I314" i="36" s="1"/>
  <c r="J314" i="36" s="1"/>
  <c r="H29" i="36"/>
  <c r="I29" i="36" s="1"/>
  <c r="H102" i="38"/>
  <c r="I102" i="38" s="1"/>
  <c r="H110" i="38"/>
  <c r="I110" i="38" s="1"/>
  <c r="J110" i="38" s="1"/>
  <c r="H187" i="38"/>
  <c r="I187" i="38" s="1"/>
  <c r="J187" i="38" s="1"/>
  <c r="H5" i="36"/>
  <c r="I5" i="36" s="1"/>
  <c r="J5" i="36" s="1"/>
  <c r="H141" i="36"/>
  <c r="I141" i="36" s="1"/>
  <c r="H228" i="36"/>
  <c r="I228" i="36" s="1"/>
  <c r="J228" i="36" s="1"/>
  <c r="H101" i="39"/>
  <c r="I101" i="39" s="1"/>
  <c r="H190" i="38"/>
  <c r="I190" i="38" s="1"/>
  <c r="J190" i="38" s="1"/>
  <c r="H26" i="39"/>
  <c r="I26" i="39" s="1"/>
  <c r="H107" i="38"/>
  <c r="I107" i="38" s="1"/>
  <c r="H237" i="38"/>
  <c r="I237" i="38" s="1"/>
  <c r="J237" i="38" s="1"/>
  <c r="H21" i="36"/>
  <c r="I21" i="36" s="1"/>
  <c r="J21" i="36" s="1"/>
  <c r="H157" i="36"/>
  <c r="I157" i="36" s="1"/>
  <c r="H94" i="38"/>
  <c r="I94" i="38" s="1"/>
  <c r="J94" i="38" s="1"/>
  <c r="H252" i="39"/>
  <c r="I252" i="39" s="1"/>
  <c r="J252" i="39" s="1"/>
  <c r="H189" i="36"/>
  <c r="I189" i="36" s="1"/>
  <c r="J189" i="36" s="1"/>
  <c r="H205" i="36"/>
  <c r="I205" i="36" s="1"/>
  <c r="J205" i="36" s="1"/>
  <c r="H267" i="36"/>
  <c r="I267" i="36" s="1"/>
  <c r="H43" i="38"/>
  <c r="I43" i="38" s="1"/>
  <c r="H75" i="38"/>
  <c r="I75" i="38" s="1"/>
  <c r="J75" i="38" s="1"/>
  <c r="H86" i="38"/>
  <c r="I86" i="38" s="1"/>
  <c r="J86" i="38" s="1"/>
  <c r="H171" i="38"/>
  <c r="I171" i="38" s="1"/>
  <c r="J171" i="38" s="1"/>
  <c r="H281" i="38"/>
  <c r="I281" i="38" s="1"/>
  <c r="J281" i="38" s="1"/>
  <c r="H181" i="39"/>
  <c r="I181" i="39" s="1"/>
  <c r="J181" i="39" s="1"/>
  <c r="H291" i="36"/>
  <c r="I291" i="36" s="1"/>
  <c r="H73" i="38"/>
  <c r="I73" i="38" s="1"/>
  <c r="J73" i="38" s="1"/>
  <c r="H93" i="38"/>
  <c r="I93" i="38" s="1"/>
  <c r="J93" i="38" s="1"/>
  <c r="H129" i="38"/>
  <c r="I129" i="38" s="1"/>
  <c r="J129" i="38" s="1"/>
  <c r="H169" i="38"/>
  <c r="I169" i="38" s="1"/>
  <c r="J169" i="38" s="1"/>
  <c r="H215" i="38"/>
  <c r="I215" i="38" s="1"/>
  <c r="J215" i="38" s="1"/>
  <c r="H224" i="38"/>
  <c r="I224" i="38" s="1"/>
  <c r="J224" i="38" s="1"/>
  <c r="H232" i="38"/>
  <c r="I232" i="38" s="1"/>
  <c r="J232" i="38" s="1"/>
  <c r="H275" i="38"/>
  <c r="I275" i="38" s="1"/>
  <c r="J275" i="38" s="1"/>
  <c r="H247" i="38"/>
  <c r="I247" i="38" s="1"/>
  <c r="J247" i="38" s="1"/>
  <c r="H200" i="38"/>
  <c r="I200" i="38" s="1"/>
  <c r="J200" i="38" s="1"/>
  <c r="H160" i="38"/>
  <c r="I160" i="38" s="1"/>
  <c r="J160" i="38" s="1"/>
  <c r="H152" i="38"/>
  <c r="I152" i="38" s="1"/>
  <c r="J152" i="38" s="1"/>
  <c r="H144" i="38"/>
  <c r="I144" i="38" s="1"/>
  <c r="H136" i="38"/>
  <c r="I136" i="38" s="1"/>
  <c r="H112" i="38"/>
  <c r="I112" i="38" s="1"/>
  <c r="J112" i="38" s="1"/>
  <c r="H64" i="38"/>
  <c r="I64" i="38" s="1"/>
  <c r="J64" i="38" s="1"/>
  <c r="H56" i="38"/>
  <c r="I56" i="38" s="1"/>
  <c r="J56" i="38" s="1"/>
  <c r="H48" i="38"/>
  <c r="I48" i="38" s="1"/>
  <c r="J48" i="38" s="1"/>
  <c r="H40" i="38"/>
  <c r="I40" i="38" s="1"/>
  <c r="J40" i="38" s="1"/>
  <c r="H32" i="38"/>
  <c r="I32" i="38" s="1"/>
  <c r="J32" i="38" s="1"/>
  <c r="H8" i="38"/>
  <c r="I8" i="38" s="1"/>
  <c r="J8" i="38" s="1"/>
  <c r="H32" i="36"/>
  <c r="I32" i="36" s="1"/>
  <c r="H89" i="36"/>
  <c r="I89" i="36" s="1"/>
  <c r="J89" i="36" s="1"/>
  <c r="H104" i="36"/>
  <c r="I104" i="36" s="1"/>
  <c r="H85" i="38"/>
  <c r="I85" i="38" s="1"/>
  <c r="J85" i="38" s="1"/>
  <c r="H104" i="38"/>
  <c r="I104" i="38" s="1"/>
  <c r="J104" i="38" s="1"/>
  <c r="H189" i="38"/>
  <c r="I189" i="38" s="1"/>
  <c r="J189" i="38" s="1"/>
  <c r="H208" i="38"/>
  <c r="I208" i="38" s="1"/>
  <c r="J208" i="38" s="1"/>
  <c r="H216" i="38"/>
  <c r="I216" i="38" s="1"/>
  <c r="J216" i="38" s="1"/>
  <c r="H240" i="38"/>
  <c r="I240" i="38" s="1"/>
  <c r="J240" i="38" s="1"/>
  <c r="H185" i="36"/>
  <c r="I185" i="36" s="1"/>
  <c r="J185" i="36" s="1"/>
  <c r="H169" i="36"/>
  <c r="I169" i="36" s="1"/>
  <c r="J169" i="36" s="1"/>
  <c r="H145" i="36"/>
  <c r="I145" i="36" s="1"/>
  <c r="H65" i="36"/>
  <c r="I65" i="36" s="1"/>
  <c r="H33" i="36"/>
  <c r="I33" i="36" s="1"/>
  <c r="H9" i="36"/>
  <c r="I9" i="36" s="1"/>
  <c r="J9" i="36" s="1"/>
  <c r="H287" i="36"/>
  <c r="I287" i="36" s="1"/>
  <c r="J287" i="36" s="1"/>
  <c r="H240" i="36"/>
  <c r="I240" i="36" s="1"/>
  <c r="J240" i="36" s="1"/>
  <c r="H201" i="36"/>
  <c r="I201" i="36" s="1"/>
  <c r="J201" i="36" s="1"/>
  <c r="H177" i="36"/>
  <c r="I177" i="36" s="1"/>
  <c r="J177" i="36" s="1"/>
  <c r="H161" i="36"/>
  <c r="I161" i="36" s="1"/>
  <c r="H137" i="36"/>
  <c r="I137" i="36" s="1"/>
  <c r="H73" i="36"/>
  <c r="I73" i="36" s="1"/>
  <c r="J73" i="36" s="1"/>
  <c r="H25" i="36"/>
  <c r="I25" i="36" s="1"/>
  <c r="J25" i="36" s="1"/>
  <c r="H17" i="36"/>
  <c r="I17" i="36" s="1"/>
  <c r="J17" i="36" s="1"/>
  <c r="H64" i="36"/>
  <c r="I64" i="36" s="1"/>
  <c r="J64" i="36" s="1"/>
  <c r="H106" i="36"/>
  <c r="I106" i="36" s="1"/>
  <c r="J106" i="36" s="1"/>
  <c r="H120" i="36"/>
  <c r="I120" i="36" s="1"/>
  <c r="H216" i="36"/>
  <c r="I216" i="36" s="1"/>
  <c r="J216" i="36" s="1"/>
  <c r="H16" i="38"/>
  <c r="I16" i="38" s="1"/>
  <c r="J16" i="38" s="1"/>
  <c r="H24" i="38"/>
  <c r="I24" i="38" s="1"/>
  <c r="J24" i="38" s="1"/>
  <c r="H97" i="38"/>
  <c r="I97" i="38" s="1"/>
  <c r="J97" i="38" s="1"/>
  <c r="H214" i="39"/>
  <c r="I214" i="39" s="1"/>
  <c r="J214" i="39" s="1"/>
  <c r="H231" i="39"/>
  <c r="I231" i="39" s="1"/>
  <c r="H277" i="39"/>
  <c r="I277" i="39" s="1"/>
  <c r="J277" i="39" s="1"/>
  <c r="H130" i="36"/>
  <c r="I130" i="36" s="1"/>
  <c r="H193" i="36"/>
  <c r="I193" i="36" s="1"/>
  <c r="J193" i="36" s="1"/>
  <c r="H26" i="36"/>
  <c r="I26" i="36" s="1"/>
  <c r="J26" i="36" s="1"/>
  <c r="H82" i="36"/>
  <c r="I82" i="36" s="1"/>
  <c r="H117" i="38"/>
  <c r="I117" i="38" s="1"/>
  <c r="J117" i="38" s="1"/>
  <c r="H153" i="38"/>
  <c r="I153" i="38" s="1"/>
  <c r="J153" i="38" s="1"/>
  <c r="H220" i="38"/>
  <c r="I220" i="38" s="1"/>
  <c r="J220" i="38" s="1"/>
  <c r="H228" i="38"/>
  <c r="I228" i="38" s="1"/>
  <c r="J228" i="38" s="1"/>
  <c r="H236" i="38"/>
  <c r="I236" i="38" s="1"/>
  <c r="J236" i="38" s="1"/>
  <c r="H252" i="38"/>
  <c r="I252" i="38" s="1"/>
  <c r="H294" i="39"/>
  <c r="I294" i="39" s="1"/>
  <c r="H112" i="36"/>
  <c r="I112" i="36" s="1"/>
  <c r="H154" i="36"/>
  <c r="I154" i="36" s="1"/>
  <c r="J154" i="36" s="1"/>
  <c r="H168" i="36"/>
  <c r="I168" i="36" s="1"/>
  <c r="J168" i="36" s="1"/>
  <c r="H4" i="38"/>
  <c r="H121" i="38"/>
  <c r="I121" i="38" s="1"/>
  <c r="J121" i="38" s="1"/>
  <c r="H137" i="38"/>
  <c r="I137" i="38" s="1"/>
  <c r="J137" i="38" s="1"/>
  <c r="H223" i="38"/>
  <c r="I223" i="38" s="1"/>
  <c r="H134" i="36"/>
  <c r="I134" i="36" s="1"/>
  <c r="H174" i="36"/>
  <c r="I174" i="36" s="1"/>
  <c r="J174" i="36" s="1"/>
  <c r="H210" i="36"/>
  <c r="I210" i="36" s="1"/>
  <c r="J210" i="36" s="1"/>
  <c r="H118" i="36"/>
  <c r="I118" i="36" s="1"/>
  <c r="J118" i="36" s="1"/>
  <c r="H102" i="36"/>
  <c r="I102" i="36" s="1"/>
  <c r="H300" i="36"/>
  <c r="I300" i="36" s="1"/>
  <c r="J300" i="36" s="1"/>
  <c r="H296" i="39"/>
  <c r="I296" i="39" s="1"/>
  <c r="J296" i="39" s="1"/>
  <c r="H98" i="39"/>
  <c r="I98" i="39" s="1"/>
  <c r="J98" i="39" s="1"/>
  <c r="H34" i="39"/>
  <c r="I34" i="39" s="1"/>
  <c r="J34" i="39" s="1"/>
  <c r="H245" i="36"/>
  <c r="I245" i="36" s="1"/>
  <c r="J245" i="36" s="1"/>
  <c r="H22" i="36"/>
  <c r="I22" i="36" s="1"/>
  <c r="J22" i="36" s="1"/>
  <c r="H14" i="36"/>
  <c r="I14" i="36" s="1"/>
  <c r="J14" i="36" s="1"/>
  <c r="H94" i="36"/>
  <c r="I94" i="36" s="1"/>
  <c r="H229" i="36"/>
  <c r="I229" i="36" s="1"/>
  <c r="J229" i="36" s="1"/>
  <c r="H237" i="36"/>
  <c r="I237" i="36" s="1"/>
  <c r="J237" i="36" s="1"/>
  <c r="H86" i="36"/>
  <c r="I86" i="36" s="1"/>
  <c r="H182" i="36"/>
  <c r="I182" i="36" s="1"/>
  <c r="J182" i="36" s="1"/>
  <c r="H284" i="36"/>
  <c r="I284" i="36" s="1"/>
  <c r="H310" i="36"/>
  <c r="I310" i="36" s="1"/>
  <c r="J310" i="36" s="1"/>
  <c r="H302" i="36"/>
  <c r="I302" i="36" s="1"/>
  <c r="J302" i="36" s="1"/>
  <c r="H278" i="36"/>
  <c r="I278" i="36" s="1"/>
  <c r="J278" i="36" s="1"/>
  <c r="H294" i="36"/>
  <c r="I294" i="36" s="1"/>
  <c r="J294" i="36" s="1"/>
  <c r="H196" i="39"/>
  <c r="I196" i="39" s="1"/>
  <c r="J196" i="39" s="1"/>
  <c r="H309" i="36"/>
  <c r="I309" i="36" s="1"/>
  <c r="J309" i="36" s="1"/>
  <c r="H297" i="39"/>
  <c r="I297" i="39" s="1"/>
  <c r="J297" i="39" s="1"/>
  <c r="H289" i="39"/>
  <c r="I289" i="39" s="1"/>
  <c r="H281" i="39"/>
  <c r="I281" i="39" s="1"/>
  <c r="J281" i="39" s="1"/>
  <c r="H218" i="39"/>
  <c r="I218" i="39" s="1"/>
  <c r="J218" i="39" s="1"/>
  <c r="H210" i="39"/>
  <c r="I210" i="39" s="1"/>
  <c r="J210" i="39" s="1"/>
  <c r="H187" i="39"/>
  <c r="I187" i="39" s="1"/>
  <c r="J187" i="39" s="1"/>
  <c r="H139" i="39"/>
  <c r="I139" i="39" s="1"/>
  <c r="H131" i="39"/>
  <c r="I131" i="39" s="1"/>
  <c r="H83" i="39"/>
  <c r="I83" i="39" s="1"/>
  <c r="H19" i="39"/>
  <c r="I19" i="39" s="1"/>
  <c r="J19" i="39" s="1"/>
  <c r="H290" i="39"/>
  <c r="I290" i="39" s="1"/>
  <c r="H243" i="39"/>
  <c r="I243" i="39" s="1"/>
  <c r="J243" i="39" s="1"/>
  <c r="H180" i="39"/>
  <c r="I180" i="39" s="1"/>
  <c r="H164" i="39"/>
  <c r="I164" i="39" s="1"/>
  <c r="H148" i="39"/>
  <c r="I148" i="39" s="1"/>
  <c r="H60" i="39"/>
  <c r="I60" i="39" s="1"/>
  <c r="J60" i="39" s="1"/>
  <c r="H155" i="39"/>
  <c r="I155" i="39" s="1"/>
  <c r="J155" i="39" s="1"/>
  <c r="H163" i="39"/>
  <c r="I163" i="39" s="1"/>
  <c r="J163" i="39" s="1"/>
  <c r="H171" i="39"/>
  <c r="I171" i="39" s="1"/>
  <c r="H311" i="39"/>
  <c r="I311" i="39" s="1"/>
  <c r="J311" i="39" s="1"/>
  <c r="H107" i="39"/>
  <c r="I107" i="39" s="1"/>
  <c r="H147" i="39"/>
  <c r="I147" i="39" s="1"/>
  <c r="J147" i="39" s="1"/>
  <c r="H123" i="39"/>
  <c r="I123" i="39" s="1"/>
  <c r="H204" i="39"/>
  <c r="I204" i="39" s="1"/>
  <c r="J204" i="39" s="1"/>
  <c r="H235" i="39"/>
  <c r="I235" i="39" s="1"/>
  <c r="H66" i="39"/>
  <c r="I66" i="39" s="1"/>
  <c r="J66" i="39" s="1"/>
  <c r="H50" i="39"/>
  <c r="I50" i="39" s="1"/>
  <c r="J50" i="39" s="1"/>
  <c r="H92" i="39"/>
  <c r="I92" i="39" s="1"/>
  <c r="H42" i="39"/>
  <c r="I42" i="39" s="1"/>
  <c r="J42" i="39" s="1"/>
  <c r="H172" i="39"/>
  <c r="I172" i="39" s="1"/>
  <c r="H280" i="39"/>
  <c r="I280" i="39" s="1"/>
  <c r="H251" i="38"/>
  <c r="I251" i="38" s="1"/>
  <c r="J251" i="38" s="1"/>
  <c r="H219" i="38"/>
  <c r="I219" i="38" s="1"/>
  <c r="J219" i="38" s="1"/>
  <c r="H36" i="38"/>
  <c r="I36" i="38" s="1"/>
  <c r="J36" i="38" s="1"/>
  <c r="H52" i="38"/>
  <c r="I52" i="38" s="1"/>
  <c r="J52" i="38" s="1"/>
  <c r="H28" i="38"/>
  <c r="I28" i="38" s="1"/>
  <c r="J28" i="38" s="1"/>
  <c r="H274" i="38"/>
  <c r="I274" i="38" s="1"/>
  <c r="J274" i="38" s="1"/>
  <c r="H75" i="36"/>
  <c r="I75" i="36" s="1"/>
  <c r="J75" i="36" s="1"/>
  <c r="H280" i="36"/>
  <c r="I280" i="36" s="1"/>
  <c r="H279" i="36"/>
  <c r="I279" i="36" s="1"/>
  <c r="H198" i="36"/>
  <c r="I198" i="36" s="1"/>
  <c r="J198" i="36" s="1"/>
  <c r="H303" i="36"/>
  <c r="I303" i="36" s="1"/>
  <c r="J303" i="36" s="1"/>
  <c r="H285" i="36"/>
  <c r="I285" i="36" s="1"/>
  <c r="H246" i="36"/>
  <c r="I246" i="36" s="1"/>
  <c r="J246" i="36" s="1"/>
  <c r="H151" i="36"/>
  <c r="I151" i="36" s="1"/>
  <c r="H111" i="36"/>
  <c r="I111" i="36" s="1"/>
  <c r="J111" i="36" s="1"/>
  <c r="H79" i="36"/>
  <c r="I79" i="36" s="1"/>
  <c r="J79" i="36" s="1"/>
  <c r="H71" i="36"/>
  <c r="I71" i="36" s="1"/>
  <c r="J71" i="36" s="1"/>
  <c r="H7" i="36"/>
  <c r="I7" i="36" s="1"/>
  <c r="J7" i="36" s="1"/>
  <c r="H221" i="36"/>
  <c r="I221" i="36" s="1"/>
  <c r="J221" i="36" s="1"/>
  <c r="H136" i="36"/>
  <c r="I136" i="36" s="1"/>
  <c r="J136" i="36" s="1"/>
  <c r="H313" i="36"/>
  <c r="I313" i="36" s="1"/>
  <c r="J313" i="36" s="1"/>
  <c r="H124" i="36"/>
  <c r="I124" i="36" s="1"/>
  <c r="H167" i="36"/>
  <c r="I167" i="36" s="1"/>
  <c r="H230" i="36"/>
  <c r="I230" i="36" s="1"/>
  <c r="J230" i="36" s="1"/>
  <c r="H47" i="36"/>
  <c r="I47" i="36" s="1"/>
  <c r="J47" i="36" s="1"/>
  <c r="H238" i="36"/>
  <c r="I238" i="36" s="1"/>
  <c r="J238" i="36" s="1"/>
  <c r="H262" i="36"/>
  <c r="I262" i="36" s="1"/>
  <c r="J262" i="36" s="1"/>
  <c r="H269" i="36"/>
  <c r="I269" i="36" s="1"/>
  <c r="J269" i="36" s="1"/>
  <c r="H159" i="36"/>
  <c r="I159" i="36" s="1"/>
  <c r="J159" i="36" s="1"/>
  <c r="H296" i="36"/>
  <c r="I296" i="36" s="1"/>
  <c r="H272" i="36"/>
  <c r="I272" i="36" s="1"/>
  <c r="H249" i="36"/>
  <c r="I249" i="36" s="1"/>
  <c r="J249" i="36" s="1"/>
  <c r="H241" i="36"/>
  <c r="I241" i="36" s="1"/>
  <c r="J241" i="36" s="1"/>
  <c r="H186" i="36"/>
  <c r="I186" i="36" s="1"/>
  <c r="J186" i="36" s="1"/>
  <c r="H138" i="36"/>
  <c r="I138" i="36" s="1"/>
  <c r="J138" i="36" s="1"/>
  <c r="H98" i="36"/>
  <c r="I98" i="36" s="1"/>
  <c r="H90" i="36"/>
  <c r="I90" i="36" s="1"/>
  <c r="J90" i="36" s="1"/>
  <c r="H42" i="36"/>
  <c r="I42" i="36" s="1"/>
  <c r="J42" i="36" s="1"/>
  <c r="H34" i="36"/>
  <c r="I34" i="36" s="1"/>
  <c r="J34" i="36" s="1"/>
  <c r="H18" i="36"/>
  <c r="I18" i="36" s="1"/>
  <c r="J18" i="36" s="1"/>
  <c r="H10" i="36"/>
  <c r="I10" i="36" s="1"/>
  <c r="J10" i="36" s="1"/>
  <c r="H103" i="36"/>
  <c r="I103" i="36" s="1"/>
  <c r="H222" i="36"/>
  <c r="I222" i="36" s="1"/>
  <c r="J222" i="36" s="1"/>
  <c r="H119" i="36"/>
  <c r="I119" i="36" s="1"/>
  <c r="H143" i="36"/>
  <c r="I143" i="36" s="1"/>
  <c r="H214" i="36"/>
  <c r="I214" i="36" s="1"/>
  <c r="J214" i="36" s="1"/>
  <c r="H55" i="36"/>
  <c r="I55" i="36" s="1"/>
  <c r="J55" i="36" s="1"/>
  <c r="H254" i="36"/>
  <c r="I254" i="36" s="1"/>
  <c r="J254" i="36" s="1"/>
  <c r="H263" i="36"/>
  <c r="I263" i="36" s="1"/>
  <c r="J263" i="36" s="1"/>
  <c r="H23" i="36"/>
  <c r="I23" i="36" s="1"/>
  <c r="J23" i="36" s="1"/>
  <c r="H158" i="36"/>
  <c r="I158" i="36" s="1"/>
  <c r="J158" i="36" s="1"/>
  <c r="H282" i="36"/>
  <c r="I282" i="36" s="1"/>
  <c r="J282" i="36" s="1"/>
  <c r="H28" i="36"/>
  <c r="I28" i="36" s="1"/>
  <c r="H265" i="36"/>
  <c r="I265" i="36" s="1"/>
  <c r="J265" i="36" s="1"/>
  <c r="H250" i="36"/>
  <c r="I250" i="36" s="1"/>
  <c r="J250" i="36" s="1"/>
  <c r="H226" i="36"/>
  <c r="I226" i="36" s="1"/>
  <c r="H203" i="36"/>
  <c r="I203" i="36" s="1"/>
  <c r="J203" i="36" s="1"/>
  <c r="H155" i="36"/>
  <c r="I155" i="36" s="1"/>
  <c r="J155" i="36" s="1"/>
  <c r="H147" i="36"/>
  <c r="I147" i="36" s="1"/>
  <c r="J147" i="36" s="1"/>
  <c r="H131" i="36"/>
  <c r="I131" i="36" s="1"/>
  <c r="H115" i="36"/>
  <c r="I115" i="36" s="1"/>
  <c r="J115" i="36" s="1"/>
  <c r="H99" i="36"/>
  <c r="I99" i="36" s="1"/>
  <c r="J99" i="36" s="1"/>
  <c r="H83" i="36"/>
  <c r="I83" i="36" s="1"/>
  <c r="J83" i="36" s="1"/>
  <c r="H67" i="36"/>
  <c r="I67" i="36" s="1"/>
  <c r="J67" i="36" s="1"/>
  <c r="H43" i="36"/>
  <c r="I43" i="36" s="1"/>
  <c r="J43" i="36" s="1"/>
  <c r="H35" i="36"/>
  <c r="I35" i="36" s="1"/>
  <c r="J35" i="36" s="1"/>
  <c r="H27" i="36"/>
  <c r="I27" i="36" s="1"/>
  <c r="J27" i="36" s="1"/>
  <c r="H11" i="36"/>
  <c r="I11" i="36" s="1"/>
  <c r="J11" i="36" s="1"/>
  <c r="H69" i="36"/>
  <c r="I69" i="36" s="1"/>
  <c r="J69" i="36" s="1"/>
  <c r="H194" i="36"/>
  <c r="I194" i="36" s="1"/>
  <c r="J194" i="36" s="1"/>
  <c r="H77" i="36"/>
  <c r="I77" i="36" s="1"/>
  <c r="J77" i="36" s="1"/>
  <c r="H232" i="36"/>
  <c r="I232" i="36" s="1"/>
  <c r="J232" i="36" s="1"/>
  <c r="H51" i="36"/>
  <c r="I51" i="36" s="1"/>
  <c r="J51" i="36" s="1"/>
  <c r="H148" i="36"/>
  <c r="I148" i="36" s="1"/>
  <c r="J148" i="36" s="1"/>
  <c r="H59" i="36"/>
  <c r="I59" i="36" s="1"/>
  <c r="J59" i="36" s="1"/>
  <c r="H234" i="36"/>
  <c r="I234" i="36" s="1"/>
  <c r="H298" i="36"/>
  <c r="I298" i="36" s="1"/>
  <c r="J298" i="36" s="1"/>
  <c r="H305" i="36"/>
  <c r="I305" i="36" s="1"/>
  <c r="J305" i="36" s="1"/>
  <c r="H259" i="36"/>
  <c r="I259" i="36" s="1"/>
  <c r="J259" i="36" s="1"/>
  <c r="H123" i="36"/>
  <c r="I123" i="36" s="1"/>
  <c r="H273" i="36"/>
  <c r="I273" i="36" s="1"/>
  <c r="I256" i="36"/>
  <c r="J256" i="36" s="1"/>
  <c r="H279" i="38"/>
  <c r="I279" i="38" s="1"/>
  <c r="J279" i="38" s="1"/>
  <c r="H241" i="38"/>
  <c r="I241" i="38" s="1"/>
  <c r="J241" i="38" s="1"/>
  <c r="H12" i="38"/>
  <c r="I12" i="38" s="1"/>
  <c r="J12" i="38" s="1"/>
  <c r="H116" i="38"/>
  <c r="I116" i="38" s="1"/>
  <c r="H140" i="38"/>
  <c r="I140" i="38" s="1"/>
  <c r="H259" i="38"/>
  <c r="I259" i="38" s="1"/>
  <c r="J259" i="38" s="1"/>
  <c r="H148" i="38"/>
  <c r="I148" i="38" s="1"/>
  <c r="J148" i="38" s="1"/>
  <c r="H227" i="38"/>
  <c r="I227" i="38" s="1"/>
  <c r="J227" i="38" s="1"/>
  <c r="H204" i="38"/>
  <c r="I204" i="38" s="1"/>
  <c r="J204" i="38" s="1"/>
  <c r="H194" i="38"/>
  <c r="I194" i="38" s="1"/>
  <c r="J194" i="38" s="1"/>
  <c r="H235" i="38"/>
  <c r="I235" i="38" s="1"/>
  <c r="J235" i="38" s="1"/>
  <c r="H266" i="38"/>
  <c r="I266" i="38" s="1"/>
  <c r="J266" i="38" s="1"/>
  <c r="H20" i="38"/>
  <c r="I20" i="38" s="1"/>
  <c r="J20" i="38" s="1"/>
  <c r="H44" i="38"/>
  <c r="I44" i="38" s="1"/>
  <c r="J44" i="38" s="1"/>
  <c r="H60" i="38"/>
  <c r="I60" i="38" s="1"/>
  <c r="J60" i="38" s="1"/>
  <c r="H74" i="38"/>
  <c r="I74" i="38" s="1"/>
  <c r="J74" i="38" s="1"/>
  <c r="H124" i="38"/>
  <c r="I124" i="38" s="1"/>
  <c r="H217" i="38"/>
  <c r="I217" i="38" s="1"/>
  <c r="J217" i="38" s="1"/>
  <c r="J11" i="39"/>
  <c r="J15" i="39"/>
  <c r="H4" i="39"/>
  <c r="H22" i="39"/>
  <c r="I22" i="39" s="1"/>
  <c r="H80" i="39"/>
  <c r="I80" i="39" s="1"/>
  <c r="H8" i="39"/>
  <c r="I8" i="39" s="1"/>
  <c r="H10" i="39"/>
  <c r="I10" i="39" s="1"/>
  <c r="H12" i="39"/>
  <c r="I12" i="39" s="1"/>
  <c r="H14" i="39"/>
  <c r="I14" i="39" s="1"/>
  <c r="H99" i="39"/>
  <c r="I99" i="39" s="1"/>
  <c r="H106" i="39"/>
  <c r="I106" i="39" s="1"/>
  <c r="H116" i="39"/>
  <c r="I116" i="39" s="1"/>
  <c r="H5" i="39"/>
  <c r="I5" i="39" s="1"/>
  <c r="H28" i="39"/>
  <c r="I28" i="39" s="1"/>
  <c r="H41" i="39"/>
  <c r="I41" i="39" s="1"/>
  <c r="H23" i="39"/>
  <c r="I23" i="39" s="1"/>
  <c r="H6" i="39"/>
  <c r="I6" i="39" s="1"/>
  <c r="H24" i="39"/>
  <c r="I24" i="39" s="1"/>
  <c r="H27" i="39"/>
  <c r="I27" i="39" s="1"/>
  <c r="H64" i="39"/>
  <c r="I64" i="39" s="1"/>
  <c r="H9" i="39"/>
  <c r="I9" i="39" s="1"/>
  <c r="H13" i="39"/>
  <c r="I13" i="39" s="1"/>
  <c r="H20" i="39"/>
  <c r="I20" i="39" s="1"/>
  <c r="H29" i="39"/>
  <c r="I29" i="39" s="1"/>
  <c r="H36" i="39"/>
  <c r="I36" i="39" s="1"/>
  <c r="H68" i="39"/>
  <c r="I68" i="39" s="1"/>
  <c r="H31" i="39"/>
  <c r="I31" i="39" s="1"/>
  <c r="H18" i="39"/>
  <c r="I18" i="39" s="1"/>
  <c r="H40" i="39"/>
  <c r="I40" i="39" s="1"/>
  <c r="H72" i="39"/>
  <c r="I72" i="39" s="1"/>
  <c r="H104" i="39"/>
  <c r="I104" i="39" s="1"/>
  <c r="H113" i="39"/>
  <c r="I113" i="39" s="1"/>
  <c r="H76" i="39"/>
  <c r="I76" i="39" s="1"/>
  <c r="H37" i="39"/>
  <c r="I37" i="39" s="1"/>
  <c r="H44" i="39"/>
  <c r="I44" i="39" s="1"/>
  <c r="H52" i="39"/>
  <c r="I52" i="39" s="1"/>
  <c r="H74" i="39"/>
  <c r="I74" i="39" s="1"/>
  <c r="H108" i="39"/>
  <c r="I108" i="39" s="1"/>
  <c r="H135" i="39"/>
  <c r="I135" i="39" s="1"/>
  <c r="H35" i="39"/>
  <c r="I35" i="39" s="1"/>
  <c r="H39" i="39"/>
  <c r="I39" i="39" s="1"/>
  <c r="H43" i="39"/>
  <c r="I43" i="39" s="1"/>
  <c r="H47" i="39"/>
  <c r="I47" i="39" s="1"/>
  <c r="H51" i="39"/>
  <c r="I51" i="39" s="1"/>
  <c r="H55" i="39"/>
  <c r="I55" i="39" s="1"/>
  <c r="H59" i="39"/>
  <c r="I59" i="39" s="1"/>
  <c r="H63" i="39"/>
  <c r="I63" i="39" s="1"/>
  <c r="H67" i="39"/>
  <c r="I67" i="39" s="1"/>
  <c r="H71" i="39"/>
  <c r="I71" i="39" s="1"/>
  <c r="H75" i="39"/>
  <c r="I75" i="39" s="1"/>
  <c r="H84" i="39"/>
  <c r="I84" i="39" s="1"/>
  <c r="H100" i="39"/>
  <c r="I100" i="39" s="1"/>
  <c r="H86" i="39"/>
  <c r="I86" i="39" s="1"/>
  <c r="H93" i="39"/>
  <c r="I93" i="39" s="1"/>
  <c r="I109" i="39"/>
  <c r="J125" i="39"/>
  <c r="H87" i="39"/>
  <c r="I87" i="39" s="1"/>
  <c r="H82" i="39"/>
  <c r="I82" i="39" s="1"/>
  <c r="H90" i="39"/>
  <c r="I90" i="39" s="1"/>
  <c r="H91" i="39"/>
  <c r="I91" i="39" s="1"/>
  <c r="H115" i="39"/>
  <c r="I115" i="39" s="1"/>
  <c r="H130" i="39"/>
  <c r="I130" i="39" s="1"/>
  <c r="H132" i="39"/>
  <c r="I132" i="39" s="1"/>
  <c r="H124" i="39"/>
  <c r="I124" i="39" s="1"/>
  <c r="H144" i="39"/>
  <c r="I144" i="39" s="1"/>
  <c r="H179" i="39"/>
  <c r="I179" i="39" s="1"/>
  <c r="H112" i="39"/>
  <c r="I112" i="39" s="1"/>
  <c r="H136" i="39"/>
  <c r="I136" i="39" s="1"/>
  <c r="H143" i="39"/>
  <c r="I143" i="39" s="1"/>
  <c r="J173" i="39"/>
  <c r="H138" i="39"/>
  <c r="I138" i="39" s="1"/>
  <c r="H160" i="39"/>
  <c r="I160" i="39" s="1"/>
  <c r="H161" i="39"/>
  <c r="I161" i="39" s="1"/>
  <c r="H170" i="39"/>
  <c r="I170" i="39" s="1"/>
  <c r="H175" i="39"/>
  <c r="I175" i="39" s="1"/>
  <c r="H176" i="39"/>
  <c r="I176" i="39" s="1"/>
  <c r="J145" i="39"/>
  <c r="H169" i="39"/>
  <c r="I169" i="39" s="1"/>
  <c r="H191" i="39"/>
  <c r="I191" i="39" s="1"/>
  <c r="H140" i="39"/>
  <c r="I140" i="39" s="1"/>
  <c r="H150" i="39"/>
  <c r="I150" i="39" s="1"/>
  <c r="H151" i="39"/>
  <c r="I151" i="39" s="1"/>
  <c r="H152" i="39"/>
  <c r="I152" i="39" s="1"/>
  <c r="H184" i="39"/>
  <c r="I184" i="39" s="1"/>
  <c r="H213" i="39"/>
  <c r="I213" i="39" s="1"/>
  <c r="J233" i="39"/>
  <c r="H202" i="39"/>
  <c r="I202" i="39" s="1"/>
  <c r="H209" i="39"/>
  <c r="I209" i="39" s="1"/>
  <c r="H190" i="39"/>
  <c r="I190" i="39" s="1"/>
  <c r="H182" i="39"/>
  <c r="I182" i="39" s="1"/>
  <c r="H259" i="39"/>
  <c r="I259" i="39" s="1"/>
  <c r="H168" i="39"/>
  <c r="I168" i="39" s="1"/>
  <c r="H188" i="39"/>
  <c r="I188" i="39" s="1"/>
  <c r="H189" i="39"/>
  <c r="I189" i="39" s="1"/>
  <c r="H146" i="39"/>
  <c r="I146" i="39" s="1"/>
  <c r="H154" i="39"/>
  <c r="I154" i="39" s="1"/>
  <c r="I156" i="39"/>
  <c r="H162" i="39"/>
  <c r="I162" i="39" s="1"/>
  <c r="H174" i="39"/>
  <c r="I174" i="39" s="1"/>
  <c r="H219" i="39"/>
  <c r="I219" i="39" s="1"/>
  <c r="H220" i="39"/>
  <c r="I220" i="39" s="1"/>
  <c r="H224" i="39"/>
  <c r="I224" i="39" s="1"/>
  <c r="H254" i="39"/>
  <c r="I254" i="39" s="1"/>
  <c r="H192" i="39"/>
  <c r="I192" i="39" s="1"/>
  <c r="H206" i="39"/>
  <c r="I206" i="39" s="1"/>
  <c r="H217" i="39"/>
  <c r="I217" i="39" s="1"/>
  <c r="H237" i="39"/>
  <c r="I237" i="39" s="1"/>
  <c r="H271" i="39"/>
  <c r="I271" i="39" s="1"/>
  <c r="H285" i="39"/>
  <c r="I285" i="39" s="1"/>
  <c r="H178" i="39"/>
  <c r="I178" i="39" s="1"/>
  <c r="H185" i="39"/>
  <c r="I185" i="39" s="1"/>
  <c r="H193" i="39"/>
  <c r="I193" i="39" s="1"/>
  <c r="H200" i="39"/>
  <c r="I200" i="39" s="1"/>
  <c r="H221" i="39"/>
  <c r="I221" i="39" s="1"/>
  <c r="H283" i="39"/>
  <c r="I283" i="39" s="1"/>
  <c r="H186" i="39"/>
  <c r="I186" i="39" s="1"/>
  <c r="H194" i="39"/>
  <c r="I194" i="39" s="1"/>
  <c r="H198" i="39"/>
  <c r="I198" i="39" s="1"/>
  <c r="H211" i="39"/>
  <c r="I211" i="39" s="1"/>
  <c r="H212" i="39"/>
  <c r="I212" i="39" s="1"/>
  <c r="H225" i="39"/>
  <c r="I225" i="39" s="1"/>
  <c r="H298" i="39"/>
  <c r="I298" i="39" s="1"/>
  <c r="H242" i="39"/>
  <c r="I242" i="39" s="1"/>
  <c r="J256" i="39"/>
  <c r="H292" i="39"/>
  <c r="I292" i="39" s="1"/>
  <c r="H239" i="39"/>
  <c r="I239" i="39" s="1"/>
  <c r="H272" i="39"/>
  <c r="I272" i="39" s="1"/>
  <c r="H230" i="39"/>
  <c r="I230" i="39" s="1"/>
  <c r="H241" i="39"/>
  <c r="I241" i="39" s="1"/>
  <c r="H246" i="39"/>
  <c r="I246" i="39" s="1"/>
  <c r="H227" i="39"/>
  <c r="I227" i="39" s="1"/>
  <c r="H249" i="39"/>
  <c r="I249" i="39" s="1"/>
  <c r="H251" i="39"/>
  <c r="I251" i="39" s="1"/>
  <c r="H276" i="39"/>
  <c r="I276" i="39" s="1"/>
  <c r="H279" i="39"/>
  <c r="I279" i="39" s="1"/>
  <c r="H267" i="39"/>
  <c r="I267" i="39" s="1"/>
  <c r="H278" i="39"/>
  <c r="I278" i="39" s="1"/>
  <c r="H250" i="39"/>
  <c r="I250" i="39" s="1"/>
  <c r="H258" i="39"/>
  <c r="I258" i="39" s="1"/>
  <c r="H264" i="39"/>
  <c r="I264" i="39" s="1"/>
  <c r="H265" i="39"/>
  <c r="I265" i="39" s="1"/>
  <c r="H304" i="39"/>
  <c r="I304" i="39" s="1"/>
  <c r="H247" i="39"/>
  <c r="I247" i="39" s="1"/>
  <c r="H253" i="39"/>
  <c r="I253" i="39" s="1"/>
  <c r="H255" i="39"/>
  <c r="I255" i="39" s="1"/>
  <c r="H266" i="39"/>
  <c r="I266" i="39" s="1"/>
  <c r="H287" i="39"/>
  <c r="I287" i="39" s="1"/>
  <c r="H306" i="39"/>
  <c r="I306" i="39" s="1"/>
  <c r="H273" i="39"/>
  <c r="I273" i="39" s="1"/>
  <c r="H274" i="39"/>
  <c r="I274" i="39" s="1"/>
  <c r="H263" i="39"/>
  <c r="I263" i="39" s="1"/>
  <c r="H270" i="39"/>
  <c r="I270" i="39" s="1"/>
  <c r="H282" i="39"/>
  <c r="I282" i="39" s="1"/>
  <c r="H288" i="39"/>
  <c r="I288" i="39" s="1"/>
  <c r="H310" i="39"/>
  <c r="I310" i="39" s="1"/>
  <c r="H303" i="39"/>
  <c r="I303" i="39" s="1"/>
  <c r="H314" i="39"/>
  <c r="I314" i="39" s="1"/>
  <c r="H302" i="39"/>
  <c r="I302" i="39" s="1"/>
  <c r="H305" i="39"/>
  <c r="I305" i="39" s="1"/>
  <c r="H309" i="39"/>
  <c r="I309" i="39" s="1"/>
  <c r="H313" i="39"/>
  <c r="I313" i="39" s="1"/>
  <c r="H22" i="38"/>
  <c r="I22" i="38" s="1"/>
  <c r="H54" i="38"/>
  <c r="I54" i="38" s="1"/>
  <c r="H26" i="38"/>
  <c r="I26" i="38" s="1"/>
  <c r="H58" i="38"/>
  <c r="I58" i="38" s="1"/>
  <c r="H127" i="38"/>
  <c r="I127" i="38" s="1"/>
  <c r="H62" i="38"/>
  <c r="I62" i="38" s="1"/>
  <c r="H23" i="38"/>
  <c r="I23" i="38" s="1"/>
  <c r="H34" i="38"/>
  <c r="I34" i="38" s="1"/>
  <c r="H55" i="38"/>
  <c r="I55" i="38" s="1"/>
  <c r="H177" i="38"/>
  <c r="I177" i="38" s="1"/>
  <c r="H19" i="38"/>
  <c r="I19" i="38" s="1"/>
  <c r="H6" i="38"/>
  <c r="I6" i="38" s="1"/>
  <c r="H38" i="38"/>
  <c r="I38" i="38" s="1"/>
  <c r="H59" i="38"/>
  <c r="I59" i="38" s="1"/>
  <c r="H128" i="38"/>
  <c r="I128" i="38" s="1"/>
  <c r="H132" i="38"/>
  <c r="I132" i="38" s="1"/>
  <c r="H51" i="38"/>
  <c r="I51" i="38" s="1"/>
  <c r="H10" i="38"/>
  <c r="I10" i="38" s="1"/>
  <c r="H31" i="38"/>
  <c r="I31" i="38" s="1"/>
  <c r="H42" i="38"/>
  <c r="I42" i="38" s="1"/>
  <c r="H63" i="38"/>
  <c r="I63" i="38" s="1"/>
  <c r="H113" i="38"/>
  <c r="I113" i="38" s="1"/>
  <c r="H30" i="38"/>
  <c r="I30" i="38" s="1"/>
  <c r="I11" i="38"/>
  <c r="H14" i="38"/>
  <c r="I14" i="38" s="1"/>
  <c r="H35" i="38"/>
  <c r="I35" i="38" s="1"/>
  <c r="H46" i="38"/>
  <c r="I46" i="38" s="1"/>
  <c r="H66" i="38"/>
  <c r="I66" i="38" s="1"/>
  <c r="H118" i="38"/>
  <c r="I118" i="38" s="1"/>
  <c r="H7" i="38"/>
  <c r="I7" i="38" s="1"/>
  <c r="I15" i="38"/>
  <c r="H18" i="38"/>
  <c r="I18" i="38" s="1"/>
  <c r="H39" i="38"/>
  <c r="I39" i="38" s="1"/>
  <c r="H50" i="38"/>
  <c r="I50" i="38" s="1"/>
  <c r="H72" i="38"/>
  <c r="I72" i="38" s="1"/>
  <c r="H135" i="38"/>
  <c r="I135" i="38" s="1"/>
  <c r="H82" i="38"/>
  <c r="I82" i="38" s="1"/>
  <c r="H83" i="38"/>
  <c r="I83" i="38" s="1"/>
  <c r="H98" i="38"/>
  <c r="I98" i="38" s="1"/>
  <c r="H76" i="38"/>
  <c r="I76" i="38" s="1"/>
  <c r="H77" i="38"/>
  <c r="I77" i="38" s="1"/>
  <c r="H80" i="38"/>
  <c r="I80" i="38" s="1"/>
  <c r="H90" i="38"/>
  <c r="I90" i="38" s="1"/>
  <c r="H91" i="38"/>
  <c r="I91" i="38" s="1"/>
  <c r="H139" i="38"/>
  <c r="I139" i="38" s="1"/>
  <c r="H166" i="38"/>
  <c r="I166" i="38" s="1"/>
  <c r="H68" i="38"/>
  <c r="I68" i="38" s="1"/>
  <c r="H84" i="38"/>
  <c r="I84" i="38" s="1"/>
  <c r="H95" i="38"/>
  <c r="I95" i="38" s="1"/>
  <c r="H109" i="38"/>
  <c r="I109" i="38" s="1"/>
  <c r="H126" i="38"/>
  <c r="I126" i="38" s="1"/>
  <c r="H130" i="38"/>
  <c r="I130" i="38" s="1"/>
  <c r="H157" i="38"/>
  <c r="I157" i="38" s="1"/>
  <c r="H88" i="38"/>
  <c r="I88" i="38" s="1"/>
  <c r="H100" i="38"/>
  <c r="I100" i="38" s="1"/>
  <c r="H120" i="38"/>
  <c r="I120" i="38" s="1"/>
  <c r="J125" i="38"/>
  <c r="H5" i="38"/>
  <c r="H9" i="38"/>
  <c r="I9" i="38" s="1"/>
  <c r="H13" i="38"/>
  <c r="I13" i="38" s="1"/>
  <c r="H17" i="38"/>
  <c r="I17" i="38" s="1"/>
  <c r="H21" i="38"/>
  <c r="I21" i="38" s="1"/>
  <c r="H25" i="38"/>
  <c r="I25" i="38" s="1"/>
  <c r="H29" i="38"/>
  <c r="I29" i="38" s="1"/>
  <c r="H33" i="38"/>
  <c r="I33" i="38" s="1"/>
  <c r="H37" i="38"/>
  <c r="I37" i="38" s="1"/>
  <c r="H41" i="38"/>
  <c r="I41" i="38" s="1"/>
  <c r="H45" i="38"/>
  <c r="I45" i="38" s="1"/>
  <c r="H49" i="38"/>
  <c r="I49" i="38" s="1"/>
  <c r="H53" i="38"/>
  <c r="I53" i="38" s="1"/>
  <c r="H57" i="38"/>
  <c r="I57" i="38" s="1"/>
  <c r="H61" i="38"/>
  <c r="I61" i="38" s="1"/>
  <c r="H65" i="38"/>
  <c r="I65" i="38" s="1"/>
  <c r="H92" i="38"/>
  <c r="I92" i="38" s="1"/>
  <c r="H96" i="38"/>
  <c r="I96" i="38" s="1"/>
  <c r="H111" i="38"/>
  <c r="I111" i="38" s="1"/>
  <c r="H119" i="38"/>
  <c r="I119" i="38" s="1"/>
  <c r="H151" i="38"/>
  <c r="I151" i="38" s="1"/>
  <c r="H146" i="38"/>
  <c r="I146" i="38" s="1"/>
  <c r="H142" i="38"/>
  <c r="I142" i="38" s="1"/>
  <c r="H147" i="38"/>
  <c r="I147" i="38" s="1"/>
  <c r="H181" i="38"/>
  <c r="I181" i="38" s="1"/>
  <c r="H143" i="38"/>
  <c r="I143" i="38" s="1"/>
  <c r="H149" i="38"/>
  <c r="I149" i="38" s="1"/>
  <c r="H174" i="38"/>
  <c r="I174" i="38" s="1"/>
  <c r="H211" i="38"/>
  <c r="I211" i="38" s="1"/>
  <c r="H131" i="38"/>
  <c r="I131" i="38" s="1"/>
  <c r="H180" i="38"/>
  <c r="I180" i="38" s="1"/>
  <c r="H201" i="38"/>
  <c r="I201" i="38" s="1"/>
  <c r="H115" i="38"/>
  <c r="I115" i="38" s="1"/>
  <c r="H123" i="38"/>
  <c r="I123" i="38" s="1"/>
  <c r="H155" i="38"/>
  <c r="I155" i="38" s="1"/>
  <c r="J173" i="38"/>
  <c r="H188" i="38"/>
  <c r="I188" i="38" s="1"/>
  <c r="H179" i="38"/>
  <c r="I179" i="38" s="1"/>
  <c r="H184" i="38"/>
  <c r="I184" i="38" s="1"/>
  <c r="H162" i="38"/>
  <c r="I162" i="38" s="1"/>
  <c r="H246" i="38"/>
  <c r="I246" i="38" s="1"/>
  <c r="H265" i="38"/>
  <c r="I265" i="38" s="1"/>
  <c r="H158" i="38"/>
  <c r="I158" i="38" s="1"/>
  <c r="H164" i="38"/>
  <c r="I164" i="38" s="1"/>
  <c r="H176" i="38"/>
  <c r="I176" i="38" s="1"/>
  <c r="H197" i="38"/>
  <c r="I197" i="38" s="1"/>
  <c r="H154" i="38"/>
  <c r="I154" i="38" s="1"/>
  <c r="H172" i="38"/>
  <c r="I172" i="38" s="1"/>
  <c r="H175" i="38"/>
  <c r="I175" i="38" s="1"/>
  <c r="H186" i="38"/>
  <c r="I186" i="38" s="1"/>
  <c r="H150" i="38"/>
  <c r="I150" i="38" s="1"/>
  <c r="H167" i="38"/>
  <c r="I167" i="38" s="1"/>
  <c r="H203" i="38"/>
  <c r="I203" i="38" s="1"/>
  <c r="H243" i="38"/>
  <c r="I243" i="38" s="1"/>
  <c r="H168" i="38"/>
  <c r="I168" i="38" s="1"/>
  <c r="H193" i="38"/>
  <c r="I193" i="38" s="1"/>
  <c r="H199" i="38"/>
  <c r="I199" i="38" s="1"/>
  <c r="H229" i="38"/>
  <c r="I229" i="38" s="1"/>
  <c r="J239" i="38"/>
  <c r="H196" i="38"/>
  <c r="I196" i="38" s="1"/>
  <c r="H231" i="38"/>
  <c r="I231" i="38" s="1"/>
  <c r="H185" i="38"/>
  <c r="I185" i="38" s="1"/>
  <c r="H295" i="38"/>
  <c r="I295" i="38" s="1"/>
  <c r="H192" i="38"/>
  <c r="I192" i="38" s="1"/>
  <c r="H198" i="38"/>
  <c r="I198" i="38" s="1"/>
  <c r="H226" i="38"/>
  <c r="I226" i="38" s="1"/>
  <c r="H238" i="38"/>
  <c r="I238" i="38" s="1"/>
  <c r="H248" i="38"/>
  <c r="I248" i="38" s="1"/>
  <c r="H309" i="38"/>
  <c r="I309" i="38" s="1"/>
  <c r="H253" i="38"/>
  <c r="I253" i="38" s="1"/>
  <c r="H212" i="38"/>
  <c r="I212" i="38" s="1"/>
  <c r="H222" i="38"/>
  <c r="I222" i="38" s="1"/>
  <c r="H277" i="38"/>
  <c r="I277" i="38" s="1"/>
  <c r="H218" i="38"/>
  <c r="I218" i="38" s="1"/>
  <c r="H234" i="38"/>
  <c r="I234" i="38" s="1"/>
  <c r="H250" i="38"/>
  <c r="I250" i="38" s="1"/>
  <c r="H213" i="38"/>
  <c r="I213" i="38" s="1"/>
  <c r="H270" i="38"/>
  <c r="I270" i="38" s="1"/>
  <c r="H206" i="38"/>
  <c r="I206" i="38" s="1"/>
  <c r="H221" i="38"/>
  <c r="I221" i="38" s="1"/>
  <c r="H230" i="38"/>
  <c r="I230" i="38" s="1"/>
  <c r="H242" i="38"/>
  <c r="I242" i="38" s="1"/>
  <c r="H262" i="38"/>
  <c r="I262" i="38" s="1"/>
  <c r="H258" i="38"/>
  <c r="I258" i="38" s="1"/>
  <c r="H263" i="38"/>
  <c r="I263" i="38" s="1"/>
  <c r="H225" i="38"/>
  <c r="I225" i="38" s="1"/>
  <c r="I256" i="38"/>
  <c r="H260" i="38"/>
  <c r="I260" i="38" s="1"/>
  <c r="H272" i="38"/>
  <c r="I272" i="38" s="1"/>
  <c r="H254" i="38"/>
  <c r="I254" i="38" s="1"/>
  <c r="H269" i="38"/>
  <c r="I269" i="38" s="1"/>
  <c r="H284" i="38"/>
  <c r="I284" i="38" s="1"/>
  <c r="H285" i="38"/>
  <c r="I285" i="38" s="1"/>
  <c r="H286" i="38"/>
  <c r="I286" i="38" s="1"/>
  <c r="H289" i="38"/>
  <c r="I289" i="38" s="1"/>
  <c r="H300" i="38"/>
  <c r="I300" i="38" s="1"/>
  <c r="H290" i="38"/>
  <c r="I290" i="38" s="1"/>
  <c r="H305" i="38"/>
  <c r="I305" i="38" s="1"/>
  <c r="H280" i="38"/>
  <c r="I280" i="38" s="1"/>
  <c r="H288" i="38"/>
  <c r="I288" i="38" s="1"/>
  <c r="H307" i="38"/>
  <c r="I307" i="38" s="1"/>
  <c r="H313" i="38"/>
  <c r="I313" i="38" s="1"/>
  <c r="H276" i="38"/>
  <c r="I276" i="38" s="1"/>
  <c r="H294" i="38"/>
  <c r="I294" i="38" s="1"/>
  <c r="H303" i="38"/>
  <c r="I303" i="38" s="1"/>
  <c r="H278" i="38"/>
  <c r="I278" i="38" s="1"/>
  <c r="H302" i="38"/>
  <c r="I302" i="38" s="1"/>
  <c r="H315" i="38"/>
  <c r="I315" i="38" s="1"/>
  <c r="H282" i="38"/>
  <c r="I282" i="38" s="1"/>
  <c r="H287" i="38"/>
  <c r="I287" i="38" s="1"/>
  <c r="H298" i="38"/>
  <c r="I298" i="38" s="1"/>
  <c r="H310" i="38"/>
  <c r="I310" i="38" s="1"/>
  <c r="H299" i="38"/>
  <c r="I299" i="38" s="1"/>
  <c r="H306" i="38"/>
  <c r="I306" i="38" s="1"/>
  <c r="H314" i="38"/>
  <c r="I314" i="38" s="1"/>
  <c r="H4" i="36"/>
  <c r="H74" i="36"/>
  <c r="I74" i="36" s="1"/>
  <c r="H8" i="36"/>
  <c r="I8" i="36" s="1"/>
  <c r="J15" i="36"/>
  <c r="H37" i="36"/>
  <c r="I37" i="36" s="1"/>
  <c r="H39" i="36"/>
  <c r="I39" i="36" s="1"/>
  <c r="H19" i="36"/>
  <c r="I19" i="36" s="1"/>
  <c r="H30" i="36"/>
  <c r="I30" i="36" s="1"/>
  <c r="H36" i="36"/>
  <c r="I36" i="36" s="1"/>
  <c r="H58" i="36"/>
  <c r="I58" i="36" s="1"/>
  <c r="H54" i="36"/>
  <c r="I54" i="36" s="1"/>
  <c r="H12" i="36"/>
  <c r="I12" i="36" s="1"/>
  <c r="H16" i="36"/>
  <c r="I16" i="36" s="1"/>
  <c r="H20" i="36"/>
  <c r="I20" i="36" s="1"/>
  <c r="H24" i="36"/>
  <c r="I24" i="36" s="1"/>
  <c r="H38" i="36"/>
  <c r="I38" i="36" s="1"/>
  <c r="H41" i="36"/>
  <c r="I41" i="36" s="1"/>
  <c r="H50" i="36"/>
  <c r="I50" i="36" s="1"/>
  <c r="H70" i="36"/>
  <c r="I70" i="36" s="1"/>
  <c r="H31" i="36"/>
  <c r="I31" i="36" s="1"/>
  <c r="H95" i="36"/>
  <c r="I95" i="36" s="1"/>
  <c r="H88" i="36"/>
  <c r="I88" i="36" s="1"/>
  <c r="H46" i="36"/>
  <c r="I46" i="36" s="1"/>
  <c r="H61" i="36"/>
  <c r="I61" i="36" s="1"/>
  <c r="H63" i="36"/>
  <c r="I63" i="36" s="1"/>
  <c r="H81" i="36"/>
  <c r="I81" i="36" s="1"/>
  <c r="H160" i="36"/>
  <c r="I160" i="36" s="1"/>
  <c r="H76" i="36"/>
  <c r="I76" i="36" s="1"/>
  <c r="H80" i="36"/>
  <c r="I80" i="36" s="1"/>
  <c r="H87" i="36"/>
  <c r="I87" i="36" s="1"/>
  <c r="H105" i="36"/>
  <c r="I105" i="36" s="1"/>
  <c r="H107" i="36"/>
  <c r="I107" i="36" s="1"/>
  <c r="H121" i="36"/>
  <c r="I121" i="36" s="1"/>
  <c r="H45" i="36"/>
  <c r="I45" i="36" s="1"/>
  <c r="H49" i="36"/>
  <c r="I49" i="36" s="1"/>
  <c r="H53" i="36"/>
  <c r="I53" i="36" s="1"/>
  <c r="H57" i="36"/>
  <c r="I57" i="36" s="1"/>
  <c r="H68" i="36"/>
  <c r="I68" i="36" s="1"/>
  <c r="H85" i="36"/>
  <c r="I85" i="36" s="1"/>
  <c r="H66" i="36"/>
  <c r="I66" i="36" s="1"/>
  <c r="H91" i="36"/>
  <c r="I91" i="36" s="1"/>
  <c r="H93" i="36"/>
  <c r="I93" i="36" s="1"/>
  <c r="H97" i="36"/>
  <c r="I97" i="36" s="1"/>
  <c r="H101" i="36"/>
  <c r="I101" i="36" s="1"/>
  <c r="H113" i="36"/>
  <c r="I113" i="36" s="1"/>
  <c r="H116" i="36"/>
  <c r="I116" i="36" s="1"/>
  <c r="H129" i="36"/>
  <c r="I129" i="36" s="1"/>
  <c r="H40" i="36"/>
  <c r="I40" i="36" s="1"/>
  <c r="H44" i="36"/>
  <c r="I44" i="36" s="1"/>
  <c r="H48" i="36"/>
  <c r="I48" i="36" s="1"/>
  <c r="H52" i="36"/>
  <c r="I52" i="36" s="1"/>
  <c r="H56" i="36"/>
  <c r="I56" i="36" s="1"/>
  <c r="H60" i="36"/>
  <c r="I60" i="36" s="1"/>
  <c r="H72" i="36"/>
  <c r="I72" i="36" s="1"/>
  <c r="H114" i="36"/>
  <c r="I114" i="36" s="1"/>
  <c r="H128" i="36"/>
  <c r="I128" i="36" s="1"/>
  <c r="H132" i="36"/>
  <c r="I132" i="36" s="1"/>
  <c r="H62" i="36"/>
  <c r="I62" i="36" s="1"/>
  <c r="H78" i="36"/>
  <c r="I78" i="36" s="1"/>
  <c r="H84" i="36"/>
  <c r="I84" i="36" s="1"/>
  <c r="H150" i="36"/>
  <c r="I150" i="36" s="1"/>
  <c r="H92" i="36"/>
  <c r="I92" i="36" s="1"/>
  <c r="H96" i="36"/>
  <c r="I96" i="36" s="1"/>
  <c r="H100" i="36"/>
  <c r="I100" i="36" s="1"/>
  <c r="H110" i="36"/>
  <c r="I110" i="36" s="1"/>
  <c r="H117" i="36"/>
  <c r="I117" i="36" s="1"/>
  <c r="H122" i="36"/>
  <c r="I122" i="36" s="1"/>
  <c r="H139" i="36"/>
  <c r="I139" i="36" s="1"/>
  <c r="H140" i="36"/>
  <c r="I140" i="36" s="1"/>
  <c r="H108" i="36"/>
  <c r="I108" i="36" s="1"/>
  <c r="H125" i="36"/>
  <c r="I125" i="36" s="1"/>
  <c r="H126" i="36"/>
  <c r="I126" i="36" s="1"/>
  <c r="H133" i="36"/>
  <c r="I133" i="36" s="1"/>
  <c r="H135" i="36"/>
  <c r="I135" i="36" s="1"/>
  <c r="H153" i="36"/>
  <c r="I153" i="36" s="1"/>
  <c r="H142" i="36"/>
  <c r="I142" i="36" s="1"/>
  <c r="H144" i="36"/>
  <c r="I144" i="36" s="1"/>
  <c r="H146" i="36"/>
  <c r="I146" i="36" s="1"/>
  <c r="H165" i="36"/>
  <c r="I165" i="36" s="1"/>
  <c r="H172" i="36"/>
  <c r="I172" i="36" s="1"/>
  <c r="H190" i="36"/>
  <c r="I190" i="36" s="1"/>
  <c r="H196" i="36"/>
  <c r="I196" i="36" s="1"/>
  <c r="H217" i="36"/>
  <c r="I217" i="36" s="1"/>
  <c r="H152" i="36"/>
  <c r="I152" i="36" s="1"/>
  <c r="H163" i="36"/>
  <c r="I163" i="36" s="1"/>
  <c r="H149" i="36"/>
  <c r="I149" i="36" s="1"/>
  <c r="H180" i="36"/>
  <c r="I180" i="36" s="1"/>
  <c r="H187" i="36"/>
  <c r="I187" i="36" s="1"/>
  <c r="H224" i="36"/>
  <c r="I224" i="36" s="1"/>
  <c r="H212" i="36"/>
  <c r="I212" i="36" s="1"/>
  <c r="H164" i="36"/>
  <c r="I164" i="36" s="1"/>
  <c r="H173" i="36"/>
  <c r="I173" i="36" s="1"/>
  <c r="H192" i="36"/>
  <c r="I192" i="36" s="1"/>
  <c r="H199" i="36"/>
  <c r="I199" i="36" s="1"/>
  <c r="H208" i="36"/>
  <c r="I208" i="36" s="1"/>
  <c r="I156" i="36"/>
  <c r="H162" i="36"/>
  <c r="I162" i="36" s="1"/>
  <c r="H166" i="36"/>
  <c r="I166" i="36" s="1"/>
  <c r="H171" i="36"/>
  <c r="I171" i="36" s="1"/>
  <c r="H211" i="36"/>
  <c r="I211" i="36" s="1"/>
  <c r="H202" i="36"/>
  <c r="I202" i="36" s="1"/>
  <c r="H204" i="36"/>
  <c r="I204" i="36" s="1"/>
  <c r="H225" i="36"/>
  <c r="I225" i="36" s="1"/>
  <c r="H176" i="36"/>
  <c r="I176" i="36" s="1"/>
  <c r="H184" i="36"/>
  <c r="I184" i="36" s="1"/>
  <c r="H191" i="36"/>
  <c r="I191" i="36" s="1"/>
  <c r="H223" i="36"/>
  <c r="I223" i="36" s="1"/>
  <c r="H206" i="36"/>
  <c r="I206" i="36" s="1"/>
  <c r="H178" i="36"/>
  <c r="I178" i="36" s="1"/>
  <c r="H188" i="36"/>
  <c r="I188" i="36" s="1"/>
  <c r="H195" i="36"/>
  <c r="I195" i="36" s="1"/>
  <c r="H218" i="36"/>
  <c r="I218" i="36" s="1"/>
  <c r="H200" i="36"/>
  <c r="I200" i="36" s="1"/>
  <c r="H207" i="36"/>
  <c r="I207" i="36" s="1"/>
  <c r="H231" i="36"/>
  <c r="I231" i="36" s="1"/>
  <c r="H252" i="36"/>
  <c r="I252" i="36" s="1"/>
  <c r="H219" i="36"/>
  <c r="I219" i="36" s="1"/>
  <c r="J258" i="36"/>
  <c r="H261" i="36"/>
  <c r="I261" i="36" s="1"/>
  <c r="H227" i="36"/>
  <c r="I227" i="36" s="1"/>
  <c r="H243" i="36"/>
  <c r="I243" i="36" s="1"/>
  <c r="H175" i="36"/>
  <c r="I175" i="36" s="1"/>
  <c r="H179" i="36"/>
  <c r="I179" i="36" s="1"/>
  <c r="H183" i="36"/>
  <c r="I183" i="36" s="1"/>
  <c r="H213" i="36"/>
  <c r="I213" i="36" s="1"/>
  <c r="H244" i="36"/>
  <c r="I244" i="36" s="1"/>
  <c r="H215" i="36"/>
  <c r="I215" i="36" s="1"/>
  <c r="H220" i="36"/>
  <c r="I220" i="36" s="1"/>
  <c r="H235" i="36"/>
  <c r="I235" i="36" s="1"/>
  <c r="H248" i="36"/>
  <c r="I248" i="36" s="1"/>
  <c r="H242" i="36"/>
  <c r="I242" i="36" s="1"/>
  <c r="H239" i="36"/>
  <c r="I239" i="36" s="1"/>
  <c r="H289" i="36"/>
  <c r="I289" i="36" s="1"/>
  <c r="H247" i="36"/>
  <c r="I247" i="36" s="1"/>
  <c r="H251" i="36"/>
  <c r="I251" i="36" s="1"/>
  <c r="H257" i="36"/>
  <c r="I257" i="36" s="1"/>
  <c r="H277" i="36"/>
  <c r="I277" i="36" s="1"/>
  <c r="H253" i="36"/>
  <c r="I253" i="36" s="1"/>
  <c r="H266" i="36"/>
  <c r="I266" i="36" s="1"/>
  <c r="H255" i="36"/>
  <c r="I255" i="36" s="1"/>
  <c r="H270" i="36"/>
  <c r="I270" i="36" s="1"/>
  <c r="H275" i="36"/>
  <c r="I275" i="36" s="1"/>
  <c r="H276" i="36"/>
  <c r="I276" i="36" s="1"/>
  <c r="H264" i="36"/>
  <c r="I264" i="36" s="1"/>
  <c r="H271" i="36"/>
  <c r="I271" i="36" s="1"/>
  <c r="H268" i="36"/>
  <c r="I268" i="36" s="1"/>
  <c r="H290" i="36"/>
  <c r="I290" i="36" s="1"/>
  <c r="H288" i="36"/>
  <c r="I288" i="36" s="1"/>
  <c r="H283" i="36"/>
  <c r="I283" i="36" s="1"/>
  <c r="H292" i="36"/>
  <c r="I292" i="36" s="1"/>
  <c r="H293" i="36"/>
  <c r="I293" i="36" s="1"/>
  <c r="H274" i="36"/>
  <c r="I274" i="36" s="1"/>
  <c r="H281" i="36"/>
  <c r="I281" i="36" s="1"/>
  <c r="H297" i="36"/>
  <c r="I297" i="36" s="1"/>
  <c r="H301" i="36"/>
  <c r="I301" i="36" s="1"/>
  <c r="H286" i="36"/>
  <c r="I286" i="36" s="1"/>
  <c r="H306" i="36"/>
  <c r="I306" i="36" s="1"/>
  <c r="H308" i="36"/>
  <c r="I308" i="36" s="1"/>
  <c r="H312" i="36"/>
  <c r="I312" i="36" s="1"/>
  <c r="H304" i="36"/>
  <c r="I304" i="36" s="1"/>
  <c r="H307" i="36"/>
  <c r="I307" i="36" s="1"/>
  <c r="H311" i="36"/>
  <c r="I311" i="36" s="1"/>
  <c r="H315" i="36"/>
  <c r="I315" i="36" s="1"/>
  <c r="F1" i="38" l="1"/>
  <c r="G1" i="38"/>
  <c r="H3" i="38" a="1"/>
  <c r="H3" i="38" s="1"/>
  <c r="H3" i="39" a="1"/>
  <c r="H3" i="39" s="1"/>
  <c r="H3" i="37" a="1"/>
  <c r="H3" i="37" s="1"/>
  <c r="H3" i="36" a="1"/>
  <c r="H3" i="36" s="1"/>
  <c r="I4" i="38"/>
  <c r="I4" i="37"/>
  <c r="I251" i="37"/>
  <c r="J251" i="37" s="1"/>
  <c r="I306" i="37"/>
  <c r="J306" i="37" s="1"/>
  <c r="I213" i="37"/>
  <c r="J213" i="37" s="1"/>
  <c r="I87" i="37"/>
  <c r="J87" i="37" s="1"/>
  <c r="I73" i="37"/>
  <c r="J73" i="37" s="1"/>
  <c r="I42" i="37"/>
  <c r="J42" i="37" s="1"/>
  <c r="I231" i="37"/>
  <c r="J231" i="37" s="1"/>
  <c r="I20" i="37"/>
  <c r="J20" i="37" s="1"/>
  <c r="I92" i="37"/>
  <c r="J92" i="37" s="1"/>
  <c r="I172" i="37"/>
  <c r="J172" i="37" s="1"/>
  <c r="I85" i="37"/>
  <c r="J85" i="37" s="1"/>
  <c r="I228" i="37"/>
  <c r="J228" i="37" s="1"/>
  <c r="I229" i="37"/>
  <c r="J229" i="37" s="1"/>
  <c r="I214" i="37"/>
  <c r="J214" i="37" s="1"/>
  <c r="I203" i="37"/>
  <c r="J203" i="37" s="1"/>
  <c r="I136" i="37"/>
  <c r="J136" i="37" s="1"/>
  <c r="I100" i="37"/>
  <c r="J100" i="37" s="1"/>
  <c r="I117" i="37"/>
  <c r="J117" i="37" s="1"/>
  <c r="I236" i="37"/>
  <c r="J236" i="37" s="1"/>
  <c r="I22" i="37"/>
  <c r="J22" i="37" s="1"/>
  <c r="I134" i="37"/>
  <c r="J134" i="37" s="1"/>
  <c r="I237" i="37"/>
  <c r="J237" i="37" s="1"/>
  <c r="I103" i="37"/>
  <c r="J103" i="37" s="1"/>
  <c r="I238" i="37"/>
  <c r="J238" i="37" s="1"/>
  <c r="I131" i="37"/>
  <c r="J131" i="37" s="1"/>
  <c r="I84" i="37"/>
  <c r="J84" i="37" s="1"/>
  <c r="I220" i="37"/>
  <c r="J220" i="37" s="1"/>
  <c r="I307" i="37"/>
  <c r="J307" i="37" s="1"/>
  <c r="I293" i="37"/>
  <c r="J293" i="37" s="1"/>
  <c r="I240" i="37"/>
  <c r="J240" i="37" s="1"/>
  <c r="I202" i="37"/>
  <c r="J202" i="37" s="1"/>
  <c r="I288" i="37"/>
  <c r="J288" i="37" s="1"/>
  <c r="I281" i="37"/>
  <c r="J281" i="37" s="1"/>
  <c r="I164" i="37"/>
  <c r="J164" i="37" s="1"/>
  <c r="I77" i="37"/>
  <c r="J77" i="37" s="1"/>
  <c r="I102" i="37"/>
  <c r="J102" i="37" s="1"/>
  <c r="I199" i="37"/>
  <c r="J199" i="37" s="1"/>
  <c r="I153" i="37"/>
  <c r="J153" i="37" s="1"/>
  <c r="I122" i="37"/>
  <c r="J122" i="37" s="1"/>
  <c r="I48" i="37"/>
  <c r="J48" i="37" s="1"/>
  <c r="I298" i="37"/>
  <c r="J298" i="37" s="1"/>
  <c r="I154" i="37"/>
  <c r="J154" i="37" s="1"/>
  <c r="I233" i="37"/>
  <c r="J233" i="37" s="1"/>
  <c r="I188" i="37"/>
  <c r="J188" i="37" s="1"/>
  <c r="I142" i="37"/>
  <c r="J142" i="37" s="1"/>
  <c r="I253" i="37"/>
  <c r="J253" i="37" s="1"/>
  <c r="I35" i="37"/>
  <c r="J35" i="37" s="1"/>
  <c r="I82" i="37"/>
  <c r="J82" i="37" s="1"/>
  <c r="I52" i="37"/>
  <c r="J52" i="37" s="1"/>
  <c r="I132" i="37"/>
  <c r="J132" i="37" s="1"/>
  <c r="I29" i="37"/>
  <c r="J29" i="37" s="1"/>
  <c r="I189" i="37"/>
  <c r="J189" i="37" s="1"/>
  <c r="I267" i="37"/>
  <c r="J267" i="37" s="1"/>
  <c r="I166" i="37"/>
  <c r="J166" i="37" s="1"/>
  <c r="I268" i="37"/>
  <c r="J268" i="37" s="1"/>
  <c r="I47" i="37"/>
  <c r="J47" i="37" s="1"/>
  <c r="I167" i="37"/>
  <c r="J167" i="37" s="1"/>
  <c r="I269" i="37"/>
  <c r="J269" i="37" s="1"/>
  <c r="I49" i="37"/>
  <c r="J49" i="37" s="1"/>
  <c r="I121" i="37"/>
  <c r="J121" i="37" s="1"/>
  <c r="I201" i="37"/>
  <c r="J201" i="37" s="1"/>
  <c r="I10" i="37"/>
  <c r="J10" i="37" s="1"/>
  <c r="I98" i="37"/>
  <c r="J98" i="37" s="1"/>
  <c r="I170" i="37"/>
  <c r="J170" i="37" s="1"/>
  <c r="I264" i="37"/>
  <c r="J264" i="37" s="1"/>
  <c r="I67" i="37"/>
  <c r="J67" i="37" s="1"/>
  <c r="I155" i="37"/>
  <c r="J155" i="37" s="1"/>
  <c r="I234" i="37"/>
  <c r="J234" i="37" s="1"/>
  <c r="I195" i="37"/>
  <c r="J195" i="37" s="1"/>
  <c r="I310" i="37"/>
  <c r="J310" i="37" s="1"/>
  <c r="I105" i="37"/>
  <c r="J105" i="37" s="1"/>
  <c r="I119" i="37"/>
  <c r="J119" i="37" s="1"/>
  <c r="I133" i="37"/>
  <c r="J133" i="37" s="1"/>
  <c r="I140" i="37"/>
  <c r="J140" i="37" s="1"/>
  <c r="I219" i="37"/>
  <c r="J219" i="37" s="1"/>
  <c r="I53" i="37"/>
  <c r="J53" i="37" s="1"/>
  <c r="I283" i="37"/>
  <c r="J283" i="37" s="1"/>
  <c r="I182" i="37"/>
  <c r="J182" i="37" s="1"/>
  <c r="I276" i="37"/>
  <c r="J276" i="37" s="1"/>
  <c r="I55" i="37"/>
  <c r="J55" i="37" s="1"/>
  <c r="I277" i="37"/>
  <c r="J277" i="37" s="1"/>
  <c r="I57" i="37"/>
  <c r="J57" i="37" s="1"/>
  <c r="I272" i="37"/>
  <c r="J272" i="37" s="1"/>
  <c r="I107" i="37"/>
  <c r="J107" i="37" s="1"/>
  <c r="I76" i="37"/>
  <c r="J76" i="37" s="1"/>
  <c r="I148" i="37"/>
  <c r="J148" i="37" s="1"/>
  <c r="I227" i="37"/>
  <c r="J227" i="37" s="1"/>
  <c r="I61" i="37"/>
  <c r="J61" i="37" s="1"/>
  <c r="I212" i="37"/>
  <c r="J212" i="37" s="1"/>
  <c r="I291" i="37"/>
  <c r="J291" i="37" s="1"/>
  <c r="I206" i="37"/>
  <c r="J206" i="37" s="1"/>
  <c r="I191" i="37"/>
  <c r="J191" i="37" s="1"/>
  <c r="I99" i="37"/>
  <c r="J99" i="37" s="1"/>
  <c r="J7" i="37"/>
  <c r="J5" i="37"/>
  <c r="J192" i="39"/>
  <c r="J104" i="39"/>
  <c r="J302" i="39"/>
  <c r="J239" i="39"/>
  <c r="J162" i="39"/>
  <c r="J213" i="39"/>
  <c r="J112" i="39"/>
  <c r="J124" i="39"/>
  <c r="J87" i="39"/>
  <c r="J22" i="39"/>
  <c r="J264" i="39"/>
  <c r="J292" i="39"/>
  <c r="J298" i="39"/>
  <c r="J154" i="39"/>
  <c r="J184" i="39"/>
  <c r="J55" i="39"/>
  <c r="J135" i="39"/>
  <c r="J285" i="39"/>
  <c r="J151" i="39"/>
  <c r="J41" i="39"/>
  <c r="J266" i="39"/>
  <c r="J271" i="39"/>
  <c r="J209" i="39"/>
  <c r="J140" i="39"/>
  <c r="J91" i="39"/>
  <c r="J59" i="39"/>
  <c r="J303" i="39"/>
  <c r="J279" i="39"/>
  <c r="J246" i="39"/>
  <c r="J200" i="39"/>
  <c r="J143" i="39"/>
  <c r="J179" i="39"/>
  <c r="J272" i="39"/>
  <c r="J35" i="39"/>
  <c r="J258" i="39"/>
  <c r="J193" i="39"/>
  <c r="J217" i="39"/>
  <c r="J191" i="39"/>
  <c r="J170" i="39"/>
  <c r="J27" i="39"/>
  <c r="J116" i="39"/>
  <c r="J10" i="39"/>
  <c r="J305" i="39"/>
  <c r="J227" i="39"/>
  <c r="J67" i="39"/>
  <c r="J6" i="39"/>
  <c r="J250" i="39"/>
  <c r="J185" i="39"/>
  <c r="J206" i="39"/>
  <c r="J169" i="39"/>
  <c r="J144" i="39"/>
  <c r="J75" i="39"/>
  <c r="J43" i="39"/>
  <c r="J20" i="39"/>
  <c r="J106" i="39"/>
  <c r="J309" i="39"/>
  <c r="J304" i="39"/>
  <c r="J178" i="39"/>
  <c r="J136" i="39"/>
  <c r="J39" i="39"/>
  <c r="J13" i="39"/>
  <c r="J80" i="39"/>
  <c r="J314" i="39"/>
  <c r="J299" i="39"/>
  <c r="J269" i="39"/>
  <c r="J306" i="39"/>
  <c r="J265" i="39"/>
  <c r="J276" i="39"/>
  <c r="J235" i="39"/>
  <c r="J211" i="39"/>
  <c r="J237" i="39"/>
  <c r="J194" i="39"/>
  <c r="J205" i="39"/>
  <c r="J148" i="39"/>
  <c r="J259" i="39"/>
  <c r="J189" i="39"/>
  <c r="J190" i="39"/>
  <c r="J176" i="39"/>
  <c r="J188" i="39"/>
  <c r="J128" i="39"/>
  <c r="J82" i="39"/>
  <c r="J92" i="39"/>
  <c r="J108" i="39"/>
  <c r="J44" i="39"/>
  <c r="J117" i="39"/>
  <c r="J47" i="39"/>
  <c r="J9" i="39"/>
  <c r="J17" i="39"/>
  <c r="J5" i="39"/>
  <c r="J295" i="39"/>
  <c r="J175" i="39"/>
  <c r="J115" i="39"/>
  <c r="J103" i="39"/>
  <c r="J86" i="39"/>
  <c r="J84" i="39"/>
  <c r="J37" i="39"/>
  <c r="J113" i="39"/>
  <c r="J31" i="39"/>
  <c r="J51" i="39"/>
  <c r="J310" i="39"/>
  <c r="J198" i="39"/>
  <c r="J202" i="39"/>
  <c r="J171" i="39"/>
  <c r="J132" i="39"/>
  <c r="J102" i="39"/>
  <c r="J72" i="39"/>
  <c r="J313" i="39"/>
  <c r="J288" i="39"/>
  <c r="J289" i="39"/>
  <c r="J249" i="39"/>
  <c r="J231" i="39"/>
  <c r="J242" i="39"/>
  <c r="J186" i="39"/>
  <c r="J224" i="39"/>
  <c r="J166" i="39"/>
  <c r="J174" i="39"/>
  <c r="J197" i="39"/>
  <c r="J130" i="39"/>
  <c r="J161" i="39"/>
  <c r="J100" i="39"/>
  <c r="J26" i="39"/>
  <c r="J63" i="39"/>
  <c r="J24" i="39"/>
  <c r="J294" i="39"/>
  <c r="J241" i="39"/>
  <c r="J172" i="39"/>
  <c r="J182" i="39"/>
  <c r="J159" i="39"/>
  <c r="J95" i="39"/>
  <c r="J291" i="39"/>
  <c r="J274" i="39"/>
  <c r="J280" i="39"/>
  <c r="J278" i="39"/>
  <c r="J267" i="39"/>
  <c r="J230" i="39"/>
  <c r="J228" i="39"/>
  <c r="J201" i="39"/>
  <c r="J164" i="39"/>
  <c r="J180" i="39"/>
  <c r="J107" i="39"/>
  <c r="J120" i="39"/>
  <c r="J97" i="39"/>
  <c r="J119" i="39"/>
  <c r="J68" i="39"/>
  <c r="J46" i="39"/>
  <c r="J12" i="39"/>
  <c r="J287" i="39"/>
  <c r="J168" i="39"/>
  <c r="J123" i="39"/>
  <c r="J273" i="39"/>
  <c r="J255" i="39"/>
  <c r="J254" i="39"/>
  <c r="J131" i="39"/>
  <c r="J101" i="39"/>
  <c r="J118" i="39"/>
  <c r="J74" i="39"/>
  <c r="J40" i="39"/>
  <c r="J38" i="39"/>
  <c r="I4" i="39"/>
  <c r="I3" i="39" s="1" a="1"/>
  <c r="I3" i="39" s="1"/>
  <c r="J251" i="39"/>
  <c r="J152" i="39"/>
  <c r="J127" i="39"/>
  <c r="J33" i="39"/>
  <c r="J18" i="39"/>
  <c r="J28" i="39"/>
  <c r="J14" i="39"/>
  <c r="J282" i="39"/>
  <c r="J263" i="39"/>
  <c r="J253" i="39"/>
  <c r="J225" i="39"/>
  <c r="J283" i="39"/>
  <c r="J221" i="39"/>
  <c r="J220" i="39"/>
  <c r="J156" i="39"/>
  <c r="J167" i="39"/>
  <c r="J146" i="39"/>
  <c r="J139" i="39"/>
  <c r="J150" i="39"/>
  <c r="J160" i="39"/>
  <c r="J111" i="39"/>
  <c r="J109" i="39"/>
  <c r="J110" i="39"/>
  <c r="J71" i="39"/>
  <c r="J76" i="39"/>
  <c r="J36" i="39"/>
  <c r="J64" i="39"/>
  <c r="J29" i="39"/>
  <c r="J290" i="39"/>
  <c r="J138" i="39"/>
  <c r="J23" i="39"/>
  <c r="J99" i="39"/>
  <c r="J270" i="39"/>
  <c r="J262" i="39"/>
  <c r="J247" i="39"/>
  <c r="J212" i="39"/>
  <c r="J219" i="39"/>
  <c r="J158" i="39"/>
  <c r="J149" i="39"/>
  <c r="J90" i="39"/>
  <c r="J88" i="39"/>
  <c r="J93" i="39"/>
  <c r="J52" i="39"/>
  <c r="J83" i="39"/>
  <c r="J8" i="39"/>
  <c r="J55" i="38"/>
  <c r="J29" i="38"/>
  <c r="J315" i="38"/>
  <c r="J250" i="38"/>
  <c r="J186" i="38"/>
  <c r="J120" i="38"/>
  <c r="J309" i="38"/>
  <c r="J13" i="38"/>
  <c r="J288" i="38"/>
  <c r="J311" i="38"/>
  <c r="J285" i="38"/>
  <c r="J226" i="38"/>
  <c r="J175" i="38"/>
  <c r="J92" i="38"/>
  <c r="J9" i="38"/>
  <c r="J90" i="38"/>
  <c r="J21" i="38"/>
  <c r="J19" i="38"/>
  <c r="J176" i="38"/>
  <c r="J206" i="38"/>
  <c r="J119" i="38"/>
  <c r="J298" i="38"/>
  <c r="J243" i="38"/>
  <c r="J111" i="38"/>
  <c r="J23" i="38"/>
  <c r="J302" i="38"/>
  <c r="J280" i="38"/>
  <c r="J284" i="38"/>
  <c r="J201" i="38"/>
  <c r="J174" i="38"/>
  <c r="J68" i="38"/>
  <c r="J37" i="38"/>
  <c r="I5" i="38"/>
  <c r="J88" i="38"/>
  <c r="J39" i="38"/>
  <c r="J14" i="38"/>
  <c r="J45" i="38"/>
  <c r="J286" i="38"/>
  <c r="J123" i="38"/>
  <c r="J83" i="38"/>
  <c r="J306" i="38"/>
  <c r="J278" i="38"/>
  <c r="J313" i="38"/>
  <c r="J300" i="38"/>
  <c r="J218" i="38"/>
  <c r="J185" i="38"/>
  <c r="J155" i="38"/>
  <c r="J96" i="38"/>
  <c r="J157" i="38"/>
  <c r="J80" i="38"/>
  <c r="J72" i="38"/>
  <c r="J66" i="38"/>
  <c r="J51" i="38"/>
  <c r="J258" i="38"/>
  <c r="J246" i="38"/>
  <c r="J270" i="38"/>
  <c r="J164" i="38"/>
  <c r="J103" i="38"/>
  <c r="J299" i="38"/>
  <c r="J305" i="38"/>
  <c r="J269" i="38"/>
  <c r="J263" i="38"/>
  <c r="J230" i="38"/>
  <c r="J277" i="38"/>
  <c r="J238" i="38"/>
  <c r="J149" i="38"/>
  <c r="J146" i="38"/>
  <c r="J61" i="38"/>
  <c r="J84" i="38"/>
  <c r="J166" i="38"/>
  <c r="J18" i="38"/>
  <c r="J63" i="38"/>
  <c r="J177" i="38"/>
  <c r="J127" i="38"/>
  <c r="J310" i="38"/>
  <c r="J49" i="38"/>
  <c r="J7" i="38"/>
  <c r="J304" i="38"/>
  <c r="J225" i="38"/>
  <c r="J188" i="38"/>
  <c r="J100" i="38"/>
  <c r="J50" i="38"/>
  <c r="J303" i="38"/>
  <c r="J254" i="38"/>
  <c r="J213" i="38"/>
  <c r="J198" i="38"/>
  <c r="J199" i="38"/>
  <c r="J25" i="38"/>
  <c r="J42" i="38"/>
  <c r="J58" i="38"/>
  <c r="J26" i="38"/>
  <c r="J262" i="38"/>
  <c r="J192" i="38"/>
  <c r="J193" i="38"/>
  <c r="J197" i="38"/>
  <c r="J115" i="38"/>
  <c r="J180" i="38"/>
  <c r="J131" i="38"/>
  <c r="J211" i="38"/>
  <c r="J143" i="38"/>
  <c r="J147" i="38"/>
  <c r="J107" i="38"/>
  <c r="J53" i="38"/>
  <c r="J109" i="38"/>
  <c r="J57" i="38"/>
  <c r="J31" i="38"/>
  <c r="J128" i="38"/>
  <c r="J6" i="38"/>
  <c r="J22" i="38"/>
  <c r="J30" i="38"/>
  <c r="J113" i="38"/>
  <c r="J10" i="38"/>
  <c r="J70" i="38"/>
  <c r="J62" i="38"/>
  <c r="J77" i="38"/>
  <c r="J54" i="38"/>
  <c r="J249" i="38"/>
  <c r="J214" i="38"/>
  <c r="J253" i="38"/>
  <c r="J229" i="38"/>
  <c r="J168" i="38"/>
  <c r="J124" i="38"/>
  <c r="J142" i="38"/>
  <c r="J136" i="38"/>
  <c r="J98" i="38"/>
  <c r="J15" i="38"/>
  <c r="J27" i="38"/>
  <c r="J290" i="38"/>
  <c r="J252" i="38"/>
  <c r="J172" i="38"/>
  <c r="J116" i="38"/>
  <c r="J140" i="38"/>
  <c r="J102" i="38"/>
  <c r="J82" i="38"/>
  <c r="J47" i="38"/>
  <c r="J65" i="38"/>
  <c r="J59" i="38"/>
  <c r="J41" i="38"/>
  <c r="J33" i="38"/>
  <c r="J292" i="38"/>
  <c r="J223" i="38"/>
  <c r="J291" i="38"/>
  <c r="J296" i="38"/>
  <c r="J272" i="38"/>
  <c r="J221" i="38"/>
  <c r="J273" i="38"/>
  <c r="J162" i="38"/>
  <c r="J158" i="38"/>
  <c r="J159" i="38"/>
  <c r="J130" i="38"/>
  <c r="J314" i="38"/>
  <c r="J294" i="38"/>
  <c r="J307" i="38"/>
  <c r="J289" i="38"/>
  <c r="J260" i="38"/>
  <c r="J242" i="38"/>
  <c r="J222" i="38"/>
  <c r="J295" i="38"/>
  <c r="J231" i="38"/>
  <c r="J207" i="38"/>
  <c r="J203" i="38"/>
  <c r="J154" i="38"/>
  <c r="J99" i="38"/>
  <c r="J151" i="38"/>
  <c r="J139" i="38"/>
  <c r="J76" i="38"/>
  <c r="J135" i="38"/>
  <c r="J11" i="38"/>
  <c r="J132" i="38"/>
  <c r="J38" i="38"/>
  <c r="J287" i="38"/>
  <c r="J276" i="38"/>
  <c r="J256" i="38"/>
  <c r="J210" i="38"/>
  <c r="J234" i="38"/>
  <c r="J212" i="38"/>
  <c r="J248" i="38"/>
  <c r="J196" i="38"/>
  <c r="J167" i="38"/>
  <c r="J265" i="38"/>
  <c r="J184" i="38"/>
  <c r="J144" i="38"/>
  <c r="J181" i="38"/>
  <c r="J95" i="38"/>
  <c r="J126" i="38"/>
  <c r="J118" i="38"/>
  <c r="J46" i="38"/>
  <c r="J17" i="38"/>
  <c r="J35" i="38"/>
  <c r="J34" i="38"/>
  <c r="J71" i="38"/>
  <c r="J282" i="38"/>
  <c r="J209" i="38"/>
  <c r="J150" i="38"/>
  <c r="J179" i="38"/>
  <c r="J170" i="38"/>
  <c r="J91" i="38"/>
  <c r="J43" i="38"/>
  <c r="J305" i="37"/>
  <c r="J274" i="37"/>
  <c r="J196" i="37"/>
  <c r="J313" i="37"/>
  <c r="J303" i="37"/>
  <c r="J309" i="37"/>
  <c r="J315" i="37"/>
  <c r="J275" i="37"/>
  <c r="J27" i="37"/>
  <c r="J311" i="37"/>
  <c r="J296" i="37"/>
  <c r="J116" i="37"/>
  <c r="J299" i="37"/>
  <c r="J174" i="37"/>
  <c r="J171" i="37"/>
  <c r="J289" i="37"/>
  <c r="J241" i="37"/>
  <c r="J211" i="37"/>
  <c r="J163" i="37"/>
  <c r="J83" i="37"/>
  <c r="J260" i="37"/>
  <c r="J235" i="37"/>
  <c r="J218" i="37"/>
  <c r="J217" i="37"/>
  <c r="J149" i="37"/>
  <c r="J123" i="37"/>
  <c r="J145" i="37"/>
  <c r="J111" i="37"/>
  <c r="J118" i="37"/>
  <c r="J194" i="37"/>
  <c r="J34" i="37"/>
  <c r="J43" i="37"/>
  <c r="J14" i="37"/>
  <c r="J31" i="37"/>
  <c r="J180" i="37"/>
  <c r="J239" i="37"/>
  <c r="J143" i="37"/>
  <c r="J302" i="37"/>
  <c r="J250" i="37"/>
  <c r="J270" i="37"/>
  <c r="J222" i="37"/>
  <c r="J216" i="37"/>
  <c r="J187" i="37"/>
  <c r="J113" i="37"/>
  <c r="J106" i="37"/>
  <c r="J120" i="37"/>
  <c r="J72" i="37"/>
  <c r="J41" i="37"/>
  <c r="J287" i="37"/>
  <c r="J285" i="37"/>
  <c r="J245" i="37"/>
  <c r="J247" i="37"/>
  <c r="J190" i="37"/>
  <c r="J184" i="37"/>
  <c r="J223" i="37"/>
  <c r="J97" i="37"/>
  <c r="J137" i="37"/>
  <c r="J40" i="37"/>
  <c r="J38" i="37"/>
  <c r="J304" i="37"/>
  <c r="J294" i="37"/>
  <c r="J130" i="37"/>
  <c r="J127" i="37"/>
  <c r="J18" i="37"/>
  <c r="J295" i="37"/>
  <c r="J205" i="37"/>
  <c r="J175" i="37"/>
  <c r="J209" i="37"/>
  <c r="J178" i="37"/>
  <c r="J95" i="37"/>
  <c r="J65" i="37"/>
  <c r="J314" i="37"/>
  <c r="J292" i="37"/>
  <c r="J282" i="37"/>
  <c r="J271" i="37"/>
  <c r="J232" i="37"/>
  <c r="J198" i="37"/>
  <c r="J141" i="37"/>
  <c r="J94" i="37"/>
  <c r="I6" i="37"/>
  <c r="J39" i="37"/>
  <c r="J44" i="37"/>
  <c r="J243" i="37"/>
  <c r="J266" i="37"/>
  <c r="J230" i="37"/>
  <c r="J146" i="37"/>
  <c r="J109" i="37"/>
  <c r="J33" i="37"/>
  <c r="J93" i="37"/>
  <c r="J278" i="37"/>
  <c r="J186" i="37"/>
  <c r="J221" i="37"/>
  <c r="J183" i="37"/>
  <c r="J139" i="37"/>
  <c r="J207" i="37"/>
  <c r="J138" i="37"/>
  <c r="J125" i="37"/>
  <c r="J58" i="37"/>
  <c r="J46" i="37"/>
  <c r="J51" i="37"/>
  <c r="J192" i="37"/>
  <c r="J176" i="37"/>
  <c r="J115" i="37"/>
  <c r="J114" i="37"/>
  <c r="J129" i="37"/>
  <c r="J88" i="37"/>
  <c r="J90" i="37"/>
  <c r="J54" i="37"/>
  <c r="J69" i="37"/>
  <c r="J17" i="37"/>
  <c r="J226" i="37"/>
  <c r="J158" i="37"/>
  <c r="J101" i="37"/>
  <c r="J110" i="37"/>
  <c r="J81" i="37"/>
  <c r="J36" i="37"/>
  <c r="J26" i="37"/>
  <c r="J21" i="37"/>
  <c r="J159" i="37"/>
  <c r="J225" i="37"/>
  <c r="J200" i="37"/>
  <c r="J162" i="37"/>
  <c r="J185" i="37"/>
  <c r="J124" i="37"/>
  <c r="J45" i="37"/>
  <c r="J96" i="37"/>
  <c r="J30" i="37"/>
  <c r="J78" i="37"/>
  <c r="J231" i="36"/>
  <c r="J163" i="36"/>
  <c r="J96" i="36"/>
  <c r="J97" i="36"/>
  <c r="J45" i="36"/>
  <c r="J54" i="36"/>
  <c r="J74" i="36"/>
  <c r="J315" i="36"/>
  <c r="J183" i="36"/>
  <c r="J225" i="36"/>
  <c r="J164" i="36"/>
  <c r="J146" i="36"/>
  <c r="J126" i="36"/>
  <c r="J92" i="36"/>
  <c r="J114" i="36"/>
  <c r="J31" i="36"/>
  <c r="J41" i="36"/>
  <c r="J311" i="36"/>
  <c r="J264" i="36"/>
  <c r="J179" i="36"/>
  <c r="J208" i="36"/>
  <c r="J144" i="36"/>
  <c r="J125" i="36"/>
  <c r="J129" i="36"/>
  <c r="J76" i="36"/>
  <c r="J307" i="36"/>
  <c r="J293" i="36"/>
  <c r="J220" i="36"/>
  <c r="J149" i="36"/>
  <c r="J165" i="36"/>
  <c r="J78" i="36"/>
  <c r="J85" i="36"/>
  <c r="J160" i="36"/>
  <c r="J61" i="36"/>
  <c r="J286" i="36"/>
  <c r="J247" i="36"/>
  <c r="J243" i="36"/>
  <c r="J191" i="36"/>
  <c r="J171" i="36"/>
  <c r="J192" i="36"/>
  <c r="J142" i="36"/>
  <c r="J60" i="36"/>
  <c r="J66" i="36"/>
  <c r="J68" i="36"/>
  <c r="J107" i="36"/>
  <c r="J20" i="36"/>
  <c r="J257" i="36"/>
  <c r="J281" i="36"/>
  <c r="J117" i="36"/>
  <c r="J56" i="36"/>
  <c r="J16" i="36"/>
  <c r="J37" i="36"/>
  <c r="J312" i="36"/>
  <c r="J301" i="36"/>
  <c r="J248" i="36"/>
  <c r="J162" i="36"/>
  <c r="J173" i="36"/>
  <c r="J196" i="36"/>
  <c r="J153" i="36"/>
  <c r="J52" i="36"/>
  <c r="J101" i="36"/>
  <c r="J12" i="36"/>
  <c r="J213" i="36"/>
  <c r="J274" i="36"/>
  <c r="J290" i="36"/>
  <c r="J275" i="36"/>
  <c r="J277" i="36"/>
  <c r="J239" i="36"/>
  <c r="J244" i="36"/>
  <c r="J227" i="36"/>
  <c r="J180" i="36"/>
  <c r="J135" i="36"/>
  <c r="J128" i="36"/>
  <c r="J48" i="36"/>
  <c r="J49" i="36"/>
  <c r="J288" i="36"/>
  <c r="J267" i="36"/>
  <c r="J251" i="36"/>
  <c r="J108" i="36"/>
  <c r="J112" i="36"/>
  <c r="J65" i="36"/>
  <c r="J306" i="36"/>
  <c r="J202" i="36"/>
  <c r="J152" i="36"/>
  <c r="J140" i="36"/>
  <c r="J87" i="36"/>
  <c r="J46" i="36"/>
  <c r="J33" i="36"/>
  <c r="J19" i="36"/>
  <c r="I4" i="36"/>
  <c r="I3" i="36" s="1" a="1"/>
  <c r="I3" i="36" s="1"/>
  <c r="J178" i="36"/>
  <c r="J161" i="36"/>
  <c r="J122" i="36"/>
  <c r="J28" i="36"/>
  <c r="J8" i="36"/>
  <c r="J40" i="36"/>
  <c r="J304" i="36"/>
  <c r="J283" i="36"/>
  <c r="J273" i="36"/>
  <c r="J266" i="36"/>
  <c r="J234" i="36"/>
  <c r="J215" i="36"/>
  <c r="J200" i="36"/>
  <c r="J206" i="36"/>
  <c r="J204" i="36"/>
  <c r="J211" i="36"/>
  <c r="J156" i="36"/>
  <c r="J157" i="36"/>
  <c r="J139" i="36"/>
  <c r="J98" i="36"/>
  <c r="J53" i="36"/>
  <c r="J24" i="36"/>
  <c r="J285" i="36"/>
  <c r="J253" i="36"/>
  <c r="J235" i="36"/>
  <c r="J167" i="36"/>
  <c r="J175" i="36"/>
  <c r="J187" i="36"/>
  <c r="J137" i="36"/>
  <c r="J151" i="36"/>
  <c r="J130" i="36"/>
  <c r="J150" i="36"/>
  <c r="J132" i="36"/>
  <c r="J100" i="36"/>
  <c r="J88" i="36"/>
  <c r="J32" i="36"/>
  <c r="J50" i="36"/>
  <c r="J36" i="36"/>
  <c r="J39" i="36"/>
  <c r="J280" i="36"/>
  <c r="J276" i="36"/>
  <c r="J242" i="36"/>
  <c r="J207" i="36"/>
  <c r="J212" i="36"/>
  <c r="J104" i="36"/>
  <c r="J268" i="36"/>
  <c r="J121" i="36"/>
  <c r="J80" i="36"/>
  <c r="J57" i="36"/>
  <c r="J291" i="36"/>
  <c r="J226" i="36"/>
  <c r="J219" i="36"/>
  <c r="J218" i="36"/>
  <c r="J145" i="36"/>
  <c r="J190" i="36"/>
  <c r="J124" i="36"/>
  <c r="J127" i="36"/>
  <c r="J94" i="36"/>
  <c r="J82" i="36"/>
  <c r="J133" i="36"/>
  <c r="J86" i="36"/>
  <c r="J38" i="36"/>
  <c r="J279" i="36"/>
  <c r="J289" i="36"/>
  <c r="J217" i="36"/>
  <c r="J62" i="36"/>
  <c r="J270" i="36"/>
  <c r="J195" i="36"/>
  <c r="J184" i="36"/>
  <c r="J199" i="36"/>
  <c r="J224" i="36"/>
  <c r="J120" i="36"/>
  <c r="J123" i="36"/>
  <c r="J131" i="36"/>
  <c r="J72" i="36"/>
  <c r="J93" i="36"/>
  <c r="J296" i="36"/>
  <c r="J292" i="36"/>
  <c r="J113" i="36"/>
  <c r="J102" i="36"/>
  <c r="J105" i="36"/>
  <c r="J63" i="36"/>
  <c r="J110" i="36"/>
  <c r="J58" i="36"/>
  <c r="J30" i="36"/>
  <c r="J272" i="36"/>
  <c r="J308" i="36"/>
  <c r="J284" i="36"/>
  <c r="J261" i="36"/>
  <c r="J223" i="36"/>
  <c r="J166" i="36"/>
  <c r="J297" i="36"/>
  <c r="J271" i="36"/>
  <c r="J255" i="36"/>
  <c r="J252" i="36"/>
  <c r="J188" i="36"/>
  <c r="J176" i="36"/>
  <c r="J141" i="36"/>
  <c r="J172" i="36"/>
  <c r="J143" i="36"/>
  <c r="J134" i="36"/>
  <c r="J84" i="36"/>
  <c r="J116" i="36"/>
  <c r="J91" i="36"/>
  <c r="J119" i="36"/>
  <c r="J103" i="36"/>
  <c r="J81" i="36"/>
  <c r="J29" i="36"/>
  <c r="J95" i="36"/>
  <c r="J70" i="36"/>
  <c r="J44" i="36"/>
  <c r="J4" i="37" l="1"/>
  <c r="I3" i="37" a="1"/>
  <c r="I3" i="37" s="1"/>
  <c r="J4" i="38"/>
  <c r="I3" i="38" a="1"/>
  <c r="I3" i="38" s="1"/>
  <c r="J4" i="39"/>
  <c r="J3" i="39" s="1" a="1"/>
  <c r="J3" i="39" s="1"/>
  <c r="J5" i="38"/>
  <c r="J6" i="37"/>
  <c r="J4" i="36"/>
  <c r="J3" i="36" s="1" a="1"/>
  <c r="J3" i="36" s="1"/>
  <c r="K316" i="36" l="1"/>
  <c r="L316" i="36" s="1"/>
  <c r="M316" i="36" s="1"/>
  <c r="N316" i="36" s="1"/>
  <c r="K317" i="36"/>
  <c r="L317" i="36" s="1"/>
  <c r="M317" i="36" s="1"/>
  <c r="N317" i="36" s="1"/>
  <c r="K316" i="39"/>
  <c r="L316" i="39" s="1"/>
  <c r="M316" i="39" s="1"/>
  <c r="N316" i="39" s="1"/>
  <c r="K317" i="39"/>
  <c r="L317" i="39" s="1"/>
  <c r="M317" i="39" s="1"/>
  <c r="N317" i="39" s="1"/>
  <c r="J3" i="38" a="1"/>
  <c r="J3" i="38" s="1"/>
  <c r="K271" i="38" s="1"/>
  <c r="L271" i="38" s="1"/>
  <c r="M271" i="38" s="1"/>
  <c r="J3" i="37" a="1"/>
  <c r="J3" i="37" s="1"/>
  <c r="K7" i="38" l="1"/>
  <c r="L7" i="38" s="1"/>
  <c r="M7" i="38" s="1"/>
  <c r="N7" i="38" s="1"/>
  <c r="K205" i="38"/>
  <c r="L205" i="38" s="1"/>
  <c r="M205" i="38" s="1"/>
  <c r="N205" i="38" s="1"/>
  <c r="K50" i="38"/>
  <c r="L50" i="38" s="1"/>
  <c r="M50" i="38" s="1"/>
  <c r="N50" i="38" s="1"/>
  <c r="K46" i="38"/>
  <c r="L46" i="38" s="1"/>
  <c r="M46" i="38" s="1"/>
  <c r="N46" i="38" s="1"/>
  <c r="K187" i="38"/>
  <c r="L187" i="38" s="1"/>
  <c r="M187" i="38" s="1"/>
  <c r="N187" i="38" s="1"/>
  <c r="K11" i="38"/>
  <c r="L11" i="38" s="1"/>
  <c r="M11" i="38" s="1"/>
  <c r="N11" i="38" s="1"/>
  <c r="K188" i="38"/>
  <c r="L188" i="38" s="1"/>
  <c r="M188" i="38" s="1"/>
  <c r="N188" i="38" s="1"/>
  <c r="K303" i="38"/>
  <c r="L303" i="38" s="1"/>
  <c r="M303" i="38" s="1"/>
  <c r="N303" i="38" s="1"/>
  <c r="K277" i="38"/>
  <c r="L277" i="38" s="1"/>
  <c r="M277" i="38" s="1"/>
  <c r="N277" i="38" s="1"/>
  <c r="K229" i="38"/>
  <c r="L229" i="38" s="1"/>
  <c r="M229" i="38" s="1"/>
  <c r="N229" i="38" s="1"/>
  <c r="K286" i="38"/>
  <c r="L286" i="38" s="1"/>
  <c r="M286" i="38" s="1"/>
  <c r="N286" i="38" s="1"/>
  <c r="K256" i="38"/>
  <c r="L256" i="38" s="1"/>
  <c r="M256" i="38" s="1"/>
  <c r="N256" i="38" s="1"/>
  <c r="K22" i="38"/>
  <c r="L22" i="38" s="1"/>
  <c r="M22" i="38" s="1"/>
  <c r="N22" i="38" s="1"/>
  <c r="K294" i="38"/>
  <c r="L294" i="38" s="1"/>
  <c r="M294" i="38" s="1"/>
  <c r="N294" i="38" s="1"/>
  <c r="K9" i="38"/>
  <c r="L9" i="38" s="1"/>
  <c r="M9" i="38" s="1"/>
  <c r="N9" i="38" s="1"/>
  <c r="K165" i="38"/>
  <c r="L165" i="38" s="1"/>
  <c r="M165" i="38" s="1"/>
  <c r="N165" i="38" s="1"/>
  <c r="K16" i="38"/>
  <c r="L16" i="38" s="1"/>
  <c r="M16" i="38" s="1"/>
  <c r="N16" i="38" s="1"/>
  <c r="K108" i="38"/>
  <c r="L108" i="38" s="1"/>
  <c r="M108" i="38" s="1"/>
  <c r="N108" i="38" s="1"/>
  <c r="K32" i="38"/>
  <c r="L32" i="38" s="1"/>
  <c r="M32" i="38" s="1"/>
  <c r="N32" i="38" s="1"/>
  <c r="K283" i="38"/>
  <c r="L283" i="38" s="1"/>
  <c r="M283" i="38" s="1"/>
  <c r="N283" i="38" s="1"/>
  <c r="K274" i="38"/>
  <c r="L274" i="38" s="1"/>
  <c r="M274" i="38" s="1"/>
  <c r="N274" i="38" s="1"/>
  <c r="K178" i="38"/>
  <c r="L178" i="38" s="1"/>
  <c r="M178" i="38" s="1"/>
  <c r="N178" i="38" s="1"/>
  <c r="K194" i="38"/>
  <c r="L194" i="38" s="1"/>
  <c r="M194" i="38" s="1"/>
  <c r="N194" i="38" s="1"/>
  <c r="K297" i="38"/>
  <c r="L297" i="38" s="1"/>
  <c r="M297" i="38" s="1"/>
  <c r="N297" i="38" s="1"/>
  <c r="K156" i="38"/>
  <c r="L156" i="38" s="1"/>
  <c r="M156" i="38" s="1"/>
  <c r="N156" i="38" s="1"/>
  <c r="K298" i="38"/>
  <c r="L298" i="38" s="1"/>
  <c r="M298" i="38" s="1"/>
  <c r="N298" i="38" s="1"/>
  <c r="K203" i="38"/>
  <c r="L203" i="38" s="1"/>
  <c r="M203" i="38" s="1"/>
  <c r="N203" i="38" s="1"/>
  <c r="K170" i="38"/>
  <c r="L170" i="38" s="1"/>
  <c r="M170" i="38" s="1"/>
  <c r="N170" i="38" s="1"/>
  <c r="K17" i="38"/>
  <c r="L17" i="38" s="1"/>
  <c r="M17" i="38" s="1"/>
  <c r="N17" i="38" s="1"/>
  <c r="K36" i="38"/>
  <c r="L36" i="38" s="1"/>
  <c r="M36" i="38" s="1"/>
  <c r="N36" i="38" s="1"/>
  <c r="K197" i="38"/>
  <c r="L197" i="38" s="1"/>
  <c r="M197" i="38" s="1"/>
  <c r="N197" i="38" s="1"/>
  <c r="K83" i="38"/>
  <c r="L83" i="38" s="1"/>
  <c r="M83" i="38" s="1"/>
  <c r="N83" i="38" s="1"/>
  <c r="K164" i="38"/>
  <c r="L164" i="38" s="1"/>
  <c r="M164" i="38" s="1"/>
  <c r="N164" i="38" s="1"/>
  <c r="K248" i="38"/>
  <c r="L248" i="38" s="1"/>
  <c r="M248" i="38" s="1"/>
  <c r="N248" i="38" s="1"/>
  <c r="K167" i="38"/>
  <c r="L167" i="38" s="1"/>
  <c r="M167" i="38" s="1"/>
  <c r="N167" i="38" s="1"/>
  <c r="K253" i="38"/>
  <c r="L253" i="38" s="1"/>
  <c r="M253" i="38" s="1"/>
  <c r="N253" i="38" s="1"/>
  <c r="K213" i="38"/>
  <c r="L213" i="38" s="1"/>
  <c r="M213" i="38" s="1"/>
  <c r="N213" i="38" s="1"/>
  <c r="K149" i="38"/>
  <c r="L149" i="38" s="1"/>
  <c r="M149" i="38" s="1"/>
  <c r="N149" i="38" s="1"/>
  <c r="K257" i="38"/>
  <c r="L257" i="38" s="1"/>
  <c r="M257" i="38" s="1"/>
  <c r="N257" i="38" s="1"/>
  <c r="K312" i="38"/>
  <c r="L312" i="38" s="1"/>
  <c r="M312" i="38" s="1"/>
  <c r="N312" i="38" s="1"/>
  <c r="K281" i="38"/>
  <c r="L281" i="38" s="1"/>
  <c r="M281" i="38" s="1"/>
  <c r="N281" i="38" s="1"/>
  <c r="K289" i="38"/>
  <c r="L289" i="38" s="1"/>
  <c r="M289" i="38" s="1"/>
  <c r="N289" i="38" s="1"/>
  <c r="K88" i="38"/>
  <c r="L88" i="38" s="1"/>
  <c r="M88" i="38" s="1"/>
  <c r="N88" i="38" s="1"/>
  <c r="K309" i="38"/>
  <c r="L309" i="38" s="1"/>
  <c r="M309" i="38" s="1"/>
  <c r="N309" i="38" s="1"/>
  <c r="K142" i="38"/>
  <c r="L142" i="38" s="1"/>
  <c r="M142" i="38" s="1"/>
  <c r="N142" i="38" s="1"/>
  <c r="K103" i="38"/>
  <c r="L103" i="38" s="1"/>
  <c r="M103" i="38" s="1"/>
  <c r="N103" i="38" s="1"/>
  <c r="K154" i="38"/>
  <c r="L154" i="38" s="1"/>
  <c r="M154" i="38" s="1"/>
  <c r="N154" i="38" s="1"/>
  <c r="K51" i="38"/>
  <c r="L51" i="38" s="1"/>
  <c r="M51" i="38" s="1"/>
  <c r="N51" i="38" s="1"/>
  <c r="K146" i="38"/>
  <c r="L146" i="38" s="1"/>
  <c r="M146" i="38" s="1"/>
  <c r="N146" i="38" s="1"/>
  <c r="K53" i="38"/>
  <c r="L53" i="38" s="1"/>
  <c r="M53" i="38" s="1"/>
  <c r="N53" i="38" s="1"/>
  <c r="K63" i="38"/>
  <c r="L63" i="38" s="1"/>
  <c r="M63" i="38" s="1"/>
  <c r="N63" i="38" s="1"/>
  <c r="K128" i="38"/>
  <c r="L128" i="38" s="1"/>
  <c r="M128" i="38" s="1"/>
  <c r="N128" i="38" s="1"/>
  <c r="K30" i="38"/>
  <c r="L30" i="38" s="1"/>
  <c r="M30" i="38" s="1"/>
  <c r="N30" i="38" s="1"/>
  <c r="K107" i="38"/>
  <c r="L107" i="38" s="1"/>
  <c r="M107" i="38" s="1"/>
  <c r="N107" i="38" s="1"/>
  <c r="K115" i="38"/>
  <c r="L115" i="38" s="1"/>
  <c r="M115" i="38" s="1"/>
  <c r="N115" i="38" s="1"/>
  <c r="K198" i="38"/>
  <c r="L198" i="38" s="1"/>
  <c r="M198" i="38" s="1"/>
  <c r="N198" i="38" s="1"/>
  <c r="K311" i="38"/>
  <c r="L311" i="38" s="1"/>
  <c r="M311" i="38" s="1"/>
  <c r="N311" i="38" s="1"/>
  <c r="K307" i="38"/>
  <c r="L307" i="38" s="1"/>
  <c r="M307" i="38" s="1"/>
  <c r="N307" i="38" s="1"/>
  <c r="K29" i="38"/>
  <c r="L29" i="38" s="1"/>
  <c r="M29" i="38" s="1"/>
  <c r="N29" i="38" s="1"/>
  <c r="K180" i="38"/>
  <c r="L180" i="38" s="1"/>
  <c r="M180" i="38" s="1"/>
  <c r="N180" i="38" s="1"/>
  <c r="K169" i="38"/>
  <c r="L169" i="38" s="1"/>
  <c r="M169" i="38" s="1"/>
  <c r="N169" i="38" s="1"/>
  <c r="K190" i="38"/>
  <c r="L190" i="38" s="1"/>
  <c r="M190" i="38" s="1"/>
  <c r="N190" i="38" s="1"/>
  <c r="K56" i="38"/>
  <c r="L56" i="38" s="1"/>
  <c r="M56" i="38" s="1"/>
  <c r="N56" i="38" s="1"/>
  <c r="K79" i="38"/>
  <c r="L79" i="38" s="1"/>
  <c r="M79" i="38" s="1"/>
  <c r="N79" i="38" s="1"/>
  <c r="K73" i="38"/>
  <c r="L73" i="38" s="1"/>
  <c r="M73" i="38" s="1"/>
  <c r="N73" i="38" s="1"/>
  <c r="K183" i="38"/>
  <c r="L183" i="38" s="1"/>
  <c r="M183" i="38" s="1"/>
  <c r="N183" i="38" s="1"/>
  <c r="K85" i="38"/>
  <c r="L85" i="38" s="1"/>
  <c r="M85" i="38" s="1"/>
  <c r="N85" i="38" s="1"/>
  <c r="K237" i="38"/>
  <c r="L237" i="38" s="1"/>
  <c r="M237" i="38" s="1"/>
  <c r="N237" i="38" s="1"/>
  <c r="K245" i="38"/>
  <c r="L245" i="38" s="1"/>
  <c r="M245" i="38" s="1"/>
  <c r="N245" i="38" s="1"/>
  <c r="K132" i="38"/>
  <c r="L132" i="38" s="1"/>
  <c r="M132" i="38" s="1"/>
  <c r="N132" i="38" s="1"/>
  <c r="K109" i="38"/>
  <c r="L109" i="38" s="1"/>
  <c r="M109" i="38" s="1"/>
  <c r="N109" i="38" s="1"/>
  <c r="K251" i="38"/>
  <c r="L251" i="38" s="1"/>
  <c r="M251" i="38" s="1"/>
  <c r="N251" i="38" s="1"/>
  <c r="K299" i="38"/>
  <c r="L299" i="38" s="1"/>
  <c r="M299" i="38" s="1"/>
  <c r="N299" i="38" s="1"/>
  <c r="K166" i="38"/>
  <c r="L166" i="38" s="1"/>
  <c r="M166" i="38" s="1"/>
  <c r="N166" i="38" s="1"/>
  <c r="K124" i="38"/>
  <c r="L124" i="38" s="1"/>
  <c r="M124" i="38" s="1"/>
  <c r="N124" i="38" s="1"/>
  <c r="K68" i="38"/>
  <c r="L68" i="38" s="1"/>
  <c r="M68" i="38" s="1"/>
  <c r="N68" i="38" s="1"/>
  <c r="K258" i="38"/>
  <c r="L258" i="38" s="1"/>
  <c r="M258" i="38" s="1"/>
  <c r="N258" i="38" s="1"/>
  <c r="K241" i="38"/>
  <c r="L241" i="38" s="1"/>
  <c r="M241" i="38" s="1"/>
  <c r="N241" i="38" s="1"/>
  <c r="K145" i="38"/>
  <c r="L145" i="38" s="1"/>
  <c r="M145" i="38" s="1"/>
  <c r="N145" i="38" s="1"/>
  <c r="K226" i="38"/>
  <c r="L226" i="38" s="1"/>
  <c r="M226" i="38" s="1"/>
  <c r="N226" i="38" s="1"/>
  <c r="K72" i="38"/>
  <c r="L72" i="38" s="1"/>
  <c r="M72" i="38" s="1"/>
  <c r="N72" i="38" s="1"/>
  <c r="K223" i="38"/>
  <c r="L223" i="38" s="1"/>
  <c r="M223" i="38" s="1"/>
  <c r="N223" i="38" s="1"/>
  <c r="K47" i="38"/>
  <c r="L47" i="38" s="1"/>
  <c r="M47" i="38" s="1"/>
  <c r="N47" i="38" s="1"/>
  <c r="K269" i="38"/>
  <c r="L269" i="38" s="1"/>
  <c r="M269" i="38" s="1"/>
  <c r="N269" i="38" s="1"/>
  <c r="K295" i="38"/>
  <c r="L295" i="38" s="1"/>
  <c r="M295" i="38" s="1"/>
  <c r="N295" i="38" s="1"/>
  <c r="K175" i="38"/>
  <c r="L175" i="38" s="1"/>
  <c r="M175" i="38" s="1"/>
  <c r="N175" i="38" s="1"/>
  <c r="K82" i="38"/>
  <c r="L82" i="38" s="1"/>
  <c r="M82" i="38" s="1"/>
  <c r="N82" i="38" s="1"/>
  <c r="K144" i="38"/>
  <c r="L144" i="38" s="1"/>
  <c r="M144" i="38" s="1"/>
  <c r="N144" i="38" s="1"/>
  <c r="K242" i="38"/>
  <c r="L242" i="38" s="1"/>
  <c r="M242" i="38" s="1"/>
  <c r="N242" i="38" s="1"/>
  <c r="K139" i="38"/>
  <c r="L139" i="38" s="1"/>
  <c r="M139" i="38" s="1"/>
  <c r="N139" i="38" s="1"/>
  <c r="K111" i="38"/>
  <c r="L111" i="38" s="1"/>
  <c r="M111" i="38" s="1"/>
  <c r="N111" i="38" s="1"/>
  <c r="K31" i="38"/>
  <c r="L31" i="38" s="1"/>
  <c r="M31" i="38" s="1"/>
  <c r="N31" i="38" s="1"/>
  <c r="K263" i="38"/>
  <c r="L263" i="38" s="1"/>
  <c r="M263" i="38" s="1"/>
  <c r="N263" i="38" s="1"/>
  <c r="K249" i="38"/>
  <c r="L249" i="38" s="1"/>
  <c r="M249" i="38" s="1"/>
  <c r="N249" i="38" s="1"/>
  <c r="K285" i="38"/>
  <c r="L285" i="38" s="1"/>
  <c r="M285" i="38" s="1"/>
  <c r="N285" i="38" s="1"/>
  <c r="K89" i="38"/>
  <c r="L89" i="38" s="1"/>
  <c r="M89" i="38" s="1"/>
  <c r="N89" i="38" s="1"/>
  <c r="K163" i="38"/>
  <c r="L163" i="38" s="1"/>
  <c r="M163" i="38" s="1"/>
  <c r="N163" i="38" s="1"/>
  <c r="K227" i="38"/>
  <c r="L227" i="38" s="1"/>
  <c r="M227" i="38" s="1"/>
  <c r="N227" i="38" s="1"/>
  <c r="K239" i="38"/>
  <c r="L239" i="38" s="1"/>
  <c r="M239" i="38" s="1"/>
  <c r="N239" i="38" s="1"/>
  <c r="K240" i="38"/>
  <c r="L240" i="38" s="1"/>
  <c r="M240" i="38" s="1"/>
  <c r="N240" i="38" s="1"/>
  <c r="K200" i="38"/>
  <c r="L200" i="38" s="1"/>
  <c r="M200" i="38" s="1"/>
  <c r="N200" i="38" s="1"/>
  <c r="K104" i="38"/>
  <c r="L104" i="38" s="1"/>
  <c r="M104" i="38" s="1"/>
  <c r="N104" i="38" s="1"/>
  <c r="K202" i="38"/>
  <c r="L202" i="38" s="1"/>
  <c r="M202" i="38" s="1"/>
  <c r="N202" i="38" s="1"/>
  <c r="K208" i="38"/>
  <c r="L208" i="38" s="1"/>
  <c r="M208" i="38" s="1"/>
  <c r="N208" i="38" s="1"/>
  <c r="K92" i="38"/>
  <c r="L92" i="38" s="1"/>
  <c r="M92" i="38" s="1"/>
  <c r="N92" i="38" s="1"/>
  <c r="K162" i="38"/>
  <c r="L162" i="38" s="1"/>
  <c r="M162" i="38" s="1"/>
  <c r="N162" i="38" s="1"/>
  <c r="K171" i="38"/>
  <c r="L171" i="38" s="1"/>
  <c r="M171" i="38" s="1"/>
  <c r="N171" i="38" s="1"/>
  <c r="K292" i="38"/>
  <c r="L292" i="38" s="1"/>
  <c r="M292" i="38" s="1"/>
  <c r="N292" i="38" s="1"/>
  <c r="K10" i="38"/>
  <c r="L10" i="38" s="1"/>
  <c r="M10" i="38" s="1"/>
  <c r="N10" i="38" s="1"/>
  <c r="K55" i="38"/>
  <c r="L55" i="38" s="1"/>
  <c r="M55" i="38" s="1"/>
  <c r="N55" i="38" s="1"/>
  <c r="K62" i="38"/>
  <c r="L62" i="38" s="1"/>
  <c r="M62" i="38" s="1"/>
  <c r="N62" i="38" s="1"/>
  <c r="K96" i="38"/>
  <c r="L96" i="38" s="1"/>
  <c r="M96" i="38" s="1"/>
  <c r="N96" i="38" s="1"/>
  <c r="K250" i="38"/>
  <c r="L250" i="38" s="1"/>
  <c r="M250" i="38" s="1"/>
  <c r="N250" i="38" s="1"/>
  <c r="K44" i="38"/>
  <c r="L44" i="38" s="1"/>
  <c r="M44" i="38" s="1"/>
  <c r="N44" i="38" s="1"/>
  <c r="K279" i="38"/>
  <c r="L279" i="38" s="1"/>
  <c r="M279" i="38" s="1"/>
  <c r="N279" i="38" s="1"/>
  <c r="K261" i="38"/>
  <c r="L261" i="38" s="1"/>
  <c r="M261" i="38" s="1"/>
  <c r="N261" i="38" s="1"/>
  <c r="K6" i="38"/>
  <c r="L6" i="38" s="1"/>
  <c r="M6" i="38" s="1"/>
  <c r="N6" i="38" s="1"/>
  <c r="K127" i="38"/>
  <c r="L127" i="38" s="1"/>
  <c r="M127" i="38" s="1"/>
  <c r="N127" i="38" s="1"/>
  <c r="K57" i="38"/>
  <c r="L57" i="38" s="1"/>
  <c r="M57" i="38" s="1"/>
  <c r="N57" i="38" s="1"/>
  <c r="K5" i="38"/>
  <c r="L5" i="38" s="1"/>
  <c r="M5" i="38" s="1"/>
  <c r="N5" i="38" s="1"/>
  <c r="K21" i="38"/>
  <c r="L21" i="38" s="1"/>
  <c r="M21" i="38" s="1"/>
  <c r="N21" i="38" s="1"/>
  <c r="K276" i="38"/>
  <c r="L276" i="38" s="1"/>
  <c r="M276" i="38" s="1"/>
  <c r="N276" i="38" s="1"/>
  <c r="K84" i="38"/>
  <c r="L84" i="38" s="1"/>
  <c r="M84" i="38" s="1"/>
  <c r="N84" i="38" s="1"/>
  <c r="K135" i="38"/>
  <c r="L135" i="38" s="1"/>
  <c r="M135" i="38" s="1"/>
  <c r="N135" i="38" s="1"/>
  <c r="K310" i="38"/>
  <c r="L310" i="38" s="1"/>
  <c r="M310" i="38" s="1"/>
  <c r="N310" i="38" s="1"/>
  <c r="K262" i="38"/>
  <c r="L262" i="38" s="1"/>
  <c r="M262" i="38" s="1"/>
  <c r="N262" i="38" s="1"/>
  <c r="K218" i="38"/>
  <c r="L218" i="38" s="1"/>
  <c r="M218" i="38" s="1"/>
  <c r="N218" i="38" s="1"/>
  <c r="K54" i="38"/>
  <c r="L54" i="38" s="1"/>
  <c r="M54" i="38" s="1"/>
  <c r="N54" i="38" s="1"/>
  <c r="K151" i="38"/>
  <c r="L151" i="38" s="1"/>
  <c r="M151" i="38" s="1"/>
  <c r="N151" i="38" s="1"/>
  <c r="K34" i="38"/>
  <c r="L34" i="38" s="1"/>
  <c r="M34" i="38" s="1"/>
  <c r="N34" i="38" s="1"/>
  <c r="K65" i="38"/>
  <c r="L65" i="38" s="1"/>
  <c r="M65" i="38" s="1"/>
  <c r="N65" i="38" s="1"/>
  <c r="K225" i="38"/>
  <c r="L225" i="38" s="1"/>
  <c r="M225" i="38" s="1"/>
  <c r="N225" i="38" s="1"/>
  <c r="K315" i="38"/>
  <c r="L315" i="38" s="1"/>
  <c r="M315" i="38" s="1"/>
  <c r="N315" i="38" s="1"/>
  <c r="K158" i="38"/>
  <c r="L158" i="38" s="1"/>
  <c r="M158" i="38" s="1"/>
  <c r="N158" i="38" s="1"/>
  <c r="K80" i="38"/>
  <c r="L80" i="38" s="1"/>
  <c r="M80" i="38" s="1"/>
  <c r="N80" i="38" s="1"/>
  <c r="K304" i="38"/>
  <c r="L304" i="38" s="1"/>
  <c r="M304" i="38" s="1"/>
  <c r="N304" i="38" s="1"/>
  <c r="K301" i="38"/>
  <c r="L301" i="38" s="1"/>
  <c r="M301" i="38" s="1"/>
  <c r="N301" i="38" s="1"/>
  <c r="K148" i="38"/>
  <c r="L148" i="38" s="1"/>
  <c r="M148" i="38" s="1"/>
  <c r="N148" i="38" s="1"/>
  <c r="K134" i="38"/>
  <c r="L134" i="38" s="1"/>
  <c r="M134" i="38" s="1"/>
  <c r="N134" i="38" s="1"/>
  <c r="K220" i="38"/>
  <c r="L220" i="38" s="1"/>
  <c r="M220" i="38" s="1"/>
  <c r="N220" i="38" s="1"/>
  <c r="K266" i="38"/>
  <c r="L266" i="38" s="1"/>
  <c r="M266" i="38" s="1"/>
  <c r="N266" i="38" s="1"/>
  <c r="K93" i="38"/>
  <c r="L93" i="38" s="1"/>
  <c r="M93" i="38" s="1"/>
  <c r="N93" i="38" s="1"/>
  <c r="K28" i="38"/>
  <c r="L28" i="38" s="1"/>
  <c r="M28" i="38" s="1"/>
  <c r="N28" i="38" s="1"/>
  <c r="K255" i="38"/>
  <c r="L255" i="38" s="1"/>
  <c r="M255" i="38" s="1"/>
  <c r="N255" i="38" s="1"/>
  <c r="K160" i="38"/>
  <c r="L160" i="38" s="1"/>
  <c r="M160" i="38" s="1"/>
  <c r="N160" i="38" s="1"/>
  <c r="K233" i="38"/>
  <c r="L233" i="38" s="1"/>
  <c r="M233" i="38" s="1"/>
  <c r="N233" i="38" s="1"/>
  <c r="K234" i="38"/>
  <c r="L234" i="38" s="1"/>
  <c r="M234" i="38" s="1"/>
  <c r="N234" i="38" s="1"/>
  <c r="K293" i="38"/>
  <c r="L293" i="38" s="1"/>
  <c r="M293" i="38" s="1"/>
  <c r="N293" i="38" s="1"/>
  <c r="K192" i="38"/>
  <c r="L192" i="38" s="1"/>
  <c r="M192" i="38" s="1"/>
  <c r="N192" i="38" s="1"/>
  <c r="K185" i="38"/>
  <c r="L185" i="38" s="1"/>
  <c r="M185" i="38" s="1"/>
  <c r="N185" i="38" s="1"/>
  <c r="K177" i="38"/>
  <c r="L177" i="38" s="1"/>
  <c r="M177" i="38" s="1"/>
  <c r="N177" i="38" s="1"/>
  <c r="K153" i="38"/>
  <c r="L153" i="38" s="1"/>
  <c r="M153" i="38" s="1"/>
  <c r="N153" i="38" s="1"/>
  <c r="K120" i="38"/>
  <c r="L120" i="38" s="1"/>
  <c r="M120" i="38" s="1"/>
  <c r="N120" i="38" s="1"/>
  <c r="K313" i="38"/>
  <c r="L313" i="38" s="1"/>
  <c r="M313" i="38" s="1"/>
  <c r="N313" i="38" s="1"/>
  <c r="K4" i="38"/>
  <c r="L4" i="38" s="1"/>
  <c r="K302" i="38"/>
  <c r="L302" i="38" s="1"/>
  <c r="M302" i="38" s="1"/>
  <c r="N302" i="38" s="1"/>
  <c r="K119" i="38"/>
  <c r="L119" i="38" s="1"/>
  <c r="M119" i="38" s="1"/>
  <c r="N119" i="38" s="1"/>
  <c r="K209" i="38"/>
  <c r="L209" i="38" s="1"/>
  <c r="M209" i="38" s="1"/>
  <c r="N209" i="38" s="1"/>
  <c r="K61" i="38"/>
  <c r="L61" i="38" s="1"/>
  <c r="M61" i="38" s="1"/>
  <c r="N61" i="38" s="1"/>
  <c r="K26" i="38"/>
  <c r="L26" i="38" s="1"/>
  <c r="M26" i="38" s="1"/>
  <c r="N26" i="38" s="1"/>
  <c r="K179" i="38"/>
  <c r="L179" i="38" s="1"/>
  <c r="M179" i="38" s="1"/>
  <c r="N179" i="38" s="1"/>
  <c r="K18" i="38"/>
  <c r="L18" i="38" s="1"/>
  <c r="M18" i="38" s="1"/>
  <c r="N18" i="38" s="1"/>
  <c r="K172" i="38"/>
  <c r="L172" i="38" s="1"/>
  <c r="M172" i="38" s="1"/>
  <c r="N172" i="38" s="1"/>
  <c r="K186" i="38"/>
  <c r="L186" i="38" s="1"/>
  <c r="M186" i="38" s="1"/>
  <c r="N186" i="38" s="1"/>
  <c r="K15" i="38"/>
  <c r="L15" i="38" s="1"/>
  <c r="M15" i="38" s="1"/>
  <c r="N15" i="38" s="1"/>
  <c r="K27" i="38"/>
  <c r="L27" i="38" s="1"/>
  <c r="M27" i="38" s="1"/>
  <c r="N27" i="38" s="1"/>
  <c r="K130" i="38"/>
  <c r="L130" i="38" s="1"/>
  <c r="M130" i="38" s="1"/>
  <c r="N130" i="38" s="1"/>
  <c r="K238" i="38"/>
  <c r="L238" i="38" s="1"/>
  <c r="M238" i="38" s="1"/>
  <c r="N238" i="38" s="1"/>
  <c r="K136" i="38"/>
  <c r="L136" i="38" s="1"/>
  <c r="M136" i="38" s="1"/>
  <c r="N136" i="38" s="1"/>
  <c r="K191" i="38"/>
  <c r="L191" i="38" s="1"/>
  <c r="M191" i="38" s="1"/>
  <c r="N191" i="38" s="1"/>
  <c r="K204" i="38"/>
  <c r="L204" i="38" s="1"/>
  <c r="M204" i="38" s="1"/>
  <c r="N204" i="38" s="1"/>
  <c r="K48" i="38"/>
  <c r="L48" i="38" s="1"/>
  <c r="M48" i="38" s="1"/>
  <c r="N48" i="38" s="1"/>
  <c r="K259" i="38"/>
  <c r="L259" i="38" s="1"/>
  <c r="M259" i="38" s="1"/>
  <c r="N259" i="38" s="1"/>
  <c r="K267" i="38"/>
  <c r="L267" i="38" s="1"/>
  <c r="M267" i="38" s="1"/>
  <c r="N267" i="38" s="1"/>
  <c r="K215" i="38"/>
  <c r="L215" i="38" s="1"/>
  <c r="M215" i="38" s="1"/>
  <c r="N215" i="38" s="1"/>
  <c r="K86" i="38"/>
  <c r="L86" i="38" s="1"/>
  <c r="M86" i="38" s="1"/>
  <c r="N86" i="38" s="1"/>
  <c r="K64" i="38"/>
  <c r="L64" i="38" s="1"/>
  <c r="M64" i="38" s="1"/>
  <c r="N64" i="38" s="1"/>
  <c r="K152" i="38"/>
  <c r="L152" i="38" s="1"/>
  <c r="M152" i="38" s="1"/>
  <c r="N152" i="38" s="1"/>
  <c r="K317" i="37"/>
  <c r="L317" i="37" s="1"/>
  <c r="M317" i="37" s="1"/>
  <c r="N317" i="37" s="1"/>
  <c r="K316" i="37"/>
  <c r="L316" i="37" s="1"/>
  <c r="M316" i="37" s="1"/>
  <c r="N316" i="37" s="1"/>
  <c r="K317" i="38"/>
  <c r="L317" i="38" s="1"/>
  <c r="M317" i="38" s="1"/>
  <c r="N317" i="38" s="1"/>
  <c r="K316" i="38"/>
  <c r="L316" i="38" s="1"/>
  <c r="M316" i="38" s="1"/>
  <c r="N316" i="38" s="1"/>
  <c r="K254" i="38"/>
  <c r="L254" i="38" s="1"/>
  <c r="M254" i="38" s="1"/>
  <c r="N254" i="38" s="1"/>
  <c r="K33" i="38"/>
  <c r="L33" i="38" s="1"/>
  <c r="M33" i="38" s="1"/>
  <c r="N33" i="38" s="1"/>
  <c r="K264" i="38"/>
  <c r="L264" i="38" s="1"/>
  <c r="M264" i="38" s="1"/>
  <c r="N264" i="38" s="1"/>
  <c r="K201" i="38"/>
  <c r="L201" i="38" s="1"/>
  <c r="M201" i="38" s="1"/>
  <c r="N201" i="38" s="1"/>
  <c r="K76" i="38"/>
  <c r="L76" i="38" s="1"/>
  <c r="M76" i="38" s="1"/>
  <c r="N76" i="38" s="1"/>
  <c r="K161" i="38"/>
  <c r="L161" i="38" s="1"/>
  <c r="M161" i="38" s="1"/>
  <c r="N161" i="38" s="1"/>
  <c r="K117" i="38"/>
  <c r="L117" i="38" s="1"/>
  <c r="M117" i="38" s="1"/>
  <c r="N117" i="38" s="1"/>
  <c r="K131" i="38"/>
  <c r="L131" i="38" s="1"/>
  <c r="M131" i="38" s="1"/>
  <c r="N131" i="38" s="1"/>
  <c r="K273" i="38"/>
  <c r="L273" i="38" s="1"/>
  <c r="M273" i="38" s="1"/>
  <c r="N273" i="38" s="1"/>
  <c r="K99" i="38"/>
  <c r="L99" i="38" s="1"/>
  <c r="M99" i="38" s="1"/>
  <c r="N99" i="38" s="1"/>
  <c r="K214" i="38"/>
  <c r="L214" i="38" s="1"/>
  <c r="M214" i="38" s="1"/>
  <c r="N214" i="38" s="1"/>
  <c r="K176" i="38"/>
  <c r="L176" i="38" s="1"/>
  <c r="M176" i="38" s="1"/>
  <c r="N176" i="38" s="1"/>
  <c r="K212" i="38"/>
  <c r="L212" i="38" s="1"/>
  <c r="M212" i="38" s="1"/>
  <c r="N212" i="38" s="1"/>
  <c r="K123" i="38"/>
  <c r="L123" i="38" s="1"/>
  <c r="M123" i="38" s="1"/>
  <c r="N123" i="38" s="1"/>
  <c r="K49" i="38"/>
  <c r="L49" i="38" s="1"/>
  <c r="M49" i="38" s="1"/>
  <c r="N49" i="38" s="1"/>
  <c r="K35" i="38"/>
  <c r="L35" i="38" s="1"/>
  <c r="M35" i="38" s="1"/>
  <c r="N35" i="38" s="1"/>
  <c r="K42" i="38"/>
  <c r="L42" i="38" s="1"/>
  <c r="M42" i="38" s="1"/>
  <c r="N42" i="38" s="1"/>
  <c r="K290" i="38"/>
  <c r="L290" i="38" s="1"/>
  <c r="M290" i="38" s="1"/>
  <c r="N290" i="38" s="1"/>
  <c r="K155" i="38"/>
  <c r="L155" i="38" s="1"/>
  <c r="M155" i="38" s="1"/>
  <c r="N155" i="38" s="1"/>
  <c r="K13" i="38"/>
  <c r="L13" i="38" s="1"/>
  <c r="M13" i="38" s="1"/>
  <c r="N13" i="38" s="1"/>
  <c r="K300" i="38"/>
  <c r="L300" i="38" s="1"/>
  <c r="M300" i="38" s="1"/>
  <c r="N300" i="38" s="1"/>
  <c r="K272" i="38"/>
  <c r="L272" i="38" s="1"/>
  <c r="M272" i="38" s="1"/>
  <c r="N272" i="38" s="1"/>
  <c r="K232" i="38"/>
  <c r="L232" i="38" s="1"/>
  <c r="M232" i="38" s="1"/>
  <c r="N232" i="38" s="1"/>
  <c r="K60" i="38"/>
  <c r="L60" i="38" s="1"/>
  <c r="M60" i="38" s="1"/>
  <c r="N60" i="38" s="1"/>
  <c r="K12" i="38"/>
  <c r="L12" i="38" s="1"/>
  <c r="M12" i="38" s="1"/>
  <c r="N12" i="38" s="1"/>
  <c r="K275" i="38"/>
  <c r="L275" i="38" s="1"/>
  <c r="M275" i="38" s="1"/>
  <c r="N275" i="38" s="1"/>
  <c r="K217" i="38"/>
  <c r="L217" i="38" s="1"/>
  <c r="M217" i="38" s="1"/>
  <c r="N217" i="38" s="1"/>
  <c r="K247" i="38"/>
  <c r="L247" i="38" s="1"/>
  <c r="M247" i="38" s="1"/>
  <c r="N247" i="38" s="1"/>
  <c r="K74" i="38"/>
  <c r="L74" i="38" s="1"/>
  <c r="M74" i="38" s="1"/>
  <c r="N74" i="38" s="1"/>
  <c r="K8" i="38"/>
  <c r="L8" i="38" s="1"/>
  <c r="M8" i="38" s="1"/>
  <c r="N8" i="38" s="1"/>
  <c r="K101" i="38"/>
  <c r="L101" i="38" s="1"/>
  <c r="M101" i="38" s="1"/>
  <c r="N101" i="38" s="1"/>
  <c r="K66" i="38"/>
  <c r="L66" i="38" s="1"/>
  <c r="M66" i="38" s="1"/>
  <c r="N66" i="38" s="1"/>
  <c r="K20" i="38"/>
  <c r="L20" i="38" s="1"/>
  <c r="M20" i="38" s="1"/>
  <c r="N20" i="38" s="1"/>
  <c r="K38" i="38"/>
  <c r="L38" i="38" s="1"/>
  <c r="M38" i="38" s="1"/>
  <c r="N38" i="38" s="1"/>
  <c r="K222" i="38"/>
  <c r="L222" i="38" s="1"/>
  <c r="M222" i="38" s="1"/>
  <c r="N222" i="38" s="1"/>
  <c r="K173" i="38"/>
  <c r="L173" i="38" s="1"/>
  <c r="M173" i="38" s="1"/>
  <c r="N173" i="38" s="1"/>
  <c r="K110" i="38"/>
  <c r="L110" i="38" s="1"/>
  <c r="M110" i="38" s="1"/>
  <c r="N110" i="38" s="1"/>
  <c r="K196" i="38"/>
  <c r="L196" i="38" s="1"/>
  <c r="M196" i="38" s="1"/>
  <c r="N196" i="38" s="1"/>
  <c r="K193" i="38"/>
  <c r="L193" i="38" s="1"/>
  <c r="M193" i="38" s="1"/>
  <c r="N193" i="38" s="1"/>
  <c r="K37" i="38"/>
  <c r="L37" i="38" s="1"/>
  <c r="M37" i="38" s="1"/>
  <c r="N37" i="38" s="1"/>
  <c r="K159" i="38"/>
  <c r="L159" i="38" s="1"/>
  <c r="M159" i="38" s="1"/>
  <c r="N159" i="38" s="1"/>
  <c r="K210" i="38"/>
  <c r="L210" i="38" s="1"/>
  <c r="M210" i="38" s="1"/>
  <c r="N210" i="38" s="1"/>
  <c r="K252" i="38"/>
  <c r="L252" i="38" s="1"/>
  <c r="M252" i="38" s="1"/>
  <c r="N252" i="38" s="1"/>
  <c r="K206" i="38"/>
  <c r="L206" i="38" s="1"/>
  <c r="M206" i="38" s="1"/>
  <c r="N206" i="38" s="1"/>
  <c r="K14" i="38"/>
  <c r="L14" i="38" s="1"/>
  <c r="M14" i="38" s="1"/>
  <c r="N14" i="38" s="1"/>
  <c r="K314" i="38"/>
  <c r="L314" i="38" s="1"/>
  <c r="M314" i="38" s="1"/>
  <c r="N314" i="38" s="1"/>
  <c r="K219" i="38"/>
  <c r="L219" i="38" s="1"/>
  <c r="M219" i="38" s="1"/>
  <c r="N219" i="38" s="1"/>
  <c r="K114" i="38"/>
  <c r="L114" i="38" s="1"/>
  <c r="M114" i="38" s="1"/>
  <c r="N114" i="38" s="1"/>
  <c r="K69" i="38"/>
  <c r="L69" i="38" s="1"/>
  <c r="M69" i="38" s="1"/>
  <c r="N69" i="38" s="1"/>
  <c r="K141" i="38"/>
  <c r="L141" i="38" s="1"/>
  <c r="M141" i="38" s="1"/>
  <c r="N141" i="38" s="1"/>
  <c r="K105" i="38"/>
  <c r="L105" i="38" s="1"/>
  <c r="M105" i="38" s="1"/>
  <c r="N105" i="38" s="1"/>
  <c r="K133" i="38"/>
  <c r="L133" i="38" s="1"/>
  <c r="M133" i="38" s="1"/>
  <c r="N133" i="38" s="1"/>
  <c r="K244" i="38"/>
  <c r="L244" i="38" s="1"/>
  <c r="M244" i="38" s="1"/>
  <c r="N244" i="38" s="1"/>
  <c r="K216" i="38"/>
  <c r="L216" i="38" s="1"/>
  <c r="M216" i="38" s="1"/>
  <c r="N216" i="38" s="1"/>
  <c r="K122" i="38"/>
  <c r="L122" i="38" s="1"/>
  <c r="M122" i="38" s="1"/>
  <c r="N122" i="38" s="1"/>
  <c r="K246" i="38"/>
  <c r="L246" i="38" s="1"/>
  <c r="M246" i="38" s="1"/>
  <c r="N246" i="38" s="1"/>
  <c r="K19" i="38"/>
  <c r="L19" i="38" s="1"/>
  <c r="M19" i="38" s="1"/>
  <c r="N19" i="38" s="1"/>
  <c r="K106" i="38"/>
  <c r="L106" i="38" s="1"/>
  <c r="M106" i="38" s="1"/>
  <c r="N106" i="38" s="1"/>
  <c r="K77" i="38"/>
  <c r="L77" i="38" s="1"/>
  <c r="M77" i="38" s="1"/>
  <c r="N77" i="38" s="1"/>
  <c r="K230" i="38"/>
  <c r="L230" i="38" s="1"/>
  <c r="M230" i="38" s="1"/>
  <c r="N230" i="38" s="1"/>
  <c r="K67" i="38"/>
  <c r="L67" i="38" s="1"/>
  <c r="M67" i="38" s="1"/>
  <c r="N67" i="38" s="1"/>
  <c r="K87" i="38"/>
  <c r="L87" i="38" s="1"/>
  <c r="M87" i="38" s="1"/>
  <c r="N87" i="38" s="1"/>
  <c r="K81" i="38"/>
  <c r="L81" i="38" s="1"/>
  <c r="M81" i="38" s="1"/>
  <c r="N81" i="38" s="1"/>
  <c r="K291" i="38"/>
  <c r="L291" i="38" s="1"/>
  <c r="M291" i="38" s="1"/>
  <c r="N291" i="38" s="1"/>
  <c r="K280" i="38"/>
  <c r="L280" i="38" s="1"/>
  <c r="M280" i="38" s="1"/>
  <c r="N280" i="38" s="1"/>
  <c r="K113" i="38"/>
  <c r="L113" i="38" s="1"/>
  <c r="M113" i="38" s="1"/>
  <c r="N113" i="38" s="1"/>
  <c r="K184" i="38"/>
  <c r="L184" i="38" s="1"/>
  <c r="M184" i="38" s="1"/>
  <c r="N184" i="38" s="1"/>
  <c r="K39" i="38"/>
  <c r="L39" i="38" s="1"/>
  <c r="M39" i="38" s="1"/>
  <c r="N39" i="38" s="1"/>
  <c r="K23" i="38"/>
  <c r="L23" i="38" s="1"/>
  <c r="M23" i="38" s="1"/>
  <c r="N23" i="38" s="1"/>
  <c r="K305" i="38"/>
  <c r="L305" i="38" s="1"/>
  <c r="M305" i="38" s="1"/>
  <c r="N305" i="38" s="1"/>
  <c r="K91" i="38"/>
  <c r="L91" i="38" s="1"/>
  <c r="M91" i="38" s="1"/>
  <c r="N91" i="38" s="1"/>
  <c r="K157" i="38"/>
  <c r="L157" i="38" s="1"/>
  <c r="M157" i="38" s="1"/>
  <c r="N157" i="38" s="1"/>
  <c r="K231" i="38"/>
  <c r="L231" i="38" s="1"/>
  <c r="M231" i="38" s="1"/>
  <c r="N231" i="38" s="1"/>
  <c r="K71" i="38"/>
  <c r="L71" i="38" s="1"/>
  <c r="M71" i="38" s="1"/>
  <c r="N71" i="38" s="1"/>
  <c r="K221" i="38"/>
  <c r="L221" i="38" s="1"/>
  <c r="M221" i="38" s="1"/>
  <c r="N221" i="38" s="1"/>
  <c r="K147" i="38"/>
  <c r="L147" i="38" s="1"/>
  <c r="M147" i="38" s="1"/>
  <c r="N147" i="38" s="1"/>
  <c r="K43" i="38"/>
  <c r="L43" i="38" s="1"/>
  <c r="M43" i="38" s="1"/>
  <c r="N43" i="38" s="1"/>
  <c r="K199" i="38"/>
  <c r="L199" i="38" s="1"/>
  <c r="M199" i="38" s="1"/>
  <c r="N199" i="38" s="1"/>
  <c r="K98" i="38"/>
  <c r="L98" i="38" s="1"/>
  <c r="M98" i="38" s="1"/>
  <c r="N98" i="38" s="1"/>
  <c r="K58" i="38"/>
  <c r="L58" i="38" s="1"/>
  <c r="M58" i="38" s="1"/>
  <c r="N58" i="38" s="1"/>
  <c r="K143" i="38"/>
  <c r="L143" i="38" s="1"/>
  <c r="M143" i="38" s="1"/>
  <c r="N143" i="38" s="1"/>
  <c r="K100" i="38"/>
  <c r="L100" i="38" s="1"/>
  <c r="M100" i="38" s="1"/>
  <c r="N100" i="38" s="1"/>
  <c r="K45" i="38"/>
  <c r="L45" i="38" s="1"/>
  <c r="M45" i="38" s="1"/>
  <c r="N45" i="38" s="1"/>
  <c r="K265" i="38"/>
  <c r="L265" i="38" s="1"/>
  <c r="M265" i="38" s="1"/>
  <c r="N265" i="38" s="1"/>
  <c r="K52" i="38"/>
  <c r="L52" i="38" s="1"/>
  <c r="M52" i="38" s="1"/>
  <c r="N52" i="38" s="1"/>
  <c r="K94" i="38"/>
  <c r="L94" i="38" s="1"/>
  <c r="M94" i="38" s="1"/>
  <c r="N94" i="38" s="1"/>
  <c r="K75" i="38"/>
  <c r="L75" i="38" s="1"/>
  <c r="M75" i="38" s="1"/>
  <c r="N75" i="38" s="1"/>
  <c r="K137" i="38"/>
  <c r="L137" i="38" s="1"/>
  <c r="M137" i="38" s="1"/>
  <c r="N137" i="38" s="1"/>
  <c r="K24" i="38"/>
  <c r="L24" i="38" s="1"/>
  <c r="M24" i="38" s="1"/>
  <c r="N24" i="38" s="1"/>
  <c r="K121" i="38"/>
  <c r="L121" i="38" s="1"/>
  <c r="M121" i="38" s="1"/>
  <c r="N121" i="38" s="1"/>
  <c r="K189" i="38"/>
  <c r="L189" i="38" s="1"/>
  <c r="M189" i="38" s="1"/>
  <c r="N189" i="38" s="1"/>
  <c r="K308" i="38"/>
  <c r="L308" i="38" s="1"/>
  <c r="M308" i="38" s="1"/>
  <c r="N308" i="38" s="1"/>
  <c r="K78" i="38"/>
  <c r="L78" i="38" s="1"/>
  <c r="M78" i="38" s="1"/>
  <c r="N78" i="38" s="1"/>
  <c r="K270" i="38"/>
  <c r="L270" i="38" s="1"/>
  <c r="M270" i="38" s="1"/>
  <c r="N270" i="38" s="1"/>
  <c r="K207" i="38"/>
  <c r="L207" i="38" s="1"/>
  <c r="M207" i="38" s="1"/>
  <c r="N207" i="38" s="1"/>
  <c r="K235" i="38"/>
  <c r="L235" i="38" s="1"/>
  <c r="M235" i="38" s="1"/>
  <c r="N235" i="38" s="1"/>
  <c r="K306" i="38"/>
  <c r="L306" i="38" s="1"/>
  <c r="M306" i="38" s="1"/>
  <c r="N306" i="38" s="1"/>
  <c r="K150" i="38"/>
  <c r="L150" i="38" s="1"/>
  <c r="M150" i="38" s="1"/>
  <c r="N150" i="38" s="1"/>
  <c r="K118" i="38"/>
  <c r="L118" i="38" s="1"/>
  <c r="M118" i="38" s="1"/>
  <c r="N118" i="38" s="1"/>
  <c r="K97" i="38"/>
  <c r="L97" i="38" s="1"/>
  <c r="M97" i="38" s="1"/>
  <c r="N97" i="38" s="1"/>
  <c r="K236" i="38"/>
  <c r="L236" i="38" s="1"/>
  <c r="M236" i="38" s="1"/>
  <c r="N236" i="38" s="1"/>
  <c r="K211" i="38"/>
  <c r="L211" i="38" s="1"/>
  <c r="M211" i="38" s="1"/>
  <c r="N211" i="38" s="1"/>
  <c r="K296" i="38"/>
  <c r="L296" i="38" s="1"/>
  <c r="M296" i="38" s="1"/>
  <c r="N296" i="38" s="1"/>
  <c r="K102" i="38"/>
  <c r="L102" i="38" s="1"/>
  <c r="M102" i="38" s="1"/>
  <c r="N102" i="38" s="1"/>
  <c r="K41" i="38"/>
  <c r="L41" i="38" s="1"/>
  <c r="M41" i="38" s="1"/>
  <c r="N41" i="38" s="1"/>
  <c r="K90" i="38"/>
  <c r="L90" i="38" s="1"/>
  <c r="M90" i="38" s="1"/>
  <c r="N90" i="38" s="1"/>
  <c r="K181" i="38"/>
  <c r="L181" i="38" s="1"/>
  <c r="M181" i="38" s="1"/>
  <c r="N181" i="38" s="1"/>
  <c r="K284" i="38"/>
  <c r="L284" i="38" s="1"/>
  <c r="M284" i="38" s="1"/>
  <c r="N284" i="38" s="1"/>
  <c r="K70" i="38"/>
  <c r="L70" i="38" s="1"/>
  <c r="M70" i="38" s="1"/>
  <c r="N70" i="38" s="1"/>
  <c r="K243" i="38"/>
  <c r="L243" i="38" s="1"/>
  <c r="M243" i="38" s="1"/>
  <c r="N243" i="38" s="1"/>
  <c r="K168" i="38"/>
  <c r="L168" i="38" s="1"/>
  <c r="M168" i="38" s="1"/>
  <c r="N168" i="38" s="1"/>
  <c r="K278" i="38"/>
  <c r="L278" i="38" s="1"/>
  <c r="M278" i="38" s="1"/>
  <c r="N278" i="38" s="1"/>
  <c r="K140" i="38"/>
  <c r="L140" i="38" s="1"/>
  <c r="M140" i="38" s="1"/>
  <c r="N140" i="38" s="1"/>
  <c r="K59" i="38"/>
  <c r="L59" i="38" s="1"/>
  <c r="M59" i="38" s="1"/>
  <c r="N59" i="38" s="1"/>
  <c r="K174" i="38"/>
  <c r="L174" i="38" s="1"/>
  <c r="M174" i="38" s="1"/>
  <c r="N174" i="38" s="1"/>
  <c r="K260" i="38"/>
  <c r="L260" i="38" s="1"/>
  <c r="M260" i="38" s="1"/>
  <c r="N260" i="38" s="1"/>
  <c r="K25" i="38"/>
  <c r="L25" i="38" s="1"/>
  <c r="M25" i="38" s="1"/>
  <c r="N25" i="38" s="1"/>
  <c r="K288" i="38"/>
  <c r="L288" i="38" s="1"/>
  <c r="M288" i="38" s="1"/>
  <c r="N288" i="38" s="1"/>
  <c r="K287" i="38"/>
  <c r="L287" i="38" s="1"/>
  <c r="M287" i="38" s="1"/>
  <c r="N287" i="38" s="1"/>
  <c r="K282" i="38"/>
  <c r="L282" i="38" s="1"/>
  <c r="M282" i="38" s="1"/>
  <c r="N282" i="38" s="1"/>
  <c r="K95" i="38"/>
  <c r="L95" i="38" s="1"/>
  <c r="M95" i="38" s="1"/>
  <c r="N95" i="38" s="1"/>
  <c r="K126" i="38"/>
  <c r="L126" i="38" s="1"/>
  <c r="M126" i="38" s="1"/>
  <c r="N126" i="38" s="1"/>
  <c r="K116" i="38"/>
  <c r="L116" i="38" s="1"/>
  <c r="M116" i="38" s="1"/>
  <c r="N116" i="38" s="1"/>
  <c r="K129" i="38"/>
  <c r="L129" i="38" s="1"/>
  <c r="M129" i="38" s="1"/>
  <c r="N129" i="38" s="1"/>
  <c r="K195" i="38"/>
  <c r="L195" i="38" s="1"/>
  <c r="M195" i="38" s="1"/>
  <c r="N195" i="38" s="1"/>
  <c r="K40" i="38"/>
  <c r="L40" i="38" s="1"/>
  <c r="M40" i="38" s="1"/>
  <c r="N40" i="38" s="1"/>
  <c r="K125" i="38"/>
  <c r="L125" i="38" s="1"/>
  <c r="M125" i="38" s="1"/>
  <c r="N125" i="38" s="1"/>
  <c r="K268" i="38"/>
  <c r="L268" i="38" s="1"/>
  <c r="M268" i="38" s="1"/>
  <c r="N268" i="38" s="1"/>
  <c r="K224" i="38"/>
  <c r="L224" i="38" s="1"/>
  <c r="M224" i="38" s="1"/>
  <c r="N224" i="38" s="1"/>
  <c r="K228" i="38"/>
  <c r="L228" i="38" s="1"/>
  <c r="M228" i="38" s="1"/>
  <c r="N228" i="38" s="1"/>
  <c r="K112" i="38"/>
  <c r="L112" i="38" s="1"/>
  <c r="M112" i="38" s="1"/>
  <c r="N112" i="38" s="1"/>
  <c r="K182" i="38"/>
  <c r="L182" i="38" s="1"/>
  <c r="M182" i="38" s="1"/>
  <c r="N182" i="38" s="1"/>
  <c r="K138" i="38"/>
  <c r="L138" i="38" s="1"/>
  <c r="M138" i="38" s="1"/>
  <c r="N138" i="38" s="1"/>
  <c r="K4" i="36"/>
  <c r="K4" i="39"/>
  <c r="K308" i="39"/>
  <c r="L308" i="39" s="1"/>
  <c r="M308" i="39" s="1"/>
  <c r="K98" i="39"/>
  <c r="L98" i="39" s="1"/>
  <c r="M98" i="39" s="1"/>
  <c r="K25" i="39"/>
  <c r="L25" i="39" s="1"/>
  <c r="M25" i="39" s="1"/>
  <c r="K229" i="39"/>
  <c r="L229" i="39" s="1"/>
  <c r="M229" i="39" s="1"/>
  <c r="K300" i="39"/>
  <c r="L300" i="39" s="1"/>
  <c r="M300" i="39" s="1"/>
  <c r="K183" i="39"/>
  <c r="L183" i="39" s="1"/>
  <c r="M183" i="39" s="1"/>
  <c r="K165" i="39"/>
  <c r="L165" i="39" s="1"/>
  <c r="M165" i="39" s="1"/>
  <c r="K133" i="39"/>
  <c r="L133" i="39" s="1"/>
  <c r="M133" i="39" s="1"/>
  <c r="K96" i="39"/>
  <c r="L96" i="39" s="1"/>
  <c r="M96" i="39" s="1"/>
  <c r="K245" i="39"/>
  <c r="L245" i="39" s="1"/>
  <c r="M245" i="39" s="1"/>
  <c r="K223" i="39"/>
  <c r="L223" i="39" s="1"/>
  <c r="M223" i="39" s="1"/>
  <c r="K244" i="39"/>
  <c r="L244" i="39" s="1"/>
  <c r="M244" i="39" s="1"/>
  <c r="K19" i="39"/>
  <c r="L19" i="39" s="1"/>
  <c r="M19" i="39" s="1"/>
  <c r="K196" i="39"/>
  <c r="L196" i="39" s="1"/>
  <c r="M196" i="39" s="1"/>
  <c r="K50" i="39"/>
  <c r="L50" i="39" s="1"/>
  <c r="M50" i="39" s="1"/>
  <c r="K163" i="39"/>
  <c r="L163" i="39" s="1"/>
  <c r="M163" i="39" s="1"/>
  <c r="K105" i="39"/>
  <c r="L105" i="39" s="1"/>
  <c r="M105" i="39" s="1"/>
  <c r="K157" i="39"/>
  <c r="L157" i="39" s="1"/>
  <c r="M157" i="39" s="1"/>
  <c r="K297" i="39"/>
  <c r="L297" i="39" s="1"/>
  <c r="M297" i="39" s="1"/>
  <c r="K296" i="39"/>
  <c r="L296" i="39" s="1"/>
  <c r="M296" i="39" s="1"/>
  <c r="K232" i="39"/>
  <c r="L232" i="39" s="1"/>
  <c r="M232" i="39" s="1"/>
  <c r="K301" i="39"/>
  <c r="L301" i="39" s="1"/>
  <c r="M301" i="39" s="1"/>
  <c r="K153" i="39"/>
  <c r="L153" i="39" s="1"/>
  <c r="M153" i="39" s="1"/>
  <c r="K15" i="39"/>
  <c r="L15" i="39" s="1"/>
  <c r="M15" i="39" s="1"/>
  <c r="K79" i="39"/>
  <c r="L79" i="39" s="1"/>
  <c r="M79" i="39" s="1"/>
  <c r="K122" i="39"/>
  <c r="L122" i="39" s="1"/>
  <c r="M122" i="39" s="1"/>
  <c r="K129" i="39"/>
  <c r="L129" i="39" s="1"/>
  <c r="M129" i="39" s="1"/>
  <c r="K261" i="39"/>
  <c r="L261" i="39" s="1"/>
  <c r="M261" i="39" s="1"/>
  <c r="K155" i="39"/>
  <c r="L155" i="39" s="1"/>
  <c r="M155" i="39" s="1"/>
  <c r="K284" i="39"/>
  <c r="L284" i="39" s="1"/>
  <c r="M284" i="39" s="1"/>
  <c r="K177" i="39"/>
  <c r="L177" i="39" s="1"/>
  <c r="M177" i="39" s="1"/>
  <c r="K69" i="39"/>
  <c r="L69" i="39" s="1"/>
  <c r="M69" i="39" s="1"/>
  <c r="K89" i="39"/>
  <c r="L89" i="39" s="1"/>
  <c r="M89" i="39" s="1"/>
  <c r="K11" i="39"/>
  <c r="L11" i="39" s="1"/>
  <c r="M11" i="39" s="1"/>
  <c r="K30" i="39"/>
  <c r="L30" i="39" s="1"/>
  <c r="M30" i="39" s="1"/>
  <c r="K268" i="39"/>
  <c r="L268" i="39" s="1"/>
  <c r="M268" i="39" s="1"/>
  <c r="K142" i="39"/>
  <c r="L142" i="39" s="1"/>
  <c r="M142" i="39" s="1"/>
  <c r="K248" i="39"/>
  <c r="L248" i="39" s="1"/>
  <c r="M248" i="39" s="1"/>
  <c r="K199" i="39"/>
  <c r="L199" i="39" s="1"/>
  <c r="M199" i="39" s="1"/>
  <c r="K240" i="39"/>
  <c r="L240" i="39" s="1"/>
  <c r="M240" i="39" s="1"/>
  <c r="K61" i="39"/>
  <c r="L61" i="39" s="1"/>
  <c r="M61" i="39" s="1"/>
  <c r="K187" i="39"/>
  <c r="L187" i="39" s="1"/>
  <c r="M187" i="39" s="1"/>
  <c r="K260" i="39"/>
  <c r="L260" i="39" s="1"/>
  <c r="M260" i="39" s="1"/>
  <c r="K126" i="39"/>
  <c r="L126" i="39" s="1"/>
  <c r="M126" i="39" s="1"/>
  <c r="K307" i="39"/>
  <c r="L307" i="39" s="1"/>
  <c r="M307" i="39" s="1"/>
  <c r="K56" i="39"/>
  <c r="L56" i="39" s="1"/>
  <c r="M56" i="39" s="1"/>
  <c r="K312" i="39"/>
  <c r="L312" i="39" s="1"/>
  <c r="M312" i="39" s="1"/>
  <c r="K234" i="39"/>
  <c r="L234" i="39" s="1"/>
  <c r="M234" i="39" s="1"/>
  <c r="K293" i="39"/>
  <c r="L293" i="39" s="1"/>
  <c r="M293" i="39" s="1"/>
  <c r="K70" i="39"/>
  <c r="L70" i="39" s="1"/>
  <c r="M70" i="39" s="1"/>
  <c r="K226" i="39"/>
  <c r="L226" i="39" s="1"/>
  <c r="M226" i="39" s="1"/>
  <c r="K218" i="39"/>
  <c r="L218" i="39" s="1"/>
  <c r="M218" i="39" s="1"/>
  <c r="K252" i="39"/>
  <c r="L252" i="39" s="1"/>
  <c r="M252" i="39" s="1"/>
  <c r="K81" i="39"/>
  <c r="L81" i="39" s="1"/>
  <c r="M81" i="39" s="1"/>
  <c r="K257" i="39"/>
  <c r="L257" i="39" s="1"/>
  <c r="M257" i="39" s="1"/>
  <c r="K16" i="39"/>
  <c r="L16" i="39" s="1"/>
  <c r="M16" i="39" s="1"/>
  <c r="K315" i="39"/>
  <c r="L315" i="39" s="1"/>
  <c r="M315" i="39" s="1"/>
  <c r="K207" i="39"/>
  <c r="L207" i="39" s="1"/>
  <c r="M207" i="39" s="1"/>
  <c r="K286" i="39"/>
  <c r="L286" i="39" s="1"/>
  <c r="M286" i="39" s="1"/>
  <c r="K121" i="39"/>
  <c r="L121" i="39" s="1"/>
  <c r="M121" i="39" s="1"/>
  <c r="K137" i="39"/>
  <c r="L137" i="39" s="1"/>
  <c r="M137" i="39" s="1"/>
  <c r="K147" i="39"/>
  <c r="L147" i="39" s="1"/>
  <c r="M147" i="39" s="1"/>
  <c r="K66" i="39"/>
  <c r="L66" i="39" s="1"/>
  <c r="M66" i="39" s="1"/>
  <c r="K42" i="39"/>
  <c r="L42" i="39" s="1"/>
  <c r="M42" i="39" s="1"/>
  <c r="K233" i="39"/>
  <c r="L233" i="39" s="1"/>
  <c r="M233" i="39" s="1"/>
  <c r="K204" i="39"/>
  <c r="L204" i="39" s="1"/>
  <c r="M204" i="39" s="1"/>
  <c r="K49" i="39"/>
  <c r="L49" i="39" s="1"/>
  <c r="M49" i="39" s="1"/>
  <c r="K65" i="39"/>
  <c r="L65" i="39" s="1"/>
  <c r="M65" i="39" s="1"/>
  <c r="K311" i="39"/>
  <c r="L311" i="39" s="1"/>
  <c r="M311" i="39" s="1"/>
  <c r="K58" i="39"/>
  <c r="L58" i="39" s="1"/>
  <c r="M58" i="39" s="1"/>
  <c r="K60" i="39"/>
  <c r="L60" i="39" s="1"/>
  <c r="M60" i="39" s="1"/>
  <c r="K277" i="39"/>
  <c r="L277" i="39" s="1"/>
  <c r="M277" i="39" s="1"/>
  <c r="K77" i="39"/>
  <c r="L77" i="39" s="1"/>
  <c r="M77" i="39" s="1"/>
  <c r="K281" i="39"/>
  <c r="L281" i="39" s="1"/>
  <c r="M281" i="39" s="1"/>
  <c r="K208" i="39"/>
  <c r="L208" i="39" s="1"/>
  <c r="M208" i="39" s="1"/>
  <c r="K141" i="39"/>
  <c r="L141" i="39" s="1"/>
  <c r="M141" i="39" s="1"/>
  <c r="K210" i="39"/>
  <c r="L210" i="39" s="1"/>
  <c r="M210" i="39" s="1"/>
  <c r="K57" i="39"/>
  <c r="L57" i="39" s="1"/>
  <c r="M57" i="39" s="1"/>
  <c r="K236" i="39"/>
  <c r="L236" i="39" s="1"/>
  <c r="M236" i="39" s="1"/>
  <c r="K125" i="39"/>
  <c r="L125" i="39" s="1"/>
  <c r="M125" i="39" s="1"/>
  <c r="K214" i="39"/>
  <c r="L214" i="39" s="1"/>
  <c r="M214" i="39" s="1"/>
  <c r="K203" i="39"/>
  <c r="L203" i="39" s="1"/>
  <c r="M203" i="39" s="1"/>
  <c r="K62" i="39"/>
  <c r="L62" i="39" s="1"/>
  <c r="M62" i="39" s="1"/>
  <c r="K173" i="39"/>
  <c r="L173" i="39" s="1"/>
  <c r="M173" i="39" s="1"/>
  <c r="K45" i="39"/>
  <c r="L45" i="39" s="1"/>
  <c r="M45" i="39" s="1"/>
  <c r="K215" i="39"/>
  <c r="L215" i="39" s="1"/>
  <c r="M215" i="39" s="1"/>
  <c r="K275" i="39"/>
  <c r="L275" i="39" s="1"/>
  <c r="M275" i="39" s="1"/>
  <c r="K34" i="39"/>
  <c r="L34" i="39" s="1"/>
  <c r="M34" i="39" s="1"/>
  <c r="K48" i="39"/>
  <c r="L48" i="39" s="1"/>
  <c r="M48" i="39" s="1"/>
  <c r="K73" i="39"/>
  <c r="L73" i="39" s="1"/>
  <c r="M73" i="39" s="1"/>
  <c r="K53" i="39"/>
  <c r="L53" i="39" s="1"/>
  <c r="M53" i="39" s="1"/>
  <c r="K222" i="39"/>
  <c r="L222" i="39" s="1"/>
  <c r="M222" i="39" s="1"/>
  <c r="K195" i="39"/>
  <c r="L195" i="39" s="1"/>
  <c r="M195" i="39" s="1"/>
  <c r="K114" i="39"/>
  <c r="L114" i="39" s="1"/>
  <c r="M114" i="39" s="1"/>
  <c r="K243" i="39"/>
  <c r="L243" i="39" s="1"/>
  <c r="M243" i="39" s="1"/>
  <c r="K85" i="39"/>
  <c r="L85" i="39" s="1"/>
  <c r="M85" i="39" s="1"/>
  <c r="K78" i="39"/>
  <c r="L78" i="39" s="1"/>
  <c r="M78" i="39" s="1"/>
  <c r="K216" i="39"/>
  <c r="L216" i="39" s="1"/>
  <c r="M216" i="39" s="1"/>
  <c r="K238" i="39"/>
  <c r="L238" i="39" s="1"/>
  <c r="M238" i="39" s="1"/>
  <c r="K32" i="39"/>
  <c r="L32" i="39" s="1"/>
  <c r="M32" i="39" s="1"/>
  <c r="K54" i="39"/>
  <c r="L54" i="39" s="1"/>
  <c r="M54" i="39" s="1"/>
  <c r="K94" i="39"/>
  <c r="L94" i="39" s="1"/>
  <c r="M94" i="39" s="1"/>
  <c r="K145" i="39"/>
  <c r="L145" i="39" s="1"/>
  <c r="M145" i="39" s="1"/>
  <c r="K21" i="39"/>
  <c r="L21" i="39" s="1"/>
  <c r="M21" i="39" s="1"/>
  <c r="K181" i="39"/>
  <c r="L181" i="39" s="1"/>
  <c r="M181" i="39" s="1"/>
  <c r="K256" i="39"/>
  <c r="L256" i="39" s="1"/>
  <c r="M256" i="39" s="1"/>
  <c r="K134" i="39"/>
  <c r="L134" i="39" s="1"/>
  <c r="M134" i="39" s="1"/>
  <c r="K7" i="39"/>
  <c r="L7" i="39" s="1"/>
  <c r="M7" i="39" s="1"/>
  <c r="K88" i="39"/>
  <c r="L88" i="39" s="1"/>
  <c r="M88" i="39" s="1"/>
  <c r="K68" i="39"/>
  <c r="L68" i="39" s="1"/>
  <c r="M68" i="39" s="1"/>
  <c r="K111" i="39"/>
  <c r="L111" i="39" s="1"/>
  <c r="M111" i="39" s="1"/>
  <c r="K43" i="39"/>
  <c r="L43" i="39" s="1"/>
  <c r="M43" i="39" s="1"/>
  <c r="K99" i="39"/>
  <c r="L99" i="39" s="1"/>
  <c r="M99" i="39" s="1"/>
  <c r="K136" i="39"/>
  <c r="L136" i="39" s="1"/>
  <c r="M136" i="39" s="1"/>
  <c r="K282" i="39"/>
  <c r="L282" i="39" s="1"/>
  <c r="M282" i="39" s="1"/>
  <c r="K309" i="39"/>
  <c r="L309" i="39" s="1"/>
  <c r="M309" i="39" s="1"/>
  <c r="K118" i="39"/>
  <c r="L118" i="39" s="1"/>
  <c r="M118" i="39" s="1"/>
  <c r="K38" i="39"/>
  <c r="L38" i="39" s="1"/>
  <c r="M38" i="39" s="1"/>
  <c r="K287" i="39"/>
  <c r="L287" i="39" s="1"/>
  <c r="M287" i="39" s="1"/>
  <c r="K140" i="39"/>
  <c r="L140" i="39" s="1"/>
  <c r="M140" i="39" s="1"/>
  <c r="K255" i="39"/>
  <c r="L255" i="39" s="1"/>
  <c r="M255" i="39" s="1"/>
  <c r="K188" i="39"/>
  <c r="L188" i="39" s="1"/>
  <c r="M188" i="39" s="1"/>
  <c r="K22" i="39"/>
  <c r="L22" i="39" s="1"/>
  <c r="M22" i="39" s="1"/>
  <c r="K172" i="39"/>
  <c r="L172" i="39" s="1"/>
  <c r="M172" i="39" s="1"/>
  <c r="K144" i="39"/>
  <c r="L144" i="39" s="1"/>
  <c r="M144" i="39" s="1"/>
  <c r="K151" i="39"/>
  <c r="L151" i="39" s="1"/>
  <c r="M151" i="39" s="1"/>
  <c r="K225" i="39"/>
  <c r="L225" i="39" s="1"/>
  <c r="M225" i="39" s="1"/>
  <c r="K148" i="39"/>
  <c r="L148" i="39" s="1"/>
  <c r="M148" i="39" s="1"/>
  <c r="K162" i="39"/>
  <c r="L162" i="39" s="1"/>
  <c r="M162" i="39" s="1"/>
  <c r="K37" i="39"/>
  <c r="L37" i="39" s="1"/>
  <c r="M37" i="39" s="1"/>
  <c r="K20" i="39"/>
  <c r="L20" i="39" s="1"/>
  <c r="M20" i="39" s="1"/>
  <c r="K303" i="39"/>
  <c r="L303" i="39" s="1"/>
  <c r="M303" i="39" s="1"/>
  <c r="K274" i="39"/>
  <c r="L274" i="39" s="1"/>
  <c r="M274" i="39" s="1"/>
  <c r="K9" i="39"/>
  <c r="L9" i="39" s="1"/>
  <c r="M9" i="39" s="1"/>
  <c r="K8" i="39"/>
  <c r="L8" i="39" s="1"/>
  <c r="M8" i="39" s="1"/>
  <c r="K302" i="39"/>
  <c r="L302" i="39" s="1"/>
  <c r="M302" i="39" s="1"/>
  <c r="K180" i="39"/>
  <c r="L180" i="39" s="1"/>
  <c r="M180" i="39" s="1"/>
  <c r="K310" i="39"/>
  <c r="L310" i="39" s="1"/>
  <c r="M310" i="39" s="1"/>
  <c r="K154" i="39"/>
  <c r="L154" i="39" s="1"/>
  <c r="M154" i="39" s="1"/>
  <c r="K12" i="39"/>
  <c r="L12" i="39" s="1"/>
  <c r="M12" i="39" s="1"/>
  <c r="K250" i="39"/>
  <c r="L250" i="39" s="1"/>
  <c r="M250" i="39" s="1"/>
  <c r="K211" i="39"/>
  <c r="L211" i="39" s="1"/>
  <c r="M211" i="39" s="1"/>
  <c r="K247" i="39"/>
  <c r="L247" i="39" s="1"/>
  <c r="M247" i="39" s="1"/>
  <c r="K90" i="39"/>
  <c r="L90" i="39" s="1"/>
  <c r="M90" i="39" s="1"/>
  <c r="K291" i="39"/>
  <c r="L291" i="39" s="1"/>
  <c r="M291" i="39" s="1"/>
  <c r="K164" i="39"/>
  <c r="L164" i="39" s="1"/>
  <c r="M164" i="39" s="1"/>
  <c r="K213" i="39"/>
  <c r="L213" i="39" s="1"/>
  <c r="M213" i="39" s="1"/>
  <c r="K182" i="39"/>
  <c r="L182" i="39" s="1"/>
  <c r="M182" i="39" s="1"/>
  <c r="K292" i="39"/>
  <c r="L292" i="39" s="1"/>
  <c r="M292" i="39" s="1"/>
  <c r="K106" i="39"/>
  <c r="L106" i="39" s="1"/>
  <c r="M106" i="39" s="1"/>
  <c r="K167" i="39"/>
  <c r="L167" i="39" s="1"/>
  <c r="M167" i="39" s="1"/>
  <c r="K230" i="39"/>
  <c r="L230" i="39" s="1"/>
  <c r="M230" i="39" s="1"/>
  <c r="K270" i="39"/>
  <c r="L270" i="39" s="1"/>
  <c r="M270" i="39" s="1"/>
  <c r="K176" i="39"/>
  <c r="L176" i="39" s="1"/>
  <c r="M176" i="39" s="1"/>
  <c r="K206" i="39"/>
  <c r="L206" i="39" s="1"/>
  <c r="M206" i="39" s="1"/>
  <c r="K239" i="39"/>
  <c r="L239" i="39" s="1"/>
  <c r="M239" i="39" s="1"/>
  <c r="K161" i="39"/>
  <c r="L161" i="39" s="1"/>
  <c r="M161" i="39" s="1"/>
  <c r="K179" i="39"/>
  <c r="L179" i="39" s="1"/>
  <c r="M179" i="39" s="1"/>
  <c r="K285" i="39"/>
  <c r="L285" i="39" s="1"/>
  <c r="M285" i="39" s="1"/>
  <c r="K112" i="39"/>
  <c r="L112" i="39" s="1"/>
  <c r="M112" i="39" s="1"/>
  <c r="K241" i="39"/>
  <c r="L241" i="39" s="1"/>
  <c r="M241" i="39" s="1"/>
  <c r="K29" i="39"/>
  <c r="L29" i="39" s="1"/>
  <c r="M29" i="39" s="1"/>
  <c r="K178" i="39"/>
  <c r="L178" i="39" s="1"/>
  <c r="M178" i="39" s="1"/>
  <c r="K278" i="39"/>
  <c r="L278" i="39" s="1"/>
  <c r="M278" i="39" s="1"/>
  <c r="K266" i="39"/>
  <c r="L266" i="39" s="1"/>
  <c r="M266" i="39" s="1"/>
  <c r="K143" i="39"/>
  <c r="L143" i="39" s="1"/>
  <c r="M143" i="39" s="1"/>
  <c r="K93" i="39"/>
  <c r="L93" i="39" s="1"/>
  <c r="M93" i="39" s="1"/>
  <c r="K194" i="39"/>
  <c r="L194" i="39" s="1"/>
  <c r="M194" i="39" s="1"/>
  <c r="K253" i="39"/>
  <c r="L253" i="39" s="1"/>
  <c r="M253" i="39" s="1"/>
  <c r="K258" i="39"/>
  <c r="L258" i="39" s="1"/>
  <c r="M258" i="39" s="1"/>
  <c r="K221" i="39"/>
  <c r="L221" i="39" s="1"/>
  <c r="M221" i="39" s="1"/>
  <c r="K314" i="39"/>
  <c r="L314" i="39" s="1"/>
  <c r="M314" i="39" s="1"/>
  <c r="K192" i="39"/>
  <c r="L192" i="39" s="1"/>
  <c r="M192" i="39" s="1"/>
  <c r="K219" i="39"/>
  <c r="L219" i="39" s="1"/>
  <c r="M219" i="39" s="1"/>
  <c r="K212" i="39"/>
  <c r="L212" i="39" s="1"/>
  <c r="M212" i="39" s="1"/>
  <c r="K269" i="39"/>
  <c r="L269" i="39" s="1"/>
  <c r="M269" i="39" s="1"/>
  <c r="K131" i="39"/>
  <c r="L131" i="39" s="1"/>
  <c r="M131" i="39" s="1"/>
  <c r="K115" i="39"/>
  <c r="L115" i="39" s="1"/>
  <c r="M115" i="39" s="1"/>
  <c r="K159" i="39"/>
  <c r="L159" i="39" s="1"/>
  <c r="M159" i="39" s="1"/>
  <c r="K283" i="39"/>
  <c r="L283" i="39" s="1"/>
  <c r="M283" i="39" s="1"/>
  <c r="K13" i="39"/>
  <c r="L13" i="39" s="1"/>
  <c r="M13" i="39" s="1"/>
  <c r="K262" i="39"/>
  <c r="L262" i="39" s="1"/>
  <c r="M262" i="39" s="1"/>
  <c r="K267" i="39"/>
  <c r="L267" i="39" s="1"/>
  <c r="M267" i="39" s="1"/>
  <c r="K273" i="39"/>
  <c r="L273" i="39" s="1"/>
  <c r="M273" i="39" s="1"/>
  <c r="K52" i="39"/>
  <c r="L52" i="39" s="1"/>
  <c r="M52" i="39" s="1"/>
  <c r="K139" i="39"/>
  <c r="L139" i="39" s="1"/>
  <c r="M139" i="39" s="1"/>
  <c r="K91" i="39"/>
  <c r="L91" i="39" s="1"/>
  <c r="M91" i="39" s="1"/>
  <c r="K127" i="39"/>
  <c r="L127" i="39" s="1"/>
  <c r="M127" i="39" s="1"/>
  <c r="K227" i="39"/>
  <c r="L227" i="39" s="1"/>
  <c r="M227" i="39" s="1"/>
  <c r="K242" i="39"/>
  <c r="L242" i="39" s="1"/>
  <c r="M242" i="39" s="1"/>
  <c r="K288" i="39"/>
  <c r="L288" i="39" s="1"/>
  <c r="M288" i="39" s="1"/>
  <c r="K107" i="39"/>
  <c r="L107" i="39" s="1"/>
  <c r="M107" i="39" s="1"/>
  <c r="K298" i="39"/>
  <c r="L298" i="39" s="1"/>
  <c r="M298" i="39" s="1"/>
  <c r="K119" i="39"/>
  <c r="L119" i="39" s="1"/>
  <c r="M119" i="39" s="1"/>
  <c r="K205" i="39"/>
  <c r="L205" i="39" s="1"/>
  <c r="M205" i="39" s="1"/>
  <c r="K46" i="39"/>
  <c r="L46" i="39" s="1"/>
  <c r="M46" i="39" s="1"/>
  <c r="K174" i="39"/>
  <c r="L174" i="39" s="1"/>
  <c r="M174" i="39" s="1"/>
  <c r="K6" i="39"/>
  <c r="L6" i="39" s="1"/>
  <c r="M6" i="39" s="1"/>
  <c r="K55" i="39"/>
  <c r="L55" i="39" s="1"/>
  <c r="M55" i="39" s="1"/>
  <c r="K33" i="39"/>
  <c r="L33" i="39" s="1"/>
  <c r="M33" i="39" s="1"/>
  <c r="K80" i="39"/>
  <c r="L80" i="39" s="1"/>
  <c r="M80" i="39" s="1"/>
  <c r="K101" i="39"/>
  <c r="L101" i="39" s="1"/>
  <c r="M101" i="39" s="1"/>
  <c r="K84" i="39"/>
  <c r="L84" i="39" s="1"/>
  <c r="M84" i="39" s="1"/>
  <c r="K185" i="39"/>
  <c r="L185" i="39" s="1"/>
  <c r="M185" i="39" s="1"/>
  <c r="K271" i="39"/>
  <c r="L271" i="39" s="1"/>
  <c r="M271" i="39" s="1"/>
  <c r="K95" i="39"/>
  <c r="L95" i="39" s="1"/>
  <c r="M95" i="39" s="1"/>
  <c r="K189" i="39"/>
  <c r="L189" i="39" s="1"/>
  <c r="M189" i="39" s="1"/>
  <c r="K251" i="39"/>
  <c r="L251" i="39" s="1"/>
  <c r="M251" i="39" s="1"/>
  <c r="K202" i="39"/>
  <c r="L202" i="39" s="1"/>
  <c r="M202" i="39" s="1"/>
  <c r="K235" i="39"/>
  <c r="L235" i="39" s="1"/>
  <c r="M235" i="39" s="1"/>
  <c r="K67" i="39"/>
  <c r="L67" i="39" s="1"/>
  <c r="M67" i="39" s="1"/>
  <c r="K97" i="39"/>
  <c r="L97" i="39" s="1"/>
  <c r="M97" i="39" s="1"/>
  <c r="K175" i="39"/>
  <c r="L175" i="39" s="1"/>
  <c r="M175" i="39" s="1"/>
  <c r="K135" i="39"/>
  <c r="L135" i="39" s="1"/>
  <c r="M135" i="39" s="1"/>
  <c r="K130" i="39"/>
  <c r="L130" i="39" s="1"/>
  <c r="M130" i="39" s="1"/>
  <c r="K24" i="39"/>
  <c r="L24" i="39" s="1"/>
  <c r="M24" i="39" s="1"/>
  <c r="K92" i="39"/>
  <c r="L92" i="39" s="1"/>
  <c r="M92" i="39" s="1"/>
  <c r="K265" i="39"/>
  <c r="L265" i="39" s="1"/>
  <c r="M265" i="39" s="1"/>
  <c r="K44" i="39"/>
  <c r="L44" i="39" s="1"/>
  <c r="M44" i="39" s="1"/>
  <c r="K201" i="39"/>
  <c r="L201" i="39" s="1"/>
  <c r="M201" i="39" s="1"/>
  <c r="K128" i="39"/>
  <c r="L128" i="39" s="1"/>
  <c r="M128" i="39" s="1"/>
  <c r="K35" i="39"/>
  <c r="L35" i="39" s="1"/>
  <c r="M35" i="39" s="1"/>
  <c r="K28" i="39"/>
  <c r="L28" i="39" s="1"/>
  <c r="M28" i="39" s="1"/>
  <c r="K290" i="39"/>
  <c r="L290" i="39" s="1"/>
  <c r="M290" i="39" s="1"/>
  <c r="K23" i="39"/>
  <c r="L23" i="39" s="1"/>
  <c r="M23" i="39" s="1"/>
  <c r="K228" i="39"/>
  <c r="L228" i="39" s="1"/>
  <c r="M228" i="39" s="1"/>
  <c r="K249" i="39"/>
  <c r="L249" i="39" s="1"/>
  <c r="M249" i="39" s="1"/>
  <c r="K306" i="39"/>
  <c r="L306" i="39" s="1"/>
  <c r="M306" i="39" s="1"/>
  <c r="K198" i="39"/>
  <c r="L198" i="39" s="1"/>
  <c r="M198" i="39" s="1"/>
  <c r="K18" i="39"/>
  <c r="L18" i="39" s="1"/>
  <c r="M18" i="39" s="1"/>
  <c r="K149" i="39"/>
  <c r="L149" i="39" s="1"/>
  <c r="M149" i="39" s="1"/>
  <c r="K82" i="39"/>
  <c r="L82" i="39" s="1"/>
  <c r="M82" i="39" s="1"/>
  <c r="K100" i="39"/>
  <c r="L100" i="39" s="1"/>
  <c r="M100" i="39" s="1"/>
  <c r="K259" i="39"/>
  <c r="L259" i="39" s="1"/>
  <c r="M259" i="39" s="1"/>
  <c r="K51" i="39"/>
  <c r="L51" i="39" s="1"/>
  <c r="M51" i="39" s="1"/>
  <c r="K299" i="39"/>
  <c r="L299" i="39" s="1"/>
  <c r="M299" i="39" s="1"/>
  <c r="K113" i="39"/>
  <c r="L113" i="39" s="1"/>
  <c r="M113" i="39" s="1"/>
  <c r="K237" i="39"/>
  <c r="L237" i="39" s="1"/>
  <c r="M237" i="39" s="1"/>
  <c r="K64" i="39"/>
  <c r="L64" i="39" s="1"/>
  <c r="M64" i="39" s="1"/>
  <c r="K305" i="39"/>
  <c r="L305" i="39" s="1"/>
  <c r="M305" i="39" s="1"/>
  <c r="K280" i="39"/>
  <c r="L280" i="39" s="1"/>
  <c r="M280" i="39" s="1"/>
  <c r="K59" i="39"/>
  <c r="L59" i="39" s="1"/>
  <c r="M59" i="39" s="1"/>
  <c r="K138" i="39"/>
  <c r="L138" i="39" s="1"/>
  <c r="M138" i="39" s="1"/>
  <c r="K294" i="39"/>
  <c r="L294" i="39" s="1"/>
  <c r="M294" i="39" s="1"/>
  <c r="K289" i="39"/>
  <c r="L289" i="39" s="1"/>
  <c r="M289" i="39" s="1"/>
  <c r="K71" i="39"/>
  <c r="L71" i="39" s="1"/>
  <c r="M71" i="39" s="1"/>
  <c r="K254" i="39"/>
  <c r="L254" i="39" s="1"/>
  <c r="M254" i="39" s="1"/>
  <c r="K186" i="39"/>
  <c r="L186" i="39" s="1"/>
  <c r="M186" i="39" s="1"/>
  <c r="K313" i="39"/>
  <c r="L313" i="39" s="1"/>
  <c r="M313" i="39" s="1"/>
  <c r="K276" i="39"/>
  <c r="L276" i="39" s="1"/>
  <c r="M276" i="39" s="1"/>
  <c r="K120" i="39"/>
  <c r="L120" i="39" s="1"/>
  <c r="M120" i="39" s="1"/>
  <c r="K169" i="39"/>
  <c r="L169" i="39" s="1"/>
  <c r="M169" i="39" s="1"/>
  <c r="K191" i="39"/>
  <c r="L191" i="39" s="1"/>
  <c r="M191" i="39" s="1"/>
  <c r="K193" i="39"/>
  <c r="L193" i="39" s="1"/>
  <c r="M193" i="39" s="1"/>
  <c r="K102" i="39"/>
  <c r="L102" i="39" s="1"/>
  <c r="M102" i="39" s="1"/>
  <c r="K17" i="39"/>
  <c r="L17" i="39" s="1"/>
  <c r="M17" i="39" s="1"/>
  <c r="K231" i="39"/>
  <c r="L231" i="39" s="1"/>
  <c r="M231" i="39" s="1"/>
  <c r="K160" i="39"/>
  <c r="L160" i="39" s="1"/>
  <c r="M160" i="39" s="1"/>
  <c r="K63" i="39"/>
  <c r="L63" i="39" s="1"/>
  <c r="M63" i="39" s="1"/>
  <c r="K170" i="39"/>
  <c r="L170" i="39" s="1"/>
  <c r="M170" i="39" s="1"/>
  <c r="K272" i="39"/>
  <c r="L272" i="39" s="1"/>
  <c r="M272" i="39" s="1"/>
  <c r="K26" i="39"/>
  <c r="L26" i="39" s="1"/>
  <c r="M26" i="39" s="1"/>
  <c r="K109" i="39"/>
  <c r="L109" i="39" s="1"/>
  <c r="M109" i="39" s="1"/>
  <c r="K76" i="39"/>
  <c r="L76" i="39" s="1"/>
  <c r="M76" i="39" s="1"/>
  <c r="K158" i="39"/>
  <c r="L158" i="39" s="1"/>
  <c r="M158" i="39" s="1"/>
  <c r="K166" i="39"/>
  <c r="L166" i="39" s="1"/>
  <c r="M166" i="39" s="1"/>
  <c r="K263" i="39"/>
  <c r="L263" i="39" s="1"/>
  <c r="M263" i="39" s="1"/>
  <c r="K27" i="39"/>
  <c r="L27" i="39" s="1"/>
  <c r="M27" i="39" s="1"/>
  <c r="K197" i="39"/>
  <c r="L197" i="39" s="1"/>
  <c r="M197" i="39" s="1"/>
  <c r="K304" i="39"/>
  <c r="L304" i="39" s="1"/>
  <c r="M304" i="39" s="1"/>
  <c r="K184" i="39"/>
  <c r="L184" i="39" s="1"/>
  <c r="M184" i="39" s="1"/>
  <c r="K246" i="39"/>
  <c r="L246" i="39" s="1"/>
  <c r="M246" i="39" s="1"/>
  <c r="K295" i="39"/>
  <c r="L295" i="39" s="1"/>
  <c r="M295" i="39" s="1"/>
  <c r="K123" i="39"/>
  <c r="L123" i="39" s="1"/>
  <c r="M123" i="39" s="1"/>
  <c r="K36" i="39"/>
  <c r="L36" i="39" s="1"/>
  <c r="M36" i="39" s="1"/>
  <c r="K14" i="39"/>
  <c r="L14" i="39" s="1"/>
  <c r="M14" i="39" s="1"/>
  <c r="K74" i="39"/>
  <c r="L74" i="39" s="1"/>
  <c r="M74" i="39" s="1"/>
  <c r="K75" i="39"/>
  <c r="L75" i="39" s="1"/>
  <c r="M75" i="39" s="1"/>
  <c r="K47" i="39"/>
  <c r="L47" i="39" s="1"/>
  <c r="M47" i="39" s="1"/>
  <c r="K31" i="39"/>
  <c r="L31" i="39" s="1"/>
  <c r="M31" i="39" s="1"/>
  <c r="K146" i="39"/>
  <c r="L146" i="39" s="1"/>
  <c r="M146" i="39" s="1"/>
  <c r="K224" i="39"/>
  <c r="L224" i="39" s="1"/>
  <c r="M224" i="39" s="1"/>
  <c r="K72" i="39"/>
  <c r="L72" i="39" s="1"/>
  <c r="M72" i="39" s="1"/>
  <c r="K150" i="39"/>
  <c r="L150" i="39" s="1"/>
  <c r="M150" i="39" s="1"/>
  <c r="K168" i="39"/>
  <c r="L168" i="39" s="1"/>
  <c r="M168" i="39" s="1"/>
  <c r="K110" i="39"/>
  <c r="L110" i="39" s="1"/>
  <c r="M110" i="39" s="1"/>
  <c r="K41" i="39"/>
  <c r="L41" i="39" s="1"/>
  <c r="M41" i="39" s="1"/>
  <c r="K83" i="39"/>
  <c r="L83" i="39" s="1"/>
  <c r="M83" i="39" s="1"/>
  <c r="K10" i="39"/>
  <c r="L10" i="39" s="1"/>
  <c r="M10" i="39" s="1"/>
  <c r="K86" i="39"/>
  <c r="L86" i="39" s="1"/>
  <c r="M86" i="39" s="1"/>
  <c r="K108" i="39"/>
  <c r="L108" i="39" s="1"/>
  <c r="M108" i="39" s="1"/>
  <c r="K87" i="39"/>
  <c r="L87" i="39" s="1"/>
  <c r="M87" i="39" s="1"/>
  <c r="K190" i="39"/>
  <c r="L190" i="39" s="1"/>
  <c r="M190" i="39" s="1"/>
  <c r="K117" i="39"/>
  <c r="L117" i="39" s="1"/>
  <c r="M117" i="39" s="1"/>
  <c r="K220" i="39"/>
  <c r="L220" i="39" s="1"/>
  <c r="M220" i="39" s="1"/>
  <c r="K116" i="39"/>
  <c r="L116" i="39" s="1"/>
  <c r="M116" i="39" s="1"/>
  <c r="K217" i="39"/>
  <c r="L217" i="39" s="1"/>
  <c r="M217" i="39" s="1"/>
  <c r="K132" i="39"/>
  <c r="L132" i="39" s="1"/>
  <c r="M132" i="39" s="1"/>
  <c r="K104" i="39"/>
  <c r="L104" i="39" s="1"/>
  <c r="M104" i="39" s="1"/>
  <c r="K152" i="39"/>
  <c r="L152" i="39" s="1"/>
  <c r="M152" i="39" s="1"/>
  <c r="K156" i="39"/>
  <c r="L156" i="39" s="1"/>
  <c r="M156" i="39" s="1"/>
  <c r="K103" i="39"/>
  <c r="L103" i="39" s="1"/>
  <c r="M103" i="39" s="1"/>
  <c r="K39" i="39"/>
  <c r="L39" i="39" s="1"/>
  <c r="M39" i="39" s="1"/>
  <c r="K171" i="39"/>
  <c r="L171" i="39" s="1"/>
  <c r="M171" i="39" s="1"/>
  <c r="K40" i="39"/>
  <c r="L40" i="39" s="1"/>
  <c r="M40" i="39" s="1"/>
  <c r="K200" i="39"/>
  <c r="L200" i="39" s="1"/>
  <c r="M200" i="39" s="1"/>
  <c r="K264" i="39"/>
  <c r="L264" i="39" s="1"/>
  <c r="M264" i="39" s="1"/>
  <c r="K209" i="39"/>
  <c r="L209" i="39" s="1"/>
  <c r="M209" i="39" s="1"/>
  <c r="K124" i="39"/>
  <c r="L124" i="39" s="1"/>
  <c r="M124" i="39" s="1"/>
  <c r="K279" i="39"/>
  <c r="L279" i="39" s="1"/>
  <c r="M279" i="39" s="1"/>
  <c r="K5" i="39"/>
  <c r="L5" i="39" s="1"/>
  <c r="M5" i="39" s="1"/>
  <c r="N271" i="38"/>
  <c r="K262" i="37"/>
  <c r="L262" i="37" s="1"/>
  <c r="M262" i="37" s="1"/>
  <c r="N262" i="37" s="1"/>
  <c r="K290" i="37"/>
  <c r="L290" i="37" s="1"/>
  <c r="M290" i="37" s="1"/>
  <c r="N290" i="37" s="1"/>
  <c r="K157" i="37"/>
  <c r="L157" i="37" s="1"/>
  <c r="M157" i="37" s="1"/>
  <c r="N157" i="37" s="1"/>
  <c r="K152" i="37"/>
  <c r="L152" i="37" s="1"/>
  <c r="M152" i="37" s="1"/>
  <c r="N152" i="37" s="1"/>
  <c r="K13" i="37"/>
  <c r="L13" i="37" s="1"/>
  <c r="M13" i="37" s="1"/>
  <c r="N13" i="37" s="1"/>
  <c r="K9" i="37"/>
  <c r="L9" i="37" s="1"/>
  <c r="M9" i="37" s="1"/>
  <c r="N9" i="37" s="1"/>
  <c r="K42" i="37"/>
  <c r="L42" i="37" s="1"/>
  <c r="M42" i="37" s="1"/>
  <c r="N42" i="37" s="1"/>
  <c r="K173" i="37"/>
  <c r="L173" i="37" s="1"/>
  <c r="M173" i="37" s="1"/>
  <c r="N173" i="37" s="1"/>
  <c r="K300" i="37"/>
  <c r="L300" i="37" s="1"/>
  <c r="M300" i="37" s="1"/>
  <c r="N300" i="37" s="1"/>
  <c r="K79" i="37"/>
  <c r="L79" i="37" s="1"/>
  <c r="M79" i="37" s="1"/>
  <c r="N79" i="37" s="1"/>
  <c r="K219" i="37"/>
  <c r="L219" i="37" s="1"/>
  <c r="M219" i="37" s="1"/>
  <c r="N219" i="37" s="1"/>
  <c r="K244" i="37"/>
  <c r="L244" i="37" s="1"/>
  <c r="M244" i="37" s="1"/>
  <c r="N244" i="37" s="1"/>
  <c r="K195" i="37"/>
  <c r="L195" i="37" s="1"/>
  <c r="M195" i="37" s="1"/>
  <c r="N195" i="37" s="1"/>
  <c r="K293" i="37"/>
  <c r="L293" i="37" s="1"/>
  <c r="M293" i="37" s="1"/>
  <c r="N293" i="37" s="1"/>
  <c r="K160" i="37"/>
  <c r="L160" i="37" s="1"/>
  <c r="M160" i="37" s="1"/>
  <c r="N160" i="37" s="1"/>
  <c r="K280" i="37"/>
  <c r="L280" i="37" s="1"/>
  <c r="M280" i="37" s="1"/>
  <c r="N280" i="37" s="1"/>
  <c r="K286" i="37"/>
  <c r="L286" i="37" s="1"/>
  <c r="M286" i="37" s="1"/>
  <c r="N286" i="37" s="1"/>
  <c r="K161" i="37"/>
  <c r="L161" i="37" s="1"/>
  <c r="M161" i="37" s="1"/>
  <c r="N161" i="37" s="1"/>
  <c r="K288" i="37"/>
  <c r="L288" i="37" s="1"/>
  <c r="M288" i="37" s="1"/>
  <c r="N288" i="37" s="1"/>
  <c r="K28" i="37"/>
  <c r="L28" i="37" s="1"/>
  <c r="M28" i="37" s="1"/>
  <c r="N28" i="37" s="1"/>
  <c r="K251" i="37"/>
  <c r="L251" i="37" s="1"/>
  <c r="M251" i="37" s="1"/>
  <c r="N251" i="37" s="1"/>
  <c r="K134" i="37"/>
  <c r="L134" i="37" s="1"/>
  <c r="M134" i="37" s="1"/>
  <c r="N134" i="37" s="1"/>
  <c r="K312" i="37"/>
  <c r="L312" i="37" s="1"/>
  <c r="M312" i="37" s="1"/>
  <c r="N312" i="37" s="1"/>
  <c r="K249" i="37"/>
  <c r="L249" i="37" s="1"/>
  <c r="M249" i="37" s="1"/>
  <c r="N249" i="37" s="1"/>
  <c r="K119" i="37"/>
  <c r="L119" i="37" s="1"/>
  <c r="M119" i="37" s="1"/>
  <c r="N119" i="37" s="1"/>
  <c r="K204" i="37"/>
  <c r="L204" i="37" s="1"/>
  <c r="M204" i="37" s="1"/>
  <c r="N204" i="37" s="1"/>
  <c r="K259" i="37"/>
  <c r="L259" i="37" s="1"/>
  <c r="M259" i="37" s="1"/>
  <c r="N259" i="37" s="1"/>
  <c r="K86" i="37"/>
  <c r="L86" i="37" s="1"/>
  <c r="M86" i="37" s="1"/>
  <c r="N86" i="37" s="1"/>
  <c r="K32" i="37"/>
  <c r="L32" i="37" s="1"/>
  <c r="M32" i="37" s="1"/>
  <c r="N32" i="37" s="1"/>
  <c r="K108" i="37"/>
  <c r="L108" i="37" s="1"/>
  <c r="M108" i="37" s="1"/>
  <c r="N108" i="37" s="1"/>
  <c r="K276" i="37"/>
  <c r="L276" i="37" s="1"/>
  <c r="M276" i="37" s="1"/>
  <c r="N276" i="37" s="1"/>
  <c r="K151" i="37"/>
  <c r="L151" i="37" s="1"/>
  <c r="M151" i="37" s="1"/>
  <c r="N151" i="37" s="1"/>
  <c r="K242" i="37"/>
  <c r="L242" i="37" s="1"/>
  <c r="M242" i="37" s="1"/>
  <c r="N242" i="37" s="1"/>
  <c r="K301" i="37"/>
  <c r="L301" i="37" s="1"/>
  <c r="M301" i="37" s="1"/>
  <c r="N301" i="37" s="1"/>
  <c r="K269" i="37"/>
  <c r="L269" i="37" s="1"/>
  <c r="M269" i="37" s="1"/>
  <c r="N269" i="37" s="1"/>
  <c r="K215" i="37"/>
  <c r="L215" i="37" s="1"/>
  <c r="M215" i="37" s="1"/>
  <c r="N215" i="37" s="1"/>
  <c r="K179" i="37"/>
  <c r="L179" i="37" s="1"/>
  <c r="M179" i="37" s="1"/>
  <c r="N179" i="37" s="1"/>
  <c r="K147" i="37"/>
  <c r="L147" i="37" s="1"/>
  <c r="M147" i="37" s="1"/>
  <c r="N147" i="37" s="1"/>
  <c r="K63" i="37"/>
  <c r="L63" i="37" s="1"/>
  <c r="M63" i="37" s="1"/>
  <c r="N63" i="37" s="1"/>
  <c r="K263" i="37"/>
  <c r="L263" i="37" s="1"/>
  <c r="M263" i="37" s="1"/>
  <c r="N263" i="37" s="1"/>
  <c r="K308" i="37"/>
  <c r="L308" i="37" s="1"/>
  <c r="M308" i="37" s="1"/>
  <c r="N308" i="37" s="1"/>
  <c r="K246" i="37"/>
  <c r="L246" i="37" s="1"/>
  <c r="M246" i="37" s="1"/>
  <c r="N246" i="37" s="1"/>
  <c r="K297" i="37"/>
  <c r="L297" i="37" s="1"/>
  <c r="M297" i="37" s="1"/>
  <c r="N297" i="37" s="1"/>
  <c r="K256" i="37"/>
  <c r="L256" i="37" s="1"/>
  <c r="M256" i="37" s="1"/>
  <c r="N256" i="37" s="1"/>
  <c r="K307" i="37"/>
  <c r="L307" i="37" s="1"/>
  <c r="M307" i="37" s="1"/>
  <c r="N307" i="37" s="1"/>
  <c r="K273" i="37"/>
  <c r="L273" i="37" s="1"/>
  <c r="M273" i="37" s="1"/>
  <c r="N273" i="37" s="1"/>
  <c r="K255" i="37"/>
  <c r="L255" i="37" s="1"/>
  <c r="M255" i="37" s="1"/>
  <c r="N255" i="37" s="1"/>
  <c r="K64" i="37"/>
  <c r="L64" i="37" s="1"/>
  <c r="M64" i="37" s="1"/>
  <c r="N64" i="37" s="1"/>
  <c r="K248" i="37"/>
  <c r="L248" i="37" s="1"/>
  <c r="M248" i="37" s="1"/>
  <c r="N248" i="37" s="1"/>
  <c r="K68" i="37"/>
  <c r="L68" i="37" s="1"/>
  <c r="M68" i="37" s="1"/>
  <c r="N68" i="37" s="1"/>
  <c r="K52" i="37"/>
  <c r="L52" i="37" s="1"/>
  <c r="M52" i="37" s="1"/>
  <c r="N52" i="37" s="1"/>
  <c r="K156" i="37"/>
  <c r="L156" i="37" s="1"/>
  <c r="M156" i="37" s="1"/>
  <c r="N156" i="37" s="1"/>
  <c r="K253" i="37"/>
  <c r="L253" i="37" s="1"/>
  <c r="M253" i="37" s="1"/>
  <c r="N253" i="37" s="1"/>
  <c r="K258" i="37"/>
  <c r="L258" i="37" s="1"/>
  <c r="M258" i="37" s="1"/>
  <c r="N258" i="37" s="1"/>
  <c r="K257" i="37"/>
  <c r="L257" i="37" s="1"/>
  <c r="M257" i="37" s="1"/>
  <c r="N257" i="37" s="1"/>
  <c r="K135" i="37"/>
  <c r="L135" i="37" s="1"/>
  <c r="M135" i="37" s="1"/>
  <c r="N135" i="37" s="1"/>
  <c r="K56" i="37"/>
  <c r="L56" i="37" s="1"/>
  <c r="M56" i="37" s="1"/>
  <c r="N56" i="37" s="1"/>
  <c r="K5" i="37"/>
  <c r="L5" i="37" s="1"/>
  <c r="M5" i="37" s="1"/>
  <c r="N5" i="37" s="1"/>
  <c r="K181" i="37"/>
  <c r="L181" i="37" s="1"/>
  <c r="M181" i="37" s="1"/>
  <c r="N181" i="37" s="1"/>
  <c r="K279" i="37"/>
  <c r="L279" i="37" s="1"/>
  <c r="M279" i="37" s="1"/>
  <c r="N279" i="37" s="1"/>
  <c r="K150" i="37"/>
  <c r="L150" i="37" s="1"/>
  <c r="M150" i="37" s="1"/>
  <c r="N150" i="37" s="1"/>
  <c r="K136" i="37"/>
  <c r="L136" i="37" s="1"/>
  <c r="M136" i="37" s="1"/>
  <c r="N136" i="37" s="1"/>
  <c r="K284" i="37"/>
  <c r="L284" i="37" s="1"/>
  <c r="M284" i="37" s="1"/>
  <c r="N284" i="37" s="1"/>
  <c r="K76" i="37"/>
  <c r="L76" i="37" s="1"/>
  <c r="M76" i="37" s="1"/>
  <c r="N76" i="37" s="1"/>
  <c r="K50" i="37"/>
  <c r="L50" i="37" s="1"/>
  <c r="M50" i="37" s="1"/>
  <c r="N50" i="37" s="1"/>
  <c r="K189" i="37"/>
  <c r="L189" i="37" s="1"/>
  <c r="M189" i="37" s="1"/>
  <c r="N189" i="37" s="1"/>
  <c r="K7" i="37"/>
  <c r="L7" i="37" s="1"/>
  <c r="M7" i="37" s="1"/>
  <c r="N7" i="37" s="1"/>
  <c r="K224" i="37"/>
  <c r="L224" i="37" s="1"/>
  <c r="M224" i="37" s="1"/>
  <c r="N224" i="37" s="1"/>
  <c r="K70" i="37"/>
  <c r="L70" i="37" s="1"/>
  <c r="M70" i="37" s="1"/>
  <c r="N70" i="37" s="1"/>
  <c r="K62" i="37"/>
  <c r="L62" i="37" s="1"/>
  <c r="M62" i="37" s="1"/>
  <c r="N62" i="37" s="1"/>
  <c r="K212" i="37"/>
  <c r="L212" i="37" s="1"/>
  <c r="M212" i="37" s="1"/>
  <c r="N212" i="37" s="1"/>
  <c r="K67" i="37"/>
  <c r="L67" i="37" s="1"/>
  <c r="M67" i="37" s="1"/>
  <c r="N67" i="37" s="1"/>
  <c r="K91" i="37"/>
  <c r="L91" i="37" s="1"/>
  <c r="M91" i="37" s="1"/>
  <c r="N91" i="37" s="1"/>
  <c r="K210" i="37"/>
  <c r="L210" i="37" s="1"/>
  <c r="M210" i="37" s="1"/>
  <c r="N210" i="37" s="1"/>
  <c r="K132" i="37"/>
  <c r="L132" i="37" s="1"/>
  <c r="M132" i="37" s="1"/>
  <c r="N132" i="37" s="1"/>
  <c r="K126" i="37"/>
  <c r="L126" i="37" s="1"/>
  <c r="M126" i="37" s="1"/>
  <c r="N126" i="37" s="1"/>
  <c r="K254" i="37"/>
  <c r="L254" i="37" s="1"/>
  <c r="M254" i="37" s="1"/>
  <c r="N254" i="37" s="1"/>
  <c r="K20" i="37"/>
  <c r="L20" i="37" s="1"/>
  <c r="M20" i="37" s="1"/>
  <c r="N20" i="37" s="1"/>
  <c r="K25" i="37"/>
  <c r="L25" i="37" s="1"/>
  <c r="M25" i="37" s="1"/>
  <c r="N25" i="37" s="1"/>
  <c r="K128" i="37"/>
  <c r="L128" i="37" s="1"/>
  <c r="M128" i="37" s="1"/>
  <c r="N128" i="37" s="1"/>
  <c r="K37" i="37"/>
  <c r="L37" i="37" s="1"/>
  <c r="M37" i="37" s="1"/>
  <c r="N37" i="37" s="1"/>
  <c r="K89" i="37"/>
  <c r="L89" i="37" s="1"/>
  <c r="M89" i="37" s="1"/>
  <c r="N89" i="37" s="1"/>
  <c r="K172" i="37"/>
  <c r="L172" i="37" s="1"/>
  <c r="M172" i="37" s="1"/>
  <c r="N172" i="37" s="1"/>
  <c r="K144" i="37"/>
  <c r="L144" i="37" s="1"/>
  <c r="M144" i="37" s="1"/>
  <c r="N144" i="37" s="1"/>
  <c r="K165" i="37"/>
  <c r="L165" i="37" s="1"/>
  <c r="M165" i="37" s="1"/>
  <c r="N165" i="37" s="1"/>
  <c r="K112" i="37"/>
  <c r="L112" i="37" s="1"/>
  <c r="M112" i="37" s="1"/>
  <c r="N112" i="37" s="1"/>
  <c r="K60" i="37"/>
  <c r="L60" i="37" s="1"/>
  <c r="M60" i="37" s="1"/>
  <c r="N60" i="37" s="1"/>
  <c r="K140" i="37"/>
  <c r="L140" i="37" s="1"/>
  <c r="M140" i="37" s="1"/>
  <c r="N140" i="37" s="1"/>
  <c r="K177" i="37"/>
  <c r="L177" i="37" s="1"/>
  <c r="M177" i="37" s="1"/>
  <c r="N177" i="37" s="1"/>
  <c r="K261" i="37"/>
  <c r="L261" i="37" s="1"/>
  <c r="M261" i="37" s="1"/>
  <c r="N261" i="37" s="1"/>
  <c r="K188" i="37"/>
  <c r="L188" i="37" s="1"/>
  <c r="M188" i="37" s="1"/>
  <c r="N188" i="37" s="1"/>
  <c r="K35" i="37"/>
  <c r="L35" i="37" s="1"/>
  <c r="M35" i="37" s="1"/>
  <c r="N35" i="37" s="1"/>
  <c r="K74" i="37"/>
  <c r="L74" i="37" s="1"/>
  <c r="M74" i="37" s="1"/>
  <c r="N74" i="37" s="1"/>
  <c r="K272" i="37"/>
  <c r="L272" i="37" s="1"/>
  <c r="M272" i="37" s="1"/>
  <c r="N272" i="37" s="1"/>
  <c r="K24" i="37"/>
  <c r="L24" i="37" s="1"/>
  <c r="M24" i="37" s="1"/>
  <c r="N24" i="37" s="1"/>
  <c r="K92" i="37"/>
  <c r="L92" i="37" s="1"/>
  <c r="M92" i="37" s="1"/>
  <c r="N92" i="37" s="1"/>
  <c r="K66" i="37"/>
  <c r="L66" i="37" s="1"/>
  <c r="M66" i="37" s="1"/>
  <c r="N66" i="37" s="1"/>
  <c r="K11" i="37"/>
  <c r="L11" i="37" s="1"/>
  <c r="M11" i="37" s="1"/>
  <c r="N11" i="37" s="1"/>
  <c r="K8" i="37"/>
  <c r="L8" i="37" s="1"/>
  <c r="M8" i="37" s="1"/>
  <c r="N8" i="37" s="1"/>
  <c r="K168" i="37"/>
  <c r="L168" i="37" s="1"/>
  <c r="M168" i="37" s="1"/>
  <c r="N168" i="37" s="1"/>
  <c r="K59" i="37"/>
  <c r="L59" i="37" s="1"/>
  <c r="M59" i="37" s="1"/>
  <c r="N59" i="37" s="1"/>
  <c r="K265" i="37"/>
  <c r="L265" i="37" s="1"/>
  <c r="M265" i="37" s="1"/>
  <c r="N265" i="37" s="1"/>
  <c r="K80" i="37"/>
  <c r="L80" i="37" s="1"/>
  <c r="M80" i="37" s="1"/>
  <c r="N80" i="37" s="1"/>
  <c r="K47" i="37"/>
  <c r="L47" i="37" s="1"/>
  <c r="M47" i="37" s="1"/>
  <c r="N47" i="37" s="1"/>
  <c r="K208" i="37"/>
  <c r="L208" i="37" s="1"/>
  <c r="M208" i="37" s="1"/>
  <c r="N208" i="37" s="1"/>
  <c r="K169" i="37"/>
  <c r="L169" i="37" s="1"/>
  <c r="M169" i="37" s="1"/>
  <c r="N169" i="37" s="1"/>
  <c r="K148" i="37"/>
  <c r="L148" i="37" s="1"/>
  <c r="M148" i="37" s="1"/>
  <c r="N148" i="37" s="1"/>
  <c r="K12" i="37"/>
  <c r="L12" i="37" s="1"/>
  <c r="M12" i="37" s="1"/>
  <c r="N12" i="37" s="1"/>
  <c r="K23" i="37"/>
  <c r="L23" i="37" s="1"/>
  <c r="M23" i="37" s="1"/>
  <c r="N23" i="37" s="1"/>
  <c r="K170" i="37"/>
  <c r="L170" i="37" s="1"/>
  <c r="M170" i="37" s="1"/>
  <c r="N170" i="37" s="1"/>
  <c r="K193" i="37"/>
  <c r="L193" i="37" s="1"/>
  <c r="M193" i="37" s="1"/>
  <c r="N193" i="37" s="1"/>
  <c r="K197" i="37"/>
  <c r="L197" i="37" s="1"/>
  <c r="M197" i="37" s="1"/>
  <c r="N197" i="37" s="1"/>
  <c r="K16" i="37"/>
  <c r="L16" i="37" s="1"/>
  <c r="M16" i="37" s="1"/>
  <c r="N16" i="37" s="1"/>
  <c r="K19" i="37"/>
  <c r="L19" i="37" s="1"/>
  <c r="M19" i="37" s="1"/>
  <c r="N19" i="37" s="1"/>
  <c r="K104" i="37"/>
  <c r="L104" i="37" s="1"/>
  <c r="M104" i="37" s="1"/>
  <c r="N104" i="37" s="1"/>
  <c r="K281" i="37"/>
  <c r="L281" i="37" s="1"/>
  <c r="M281" i="37" s="1"/>
  <c r="N281" i="37" s="1"/>
  <c r="K15" i="37"/>
  <c r="L15" i="37" s="1"/>
  <c r="M15" i="37" s="1"/>
  <c r="N15" i="37" s="1"/>
  <c r="K252" i="37"/>
  <c r="L252" i="37" s="1"/>
  <c r="M252" i="37" s="1"/>
  <c r="N252" i="37" s="1"/>
  <c r="K234" i="37"/>
  <c r="L234" i="37" s="1"/>
  <c r="M234" i="37" s="1"/>
  <c r="N234" i="37" s="1"/>
  <c r="K75" i="37"/>
  <c r="L75" i="37" s="1"/>
  <c r="M75" i="37" s="1"/>
  <c r="N75" i="37" s="1"/>
  <c r="K142" i="37"/>
  <c r="L142" i="37" s="1"/>
  <c r="M142" i="37" s="1"/>
  <c r="N142" i="37" s="1"/>
  <c r="K71" i="37"/>
  <c r="L71" i="37" s="1"/>
  <c r="M71" i="37" s="1"/>
  <c r="N71" i="37" s="1"/>
  <c r="K129" i="37"/>
  <c r="L129" i="37" s="1"/>
  <c r="M129" i="37" s="1"/>
  <c r="N129" i="37" s="1"/>
  <c r="K26" i="37"/>
  <c r="L26" i="37" s="1"/>
  <c r="M26" i="37" s="1"/>
  <c r="N26" i="37" s="1"/>
  <c r="K283" i="37"/>
  <c r="L283" i="37" s="1"/>
  <c r="M283" i="37" s="1"/>
  <c r="N283" i="37" s="1"/>
  <c r="K58" i="37"/>
  <c r="L58" i="37" s="1"/>
  <c r="M58" i="37" s="1"/>
  <c r="N58" i="37" s="1"/>
  <c r="K81" i="37"/>
  <c r="L81" i="37" s="1"/>
  <c r="M81" i="37" s="1"/>
  <c r="N81" i="37" s="1"/>
  <c r="K36" i="37"/>
  <c r="L36" i="37" s="1"/>
  <c r="M36" i="37" s="1"/>
  <c r="N36" i="37" s="1"/>
  <c r="K96" i="37"/>
  <c r="L96" i="37" s="1"/>
  <c r="M96" i="37" s="1"/>
  <c r="N96" i="37" s="1"/>
  <c r="K232" i="37"/>
  <c r="L232" i="37" s="1"/>
  <c r="M232" i="37" s="1"/>
  <c r="N232" i="37" s="1"/>
  <c r="K93" i="37"/>
  <c r="L93" i="37" s="1"/>
  <c r="M93" i="37" s="1"/>
  <c r="N93" i="37" s="1"/>
  <c r="K267" i="37"/>
  <c r="L267" i="37" s="1"/>
  <c r="M267" i="37" s="1"/>
  <c r="N267" i="37" s="1"/>
  <c r="K217" i="37"/>
  <c r="L217" i="37" s="1"/>
  <c r="M217" i="37" s="1"/>
  <c r="N217" i="37" s="1"/>
  <c r="K133" i="37"/>
  <c r="L133" i="37" s="1"/>
  <c r="M133" i="37" s="1"/>
  <c r="N133" i="37" s="1"/>
  <c r="K216" i="37"/>
  <c r="L216" i="37" s="1"/>
  <c r="M216" i="37" s="1"/>
  <c r="N216" i="37" s="1"/>
  <c r="K186" i="37"/>
  <c r="L186" i="37" s="1"/>
  <c r="M186" i="37" s="1"/>
  <c r="N186" i="37" s="1"/>
  <c r="K77" i="37"/>
  <c r="L77" i="37" s="1"/>
  <c r="M77" i="37" s="1"/>
  <c r="N77" i="37" s="1"/>
  <c r="K228" i="37"/>
  <c r="L228" i="37" s="1"/>
  <c r="M228" i="37" s="1"/>
  <c r="N228" i="37" s="1"/>
  <c r="K236" i="37"/>
  <c r="L236" i="37" s="1"/>
  <c r="M236" i="37" s="1"/>
  <c r="N236" i="37" s="1"/>
  <c r="K315" i="37"/>
  <c r="L315" i="37" s="1"/>
  <c r="M315" i="37" s="1"/>
  <c r="N315" i="37" s="1"/>
  <c r="K310" i="37"/>
  <c r="L310" i="37" s="1"/>
  <c r="M310" i="37" s="1"/>
  <c r="N310" i="37" s="1"/>
  <c r="K213" i="37"/>
  <c r="L213" i="37" s="1"/>
  <c r="M213" i="37" s="1"/>
  <c r="N213" i="37" s="1"/>
  <c r="K99" i="37"/>
  <c r="L99" i="37" s="1"/>
  <c r="M99" i="37" s="1"/>
  <c r="N99" i="37" s="1"/>
  <c r="K194" i="37"/>
  <c r="L194" i="37" s="1"/>
  <c r="M194" i="37" s="1"/>
  <c r="N194" i="37" s="1"/>
  <c r="K196" i="37"/>
  <c r="L196" i="37" s="1"/>
  <c r="M196" i="37" s="1"/>
  <c r="N196" i="37" s="1"/>
  <c r="K65" i="37"/>
  <c r="L65" i="37" s="1"/>
  <c r="M65" i="37" s="1"/>
  <c r="N65" i="37" s="1"/>
  <c r="K158" i="37"/>
  <c r="L158" i="37" s="1"/>
  <c r="M158" i="37" s="1"/>
  <c r="N158" i="37" s="1"/>
  <c r="K29" i="37"/>
  <c r="L29" i="37" s="1"/>
  <c r="M29" i="37" s="1"/>
  <c r="N29" i="37" s="1"/>
  <c r="K247" i="37"/>
  <c r="L247" i="37" s="1"/>
  <c r="M247" i="37" s="1"/>
  <c r="N247" i="37" s="1"/>
  <c r="K174" i="37"/>
  <c r="L174" i="37" s="1"/>
  <c r="M174" i="37" s="1"/>
  <c r="N174" i="37" s="1"/>
  <c r="K164" i="37"/>
  <c r="L164" i="37" s="1"/>
  <c r="M164" i="37" s="1"/>
  <c r="N164" i="37" s="1"/>
  <c r="K237" i="37"/>
  <c r="L237" i="37" s="1"/>
  <c r="M237" i="37" s="1"/>
  <c r="N237" i="37" s="1"/>
  <c r="K278" i="37"/>
  <c r="L278" i="37" s="1"/>
  <c r="M278" i="37" s="1"/>
  <c r="N278" i="37" s="1"/>
  <c r="K239" i="37"/>
  <c r="L239" i="37" s="1"/>
  <c r="M239" i="37" s="1"/>
  <c r="N239" i="37" s="1"/>
  <c r="K175" i="37"/>
  <c r="L175" i="37" s="1"/>
  <c r="M175" i="37" s="1"/>
  <c r="N175" i="37" s="1"/>
  <c r="K120" i="37"/>
  <c r="L120" i="37" s="1"/>
  <c r="M120" i="37" s="1"/>
  <c r="N120" i="37" s="1"/>
  <c r="K226" i="37"/>
  <c r="L226" i="37" s="1"/>
  <c r="M226" i="37" s="1"/>
  <c r="N226" i="37" s="1"/>
  <c r="K199" i="37"/>
  <c r="L199" i="37" s="1"/>
  <c r="M199" i="37" s="1"/>
  <c r="N199" i="37" s="1"/>
  <c r="K139" i="37"/>
  <c r="L139" i="37" s="1"/>
  <c r="M139" i="37" s="1"/>
  <c r="N139" i="37" s="1"/>
  <c r="K130" i="37"/>
  <c r="L130" i="37" s="1"/>
  <c r="M130" i="37" s="1"/>
  <c r="N130" i="37" s="1"/>
  <c r="K203" i="37"/>
  <c r="L203" i="37" s="1"/>
  <c r="M203" i="37" s="1"/>
  <c r="N203" i="37" s="1"/>
  <c r="K22" i="37"/>
  <c r="L22" i="37" s="1"/>
  <c r="M22" i="37" s="1"/>
  <c r="N22" i="37" s="1"/>
  <c r="K220" i="37"/>
  <c r="L220" i="37" s="1"/>
  <c r="M220" i="37" s="1"/>
  <c r="N220" i="37" s="1"/>
  <c r="K159" i="37"/>
  <c r="L159" i="37" s="1"/>
  <c r="M159" i="37" s="1"/>
  <c r="N159" i="37" s="1"/>
  <c r="K34" i="37"/>
  <c r="L34" i="37" s="1"/>
  <c r="M34" i="37" s="1"/>
  <c r="N34" i="37" s="1"/>
  <c r="K198" i="37"/>
  <c r="L198" i="37" s="1"/>
  <c r="M198" i="37" s="1"/>
  <c r="N198" i="37" s="1"/>
  <c r="K117" i="37"/>
  <c r="L117" i="37" s="1"/>
  <c r="M117" i="37" s="1"/>
  <c r="N117" i="37" s="1"/>
  <c r="K110" i="37"/>
  <c r="L110" i="37" s="1"/>
  <c r="M110" i="37" s="1"/>
  <c r="N110" i="37" s="1"/>
  <c r="K102" i="37"/>
  <c r="L102" i="37" s="1"/>
  <c r="M102" i="37" s="1"/>
  <c r="N102" i="37" s="1"/>
  <c r="K84" i="37"/>
  <c r="L84" i="37" s="1"/>
  <c r="M84" i="37" s="1"/>
  <c r="N84" i="37" s="1"/>
  <c r="K115" i="37"/>
  <c r="L115" i="37" s="1"/>
  <c r="M115" i="37" s="1"/>
  <c r="N115" i="37" s="1"/>
  <c r="K260" i="37"/>
  <c r="L260" i="37" s="1"/>
  <c r="M260" i="37" s="1"/>
  <c r="N260" i="37" s="1"/>
  <c r="K121" i="37"/>
  <c r="L121" i="37" s="1"/>
  <c r="M121" i="37" s="1"/>
  <c r="N121" i="37" s="1"/>
  <c r="K162" i="37"/>
  <c r="L162" i="37" s="1"/>
  <c r="M162" i="37" s="1"/>
  <c r="N162" i="37" s="1"/>
  <c r="K53" i="37"/>
  <c r="L53" i="37" s="1"/>
  <c r="M53" i="37" s="1"/>
  <c r="N53" i="37" s="1"/>
  <c r="K30" i="37"/>
  <c r="L30" i="37" s="1"/>
  <c r="M30" i="37" s="1"/>
  <c r="N30" i="37" s="1"/>
  <c r="K4" i="37"/>
  <c r="K17" i="37"/>
  <c r="L17" i="37" s="1"/>
  <c r="M17" i="37" s="1"/>
  <c r="N17" i="37" s="1"/>
  <c r="K87" i="37"/>
  <c r="L87" i="37" s="1"/>
  <c r="M87" i="37" s="1"/>
  <c r="N87" i="37" s="1"/>
  <c r="K138" i="37"/>
  <c r="L138" i="37" s="1"/>
  <c r="M138" i="37" s="1"/>
  <c r="N138" i="37" s="1"/>
  <c r="K245" i="37"/>
  <c r="L245" i="37" s="1"/>
  <c r="M245" i="37" s="1"/>
  <c r="N245" i="37" s="1"/>
  <c r="K229" i="37"/>
  <c r="L229" i="37" s="1"/>
  <c r="M229" i="37" s="1"/>
  <c r="N229" i="37" s="1"/>
  <c r="K201" i="37"/>
  <c r="L201" i="37" s="1"/>
  <c r="M201" i="37" s="1"/>
  <c r="N201" i="37" s="1"/>
  <c r="K268" i="37"/>
  <c r="L268" i="37" s="1"/>
  <c r="M268" i="37" s="1"/>
  <c r="N268" i="37" s="1"/>
  <c r="K94" i="37"/>
  <c r="L94" i="37" s="1"/>
  <c r="M94" i="37" s="1"/>
  <c r="N94" i="37" s="1"/>
  <c r="K180" i="37"/>
  <c r="L180" i="37" s="1"/>
  <c r="M180" i="37" s="1"/>
  <c r="N180" i="37" s="1"/>
  <c r="K40" i="37"/>
  <c r="L40" i="37" s="1"/>
  <c r="M40" i="37" s="1"/>
  <c r="N40" i="37" s="1"/>
  <c r="K270" i="37"/>
  <c r="L270" i="37" s="1"/>
  <c r="M270" i="37" s="1"/>
  <c r="N270" i="37" s="1"/>
  <c r="K85" i="37"/>
  <c r="L85" i="37" s="1"/>
  <c r="M85" i="37" s="1"/>
  <c r="N85" i="37" s="1"/>
  <c r="K187" i="37"/>
  <c r="L187" i="37" s="1"/>
  <c r="M187" i="37" s="1"/>
  <c r="N187" i="37" s="1"/>
  <c r="K230" i="37"/>
  <c r="L230" i="37" s="1"/>
  <c r="M230" i="37" s="1"/>
  <c r="N230" i="37" s="1"/>
  <c r="K190" i="37"/>
  <c r="L190" i="37" s="1"/>
  <c r="M190" i="37" s="1"/>
  <c r="N190" i="37" s="1"/>
  <c r="K111" i="37"/>
  <c r="L111" i="37" s="1"/>
  <c r="M111" i="37" s="1"/>
  <c r="N111" i="37" s="1"/>
  <c r="K61" i="37"/>
  <c r="L61" i="37" s="1"/>
  <c r="M61" i="37" s="1"/>
  <c r="N61" i="37" s="1"/>
  <c r="K98" i="37"/>
  <c r="L98" i="37" s="1"/>
  <c r="M98" i="37" s="1"/>
  <c r="N98" i="37" s="1"/>
  <c r="K141" i="37"/>
  <c r="L141" i="37" s="1"/>
  <c r="M141" i="37" s="1"/>
  <c r="N141" i="37" s="1"/>
  <c r="K51" i="37"/>
  <c r="L51" i="37" s="1"/>
  <c r="M51" i="37" s="1"/>
  <c r="N51" i="37" s="1"/>
  <c r="K176" i="37"/>
  <c r="L176" i="37" s="1"/>
  <c r="M176" i="37" s="1"/>
  <c r="N176" i="37" s="1"/>
  <c r="K221" i="37"/>
  <c r="L221" i="37" s="1"/>
  <c r="M221" i="37" s="1"/>
  <c r="N221" i="37" s="1"/>
  <c r="K184" i="37"/>
  <c r="L184" i="37" s="1"/>
  <c r="M184" i="37" s="1"/>
  <c r="N184" i="37" s="1"/>
  <c r="K73" i="37"/>
  <c r="L73" i="37" s="1"/>
  <c r="M73" i="37" s="1"/>
  <c r="N73" i="37" s="1"/>
  <c r="K78" i="37"/>
  <c r="L78" i="37" s="1"/>
  <c r="M78" i="37" s="1"/>
  <c r="N78" i="37" s="1"/>
  <c r="K125" i="37"/>
  <c r="L125" i="37" s="1"/>
  <c r="M125" i="37" s="1"/>
  <c r="N125" i="37" s="1"/>
  <c r="K233" i="37"/>
  <c r="L233" i="37" s="1"/>
  <c r="M233" i="37" s="1"/>
  <c r="N233" i="37" s="1"/>
  <c r="K146" i="37"/>
  <c r="L146" i="37" s="1"/>
  <c r="M146" i="37" s="1"/>
  <c r="N146" i="37" s="1"/>
  <c r="K100" i="37"/>
  <c r="L100" i="37" s="1"/>
  <c r="M100" i="37" s="1"/>
  <c r="N100" i="37" s="1"/>
  <c r="K55" i="37"/>
  <c r="L55" i="37" s="1"/>
  <c r="M55" i="37" s="1"/>
  <c r="N55" i="37" s="1"/>
  <c r="K309" i="37"/>
  <c r="L309" i="37" s="1"/>
  <c r="M309" i="37" s="1"/>
  <c r="N309" i="37" s="1"/>
  <c r="K33" i="37"/>
  <c r="L33" i="37" s="1"/>
  <c r="M33" i="37" s="1"/>
  <c r="N33" i="37" s="1"/>
  <c r="K72" i="37"/>
  <c r="L72" i="37" s="1"/>
  <c r="M72" i="37" s="1"/>
  <c r="N72" i="37" s="1"/>
  <c r="K274" i="37"/>
  <c r="L274" i="37" s="1"/>
  <c r="M274" i="37" s="1"/>
  <c r="N274" i="37" s="1"/>
  <c r="K109" i="37"/>
  <c r="L109" i="37" s="1"/>
  <c r="M109" i="37" s="1"/>
  <c r="N109" i="37" s="1"/>
  <c r="K123" i="37"/>
  <c r="L123" i="37" s="1"/>
  <c r="M123" i="37" s="1"/>
  <c r="N123" i="37" s="1"/>
  <c r="K191" i="37"/>
  <c r="L191" i="37" s="1"/>
  <c r="M191" i="37" s="1"/>
  <c r="N191" i="37" s="1"/>
  <c r="K43" i="37"/>
  <c r="L43" i="37" s="1"/>
  <c r="M43" i="37" s="1"/>
  <c r="N43" i="37" s="1"/>
  <c r="K107" i="37"/>
  <c r="L107" i="37" s="1"/>
  <c r="M107" i="37" s="1"/>
  <c r="N107" i="37" s="1"/>
  <c r="K122" i="37"/>
  <c r="L122" i="37" s="1"/>
  <c r="M122" i="37" s="1"/>
  <c r="N122" i="37" s="1"/>
  <c r="K206" i="37"/>
  <c r="L206" i="37" s="1"/>
  <c r="M206" i="37" s="1"/>
  <c r="N206" i="37" s="1"/>
  <c r="K31" i="37"/>
  <c r="L31" i="37" s="1"/>
  <c r="M31" i="37" s="1"/>
  <c r="N31" i="37" s="1"/>
  <c r="K266" i="37"/>
  <c r="L266" i="37" s="1"/>
  <c r="M266" i="37" s="1"/>
  <c r="N266" i="37" s="1"/>
  <c r="K41" i="37"/>
  <c r="L41" i="37" s="1"/>
  <c r="M41" i="37" s="1"/>
  <c r="N41" i="37" s="1"/>
  <c r="K211" i="37"/>
  <c r="L211" i="37" s="1"/>
  <c r="M211" i="37" s="1"/>
  <c r="N211" i="37" s="1"/>
  <c r="K207" i="37"/>
  <c r="L207" i="37" s="1"/>
  <c r="M207" i="37" s="1"/>
  <c r="N207" i="37" s="1"/>
  <c r="K143" i="37"/>
  <c r="L143" i="37" s="1"/>
  <c r="M143" i="37" s="1"/>
  <c r="N143" i="37" s="1"/>
  <c r="K14" i="37"/>
  <c r="L14" i="37" s="1"/>
  <c r="M14" i="37" s="1"/>
  <c r="N14" i="37" s="1"/>
  <c r="K124" i="37"/>
  <c r="L124" i="37" s="1"/>
  <c r="M124" i="37" s="1"/>
  <c r="N124" i="37" s="1"/>
  <c r="K106" i="37"/>
  <c r="L106" i="37" s="1"/>
  <c r="M106" i="37" s="1"/>
  <c r="N106" i="37" s="1"/>
  <c r="K185" i="37"/>
  <c r="L185" i="37" s="1"/>
  <c r="M185" i="37" s="1"/>
  <c r="N185" i="37" s="1"/>
  <c r="K183" i="37"/>
  <c r="L183" i="37" s="1"/>
  <c r="M183" i="37" s="1"/>
  <c r="N183" i="37" s="1"/>
  <c r="K155" i="37"/>
  <c r="L155" i="37" s="1"/>
  <c r="M155" i="37" s="1"/>
  <c r="N155" i="37" s="1"/>
  <c r="K243" i="37"/>
  <c r="L243" i="37" s="1"/>
  <c r="M243" i="37" s="1"/>
  <c r="N243" i="37" s="1"/>
  <c r="K21" i="37"/>
  <c r="L21" i="37" s="1"/>
  <c r="M21" i="37" s="1"/>
  <c r="N21" i="37" s="1"/>
  <c r="K202" i="37"/>
  <c r="L202" i="37" s="1"/>
  <c r="M202" i="37" s="1"/>
  <c r="N202" i="37" s="1"/>
  <c r="K114" i="37"/>
  <c r="L114" i="37" s="1"/>
  <c r="M114" i="37" s="1"/>
  <c r="N114" i="37" s="1"/>
  <c r="K182" i="37"/>
  <c r="L182" i="37" s="1"/>
  <c r="M182" i="37" s="1"/>
  <c r="N182" i="37" s="1"/>
  <c r="K292" i="37"/>
  <c r="L292" i="37" s="1"/>
  <c r="M292" i="37" s="1"/>
  <c r="N292" i="37" s="1"/>
  <c r="K113" i="37"/>
  <c r="L113" i="37" s="1"/>
  <c r="M113" i="37" s="1"/>
  <c r="N113" i="37" s="1"/>
  <c r="K305" i="37"/>
  <c r="L305" i="37" s="1"/>
  <c r="M305" i="37" s="1"/>
  <c r="N305" i="37" s="1"/>
  <c r="K227" i="37"/>
  <c r="L227" i="37" s="1"/>
  <c r="M227" i="37" s="1"/>
  <c r="N227" i="37" s="1"/>
  <c r="K313" i="37"/>
  <c r="L313" i="37" s="1"/>
  <c r="M313" i="37" s="1"/>
  <c r="N313" i="37" s="1"/>
  <c r="K18" i="37"/>
  <c r="L18" i="37" s="1"/>
  <c r="M18" i="37" s="1"/>
  <c r="N18" i="37" s="1"/>
  <c r="K235" i="37"/>
  <c r="L235" i="37" s="1"/>
  <c r="M235" i="37" s="1"/>
  <c r="N235" i="37" s="1"/>
  <c r="K97" i="37"/>
  <c r="L97" i="37" s="1"/>
  <c r="M97" i="37" s="1"/>
  <c r="N97" i="37" s="1"/>
  <c r="K154" i="37"/>
  <c r="L154" i="37" s="1"/>
  <c r="M154" i="37" s="1"/>
  <c r="N154" i="37" s="1"/>
  <c r="K131" i="37"/>
  <c r="L131" i="37" s="1"/>
  <c r="M131" i="37" s="1"/>
  <c r="N131" i="37" s="1"/>
  <c r="K118" i="37"/>
  <c r="L118" i="37" s="1"/>
  <c r="M118" i="37" s="1"/>
  <c r="N118" i="37" s="1"/>
  <c r="K271" i="37"/>
  <c r="L271" i="37" s="1"/>
  <c r="M271" i="37" s="1"/>
  <c r="N271" i="37" s="1"/>
  <c r="K222" i="37"/>
  <c r="L222" i="37" s="1"/>
  <c r="M222" i="37" s="1"/>
  <c r="N222" i="37" s="1"/>
  <c r="K289" i="37"/>
  <c r="L289" i="37" s="1"/>
  <c r="M289" i="37" s="1"/>
  <c r="N289" i="37" s="1"/>
  <c r="K44" i="37"/>
  <c r="L44" i="37" s="1"/>
  <c r="M44" i="37" s="1"/>
  <c r="N44" i="37" s="1"/>
  <c r="K218" i="37"/>
  <c r="L218" i="37" s="1"/>
  <c r="M218" i="37" s="1"/>
  <c r="N218" i="37" s="1"/>
  <c r="K149" i="37"/>
  <c r="L149" i="37" s="1"/>
  <c r="M149" i="37" s="1"/>
  <c r="N149" i="37" s="1"/>
  <c r="K295" i="37"/>
  <c r="L295" i="37" s="1"/>
  <c r="M295" i="37" s="1"/>
  <c r="N295" i="37" s="1"/>
  <c r="K145" i="37"/>
  <c r="L145" i="37" s="1"/>
  <c r="M145" i="37" s="1"/>
  <c r="N145" i="37" s="1"/>
  <c r="K282" i="37"/>
  <c r="L282" i="37" s="1"/>
  <c r="M282" i="37" s="1"/>
  <c r="N282" i="37" s="1"/>
  <c r="K302" i="37"/>
  <c r="L302" i="37" s="1"/>
  <c r="M302" i="37" s="1"/>
  <c r="N302" i="37" s="1"/>
  <c r="K171" i="37"/>
  <c r="L171" i="37" s="1"/>
  <c r="M171" i="37" s="1"/>
  <c r="N171" i="37" s="1"/>
  <c r="K39" i="37"/>
  <c r="L39" i="37" s="1"/>
  <c r="M39" i="37" s="1"/>
  <c r="N39" i="37" s="1"/>
  <c r="K240" i="37"/>
  <c r="L240" i="37" s="1"/>
  <c r="M240" i="37" s="1"/>
  <c r="N240" i="37" s="1"/>
  <c r="K299" i="37"/>
  <c r="L299" i="37" s="1"/>
  <c r="M299" i="37" s="1"/>
  <c r="N299" i="37" s="1"/>
  <c r="K103" i="37"/>
  <c r="L103" i="37" s="1"/>
  <c r="M103" i="37" s="1"/>
  <c r="N103" i="37" s="1"/>
  <c r="K238" i="37"/>
  <c r="L238" i="37" s="1"/>
  <c r="M238" i="37" s="1"/>
  <c r="N238" i="37" s="1"/>
  <c r="K275" i="37"/>
  <c r="L275" i="37" s="1"/>
  <c r="M275" i="37" s="1"/>
  <c r="N275" i="37" s="1"/>
  <c r="K303" i="37"/>
  <c r="L303" i="37" s="1"/>
  <c r="M303" i="37" s="1"/>
  <c r="N303" i="37" s="1"/>
  <c r="K167" i="37"/>
  <c r="L167" i="37" s="1"/>
  <c r="M167" i="37" s="1"/>
  <c r="N167" i="37" s="1"/>
  <c r="K95" i="37"/>
  <c r="L95" i="37" s="1"/>
  <c r="M95" i="37" s="1"/>
  <c r="N95" i="37" s="1"/>
  <c r="K48" i="37"/>
  <c r="L48" i="37" s="1"/>
  <c r="M48" i="37" s="1"/>
  <c r="N48" i="37" s="1"/>
  <c r="K178" i="37"/>
  <c r="L178" i="37" s="1"/>
  <c r="M178" i="37" s="1"/>
  <c r="N178" i="37" s="1"/>
  <c r="K214" i="37"/>
  <c r="L214" i="37" s="1"/>
  <c r="M214" i="37" s="1"/>
  <c r="N214" i="37" s="1"/>
  <c r="K38" i="37"/>
  <c r="L38" i="37" s="1"/>
  <c r="M38" i="37" s="1"/>
  <c r="N38" i="37" s="1"/>
  <c r="K192" i="37"/>
  <c r="L192" i="37" s="1"/>
  <c r="M192" i="37" s="1"/>
  <c r="N192" i="37" s="1"/>
  <c r="K101" i="37"/>
  <c r="L101" i="37" s="1"/>
  <c r="M101" i="37" s="1"/>
  <c r="N101" i="37" s="1"/>
  <c r="K209" i="37"/>
  <c r="L209" i="37" s="1"/>
  <c r="M209" i="37" s="1"/>
  <c r="N209" i="37" s="1"/>
  <c r="K166" i="37"/>
  <c r="L166" i="37" s="1"/>
  <c r="M166" i="37" s="1"/>
  <c r="N166" i="37" s="1"/>
  <c r="K69" i="37"/>
  <c r="L69" i="37" s="1"/>
  <c r="M69" i="37" s="1"/>
  <c r="N69" i="37" s="1"/>
  <c r="K304" i="37"/>
  <c r="L304" i="37" s="1"/>
  <c r="M304" i="37" s="1"/>
  <c r="N304" i="37" s="1"/>
  <c r="K90" i="37"/>
  <c r="L90" i="37" s="1"/>
  <c r="M90" i="37" s="1"/>
  <c r="N90" i="37" s="1"/>
  <c r="K127" i="37"/>
  <c r="L127" i="37" s="1"/>
  <c r="M127" i="37" s="1"/>
  <c r="N127" i="37" s="1"/>
  <c r="K241" i="37"/>
  <c r="L241" i="37" s="1"/>
  <c r="M241" i="37" s="1"/>
  <c r="N241" i="37" s="1"/>
  <c r="K223" i="37"/>
  <c r="L223" i="37" s="1"/>
  <c r="M223" i="37" s="1"/>
  <c r="N223" i="37" s="1"/>
  <c r="K83" i="37"/>
  <c r="L83" i="37" s="1"/>
  <c r="M83" i="37" s="1"/>
  <c r="N83" i="37" s="1"/>
  <c r="K27" i="37"/>
  <c r="L27" i="37" s="1"/>
  <c r="M27" i="37" s="1"/>
  <c r="N27" i="37" s="1"/>
  <c r="K88" i="37"/>
  <c r="L88" i="37" s="1"/>
  <c r="M88" i="37" s="1"/>
  <c r="N88" i="37" s="1"/>
  <c r="K250" i="37"/>
  <c r="L250" i="37" s="1"/>
  <c r="M250" i="37" s="1"/>
  <c r="N250" i="37" s="1"/>
  <c r="K163" i="37"/>
  <c r="L163" i="37" s="1"/>
  <c r="M163" i="37" s="1"/>
  <c r="N163" i="37" s="1"/>
  <c r="K116" i="37"/>
  <c r="L116" i="37" s="1"/>
  <c r="M116" i="37" s="1"/>
  <c r="N116" i="37" s="1"/>
  <c r="K45" i="37"/>
  <c r="L45" i="37" s="1"/>
  <c r="M45" i="37" s="1"/>
  <c r="N45" i="37" s="1"/>
  <c r="K294" i="37"/>
  <c r="L294" i="37" s="1"/>
  <c r="M294" i="37" s="1"/>
  <c r="N294" i="37" s="1"/>
  <c r="K153" i="37"/>
  <c r="L153" i="37" s="1"/>
  <c r="M153" i="37" s="1"/>
  <c r="N153" i="37" s="1"/>
  <c r="K277" i="37"/>
  <c r="L277" i="37" s="1"/>
  <c r="M277" i="37" s="1"/>
  <c r="N277" i="37" s="1"/>
  <c r="K82" i="37"/>
  <c r="L82" i="37" s="1"/>
  <c r="M82" i="37" s="1"/>
  <c r="N82" i="37" s="1"/>
  <c r="K298" i="37"/>
  <c r="L298" i="37" s="1"/>
  <c r="M298" i="37" s="1"/>
  <c r="N298" i="37" s="1"/>
  <c r="K46" i="37"/>
  <c r="L46" i="37" s="1"/>
  <c r="M46" i="37" s="1"/>
  <c r="N46" i="37" s="1"/>
  <c r="K225" i="37"/>
  <c r="L225" i="37" s="1"/>
  <c r="M225" i="37" s="1"/>
  <c r="N225" i="37" s="1"/>
  <c r="K205" i="37"/>
  <c r="L205" i="37" s="1"/>
  <c r="M205" i="37" s="1"/>
  <c r="N205" i="37" s="1"/>
  <c r="K306" i="37"/>
  <c r="L306" i="37" s="1"/>
  <c r="M306" i="37" s="1"/>
  <c r="N306" i="37" s="1"/>
  <c r="K54" i="37"/>
  <c r="L54" i="37" s="1"/>
  <c r="M54" i="37" s="1"/>
  <c r="N54" i="37" s="1"/>
  <c r="K57" i="37"/>
  <c r="L57" i="37" s="1"/>
  <c r="M57" i="37" s="1"/>
  <c r="N57" i="37" s="1"/>
  <c r="K49" i="37"/>
  <c r="L49" i="37" s="1"/>
  <c r="M49" i="37" s="1"/>
  <c r="N49" i="37" s="1"/>
  <c r="K287" i="37"/>
  <c r="L287" i="37" s="1"/>
  <c r="M287" i="37" s="1"/>
  <c r="N287" i="37" s="1"/>
  <c r="K296" i="37"/>
  <c r="L296" i="37" s="1"/>
  <c r="M296" i="37" s="1"/>
  <c r="N296" i="37" s="1"/>
  <c r="K231" i="37"/>
  <c r="L231" i="37" s="1"/>
  <c r="M231" i="37" s="1"/>
  <c r="N231" i="37" s="1"/>
  <c r="K311" i="37"/>
  <c r="L311" i="37" s="1"/>
  <c r="M311" i="37" s="1"/>
  <c r="N311" i="37" s="1"/>
  <c r="K285" i="37"/>
  <c r="L285" i="37" s="1"/>
  <c r="M285" i="37" s="1"/>
  <c r="N285" i="37" s="1"/>
  <c r="K314" i="37"/>
  <c r="L314" i="37" s="1"/>
  <c r="M314" i="37" s="1"/>
  <c r="N314" i="37" s="1"/>
  <c r="K264" i="37"/>
  <c r="L264" i="37" s="1"/>
  <c r="M264" i="37" s="1"/>
  <c r="N264" i="37" s="1"/>
  <c r="K200" i="37"/>
  <c r="L200" i="37" s="1"/>
  <c r="M200" i="37" s="1"/>
  <c r="N200" i="37" s="1"/>
  <c r="K105" i="37"/>
  <c r="L105" i="37" s="1"/>
  <c r="M105" i="37" s="1"/>
  <c r="N105" i="37" s="1"/>
  <c r="K137" i="37"/>
  <c r="L137" i="37" s="1"/>
  <c r="M137" i="37" s="1"/>
  <c r="N137" i="37" s="1"/>
  <c r="K291" i="37"/>
  <c r="L291" i="37" s="1"/>
  <c r="M291" i="37" s="1"/>
  <c r="N291" i="37" s="1"/>
  <c r="K10" i="37"/>
  <c r="L10" i="37" s="1"/>
  <c r="M10" i="37" s="1"/>
  <c r="N10" i="37" s="1"/>
  <c r="K6" i="37"/>
  <c r="L6" i="37" s="1"/>
  <c r="M6" i="37" s="1"/>
  <c r="N6" i="37" s="1"/>
  <c r="K237" i="36"/>
  <c r="L237" i="36" s="1"/>
  <c r="M237" i="36" s="1"/>
  <c r="K22" i="36"/>
  <c r="L22" i="36" s="1"/>
  <c r="M22" i="36" s="1"/>
  <c r="K6" i="36"/>
  <c r="L6" i="36" s="1"/>
  <c r="M6" i="36" s="1"/>
  <c r="K232" i="36"/>
  <c r="L232" i="36" s="1"/>
  <c r="M232" i="36" s="1"/>
  <c r="K69" i="36"/>
  <c r="L69" i="36" s="1"/>
  <c r="M69" i="36" s="1"/>
  <c r="K186" i="36"/>
  <c r="L186" i="36" s="1"/>
  <c r="M186" i="36" s="1"/>
  <c r="K259" i="36"/>
  <c r="L259" i="36" s="1"/>
  <c r="M259" i="36" s="1"/>
  <c r="K43" i="36"/>
  <c r="L43" i="36" s="1"/>
  <c r="M43" i="36" s="1"/>
  <c r="K64" i="36"/>
  <c r="L64" i="36" s="1"/>
  <c r="M64" i="36" s="1"/>
  <c r="K238" i="36"/>
  <c r="L238" i="36" s="1"/>
  <c r="M238" i="36" s="1"/>
  <c r="K294" i="36"/>
  <c r="L294" i="36" s="1"/>
  <c r="M294" i="36" s="1"/>
  <c r="K26" i="36"/>
  <c r="L26" i="36" s="1"/>
  <c r="M26" i="36" s="1"/>
  <c r="K230" i="36"/>
  <c r="L230" i="36" s="1"/>
  <c r="M230" i="36" s="1"/>
  <c r="K216" i="36"/>
  <c r="L216" i="36" s="1"/>
  <c r="M216" i="36" s="1"/>
  <c r="K67" i="36"/>
  <c r="L67" i="36" s="1"/>
  <c r="M67" i="36" s="1"/>
  <c r="K185" i="36"/>
  <c r="L185" i="36" s="1"/>
  <c r="M185" i="36" s="1"/>
  <c r="K111" i="36"/>
  <c r="L111" i="36" s="1"/>
  <c r="M111" i="36" s="1"/>
  <c r="K246" i="36"/>
  <c r="L246" i="36" s="1"/>
  <c r="M246" i="36" s="1"/>
  <c r="K159" i="36"/>
  <c r="L159" i="36" s="1"/>
  <c r="M159" i="36" s="1"/>
  <c r="K210" i="36"/>
  <c r="L210" i="36" s="1"/>
  <c r="M210" i="36" s="1"/>
  <c r="K269" i="36"/>
  <c r="L269" i="36" s="1"/>
  <c r="M269" i="36" s="1"/>
  <c r="K249" i="36"/>
  <c r="L249" i="36" s="1"/>
  <c r="M249" i="36" s="1"/>
  <c r="K182" i="36"/>
  <c r="L182" i="36" s="1"/>
  <c r="M182" i="36" s="1"/>
  <c r="K51" i="36"/>
  <c r="L51" i="36" s="1"/>
  <c r="M51" i="36" s="1"/>
  <c r="K155" i="36"/>
  <c r="L155" i="36" s="1"/>
  <c r="M155" i="36" s="1"/>
  <c r="K83" i="36"/>
  <c r="L83" i="36" s="1"/>
  <c r="M83" i="36" s="1"/>
  <c r="K250" i="36"/>
  <c r="L250" i="36" s="1"/>
  <c r="M250" i="36" s="1"/>
  <c r="K115" i="36"/>
  <c r="L115" i="36" s="1"/>
  <c r="M115" i="36" s="1"/>
  <c r="K177" i="36"/>
  <c r="L177" i="36" s="1"/>
  <c r="M177" i="36" s="1"/>
  <c r="K262" i="36"/>
  <c r="L262" i="36" s="1"/>
  <c r="M262" i="36" s="1"/>
  <c r="K168" i="36"/>
  <c r="L168" i="36" s="1"/>
  <c r="M168" i="36" s="1"/>
  <c r="K240" i="36"/>
  <c r="L240" i="36" s="1"/>
  <c r="M240" i="36" s="1"/>
  <c r="K11" i="36"/>
  <c r="L11" i="36" s="1"/>
  <c r="M11" i="36" s="1"/>
  <c r="K71" i="36"/>
  <c r="L71" i="36" s="1"/>
  <c r="M71" i="36" s="1"/>
  <c r="K236" i="36"/>
  <c r="L236" i="36" s="1"/>
  <c r="M236" i="36" s="1"/>
  <c r="K138" i="36"/>
  <c r="L138" i="36" s="1"/>
  <c r="M138" i="36" s="1"/>
  <c r="K136" i="36"/>
  <c r="L136" i="36" s="1"/>
  <c r="M136" i="36" s="1"/>
  <c r="K193" i="36"/>
  <c r="L193" i="36" s="1"/>
  <c r="M193" i="36" s="1"/>
  <c r="K90" i="36"/>
  <c r="L90" i="36" s="1"/>
  <c r="M90" i="36" s="1"/>
  <c r="K203" i="36"/>
  <c r="L203" i="36" s="1"/>
  <c r="M203" i="36" s="1"/>
  <c r="K5" i="36"/>
  <c r="L5" i="36" s="1"/>
  <c r="M5" i="36" s="1"/>
  <c r="K25" i="36"/>
  <c r="L25" i="36" s="1"/>
  <c r="M25" i="36" s="1"/>
  <c r="K21" i="36"/>
  <c r="L21" i="36" s="1"/>
  <c r="M21" i="36" s="1"/>
  <c r="K214" i="36"/>
  <c r="L214" i="36" s="1"/>
  <c r="M214" i="36" s="1"/>
  <c r="K158" i="36"/>
  <c r="L158" i="36" s="1"/>
  <c r="M158" i="36" s="1"/>
  <c r="K42" i="36"/>
  <c r="L42" i="36" s="1"/>
  <c r="M42" i="36" s="1"/>
  <c r="K109" i="36"/>
  <c r="L109" i="36" s="1"/>
  <c r="M109" i="36" s="1"/>
  <c r="K295" i="36"/>
  <c r="L295" i="36" s="1"/>
  <c r="M295" i="36" s="1"/>
  <c r="K278" i="36"/>
  <c r="L278" i="36" s="1"/>
  <c r="M278" i="36" s="1"/>
  <c r="K310" i="36"/>
  <c r="L310" i="36" s="1"/>
  <c r="M310" i="36" s="1"/>
  <c r="K170" i="36"/>
  <c r="L170" i="36" s="1"/>
  <c r="M170" i="36" s="1"/>
  <c r="K14" i="36"/>
  <c r="L14" i="36" s="1"/>
  <c r="M14" i="36" s="1"/>
  <c r="K314" i="36"/>
  <c r="L314" i="36" s="1"/>
  <c r="M314" i="36" s="1"/>
  <c r="K13" i="36"/>
  <c r="L13" i="36" s="1"/>
  <c r="M13" i="36" s="1"/>
  <c r="K303" i="36"/>
  <c r="L303" i="36" s="1"/>
  <c r="M303" i="36" s="1"/>
  <c r="K79" i="36"/>
  <c r="L79" i="36" s="1"/>
  <c r="M79" i="36" s="1"/>
  <c r="K265" i="36"/>
  <c r="L265" i="36" s="1"/>
  <c r="M265" i="36" s="1"/>
  <c r="K209" i="36"/>
  <c r="L209" i="36" s="1"/>
  <c r="M209" i="36" s="1"/>
  <c r="K254" i="36"/>
  <c r="L254" i="36" s="1"/>
  <c r="M254" i="36" s="1"/>
  <c r="K194" i="36"/>
  <c r="L194" i="36" s="1"/>
  <c r="M194" i="36" s="1"/>
  <c r="K10" i="36"/>
  <c r="L10" i="36" s="1"/>
  <c r="M10" i="36" s="1"/>
  <c r="K260" i="36"/>
  <c r="L260" i="36" s="1"/>
  <c r="M260" i="36" s="1"/>
  <c r="K15" i="36"/>
  <c r="L15" i="36" s="1"/>
  <c r="M15" i="36" s="1"/>
  <c r="K309" i="36"/>
  <c r="L309" i="36" s="1"/>
  <c r="M309" i="36" s="1"/>
  <c r="K27" i="36"/>
  <c r="L27" i="36" s="1"/>
  <c r="M27" i="36" s="1"/>
  <c r="K73" i="36"/>
  <c r="L73" i="36" s="1"/>
  <c r="M73" i="36" s="1"/>
  <c r="K298" i="36"/>
  <c r="L298" i="36" s="1"/>
  <c r="M298" i="36" s="1"/>
  <c r="K34" i="36"/>
  <c r="L34" i="36" s="1"/>
  <c r="M34" i="36" s="1"/>
  <c r="K305" i="36"/>
  <c r="L305" i="36" s="1"/>
  <c r="M305" i="36" s="1"/>
  <c r="K181" i="36"/>
  <c r="L181" i="36" s="1"/>
  <c r="M181" i="36" s="1"/>
  <c r="K221" i="36"/>
  <c r="L221" i="36" s="1"/>
  <c r="M221" i="36" s="1"/>
  <c r="K241" i="36"/>
  <c r="L241" i="36" s="1"/>
  <c r="M241" i="36" s="1"/>
  <c r="K201" i="36"/>
  <c r="L201" i="36" s="1"/>
  <c r="M201" i="36" s="1"/>
  <c r="K302" i="36"/>
  <c r="L302" i="36" s="1"/>
  <c r="M302" i="36" s="1"/>
  <c r="K299" i="36"/>
  <c r="L299" i="36" s="1"/>
  <c r="M299" i="36" s="1"/>
  <c r="K17" i="36"/>
  <c r="L17" i="36" s="1"/>
  <c r="M17" i="36" s="1"/>
  <c r="K313" i="36"/>
  <c r="L313" i="36" s="1"/>
  <c r="M313" i="36" s="1"/>
  <c r="K99" i="36"/>
  <c r="L99" i="36" s="1"/>
  <c r="M99" i="36" s="1"/>
  <c r="K198" i="36"/>
  <c r="L198" i="36" s="1"/>
  <c r="M198" i="36" s="1"/>
  <c r="K300" i="36"/>
  <c r="L300" i="36" s="1"/>
  <c r="M300" i="36" s="1"/>
  <c r="K282" i="36"/>
  <c r="L282" i="36" s="1"/>
  <c r="M282" i="36" s="1"/>
  <c r="K7" i="36"/>
  <c r="L7" i="36" s="1"/>
  <c r="M7" i="36" s="1"/>
  <c r="K23" i="36"/>
  <c r="L23" i="36" s="1"/>
  <c r="M23" i="36" s="1"/>
  <c r="K59" i="36"/>
  <c r="L59" i="36" s="1"/>
  <c r="M59" i="36" s="1"/>
  <c r="K233" i="36"/>
  <c r="L233" i="36" s="1"/>
  <c r="M233" i="36" s="1"/>
  <c r="K205" i="36"/>
  <c r="L205" i="36" s="1"/>
  <c r="M205" i="36" s="1"/>
  <c r="K256" i="36"/>
  <c r="L256" i="36" s="1"/>
  <c r="M256" i="36" s="1"/>
  <c r="K287" i="36"/>
  <c r="L287" i="36" s="1"/>
  <c r="M287" i="36" s="1"/>
  <c r="K55" i="36"/>
  <c r="L55" i="36" s="1"/>
  <c r="M55" i="36" s="1"/>
  <c r="K189" i="36"/>
  <c r="L189" i="36" s="1"/>
  <c r="M189" i="36" s="1"/>
  <c r="K263" i="36"/>
  <c r="L263" i="36" s="1"/>
  <c r="M263" i="36" s="1"/>
  <c r="K18" i="36"/>
  <c r="L18" i="36" s="1"/>
  <c r="M18" i="36" s="1"/>
  <c r="K197" i="36"/>
  <c r="L197" i="36" s="1"/>
  <c r="M197" i="36" s="1"/>
  <c r="K222" i="36"/>
  <c r="L222" i="36" s="1"/>
  <c r="M222" i="36" s="1"/>
  <c r="K258" i="36"/>
  <c r="L258" i="36" s="1"/>
  <c r="M258" i="36" s="1"/>
  <c r="K47" i="36"/>
  <c r="L47" i="36" s="1"/>
  <c r="M47" i="36" s="1"/>
  <c r="K147" i="36"/>
  <c r="L147" i="36" s="1"/>
  <c r="M147" i="36" s="1"/>
  <c r="K75" i="36"/>
  <c r="L75" i="36" s="1"/>
  <c r="M75" i="36" s="1"/>
  <c r="K89" i="36"/>
  <c r="L89" i="36" s="1"/>
  <c r="M89" i="36" s="1"/>
  <c r="K169" i="36"/>
  <c r="L169" i="36" s="1"/>
  <c r="M169" i="36" s="1"/>
  <c r="K245" i="36"/>
  <c r="L245" i="36" s="1"/>
  <c r="M245" i="36" s="1"/>
  <c r="K228" i="36"/>
  <c r="L228" i="36" s="1"/>
  <c r="M228" i="36" s="1"/>
  <c r="K174" i="36"/>
  <c r="L174" i="36" s="1"/>
  <c r="M174" i="36" s="1"/>
  <c r="K148" i="36"/>
  <c r="L148" i="36" s="1"/>
  <c r="M148" i="36" s="1"/>
  <c r="K77" i="36"/>
  <c r="L77" i="36" s="1"/>
  <c r="M77" i="36" s="1"/>
  <c r="K106" i="36"/>
  <c r="L106" i="36" s="1"/>
  <c r="M106" i="36" s="1"/>
  <c r="K35" i="36"/>
  <c r="L35" i="36" s="1"/>
  <c r="M35" i="36" s="1"/>
  <c r="K229" i="36"/>
  <c r="L229" i="36" s="1"/>
  <c r="M229" i="36" s="1"/>
  <c r="K154" i="36"/>
  <c r="L154" i="36" s="1"/>
  <c r="M154" i="36" s="1"/>
  <c r="K9" i="36"/>
  <c r="L9" i="36" s="1"/>
  <c r="M9" i="36" s="1"/>
  <c r="K118" i="36"/>
  <c r="L118" i="36" s="1"/>
  <c r="M118" i="36" s="1"/>
  <c r="K223" i="36"/>
  <c r="L223" i="36" s="1"/>
  <c r="M223" i="36" s="1"/>
  <c r="K8" i="36"/>
  <c r="L8" i="36" s="1"/>
  <c r="M8" i="36" s="1"/>
  <c r="K224" i="36"/>
  <c r="L224" i="36" s="1"/>
  <c r="M224" i="36" s="1"/>
  <c r="K124" i="36"/>
  <c r="L124" i="36" s="1"/>
  <c r="M124" i="36" s="1"/>
  <c r="K120" i="36"/>
  <c r="L120" i="36" s="1"/>
  <c r="M120" i="36" s="1"/>
  <c r="K63" i="36"/>
  <c r="L63" i="36" s="1"/>
  <c r="M63" i="36" s="1"/>
  <c r="K105" i="36"/>
  <c r="L105" i="36" s="1"/>
  <c r="M105" i="36" s="1"/>
  <c r="K255" i="36"/>
  <c r="L255" i="36" s="1"/>
  <c r="M255" i="36" s="1"/>
  <c r="K95" i="36"/>
  <c r="L95" i="36" s="1"/>
  <c r="M95" i="36" s="1"/>
  <c r="K56" i="36"/>
  <c r="L56" i="36" s="1"/>
  <c r="M56" i="36" s="1"/>
  <c r="K175" i="36"/>
  <c r="L175" i="36" s="1"/>
  <c r="M175" i="36" s="1"/>
  <c r="K78" i="36"/>
  <c r="L78" i="36" s="1"/>
  <c r="M78" i="36" s="1"/>
  <c r="K211" i="36"/>
  <c r="L211" i="36" s="1"/>
  <c r="M211" i="36" s="1"/>
  <c r="K165" i="36"/>
  <c r="L165" i="36" s="1"/>
  <c r="M165" i="36" s="1"/>
  <c r="K37" i="36"/>
  <c r="L37" i="36" s="1"/>
  <c r="M37" i="36" s="1"/>
  <c r="K100" i="36"/>
  <c r="L100" i="36" s="1"/>
  <c r="M100" i="36" s="1"/>
  <c r="K12" i="36"/>
  <c r="L12" i="36" s="1"/>
  <c r="M12" i="36" s="1"/>
  <c r="K192" i="36"/>
  <c r="L192" i="36" s="1"/>
  <c r="M192" i="36" s="1"/>
  <c r="K97" i="36"/>
  <c r="L97" i="36" s="1"/>
  <c r="M97" i="36" s="1"/>
  <c r="K270" i="36"/>
  <c r="L270" i="36" s="1"/>
  <c r="M270" i="36" s="1"/>
  <c r="K292" i="36"/>
  <c r="L292" i="36" s="1"/>
  <c r="M292" i="36" s="1"/>
  <c r="K44" i="36"/>
  <c r="L44" i="36" s="1"/>
  <c r="M44" i="36" s="1"/>
  <c r="K29" i="36"/>
  <c r="L29" i="36" s="1"/>
  <c r="M29" i="36" s="1"/>
  <c r="K235" i="36"/>
  <c r="L235" i="36" s="1"/>
  <c r="M235" i="36" s="1"/>
  <c r="K134" i="36"/>
  <c r="L134" i="36" s="1"/>
  <c r="M134" i="36" s="1"/>
  <c r="K80" i="36"/>
  <c r="L80" i="36" s="1"/>
  <c r="M80" i="36" s="1"/>
  <c r="K195" i="36"/>
  <c r="L195" i="36" s="1"/>
  <c r="M195" i="36" s="1"/>
  <c r="K86" i="36"/>
  <c r="L86" i="36" s="1"/>
  <c r="M86" i="36" s="1"/>
  <c r="K178" i="36"/>
  <c r="L178" i="36" s="1"/>
  <c r="M178" i="36" s="1"/>
  <c r="K225" i="36"/>
  <c r="L225" i="36" s="1"/>
  <c r="M225" i="36" s="1"/>
  <c r="K253" i="36"/>
  <c r="L253" i="36" s="1"/>
  <c r="M253" i="36" s="1"/>
  <c r="K286" i="36"/>
  <c r="L286" i="36" s="1"/>
  <c r="M286" i="36" s="1"/>
  <c r="K176" i="36"/>
  <c r="L176" i="36" s="1"/>
  <c r="M176" i="36" s="1"/>
  <c r="K143" i="36"/>
  <c r="L143" i="36" s="1"/>
  <c r="M143" i="36" s="1"/>
  <c r="K98" i="36"/>
  <c r="L98" i="36" s="1"/>
  <c r="M98" i="36" s="1"/>
  <c r="K172" i="36"/>
  <c r="L172" i="36" s="1"/>
  <c r="M172" i="36" s="1"/>
  <c r="K242" i="36"/>
  <c r="L242" i="36" s="1"/>
  <c r="M242" i="36" s="1"/>
  <c r="K139" i="36"/>
  <c r="L139" i="36" s="1"/>
  <c r="M139" i="36" s="1"/>
  <c r="K133" i="36"/>
  <c r="L133" i="36" s="1"/>
  <c r="M133" i="36" s="1"/>
  <c r="K62" i="36"/>
  <c r="L62" i="36" s="1"/>
  <c r="M62" i="36" s="1"/>
  <c r="K188" i="36"/>
  <c r="L188" i="36" s="1"/>
  <c r="M188" i="36" s="1"/>
  <c r="K127" i="36"/>
  <c r="L127" i="36" s="1"/>
  <c r="M127" i="36" s="1"/>
  <c r="K140" i="36"/>
  <c r="L140" i="36" s="1"/>
  <c r="M140" i="36" s="1"/>
  <c r="K276" i="36"/>
  <c r="L276" i="36" s="1"/>
  <c r="M276" i="36" s="1"/>
  <c r="K33" i="36"/>
  <c r="L33" i="36" s="1"/>
  <c r="M33" i="36" s="1"/>
  <c r="K74" i="36"/>
  <c r="L74" i="36" s="1"/>
  <c r="M74" i="36" s="1"/>
  <c r="K76" i="36"/>
  <c r="L76" i="36" s="1"/>
  <c r="M76" i="36" s="1"/>
  <c r="K122" i="36"/>
  <c r="L122" i="36" s="1"/>
  <c r="M122" i="36" s="1"/>
  <c r="K248" i="36"/>
  <c r="L248" i="36" s="1"/>
  <c r="M248" i="36" s="1"/>
  <c r="K311" i="36"/>
  <c r="L311" i="36" s="1"/>
  <c r="M311" i="36" s="1"/>
  <c r="K234" i="36"/>
  <c r="L234" i="36" s="1"/>
  <c r="M234" i="36" s="1"/>
  <c r="K82" i="36"/>
  <c r="L82" i="36" s="1"/>
  <c r="M82" i="36" s="1"/>
  <c r="K156" i="36"/>
  <c r="L156" i="36" s="1"/>
  <c r="M156" i="36" s="1"/>
  <c r="K267" i="36"/>
  <c r="L267" i="36" s="1"/>
  <c r="M267" i="36" s="1"/>
  <c r="K243" i="36"/>
  <c r="L243" i="36" s="1"/>
  <c r="M243" i="36" s="1"/>
  <c r="K126" i="36"/>
  <c r="L126" i="36" s="1"/>
  <c r="M126" i="36" s="1"/>
  <c r="K157" i="36"/>
  <c r="L157" i="36" s="1"/>
  <c r="M157" i="36" s="1"/>
  <c r="K293" i="36"/>
  <c r="L293" i="36" s="1"/>
  <c r="M293" i="36" s="1"/>
  <c r="K204" i="36"/>
  <c r="L204" i="36" s="1"/>
  <c r="M204" i="36" s="1"/>
  <c r="K247" i="36"/>
  <c r="L247" i="36" s="1"/>
  <c r="M247" i="36" s="1"/>
  <c r="K273" i="36"/>
  <c r="L273" i="36" s="1"/>
  <c r="M273" i="36" s="1"/>
  <c r="K261" i="36"/>
  <c r="L261" i="36" s="1"/>
  <c r="M261" i="36" s="1"/>
  <c r="K297" i="36"/>
  <c r="L297" i="36" s="1"/>
  <c r="M297" i="36" s="1"/>
  <c r="K166" i="36"/>
  <c r="L166" i="36" s="1"/>
  <c r="M166" i="36" s="1"/>
  <c r="K162" i="36"/>
  <c r="L162" i="36" s="1"/>
  <c r="M162" i="36" s="1"/>
  <c r="K38" i="36"/>
  <c r="L38" i="36" s="1"/>
  <c r="M38" i="36" s="1"/>
  <c r="K57" i="36"/>
  <c r="L57" i="36" s="1"/>
  <c r="M57" i="36" s="1"/>
  <c r="K173" i="36"/>
  <c r="L173" i="36" s="1"/>
  <c r="M173" i="36" s="1"/>
  <c r="K288" i="36"/>
  <c r="L288" i="36" s="1"/>
  <c r="M288" i="36" s="1"/>
  <c r="K128" i="36"/>
  <c r="L128" i="36" s="1"/>
  <c r="M128" i="36" s="1"/>
  <c r="K20" i="36"/>
  <c r="L20" i="36" s="1"/>
  <c r="M20" i="36" s="1"/>
  <c r="K164" i="36"/>
  <c r="L164" i="36" s="1"/>
  <c r="M164" i="36" s="1"/>
  <c r="K200" i="36"/>
  <c r="L200" i="36" s="1"/>
  <c r="M200" i="36" s="1"/>
  <c r="K239" i="36"/>
  <c r="L239" i="36" s="1"/>
  <c r="M239" i="36" s="1"/>
  <c r="K220" i="36"/>
  <c r="L220" i="36" s="1"/>
  <c r="M220" i="36" s="1"/>
  <c r="K45" i="36"/>
  <c r="L45" i="36" s="1"/>
  <c r="M45" i="36" s="1"/>
  <c r="K283" i="36"/>
  <c r="L283" i="36" s="1"/>
  <c r="M283" i="36" s="1"/>
  <c r="K281" i="36"/>
  <c r="L281" i="36" s="1"/>
  <c r="M281" i="36" s="1"/>
  <c r="K280" i="36"/>
  <c r="L280" i="36" s="1"/>
  <c r="M280" i="36" s="1"/>
  <c r="K117" i="36"/>
  <c r="L117" i="36" s="1"/>
  <c r="M117" i="36" s="1"/>
  <c r="K208" i="36"/>
  <c r="L208" i="36" s="1"/>
  <c r="M208" i="36" s="1"/>
  <c r="K46" i="36"/>
  <c r="L46" i="36" s="1"/>
  <c r="M46" i="36" s="1"/>
  <c r="K150" i="36"/>
  <c r="L150" i="36" s="1"/>
  <c r="M150" i="36" s="1"/>
  <c r="K104" i="36"/>
  <c r="L104" i="36" s="1"/>
  <c r="M104" i="36" s="1"/>
  <c r="K187" i="36"/>
  <c r="L187" i="36" s="1"/>
  <c r="M187" i="36" s="1"/>
  <c r="K93" i="36"/>
  <c r="L93" i="36" s="1"/>
  <c r="M93" i="36" s="1"/>
  <c r="K218" i="36"/>
  <c r="L218" i="36" s="1"/>
  <c r="M218" i="36" s="1"/>
  <c r="K171" i="36"/>
  <c r="L171" i="36" s="1"/>
  <c r="M171" i="36" s="1"/>
  <c r="K207" i="36"/>
  <c r="L207" i="36" s="1"/>
  <c r="M207" i="36" s="1"/>
  <c r="K65" i="36"/>
  <c r="L65" i="36" s="1"/>
  <c r="M65" i="36" s="1"/>
  <c r="K41" i="36"/>
  <c r="L41" i="36" s="1"/>
  <c r="M41" i="36" s="1"/>
  <c r="K217" i="36"/>
  <c r="L217" i="36" s="1"/>
  <c r="M217" i="36" s="1"/>
  <c r="K149" i="36"/>
  <c r="L149" i="36" s="1"/>
  <c r="M149" i="36" s="1"/>
  <c r="K251" i="36"/>
  <c r="L251" i="36" s="1"/>
  <c r="M251" i="36" s="1"/>
  <c r="K308" i="36"/>
  <c r="L308" i="36" s="1"/>
  <c r="M308" i="36" s="1"/>
  <c r="K271" i="36"/>
  <c r="L271" i="36" s="1"/>
  <c r="M271" i="36" s="1"/>
  <c r="K206" i="36"/>
  <c r="L206" i="36" s="1"/>
  <c r="M206" i="36" s="1"/>
  <c r="K141" i="36"/>
  <c r="L141" i="36" s="1"/>
  <c r="M141" i="36" s="1"/>
  <c r="K125" i="36"/>
  <c r="L125" i="36" s="1"/>
  <c r="M125" i="36" s="1"/>
  <c r="K202" i="36"/>
  <c r="L202" i="36" s="1"/>
  <c r="M202" i="36" s="1"/>
  <c r="K121" i="36"/>
  <c r="L121" i="36" s="1"/>
  <c r="M121" i="36" s="1"/>
  <c r="K279" i="36"/>
  <c r="L279" i="36" s="1"/>
  <c r="M279" i="36" s="1"/>
  <c r="K252" i="36"/>
  <c r="L252" i="36" s="1"/>
  <c r="M252" i="36" s="1"/>
  <c r="K226" i="36"/>
  <c r="L226" i="36" s="1"/>
  <c r="M226" i="36" s="1"/>
  <c r="K48" i="36"/>
  <c r="L48" i="36" s="1"/>
  <c r="M48" i="36" s="1"/>
  <c r="K39" i="36"/>
  <c r="L39" i="36" s="1"/>
  <c r="M39" i="36" s="1"/>
  <c r="K112" i="36"/>
  <c r="L112" i="36" s="1"/>
  <c r="M112" i="36" s="1"/>
  <c r="K163" i="36"/>
  <c r="L163" i="36" s="1"/>
  <c r="M163" i="36" s="1"/>
  <c r="K129" i="36"/>
  <c r="L129" i="36" s="1"/>
  <c r="M129" i="36" s="1"/>
  <c r="K108" i="36"/>
  <c r="L108" i="36" s="1"/>
  <c r="M108" i="36" s="1"/>
  <c r="K16" i="36"/>
  <c r="L16" i="36" s="1"/>
  <c r="M16" i="36" s="1"/>
  <c r="K114" i="36"/>
  <c r="L114" i="36" s="1"/>
  <c r="M114" i="36" s="1"/>
  <c r="K190" i="36"/>
  <c r="L190" i="36" s="1"/>
  <c r="M190" i="36" s="1"/>
  <c r="K49" i="36"/>
  <c r="L49" i="36" s="1"/>
  <c r="M49" i="36" s="1"/>
  <c r="K183" i="36"/>
  <c r="L183" i="36" s="1"/>
  <c r="M183" i="36" s="1"/>
  <c r="K152" i="36"/>
  <c r="L152" i="36" s="1"/>
  <c r="M152" i="36" s="1"/>
  <c r="K94" i="36"/>
  <c r="L94" i="36" s="1"/>
  <c r="M94" i="36" s="1"/>
  <c r="K275" i="36"/>
  <c r="L275" i="36" s="1"/>
  <c r="M275" i="36" s="1"/>
  <c r="K144" i="36"/>
  <c r="L144" i="36" s="1"/>
  <c r="M144" i="36" s="1"/>
  <c r="K145" i="36"/>
  <c r="L145" i="36" s="1"/>
  <c r="M145" i="36" s="1"/>
  <c r="K28" i="36"/>
  <c r="L28" i="36" s="1"/>
  <c r="M28" i="36" s="1"/>
  <c r="K68" i="36"/>
  <c r="L68" i="36" s="1"/>
  <c r="M68" i="36" s="1"/>
  <c r="K116" i="36"/>
  <c r="L116" i="36" s="1"/>
  <c r="M116" i="36" s="1"/>
  <c r="K101" i="36"/>
  <c r="L101" i="36" s="1"/>
  <c r="M101" i="36" s="1"/>
  <c r="K227" i="36"/>
  <c r="L227" i="36" s="1"/>
  <c r="M227" i="36" s="1"/>
  <c r="K196" i="36"/>
  <c r="L196" i="36" s="1"/>
  <c r="M196" i="36" s="1"/>
  <c r="K191" i="36"/>
  <c r="L191" i="36" s="1"/>
  <c r="M191" i="36" s="1"/>
  <c r="K272" i="36"/>
  <c r="L272" i="36" s="1"/>
  <c r="M272" i="36" s="1"/>
  <c r="K268" i="36"/>
  <c r="L268" i="36" s="1"/>
  <c r="M268" i="36" s="1"/>
  <c r="K88" i="36"/>
  <c r="L88" i="36" s="1"/>
  <c r="M88" i="36" s="1"/>
  <c r="K19" i="36"/>
  <c r="L19" i="36" s="1"/>
  <c r="M19" i="36" s="1"/>
  <c r="K61" i="36"/>
  <c r="L61" i="36" s="1"/>
  <c r="M61" i="36" s="1"/>
  <c r="K289" i="36"/>
  <c r="L289" i="36" s="1"/>
  <c r="M289" i="36" s="1"/>
  <c r="K199" i="36"/>
  <c r="L199" i="36" s="1"/>
  <c r="M199" i="36" s="1"/>
  <c r="K184" i="36"/>
  <c r="L184" i="36" s="1"/>
  <c r="M184" i="36" s="1"/>
  <c r="K24" i="36"/>
  <c r="L24" i="36" s="1"/>
  <c r="M24" i="36" s="1"/>
  <c r="K146" i="36"/>
  <c r="L146" i="36" s="1"/>
  <c r="M146" i="36" s="1"/>
  <c r="K85" i="36"/>
  <c r="L85" i="36" s="1"/>
  <c r="M85" i="36" s="1"/>
  <c r="K285" i="36"/>
  <c r="L285" i="36" s="1"/>
  <c r="M285" i="36" s="1"/>
  <c r="K50" i="36"/>
  <c r="L50" i="36" s="1"/>
  <c r="M50" i="36" s="1"/>
  <c r="K131" i="36"/>
  <c r="L131" i="36" s="1"/>
  <c r="M131" i="36" s="1"/>
  <c r="K304" i="36"/>
  <c r="L304" i="36" s="1"/>
  <c r="M304" i="36" s="1"/>
  <c r="K264" i="36"/>
  <c r="L264" i="36" s="1"/>
  <c r="M264" i="36" s="1"/>
  <c r="K53" i="36"/>
  <c r="L53" i="36" s="1"/>
  <c r="M53" i="36" s="1"/>
  <c r="K132" i="36"/>
  <c r="L132" i="36" s="1"/>
  <c r="M132" i="36" s="1"/>
  <c r="K113" i="36"/>
  <c r="L113" i="36" s="1"/>
  <c r="M113" i="36" s="1"/>
  <c r="K296" i="36"/>
  <c r="L296" i="36" s="1"/>
  <c r="M296" i="36" s="1"/>
  <c r="K306" i="36"/>
  <c r="L306" i="36" s="1"/>
  <c r="M306" i="36" s="1"/>
  <c r="K30" i="36"/>
  <c r="L30" i="36" s="1"/>
  <c r="M30" i="36" s="1"/>
  <c r="K70" i="36"/>
  <c r="L70" i="36" s="1"/>
  <c r="M70" i="36" s="1"/>
  <c r="K284" i="36"/>
  <c r="L284" i="36" s="1"/>
  <c r="M284" i="36" s="1"/>
  <c r="K103" i="36"/>
  <c r="L103" i="36" s="1"/>
  <c r="M103" i="36" s="1"/>
  <c r="K52" i="36"/>
  <c r="L52" i="36" s="1"/>
  <c r="M52" i="36" s="1"/>
  <c r="K137" i="36"/>
  <c r="L137" i="36" s="1"/>
  <c r="M137" i="36" s="1"/>
  <c r="K32" i="36"/>
  <c r="L32" i="36" s="1"/>
  <c r="M32" i="36" s="1"/>
  <c r="K274" i="36"/>
  <c r="L274" i="36" s="1"/>
  <c r="M274" i="36" s="1"/>
  <c r="K130" i="36"/>
  <c r="L130" i="36" s="1"/>
  <c r="M130" i="36" s="1"/>
  <c r="K312" i="36"/>
  <c r="L312" i="36" s="1"/>
  <c r="M312" i="36" s="1"/>
  <c r="K277" i="36"/>
  <c r="L277" i="36" s="1"/>
  <c r="M277" i="36" s="1"/>
  <c r="K180" i="36"/>
  <c r="L180" i="36" s="1"/>
  <c r="M180" i="36" s="1"/>
  <c r="K107" i="36"/>
  <c r="L107" i="36" s="1"/>
  <c r="M107" i="36" s="1"/>
  <c r="K315" i="36"/>
  <c r="L315" i="36" s="1"/>
  <c r="M315" i="36" s="1"/>
  <c r="K213" i="36"/>
  <c r="L213" i="36" s="1"/>
  <c r="M213" i="36" s="1"/>
  <c r="K212" i="36"/>
  <c r="L212" i="36" s="1"/>
  <c r="M212" i="36" s="1"/>
  <c r="K153" i="36"/>
  <c r="L153" i="36" s="1"/>
  <c r="M153" i="36" s="1"/>
  <c r="K307" i="36"/>
  <c r="L307" i="36" s="1"/>
  <c r="M307" i="36" s="1"/>
  <c r="K96" i="36"/>
  <c r="L96" i="36" s="1"/>
  <c r="M96" i="36" s="1"/>
  <c r="K161" i="36"/>
  <c r="L161" i="36" s="1"/>
  <c r="M161" i="36" s="1"/>
  <c r="K110" i="36"/>
  <c r="L110" i="36" s="1"/>
  <c r="M110" i="36" s="1"/>
  <c r="K72" i="36"/>
  <c r="L72" i="36" s="1"/>
  <c r="M72" i="36" s="1"/>
  <c r="K91" i="36"/>
  <c r="L91" i="36" s="1"/>
  <c r="M91" i="36" s="1"/>
  <c r="K102" i="36"/>
  <c r="L102" i="36" s="1"/>
  <c r="M102" i="36" s="1"/>
  <c r="K81" i="36"/>
  <c r="L81" i="36" s="1"/>
  <c r="M81" i="36" s="1"/>
  <c r="K58" i="36"/>
  <c r="L58" i="36" s="1"/>
  <c r="M58" i="36" s="1"/>
  <c r="K119" i="36"/>
  <c r="L119" i="36" s="1"/>
  <c r="M119" i="36" s="1"/>
  <c r="K60" i="36"/>
  <c r="L60" i="36" s="1"/>
  <c r="M60" i="36" s="1"/>
  <c r="K135" i="36"/>
  <c r="L135" i="36" s="1"/>
  <c r="M135" i="36" s="1"/>
  <c r="K151" i="36"/>
  <c r="L151" i="36" s="1"/>
  <c r="M151" i="36" s="1"/>
  <c r="K160" i="36"/>
  <c r="L160" i="36" s="1"/>
  <c r="M160" i="36" s="1"/>
  <c r="K167" i="36"/>
  <c r="L167" i="36" s="1"/>
  <c r="M167" i="36" s="1"/>
  <c r="K257" i="36"/>
  <c r="L257" i="36" s="1"/>
  <c r="M257" i="36" s="1"/>
  <c r="K290" i="36"/>
  <c r="L290" i="36" s="1"/>
  <c r="M290" i="36" s="1"/>
  <c r="K36" i="36"/>
  <c r="L36" i="36" s="1"/>
  <c r="M36" i="36" s="1"/>
  <c r="K244" i="36"/>
  <c r="L244" i="36" s="1"/>
  <c r="M244" i="36" s="1"/>
  <c r="K142" i="36"/>
  <c r="L142" i="36" s="1"/>
  <c r="M142" i="36" s="1"/>
  <c r="K54" i="36"/>
  <c r="L54" i="36" s="1"/>
  <c r="M54" i="36" s="1"/>
  <c r="K291" i="36"/>
  <c r="L291" i="36" s="1"/>
  <c r="M291" i="36" s="1"/>
  <c r="K87" i="36"/>
  <c r="L87" i="36" s="1"/>
  <c r="M87" i="36" s="1"/>
  <c r="K179" i="36"/>
  <c r="L179" i="36" s="1"/>
  <c r="M179" i="36" s="1"/>
  <c r="K301" i="36"/>
  <c r="L301" i="36" s="1"/>
  <c r="M301" i="36" s="1"/>
  <c r="K123" i="36"/>
  <c r="L123" i="36" s="1"/>
  <c r="M123" i="36" s="1"/>
  <c r="K215" i="36"/>
  <c r="L215" i="36" s="1"/>
  <c r="M215" i="36" s="1"/>
  <c r="K266" i="36"/>
  <c r="L266" i="36" s="1"/>
  <c r="M266" i="36" s="1"/>
  <c r="K31" i="36"/>
  <c r="L31" i="36" s="1"/>
  <c r="M31" i="36" s="1"/>
  <c r="K66" i="36"/>
  <c r="L66" i="36" s="1"/>
  <c r="M66" i="36" s="1"/>
  <c r="K84" i="36"/>
  <c r="L84" i="36" s="1"/>
  <c r="M84" i="36" s="1"/>
  <c r="K219" i="36"/>
  <c r="L219" i="36" s="1"/>
  <c r="M219" i="36" s="1"/>
  <c r="K40" i="36"/>
  <c r="L40" i="36" s="1"/>
  <c r="M40" i="36" s="1"/>
  <c r="K231" i="36"/>
  <c r="L231" i="36" s="1"/>
  <c r="M231" i="36" s="1"/>
  <c r="K92" i="36"/>
  <c r="L92" i="36" s="1"/>
  <c r="M92" i="36" s="1"/>
  <c r="L3" i="38" l="1" a="1"/>
  <c r="L3" i="38" s="1"/>
  <c r="K3" i="37" a="1"/>
  <c r="K3" i="37" s="1"/>
  <c r="K3" i="39" a="1"/>
  <c r="K3" i="39" s="1"/>
  <c r="L4" i="36"/>
  <c r="L3" i="36" s="1" a="1"/>
  <c r="L3" i="36" s="1"/>
  <c r="K3" i="36" a="1"/>
  <c r="K3" i="36" s="1"/>
  <c r="K3" i="38" a="1"/>
  <c r="K3" i="38" s="1"/>
  <c r="L4" i="39"/>
  <c r="L3" i="39" s="1" a="1"/>
  <c r="L3" i="39" s="1"/>
  <c r="N40" i="39"/>
  <c r="N295" i="39"/>
  <c r="N228" i="39"/>
  <c r="N101" i="39"/>
  <c r="N258" i="39"/>
  <c r="N37" i="39"/>
  <c r="N256" i="39"/>
  <c r="N203" i="39"/>
  <c r="N218" i="39"/>
  <c r="N268" i="39"/>
  <c r="N232" i="39"/>
  <c r="N31" i="39"/>
  <c r="N186" i="39"/>
  <c r="N92" i="39"/>
  <c r="N52" i="39"/>
  <c r="N253" i="39"/>
  <c r="N241" i="39"/>
  <c r="N270" i="39"/>
  <c r="N291" i="39"/>
  <c r="N180" i="39"/>
  <c r="N181" i="39"/>
  <c r="N78" i="39"/>
  <c r="N48" i="39"/>
  <c r="N214" i="39"/>
  <c r="N281" i="39"/>
  <c r="N49" i="39"/>
  <c r="N286" i="39"/>
  <c r="N226" i="39"/>
  <c r="N260" i="39"/>
  <c r="N30" i="39"/>
  <c r="N261" i="39"/>
  <c r="N296" i="39"/>
  <c r="N244" i="39"/>
  <c r="N300" i="39"/>
  <c r="N217" i="39"/>
  <c r="N158" i="39"/>
  <c r="N259" i="39"/>
  <c r="N119" i="39"/>
  <c r="N29" i="39"/>
  <c r="N188" i="39"/>
  <c r="N216" i="39"/>
  <c r="N208" i="39"/>
  <c r="N121" i="39"/>
  <c r="N126" i="39"/>
  <c r="N19" i="39"/>
  <c r="N116" i="39"/>
  <c r="N76" i="39"/>
  <c r="N280" i="39"/>
  <c r="N80" i="39"/>
  <c r="N255" i="39"/>
  <c r="N5" i="39"/>
  <c r="N41" i="39"/>
  <c r="N109" i="39"/>
  <c r="N102" i="39"/>
  <c r="N82" i="39"/>
  <c r="N251" i="39"/>
  <c r="N273" i="39"/>
  <c r="N112" i="39"/>
  <c r="N90" i="39"/>
  <c r="N43" i="39"/>
  <c r="N34" i="39"/>
  <c r="N204" i="39"/>
  <c r="N297" i="39"/>
  <c r="N103" i="39"/>
  <c r="N75" i="39"/>
  <c r="N304" i="39"/>
  <c r="N71" i="39"/>
  <c r="N28" i="39"/>
  <c r="N55" i="39"/>
  <c r="N212" i="39"/>
  <c r="N285" i="39"/>
  <c r="N225" i="39"/>
  <c r="N145" i="39"/>
  <c r="N236" i="39"/>
  <c r="N315" i="39"/>
  <c r="N61" i="39"/>
  <c r="N157" i="39"/>
  <c r="N124" i="39"/>
  <c r="N156" i="39"/>
  <c r="N190" i="39"/>
  <c r="N168" i="39"/>
  <c r="N74" i="39"/>
  <c r="N197" i="39"/>
  <c r="N272" i="39"/>
  <c r="N191" i="39"/>
  <c r="N289" i="39"/>
  <c r="N237" i="39"/>
  <c r="N18" i="39"/>
  <c r="N35" i="39"/>
  <c r="N135" i="39"/>
  <c r="N95" i="39"/>
  <c r="N6" i="39"/>
  <c r="N242" i="39"/>
  <c r="N262" i="39"/>
  <c r="N219" i="39"/>
  <c r="N143" i="39"/>
  <c r="N179" i="39"/>
  <c r="N106" i="39"/>
  <c r="N211" i="39"/>
  <c r="N9" i="39"/>
  <c r="N151" i="39"/>
  <c r="N38" i="39"/>
  <c r="N68" i="39"/>
  <c r="N94" i="39"/>
  <c r="N114" i="39"/>
  <c r="N215" i="39"/>
  <c r="N57" i="39"/>
  <c r="N60" i="39"/>
  <c r="N42" i="39"/>
  <c r="N16" i="39"/>
  <c r="N234" i="39"/>
  <c r="N240" i="39"/>
  <c r="N69" i="39"/>
  <c r="N79" i="39"/>
  <c r="N105" i="39"/>
  <c r="N96" i="39"/>
  <c r="N98" i="39"/>
  <c r="N146" i="39"/>
  <c r="N313" i="39"/>
  <c r="N265" i="39"/>
  <c r="N139" i="39"/>
  <c r="N164" i="39"/>
  <c r="N155" i="39"/>
  <c r="N246" i="39"/>
  <c r="N100" i="39"/>
  <c r="N162" i="39"/>
  <c r="N39" i="39"/>
  <c r="N47" i="39"/>
  <c r="N305" i="39"/>
  <c r="N24" i="39"/>
  <c r="N107" i="39"/>
  <c r="N194" i="39"/>
  <c r="N302" i="39"/>
  <c r="N21" i="39"/>
  <c r="N125" i="39"/>
  <c r="N207" i="39"/>
  <c r="N11" i="39"/>
  <c r="N223" i="39"/>
  <c r="N117" i="39"/>
  <c r="N193" i="39"/>
  <c r="N149" i="39"/>
  <c r="N189" i="39"/>
  <c r="N267" i="39"/>
  <c r="N247" i="39"/>
  <c r="N287" i="39"/>
  <c r="N243" i="39"/>
  <c r="N233" i="39"/>
  <c r="N245" i="39"/>
  <c r="N209" i="39"/>
  <c r="N152" i="39"/>
  <c r="N87" i="39"/>
  <c r="N150" i="39"/>
  <c r="N14" i="39"/>
  <c r="N27" i="39"/>
  <c r="N170" i="39"/>
  <c r="N169" i="39"/>
  <c r="N294" i="39"/>
  <c r="N113" i="39"/>
  <c r="N198" i="39"/>
  <c r="N128" i="39"/>
  <c r="N175" i="39"/>
  <c r="N271" i="39"/>
  <c r="N174" i="39"/>
  <c r="N227" i="39"/>
  <c r="N13" i="39"/>
  <c r="N192" i="39"/>
  <c r="N266" i="39"/>
  <c r="N161" i="39"/>
  <c r="N292" i="39"/>
  <c r="N250" i="39"/>
  <c r="N274" i="39"/>
  <c r="N144" i="39"/>
  <c r="N118" i="39"/>
  <c r="N88" i="39"/>
  <c r="N54" i="39"/>
  <c r="N195" i="39"/>
  <c r="N45" i="39"/>
  <c r="N210" i="39"/>
  <c r="N58" i="39"/>
  <c r="N66" i="39"/>
  <c r="N257" i="39"/>
  <c r="N312" i="39"/>
  <c r="N199" i="39"/>
  <c r="N177" i="39"/>
  <c r="N15" i="39"/>
  <c r="N163" i="39"/>
  <c r="N133" i="39"/>
  <c r="N308" i="39"/>
  <c r="N264" i="39"/>
  <c r="N104" i="39"/>
  <c r="N108" i="39"/>
  <c r="N72" i="39"/>
  <c r="N36" i="39"/>
  <c r="N263" i="39"/>
  <c r="N63" i="39"/>
  <c r="N120" i="39"/>
  <c r="N138" i="39"/>
  <c r="N299" i="39"/>
  <c r="N306" i="39"/>
  <c r="N201" i="39"/>
  <c r="N97" i="39"/>
  <c r="N185" i="39"/>
  <c r="N46" i="39"/>
  <c r="N127" i="39"/>
  <c r="N283" i="39"/>
  <c r="N314" i="39"/>
  <c r="N278" i="39"/>
  <c r="N239" i="39"/>
  <c r="N182" i="39"/>
  <c r="N12" i="39"/>
  <c r="N303" i="39"/>
  <c r="N172" i="39"/>
  <c r="N309" i="39"/>
  <c r="N7" i="39"/>
  <c r="N32" i="39"/>
  <c r="N222" i="39"/>
  <c r="N173" i="39"/>
  <c r="N311" i="39"/>
  <c r="N147" i="39"/>
  <c r="N81" i="39"/>
  <c r="N56" i="39"/>
  <c r="N248" i="39"/>
  <c r="N284" i="39"/>
  <c r="N153" i="39"/>
  <c r="N50" i="39"/>
  <c r="N10" i="39"/>
  <c r="N231" i="39"/>
  <c r="N59" i="39"/>
  <c r="N235" i="39"/>
  <c r="N115" i="39"/>
  <c r="N176" i="39"/>
  <c r="N310" i="39"/>
  <c r="N136" i="39"/>
  <c r="N73" i="39"/>
  <c r="N65" i="39"/>
  <c r="N183" i="39"/>
  <c r="N171" i="39"/>
  <c r="N83" i="39"/>
  <c r="N17" i="39"/>
  <c r="N23" i="39"/>
  <c r="N202" i="39"/>
  <c r="N298" i="39"/>
  <c r="N131" i="39"/>
  <c r="N99" i="39"/>
  <c r="N220" i="39"/>
  <c r="N184" i="39"/>
  <c r="N254" i="39"/>
  <c r="N290" i="39"/>
  <c r="N33" i="39"/>
  <c r="N269" i="39"/>
  <c r="N230" i="39"/>
  <c r="N148" i="39"/>
  <c r="N140" i="39"/>
  <c r="N85" i="39"/>
  <c r="N77" i="39"/>
  <c r="N70" i="39"/>
  <c r="N187" i="39"/>
  <c r="N129" i="39"/>
  <c r="N229" i="39"/>
  <c r="N279" i="39"/>
  <c r="N110" i="39"/>
  <c r="N26" i="39"/>
  <c r="N64" i="39"/>
  <c r="N130" i="39"/>
  <c r="N288" i="39"/>
  <c r="N93" i="39"/>
  <c r="N167" i="39"/>
  <c r="N8" i="39"/>
  <c r="N111" i="39"/>
  <c r="N275" i="39"/>
  <c r="N277" i="39"/>
  <c r="N293" i="39"/>
  <c r="N89" i="39"/>
  <c r="N122" i="39"/>
  <c r="N25" i="39"/>
  <c r="N200" i="39"/>
  <c r="N132" i="39"/>
  <c r="N86" i="39"/>
  <c r="N224" i="39"/>
  <c r="N123" i="39"/>
  <c r="N166" i="39"/>
  <c r="N160" i="39"/>
  <c r="N276" i="39"/>
  <c r="N51" i="39"/>
  <c r="N249" i="39"/>
  <c r="N44" i="39"/>
  <c r="N67" i="39"/>
  <c r="N84" i="39"/>
  <c r="N205" i="39"/>
  <c r="N91" i="39"/>
  <c r="N159" i="39"/>
  <c r="N221" i="39"/>
  <c r="N178" i="39"/>
  <c r="N206" i="39"/>
  <c r="N213" i="39"/>
  <c r="N154" i="39"/>
  <c r="N20" i="39"/>
  <c r="N22" i="39"/>
  <c r="N282" i="39"/>
  <c r="N134" i="39"/>
  <c r="N238" i="39"/>
  <c r="N53" i="39"/>
  <c r="N62" i="39"/>
  <c r="N141" i="39"/>
  <c r="N137" i="39"/>
  <c r="N252" i="39"/>
  <c r="N307" i="39"/>
  <c r="N142" i="39"/>
  <c r="N301" i="39"/>
  <c r="N196" i="39"/>
  <c r="N165" i="39"/>
  <c r="M4" i="38"/>
  <c r="M3" i="38" s="1" a="1"/>
  <c r="M3" i="38" s="1"/>
  <c r="L4" i="37"/>
  <c r="L3" i="37" s="1" a="1"/>
  <c r="L3" i="37" s="1"/>
  <c r="N54" i="36"/>
  <c r="N274" i="36"/>
  <c r="N306" i="36"/>
  <c r="N50" i="36"/>
  <c r="N227" i="36"/>
  <c r="N129" i="36"/>
  <c r="N121" i="36"/>
  <c r="N149" i="36"/>
  <c r="N283" i="36"/>
  <c r="N156" i="36"/>
  <c r="N33" i="36"/>
  <c r="N242" i="36"/>
  <c r="N178" i="36"/>
  <c r="N292" i="36"/>
  <c r="N211" i="36"/>
  <c r="N120" i="36"/>
  <c r="N229" i="36"/>
  <c r="N169" i="36"/>
  <c r="N18" i="36"/>
  <c r="N59" i="36"/>
  <c r="N17" i="36"/>
  <c r="N34" i="36"/>
  <c r="N10" i="36"/>
  <c r="N314" i="36"/>
  <c r="N158" i="36"/>
  <c r="N136" i="36"/>
  <c r="N177" i="36"/>
  <c r="N269" i="36"/>
  <c r="N230" i="36"/>
  <c r="N186" i="36"/>
  <c r="N266" i="36"/>
  <c r="N142" i="36"/>
  <c r="N135" i="36"/>
  <c r="N110" i="36"/>
  <c r="N315" i="36"/>
  <c r="N32" i="36"/>
  <c r="N296" i="36"/>
  <c r="N285" i="36"/>
  <c r="N61" i="36"/>
  <c r="N101" i="36"/>
  <c r="N152" i="36"/>
  <c r="N163" i="36"/>
  <c r="N202" i="36"/>
  <c r="N217" i="36"/>
  <c r="N104" i="36"/>
  <c r="N45" i="36"/>
  <c r="N173" i="36"/>
  <c r="N247" i="36"/>
  <c r="N82" i="36"/>
  <c r="N276" i="36"/>
  <c r="N172" i="36"/>
  <c r="N86" i="36"/>
  <c r="N270" i="36"/>
  <c r="N78" i="36"/>
  <c r="N124" i="36"/>
  <c r="N35" i="36"/>
  <c r="N89" i="36"/>
  <c r="N263" i="36"/>
  <c r="N23" i="36"/>
  <c r="N299" i="36"/>
  <c r="N298" i="36"/>
  <c r="N194" i="36"/>
  <c r="N14" i="36"/>
  <c r="N214" i="36"/>
  <c r="N138" i="36"/>
  <c r="N115" i="36"/>
  <c r="N210" i="36"/>
  <c r="N26" i="36"/>
  <c r="N69" i="36"/>
  <c r="N92" i="36"/>
  <c r="N137" i="36"/>
  <c r="N41" i="36"/>
  <c r="N232" i="36"/>
  <c r="N231" i="36"/>
  <c r="N123" i="36"/>
  <c r="N36" i="36"/>
  <c r="N119" i="36"/>
  <c r="N96" i="36"/>
  <c r="N180" i="36"/>
  <c r="N52" i="36"/>
  <c r="N132" i="36"/>
  <c r="N146" i="36"/>
  <c r="N88" i="36"/>
  <c r="N68" i="36"/>
  <c r="N49" i="36"/>
  <c r="N39" i="36"/>
  <c r="N141" i="36"/>
  <c r="N65" i="36"/>
  <c r="N46" i="36"/>
  <c r="N239" i="36"/>
  <c r="N38" i="36"/>
  <c r="N293" i="36"/>
  <c r="N311" i="36"/>
  <c r="N127" i="36"/>
  <c r="N143" i="36"/>
  <c r="N80" i="36"/>
  <c r="N192" i="36"/>
  <c r="N56" i="36"/>
  <c r="N8" i="36"/>
  <c r="N77" i="36"/>
  <c r="N147" i="36"/>
  <c r="N55" i="36"/>
  <c r="N282" i="36"/>
  <c r="N201" i="36"/>
  <c r="N209" i="36"/>
  <c r="N310" i="36"/>
  <c r="N25" i="36"/>
  <c r="N71" i="36"/>
  <c r="N83" i="36"/>
  <c r="N246" i="36"/>
  <c r="N238" i="36"/>
  <c r="N6" i="36"/>
  <c r="N151" i="36"/>
  <c r="N187" i="36"/>
  <c r="N161" i="36"/>
  <c r="N19" i="36"/>
  <c r="N125" i="36"/>
  <c r="N204" i="36"/>
  <c r="N98" i="36"/>
  <c r="N175" i="36"/>
  <c r="N75" i="36"/>
  <c r="N302" i="36"/>
  <c r="N159" i="36"/>
  <c r="N40" i="36"/>
  <c r="N301" i="36"/>
  <c r="N290" i="36"/>
  <c r="N58" i="36"/>
  <c r="N307" i="36"/>
  <c r="N103" i="36"/>
  <c r="N53" i="36"/>
  <c r="N24" i="36"/>
  <c r="N268" i="36"/>
  <c r="N28" i="36"/>
  <c r="N190" i="36"/>
  <c r="N48" i="36"/>
  <c r="N206" i="36"/>
  <c r="N207" i="36"/>
  <c r="N208" i="36"/>
  <c r="N200" i="36"/>
  <c r="N162" i="36"/>
  <c r="N157" i="36"/>
  <c r="N248" i="36"/>
  <c r="N188" i="36"/>
  <c r="N176" i="36"/>
  <c r="N134" i="36"/>
  <c r="N12" i="36"/>
  <c r="N95" i="36"/>
  <c r="N223" i="36"/>
  <c r="N148" i="36"/>
  <c r="N47" i="36"/>
  <c r="N287" i="36"/>
  <c r="N300" i="36"/>
  <c r="N241" i="36"/>
  <c r="N27" i="36"/>
  <c r="N265" i="36"/>
  <c r="N278" i="36"/>
  <c r="N5" i="36"/>
  <c r="N11" i="36"/>
  <c r="N155" i="36"/>
  <c r="N111" i="36"/>
  <c r="N22" i="36"/>
  <c r="N94" i="36"/>
  <c r="N60" i="36"/>
  <c r="N85" i="36"/>
  <c r="N150" i="36"/>
  <c r="N250" i="36"/>
  <c r="N219" i="36"/>
  <c r="N179" i="36"/>
  <c r="N257" i="36"/>
  <c r="N81" i="36"/>
  <c r="N153" i="36"/>
  <c r="N277" i="36"/>
  <c r="N284" i="36"/>
  <c r="N264" i="36"/>
  <c r="N184" i="36"/>
  <c r="N272" i="36"/>
  <c r="N145" i="36"/>
  <c r="N114" i="36"/>
  <c r="N226" i="36"/>
  <c r="N271" i="36"/>
  <c r="N171" i="36"/>
  <c r="N117" i="36"/>
  <c r="N164" i="36"/>
  <c r="N166" i="36"/>
  <c r="N126" i="36"/>
  <c r="N122" i="36"/>
  <c r="N62" i="36"/>
  <c r="N286" i="36"/>
  <c r="N235" i="36"/>
  <c r="N100" i="36"/>
  <c r="N255" i="36"/>
  <c r="N118" i="36"/>
  <c r="N174" i="36"/>
  <c r="N258" i="36"/>
  <c r="N256" i="36"/>
  <c r="N198" i="36"/>
  <c r="N221" i="36"/>
  <c r="N309" i="36"/>
  <c r="N79" i="36"/>
  <c r="N295" i="36"/>
  <c r="N203" i="36"/>
  <c r="N240" i="36"/>
  <c r="N51" i="36"/>
  <c r="N185" i="36"/>
  <c r="N64" i="36"/>
  <c r="N237" i="36"/>
  <c r="N31" i="36"/>
  <c r="N72" i="36"/>
  <c r="N288" i="36"/>
  <c r="N244" i="36"/>
  <c r="N113" i="36"/>
  <c r="N183" i="36"/>
  <c r="N57" i="36"/>
  <c r="N140" i="36"/>
  <c r="N97" i="36"/>
  <c r="N106" i="36"/>
  <c r="N7" i="36"/>
  <c r="N254" i="36"/>
  <c r="N21" i="36"/>
  <c r="N294" i="36"/>
  <c r="N84" i="36"/>
  <c r="N87" i="36"/>
  <c r="N167" i="36"/>
  <c r="N102" i="36"/>
  <c r="N312" i="36"/>
  <c r="N70" i="36"/>
  <c r="N304" i="36"/>
  <c r="N199" i="36"/>
  <c r="N191" i="36"/>
  <c r="N144" i="36"/>
  <c r="N16" i="36"/>
  <c r="N252" i="36"/>
  <c r="N308" i="36"/>
  <c r="N218" i="36"/>
  <c r="N280" i="36"/>
  <c r="N20" i="36"/>
  <c r="N297" i="36"/>
  <c r="N243" i="36"/>
  <c r="N76" i="36"/>
  <c r="N133" i="36"/>
  <c r="N253" i="36"/>
  <c r="N29" i="36"/>
  <c r="N37" i="36"/>
  <c r="N105" i="36"/>
  <c r="N9" i="36"/>
  <c r="N228" i="36"/>
  <c r="N222" i="36"/>
  <c r="N205" i="36"/>
  <c r="N99" i="36"/>
  <c r="N181" i="36"/>
  <c r="N15" i="36"/>
  <c r="N303" i="36"/>
  <c r="N109" i="36"/>
  <c r="N90" i="36"/>
  <c r="N168" i="36"/>
  <c r="N182" i="36"/>
  <c r="N67" i="36"/>
  <c r="N43" i="36"/>
  <c r="N213" i="36"/>
  <c r="N273" i="36"/>
  <c r="N215" i="36"/>
  <c r="N107" i="36"/>
  <c r="N116" i="36"/>
  <c r="N112" i="36"/>
  <c r="N220" i="36"/>
  <c r="N234" i="36"/>
  <c r="N195" i="36"/>
  <c r="N224" i="36"/>
  <c r="N189" i="36"/>
  <c r="N73" i="36"/>
  <c r="N170" i="36"/>
  <c r="N236" i="36"/>
  <c r="N66" i="36"/>
  <c r="N291" i="36"/>
  <c r="N160" i="36"/>
  <c r="N91" i="36"/>
  <c r="N212" i="36"/>
  <c r="N130" i="36"/>
  <c r="N30" i="36"/>
  <c r="N131" i="36"/>
  <c r="N289" i="36"/>
  <c r="N196" i="36"/>
  <c r="N275" i="36"/>
  <c r="N108" i="36"/>
  <c r="N279" i="36"/>
  <c r="N251" i="36"/>
  <c r="N93" i="36"/>
  <c r="N281" i="36"/>
  <c r="N128" i="36"/>
  <c r="N261" i="36"/>
  <c r="N267" i="36"/>
  <c r="N74" i="36"/>
  <c r="N139" i="36"/>
  <c r="N225" i="36"/>
  <c r="N44" i="36"/>
  <c r="N165" i="36"/>
  <c r="N63" i="36"/>
  <c r="N154" i="36"/>
  <c r="N245" i="36"/>
  <c r="N197" i="36"/>
  <c r="N233" i="36"/>
  <c r="N313" i="36"/>
  <c r="N305" i="36"/>
  <c r="N260" i="36"/>
  <c r="N13" i="36"/>
  <c r="N42" i="36"/>
  <c r="N193" i="36"/>
  <c r="N262" i="36"/>
  <c r="N249" i="36"/>
  <c r="N216" i="36"/>
  <c r="N259" i="36"/>
  <c r="M4" i="36" l="1"/>
  <c r="N4" i="36" s="1"/>
  <c r="N3" i="36" s="1" a="1"/>
  <c r="N3" i="36" s="1"/>
  <c r="M4" i="39"/>
  <c r="M3" i="39" s="1" a="1"/>
  <c r="M3" i="39" s="1"/>
  <c r="N4" i="38"/>
  <c r="N3" i="38" s="1" a="1"/>
  <c r="N3" i="38" s="1"/>
  <c r="M4" i="37"/>
  <c r="M3" i="36" l="1" a="1"/>
  <c r="M3" i="36" s="1"/>
  <c r="N4" i="37"/>
  <c r="N3" i="37" s="1" a="1"/>
  <c r="N3" i="37" s="1"/>
  <c r="M3" i="37" a="1"/>
  <c r="M3" i="37" s="1"/>
  <c r="O316" i="38"/>
  <c r="P316" i="38" s="1"/>
  <c r="Q316" i="38" s="1"/>
  <c r="O317" i="38"/>
  <c r="P317" i="38" s="1"/>
  <c r="Q317" i="38" s="1"/>
  <c r="N4" i="39"/>
  <c r="N3" i="39" s="1" a="1"/>
  <c r="N3" i="39" s="1"/>
  <c r="O317" i="37" l="1"/>
  <c r="P317" i="37" s="1"/>
  <c r="Q317" i="37" s="1"/>
  <c r="R317" i="37" s="1"/>
  <c r="O317" i="36"/>
  <c r="P317" i="36" s="1"/>
  <c r="Q317" i="36" s="1"/>
  <c r="O316" i="36"/>
  <c r="P316" i="36" s="1"/>
  <c r="Q316" i="36" s="1"/>
  <c r="O316" i="37"/>
  <c r="P316" i="37" s="1"/>
  <c r="Q316" i="37" s="1"/>
  <c r="R317" i="38"/>
  <c r="R316" i="38"/>
  <c r="O316" i="39"/>
  <c r="P316" i="39" s="1"/>
  <c r="Q316" i="39" s="1"/>
  <c r="O317" i="39"/>
  <c r="P317" i="39" s="1"/>
  <c r="Q317" i="39" s="1"/>
  <c r="O4" i="36"/>
  <c r="O33" i="39"/>
  <c r="P33" i="39" s="1"/>
  <c r="Q33" i="39" s="1"/>
  <c r="O268" i="39"/>
  <c r="P268" i="39" s="1"/>
  <c r="Q268" i="39" s="1"/>
  <c r="O44" i="39"/>
  <c r="P44" i="39" s="1"/>
  <c r="Q44" i="39" s="1"/>
  <c r="O253" i="39"/>
  <c r="P253" i="39" s="1"/>
  <c r="Q253" i="39" s="1"/>
  <c r="O307" i="39"/>
  <c r="P307" i="39" s="1"/>
  <c r="Q307" i="39" s="1"/>
  <c r="O87" i="39"/>
  <c r="P87" i="39" s="1"/>
  <c r="Q87" i="39" s="1"/>
  <c r="O315" i="39"/>
  <c r="P315" i="39" s="1"/>
  <c r="Q315" i="39" s="1"/>
  <c r="O209" i="39"/>
  <c r="P209" i="39" s="1"/>
  <c r="Q209" i="39" s="1"/>
  <c r="O282" i="39"/>
  <c r="P282" i="39" s="1"/>
  <c r="Q282" i="39" s="1"/>
  <c r="O148" i="39"/>
  <c r="P148" i="39" s="1"/>
  <c r="Q148" i="39" s="1"/>
  <c r="O108" i="39"/>
  <c r="P108" i="39" s="1"/>
  <c r="Q108" i="39" s="1"/>
  <c r="O105" i="39"/>
  <c r="P105" i="39" s="1"/>
  <c r="Q105" i="39" s="1"/>
  <c r="O297" i="39"/>
  <c r="P297" i="39" s="1"/>
  <c r="Q297" i="39" s="1"/>
  <c r="O96" i="39"/>
  <c r="P96" i="39" s="1"/>
  <c r="Q96" i="39" s="1"/>
  <c r="O58" i="39"/>
  <c r="P58" i="39" s="1"/>
  <c r="Q58" i="39" s="1"/>
  <c r="O159" i="39"/>
  <c r="P159" i="39" s="1"/>
  <c r="Q159" i="39" s="1"/>
  <c r="O254" i="39"/>
  <c r="P254" i="39" s="1"/>
  <c r="Q254" i="39" s="1"/>
  <c r="O239" i="39"/>
  <c r="P239" i="39" s="1"/>
  <c r="Q239" i="39" s="1"/>
  <c r="O292" i="39"/>
  <c r="P292" i="39" s="1"/>
  <c r="Q292" i="39" s="1"/>
  <c r="O212" i="39"/>
  <c r="P212" i="39" s="1"/>
  <c r="Q212" i="39" s="1"/>
  <c r="O260" i="39"/>
  <c r="P260" i="39" s="1"/>
  <c r="Q260" i="39" s="1"/>
  <c r="O234" i="39"/>
  <c r="P234" i="39" s="1"/>
  <c r="Q234" i="39" s="1"/>
  <c r="O157" i="39"/>
  <c r="P157" i="39" s="1"/>
  <c r="Q157" i="39" s="1"/>
  <c r="O140" i="39"/>
  <c r="P140" i="39" s="1"/>
  <c r="Q140" i="39" s="1"/>
  <c r="O15" i="39"/>
  <c r="P15" i="39" s="1"/>
  <c r="Q15" i="39" s="1"/>
  <c r="O215" i="39"/>
  <c r="P215" i="39" s="1"/>
  <c r="Q215" i="39" s="1"/>
  <c r="O102" i="39"/>
  <c r="P102" i="39" s="1"/>
  <c r="Q102" i="39" s="1"/>
  <c r="O183" i="39"/>
  <c r="P183" i="39" s="1"/>
  <c r="Q183" i="39" s="1"/>
  <c r="O249" i="39"/>
  <c r="P249" i="39" s="1"/>
  <c r="Q249" i="39" s="1"/>
  <c r="O310" i="39"/>
  <c r="P310" i="39" s="1"/>
  <c r="Q310" i="39" s="1"/>
  <c r="O46" i="39"/>
  <c r="P46" i="39" s="1"/>
  <c r="Q46" i="39" s="1"/>
  <c r="O192" i="39"/>
  <c r="P192" i="39" s="1"/>
  <c r="Q192" i="39" s="1"/>
  <c r="O107" i="39"/>
  <c r="P107" i="39" s="1"/>
  <c r="Q107" i="39" s="1"/>
  <c r="O156" i="39"/>
  <c r="P156" i="39" s="1"/>
  <c r="Q156" i="39" s="1"/>
  <c r="O188" i="39"/>
  <c r="P188" i="39" s="1"/>
  <c r="Q188" i="39" s="1"/>
  <c r="O301" i="39"/>
  <c r="P301" i="39" s="1"/>
  <c r="Q301" i="39" s="1"/>
  <c r="O303" i="39"/>
  <c r="P303" i="39" s="1"/>
  <c r="Q303" i="39" s="1"/>
  <c r="O152" i="39"/>
  <c r="P152" i="39" s="1"/>
  <c r="Q152" i="39" s="1"/>
  <c r="O313" i="39"/>
  <c r="P313" i="39" s="1"/>
  <c r="Q313" i="39" s="1"/>
  <c r="O37" i="39"/>
  <c r="P37" i="39" s="1"/>
  <c r="Q37" i="39" s="1"/>
  <c r="O232" i="39"/>
  <c r="P232" i="39" s="1"/>
  <c r="Q232" i="39" s="1"/>
  <c r="O248" i="39"/>
  <c r="P248" i="39" s="1"/>
  <c r="Q248" i="39" s="1"/>
  <c r="O235" i="39"/>
  <c r="P235" i="39" s="1"/>
  <c r="Q235" i="39" s="1"/>
  <c r="O143" i="39"/>
  <c r="P143" i="39" s="1"/>
  <c r="Q143" i="39" s="1"/>
  <c r="O203" i="39"/>
  <c r="P203" i="39" s="1"/>
  <c r="Q203" i="39" s="1"/>
  <c r="O147" i="39"/>
  <c r="P147" i="39" s="1"/>
  <c r="Q147" i="39" s="1"/>
  <c r="O35" i="39"/>
  <c r="P35" i="39" s="1"/>
  <c r="Q35" i="39" s="1"/>
  <c r="O158" i="39"/>
  <c r="P158" i="39" s="1"/>
  <c r="Q158" i="39" s="1"/>
  <c r="O136" i="39"/>
  <c r="P136" i="39" s="1"/>
  <c r="Q136" i="39" s="1"/>
  <c r="O78" i="39"/>
  <c r="P78" i="39" s="1"/>
  <c r="Q78" i="39" s="1"/>
  <c r="O81" i="39"/>
  <c r="P81" i="39" s="1"/>
  <c r="Q81" i="39" s="1"/>
  <c r="O244" i="39"/>
  <c r="P244" i="39" s="1"/>
  <c r="Q244" i="39" s="1"/>
  <c r="O122" i="39"/>
  <c r="P122" i="39" s="1"/>
  <c r="Q122" i="39" s="1"/>
  <c r="O36" i="39"/>
  <c r="P36" i="39" s="1"/>
  <c r="Q36" i="39" s="1"/>
  <c r="O294" i="39"/>
  <c r="P294" i="39" s="1"/>
  <c r="Q294" i="39" s="1"/>
  <c r="O49" i="39"/>
  <c r="P49" i="39" s="1"/>
  <c r="Q49" i="39" s="1"/>
  <c r="O8" i="39"/>
  <c r="P8" i="39" s="1"/>
  <c r="Q8" i="39" s="1"/>
  <c r="O133" i="39"/>
  <c r="P133" i="39" s="1"/>
  <c r="Q133" i="39" s="1"/>
  <c r="O135" i="39"/>
  <c r="P135" i="39" s="1"/>
  <c r="Q135" i="39" s="1"/>
  <c r="O288" i="39"/>
  <c r="P288" i="39" s="1"/>
  <c r="Q288" i="39" s="1"/>
  <c r="O72" i="39"/>
  <c r="P72" i="39" s="1"/>
  <c r="Q72" i="39" s="1"/>
  <c r="O12" i="39"/>
  <c r="P12" i="39" s="1"/>
  <c r="Q12" i="39" s="1"/>
  <c r="O236" i="39"/>
  <c r="P236" i="39" s="1"/>
  <c r="Q236" i="39" s="1"/>
  <c r="O186" i="39"/>
  <c r="P186" i="39" s="1"/>
  <c r="Q186" i="39" s="1"/>
  <c r="O290" i="39"/>
  <c r="P290" i="39" s="1"/>
  <c r="Q290" i="39" s="1"/>
  <c r="O199" i="39"/>
  <c r="P199" i="39" s="1"/>
  <c r="Q199" i="39" s="1"/>
  <c r="O243" i="39"/>
  <c r="P243" i="39" s="1"/>
  <c r="Q243" i="39" s="1"/>
  <c r="O92" i="39"/>
  <c r="P92" i="39" s="1"/>
  <c r="Q92" i="39" s="1"/>
  <c r="O118" i="39"/>
  <c r="P118" i="39" s="1"/>
  <c r="Q118" i="39" s="1"/>
  <c r="O304" i="39"/>
  <c r="P304" i="39" s="1"/>
  <c r="Q304" i="39" s="1"/>
  <c r="O141" i="39"/>
  <c r="P141" i="39" s="1"/>
  <c r="Q141" i="39" s="1"/>
  <c r="O211" i="39"/>
  <c r="P211" i="39" s="1"/>
  <c r="Q211" i="39" s="1"/>
  <c r="O38" i="39"/>
  <c r="P38" i="39" s="1"/>
  <c r="Q38" i="39" s="1"/>
  <c r="O64" i="39"/>
  <c r="P64" i="39" s="1"/>
  <c r="Q64" i="39" s="1"/>
  <c r="O55" i="39"/>
  <c r="P55" i="39" s="1"/>
  <c r="Q55" i="39" s="1"/>
  <c r="O275" i="39"/>
  <c r="P275" i="39" s="1"/>
  <c r="Q275" i="39" s="1"/>
  <c r="O172" i="39"/>
  <c r="P172" i="39" s="1"/>
  <c r="Q172" i="39" s="1"/>
  <c r="O208" i="39"/>
  <c r="P208" i="39" s="1"/>
  <c r="Q208" i="39" s="1"/>
  <c r="O274" i="39"/>
  <c r="P274" i="39" s="1"/>
  <c r="Q274" i="39" s="1"/>
  <c r="O201" i="39"/>
  <c r="P201" i="39" s="1"/>
  <c r="Q201" i="39" s="1"/>
  <c r="O34" i="39"/>
  <c r="P34" i="39" s="1"/>
  <c r="Q34" i="39" s="1"/>
  <c r="O20" i="39"/>
  <c r="P20" i="39" s="1"/>
  <c r="Q20" i="39" s="1"/>
  <c r="O312" i="39"/>
  <c r="P312" i="39" s="1"/>
  <c r="Q312" i="39" s="1"/>
  <c r="O144" i="39"/>
  <c r="P144" i="39" s="1"/>
  <c r="Q144" i="39" s="1"/>
  <c r="O286" i="39"/>
  <c r="P286" i="39" s="1"/>
  <c r="Q286" i="39" s="1"/>
  <c r="O91" i="39"/>
  <c r="P91" i="39" s="1"/>
  <c r="Q91" i="39" s="1"/>
  <c r="O306" i="39"/>
  <c r="P306" i="39" s="1"/>
  <c r="Q306" i="39" s="1"/>
  <c r="O40" i="39"/>
  <c r="P40" i="39" s="1"/>
  <c r="Q40" i="39" s="1"/>
  <c r="O246" i="39"/>
  <c r="P246" i="39" s="1"/>
  <c r="Q246" i="39" s="1"/>
  <c r="O221" i="39"/>
  <c r="P221" i="39" s="1"/>
  <c r="Q221" i="39" s="1"/>
  <c r="O225" i="39"/>
  <c r="P225" i="39" s="1"/>
  <c r="Q225" i="39" s="1"/>
  <c r="O146" i="39"/>
  <c r="P146" i="39" s="1"/>
  <c r="Q146" i="39" s="1"/>
  <c r="O273" i="39"/>
  <c r="P273" i="39" s="1"/>
  <c r="Q273" i="39" s="1"/>
  <c r="O171" i="39"/>
  <c r="P171" i="39" s="1"/>
  <c r="Q171" i="39" s="1"/>
  <c r="O168" i="39"/>
  <c r="P168" i="39" s="1"/>
  <c r="Q168" i="39" s="1"/>
  <c r="O165" i="39"/>
  <c r="P165" i="39" s="1"/>
  <c r="Q165" i="39" s="1"/>
  <c r="O39" i="39"/>
  <c r="P39" i="39" s="1"/>
  <c r="Q39" i="39" s="1"/>
  <c r="O83" i="39"/>
  <c r="P83" i="39" s="1"/>
  <c r="Q83" i="39" s="1"/>
  <c r="O166" i="39"/>
  <c r="P166" i="39" s="1"/>
  <c r="Q166" i="39" s="1"/>
  <c r="O73" i="39"/>
  <c r="P73" i="39" s="1"/>
  <c r="Q73" i="39" s="1"/>
  <c r="O178" i="39"/>
  <c r="P178" i="39" s="1"/>
  <c r="Q178" i="39" s="1"/>
  <c r="O164" i="39"/>
  <c r="P164" i="39" s="1"/>
  <c r="Q164" i="39" s="1"/>
  <c r="O28" i="39"/>
  <c r="P28" i="39" s="1"/>
  <c r="Q28" i="39" s="1"/>
  <c r="O139" i="39"/>
  <c r="P139" i="39" s="1"/>
  <c r="Q139" i="39" s="1"/>
  <c r="O213" i="39"/>
  <c r="P213" i="39" s="1"/>
  <c r="Q213" i="39" s="1"/>
  <c r="O230" i="39"/>
  <c r="P230" i="39" s="1"/>
  <c r="Q230" i="39" s="1"/>
  <c r="O45" i="39"/>
  <c r="P45" i="39" s="1"/>
  <c r="Q45" i="39" s="1"/>
  <c r="O179" i="39"/>
  <c r="P179" i="39" s="1"/>
  <c r="Q179" i="39" s="1"/>
  <c r="O82" i="39"/>
  <c r="P82" i="39" s="1"/>
  <c r="Q82" i="39" s="1"/>
  <c r="O61" i="39"/>
  <c r="P61" i="39" s="1"/>
  <c r="Q61" i="39" s="1"/>
  <c r="O227" i="39"/>
  <c r="P227" i="39" s="1"/>
  <c r="Q227" i="39" s="1"/>
  <c r="O84" i="39"/>
  <c r="P84" i="39" s="1"/>
  <c r="Q84" i="39" s="1"/>
  <c r="O99" i="39"/>
  <c r="P99" i="39" s="1"/>
  <c r="Q99" i="39" s="1"/>
  <c r="O314" i="39"/>
  <c r="P314" i="39" s="1"/>
  <c r="Q314" i="39" s="1"/>
  <c r="O271" i="39"/>
  <c r="P271" i="39" s="1"/>
  <c r="Q271" i="39" s="1"/>
  <c r="O75" i="39"/>
  <c r="P75" i="39" s="1"/>
  <c r="Q75" i="39" s="1"/>
  <c r="O281" i="39"/>
  <c r="P281" i="39" s="1"/>
  <c r="Q281" i="39" s="1"/>
  <c r="O190" i="39"/>
  <c r="P190" i="39" s="1"/>
  <c r="Q190" i="39" s="1"/>
  <c r="O251" i="39"/>
  <c r="P251" i="39" s="1"/>
  <c r="Q251" i="39" s="1"/>
  <c r="O17" i="39"/>
  <c r="P17" i="39" s="1"/>
  <c r="Q17" i="39" s="1"/>
  <c r="O250" i="39"/>
  <c r="P250" i="39" s="1"/>
  <c r="Q250" i="39" s="1"/>
  <c r="O114" i="39"/>
  <c r="P114" i="39" s="1"/>
  <c r="Q114" i="39" s="1"/>
  <c r="O126" i="39"/>
  <c r="P126" i="39" s="1"/>
  <c r="Q126" i="39" s="1"/>
  <c r="O177" i="39"/>
  <c r="P177" i="39" s="1"/>
  <c r="Q177" i="39" s="1"/>
  <c r="O51" i="39"/>
  <c r="P51" i="39" s="1"/>
  <c r="Q51" i="39" s="1"/>
  <c r="O115" i="39"/>
  <c r="P115" i="39" s="1"/>
  <c r="Q115" i="39" s="1"/>
  <c r="O185" i="39"/>
  <c r="P185" i="39" s="1"/>
  <c r="Q185" i="39" s="1"/>
  <c r="O174" i="39"/>
  <c r="P174" i="39" s="1"/>
  <c r="Q174" i="39" s="1"/>
  <c r="O155" i="39"/>
  <c r="P155" i="39" s="1"/>
  <c r="Q155" i="39" s="1"/>
  <c r="O145" i="39"/>
  <c r="P145" i="39" s="1"/>
  <c r="Q145" i="39" s="1"/>
  <c r="O31" i="39"/>
  <c r="P31" i="39" s="1"/>
  <c r="Q31" i="39" s="1"/>
  <c r="O205" i="39"/>
  <c r="P205" i="39" s="1"/>
  <c r="Q205" i="39" s="1"/>
  <c r="O283" i="39"/>
  <c r="P283" i="39" s="1"/>
  <c r="Q283" i="39" s="1"/>
  <c r="O287" i="39"/>
  <c r="P287" i="39" s="1"/>
  <c r="Q287" i="39" s="1"/>
  <c r="O98" i="39"/>
  <c r="P98" i="39" s="1"/>
  <c r="Q98" i="39" s="1"/>
  <c r="O228" i="39"/>
  <c r="P228" i="39" s="1"/>
  <c r="Q228" i="39" s="1"/>
  <c r="O266" i="39"/>
  <c r="P266" i="39" s="1"/>
  <c r="Q266" i="39" s="1"/>
  <c r="O71" i="39"/>
  <c r="P71" i="39" s="1"/>
  <c r="Q71" i="39" s="1"/>
  <c r="O150" i="39"/>
  <c r="P150" i="39" s="1"/>
  <c r="Q150" i="39" s="1"/>
  <c r="O47" i="39"/>
  <c r="P47" i="39" s="1"/>
  <c r="Q47" i="39" s="1"/>
  <c r="O305" i="39"/>
  <c r="P305" i="39" s="1"/>
  <c r="Q305" i="39" s="1"/>
  <c r="O280" i="39"/>
  <c r="P280" i="39" s="1"/>
  <c r="Q280" i="39" s="1"/>
  <c r="O204" i="39"/>
  <c r="P204" i="39" s="1"/>
  <c r="Q204" i="39" s="1"/>
  <c r="O86" i="39"/>
  <c r="P86" i="39" s="1"/>
  <c r="Q86" i="39" s="1"/>
  <c r="O56" i="39"/>
  <c r="P56" i="39" s="1"/>
  <c r="Q56" i="39" s="1"/>
  <c r="O116" i="39"/>
  <c r="P116" i="39" s="1"/>
  <c r="Q116" i="39" s="1"/>
  <c r="O131" i="39"/>
  <c r="P131" i="39" s="1"/>
  <c r="Q131" i="39" s="1"/>
  <c r="O68" i="39"/>
  <c r="P68" i="39" s="1"/>
  <c r="Q68" i="39" s="1"/>
  <c r="O255" i="39"/>
  <c r="P255" i="39" s="1"/>
  <c r="Q255" i="39" s="1"/>
  <c r="O57" i="39"/>
  <c r="P57" i="39" s="1"/>
  <c r="Q57" i="39" s="1"/>
  <c r="O59" i="39"/>
  <c r="P59" i="39" s="1"/>
  <c r="Q59" i="39" s="1"/>
  <c r="O13" i="39"/>
  <c r="P13" i="39" s="1"/>
  <c r="Q13" i="39" s="1"/>
  <c r="O6" i="39"/>
  <c r="P6" i="39" s="1"/>
  <c r="Q6" i="39" s="1"/>
  <c r="O121" i="39"/>
  <c r="P121" i="39" s="1"/>
  <c r="Q121" i="39" s="1"/>
  <c r="O285" i="39"/>
  <c r="P285" i="39" s="1"/>
  <c r="Q285" i="39" s="1"/>
  <c r="O169" i="39"/>
  <c r="P169" i="39" s="1"/>
  <c r="Q169" i="39" s="1"/>
  <c r="O67" i="39"/>
  <c r="P67" i="39" s="1"/>
  <c r="Q67" i="39" s="1"/>
  <c r="O202" i="39"/>
  <c r="P202" i="39" s="1"/>
  <c r="Q202" i="39" s="1"/>
  <c r="O138" i="39"/>
  <c r="P138" i="39" s="1"/>
  <c r="Q138" i="39" s="1"/>
  <c r="O302" i="39"/>
  <c r="P302" i="39" s="1"/>
  <c r="Q302" i="39" s="1"/>
  <c r="O112" i="39"/>
  <c r="P112" i="39" s="1"/>
  <c r="Q112" i="39" s="1"/>
  <c r="O214" i="39"/>
  <c r="P214" i="39" s="1"/>
  <c r="Q214" i="39" s="1"/>
  <c r="O43" i="39"/>
  <c r="P43" i="39" s="1"/>
  <c r="Q43" i="39" s="1"/>
  <c r="O252" i="39"/>
  <c r="P252" i="39" s="1"/>
  <c r="Q252" i="39" s="1"/>
  <c r="O231" i="39"/>
  <c r="P231" i="39" s="1"/>
  <c r="Q231" i="39" s="1"/>
  <c r="O284" i="39"/>
  <c r="P284" i="39" s="1"/>
  <c r="Q284" i="39" s="1"/>
  <c r="O175" i="39"/>
  <c r="P175" i="39" s="1"/>
  <c r="Q175" i="39" s="1"/>
  <c r="O94" i="39"/>
  <c r="P94" i="39" s="1"/>
  <c r="Q94" i="39" s="1"/>
  <c r="O216" i="39"/>
  <c r="P216" i="39" s="1"/>
  <c r="Q216" i="39" s="1"/>
  <c r="O258" i="39"/>
  <c r="P258" i="39" s="1"/>
  <c r="Q258" i="39" s="1"/>
  <c r="O123" i="39"/>
  <c r="P123" i="39" s="1"/>
  <c r="Q123" i="39" s="1"/>
  <c r="O10" i="39"/>
  <c r="P10" i="39" s="1"/>
  <c r="Q10" i="39" s="1"/>
  <c r="O299" i="39"/>
  <c r="P299" i="39" s="1"/>
  <c r="Q299" i="39" s="1"/>
  <c r="O198" i="39"/>
  <c r="P198" i="39" s="1"/>
  <c r="Q198" i="39" s="1"/>
  <c r="O69" i="39"/>
  <c r="P69" i="39" s="1"/>
  <c r="Q69" i="39" s="1"/>
  <c r="O217" i="39"/>
  <c r="P217" i="39" s="1"/>
  <c r="Q217" i="39" s="1"/>
  <c r="O77" i="39"/>
  <c r="P77" i="39" s="1"/>
  <c r="Q77" i="39" s="1"/>
  <c r="O89" i="39"/>
  <c r="P89" i="39" s="1"/>
  <c r="Q89" i="39" s="1"/>
  <c r="O264" i="39"/>
  <c r="P264" i="39" s="1"/>
  <c r="Q264" i="39" s="1"/>
  <c r="O267" i="39"/>
  <c r="P267" i="39" s="1"/>
  <c r="Q267" i="39" s="1"/>
  <c r="O219" i="39"/>
  <c r="P219" i="39" s="1"/>
  <c r="Q219" i="39" s="1"/>
  <c r="O295" i="39"/>
  <c r="P295" i="39" s="1"/>
  <c r="Q295" i="39" s="1"/>
  <c r="O245" i="39"/>
  <c r="P245" i="39" s="1"/>
  <c r="Q245" i="39" s="1"/>
  <c r="O276" i="39"/>
  <c r="P276" i="39" s="1"/>
  <c r="Q276" i="39" s="1"/>
  <c r="O259" i="39"/>
  <c r="P259" i="39" s="1"/>
  <c r="Q259" i="39" s="1"/>
  <c r="O132" i="39"/>
  <c r="P132" i="39" s="1"/>
  <c r="Q132" i="39" s="1"/>
  <c r="O120" i="39"/>
  <c r="P120" i="39" s="1"/>
  <c r="Q120" i="39" s="1"/>
  <c r="O109" i="39"/>
  <c r="P109" i="39" s="1"/>
  <c r="Q109" i="39" s="1"/>
  <c r="O137" i="39"/>
  <c r="P137" i="39" s="1"/>
  <c r="Q137" i="39" s="1"/>
  <c r="O223" i="39"/>
  <c r="P223" i="39" s="1"/>
  <c r="Q223" i="39" s="1"/>
  <c r="O242" i="39"/>
  <c r="P242" i="39" s="1"/>
  <c r="Q242" i="39" s="1"/>
  <c r="O62" i="39"/>
  <c r="P62" i="39" s="1"/>
  <c r="Q62" i="39" s="1"/>
  <c r="O153" i="39"/>
  <c r="P153" i="39" s="1"/>
  <c r="Q153" i="39" s="1"/>
  <c r="O16" i="39"/>
  <c r="P16" i="39" s="1"/>
  <c r="Q16" i="39" s="1"/>
  <c r="O128" i="39"/>
  <c r="P128" i="39" s="1"/>
  <c r="Q128" i="39" s="1"/>
  <c r="O189" i="39"/>
  <c r="P189" i="39" s="1"/>
  <c r="Q189" i="39" s="1"/>
  <c r="O309" i="39"/>
  <c r="P309" i="39" s="1"/>
  <c r="Q309" i="39" s="1"/>
  <c r="O111" i="39"/>
  <c r="P111" i="39" s="1"/>
  <c r="Q111" i="39" s="1"/>
  <c r="O265" i="39"/>
  <c r="P265" i="39" s="1"/>
  <c r="Q265" i="39" s="1"/>
  <c r="O134" i="39"/>
  <c r="P134" i="39" s="1"/>
  <c r="Q134" i="39" s="1"/>
  <c r="O173" i="39"/>
  <c r="P173" i="39" s="1"/>
  <c r="Q173" i="39" s="1"/>
  <c r="O262" i="39"/>
  <c r="P262" i="39" s="1"/>
  <c r="Q262" i="39" s="1"/>
  <c r="O269" i="39"/>
  <c r="P269" i="39" s="1"/>
  <c r="Q269" i="39" s="1"/>
  <c r="O21" i="39"/>
  <c r="P21" i="39" s="1"/>
  <c r="Q21" i="39" s="1"/>
  <c r="O170" i="39"/>
  <c r="P170" i="39" s="1"/>
  <c r="Q170" i="39" s="1"/>
  <c r="O23" i="39"/>
  <c r="P23" i="39" s="1"/>
  <c r="Q23" i="39" s="1"/>
  <c r="O125" i="39"/>
  <c r="P125" i="39" s="1"/>
  <c r="Q125" i="39" s="1"/>
  <c r="O53" i="39"/>
  <c r="P53" i="39" s="1"/>
  <c r="Q53" i="39" s="1"/>
  <c r="O18" i="39"/>
  <c r="P18" i="39" s="1"/>
  <c r="Q18" i="39" s="1"/>
  <c r="O130" i="39"/>
  <c r="P130" i="39" s="1"/>
  <c r="Q130" i="39" s="1"/>
  <c r="O79" i="39"/>
  <c r="P79" i="39" s="1"/>
  <c r="Q79" i="39" s="1"/>
  <c r="O184" i="39"/>
  <c r="P184" i="39" s="1"/>
  <c r="Q184" i="39" s="1"/>
  <c r="O237" i="39"/>
  <c r="P237" i="39" s="1"/>
  <c r="Q237" i="39" s="1"/>
  <c r="O113" i="39"/>
  <c r="P113" i="39" s="1"/>
  <c r="Q113" i="39" s="1"/>
  <c r="O41" i="39"/>
  <c r="P41" i="39" s="1"/>
  <c r="Q41" i="39" s="1"/>
  <c r="O300" i="39"/>
  <c r="P300" i="39" s="1"/>
  <c r="Q300" i="39" s="1"/>
  <c r="O176" i="39"/>
  <c r="P176" i="39" s="1"/>
  <c r="Q176" i="39" s="1"/>
  <c r="O63" i="39"/>
  <c r="P63" i="39" s="1"/>
  <c r="Q63" i="39" s="1"/>
  <c r="O103" i="39"/>
  <c r="P103" i="39" s="1"/>
  <c r="Q103" i="39" s="1"/>
  <c r="O65" i="39"/>
  <c r="P65" i="39" s="1"/>
  <c r="Q65" i="39" s="1"/>
  <c r="O182" i="39"/>
  <c r="P182" i="39" s="1"/>
  <c r="Q182" i="39" s="1"/>
  <c r="O30" i="39"/>
  <c r="P30" i="39" s="1"/>
  <c r="Q30" i="39" s="1"/>
  <c r="O279" i="39"/>
  <c r="P279" i="39" s="1"/>
  <c r="Q279" i="39" s="1"/>
  <c r="O240" i="39"/>
  <c r="P240" i="39" s="1"/>
  <c r="Q240" i="39" s="1"/>
  <c r="O154" i="39"/>
  <c r="P154" i="39" s="1"/>
  <c r="Q154" i="39" s="1"/>
  <c r="O210" i="39"/>
  <c r="P210" i="39" s="1"/>
  <c r="Q210" i="39" s="1"/>
  <c r="O50" i="39"/>
  <c r="P50" i="39" s="1"/>
  <c r="Q50" i="39" s="1"/>
  <c r="O22" i="39"/>
  <c r="P22" i="39" s="1"/>
  <c r="Q22" i="39" s="1"/>
  <c r="O101" i="39"/>
  <c r="P101" i="39" s="1"/>
  <c r="Q101" i="39" s="1"/>
  <c r="O106" i="39"/>
  <c r="P106" i="39" s="1"/>
  <c r="Q106" i="39" s="1"/>
  <c r="O142" i="39"/>
  <c r="P142" i="39" s="1"/>
  <c r="Q142" i="39" s="1"/>
  <c r="O194" i="39"/>
  <c r="P194" i="39" s="1"/>
  <c r="Q194" i="39" s="1"/>
  <c r="O95" i="39"/>
  <c r="P95" i="39" s="1"/>
  <c r="Q95" i="39" s="1"/>
  <c r="O224" i="39"/>
  <c r="P224" i="39" s="1"/>
  <c r="Q224" i="39" s="1"/>
  <c r="O90" i="39"/>
  <c r="P90" i="39" s="1"/>
  <c r="Q90" i="39" s="1"/>
  <c r="O160" i="39"/>
  <c r="P160" i="39" s="1"/>
  <c r="Q160" i="39" s="1"/>
  <c r="O32" i="39"/>
  <c r="P32" i="39" s="1"/>
  <c r="Q32" i="39" s="1"/>
  <c r="O247" i="39"/>
  <c r="P247" i="39" s="1"/>
  <c r="Q247" i="39" s="1"/>
  <c r="O191" i="39"/>
  <c r="P191" i="39" s="1"/>
  <c r="Q191" i="39" s="1"/>
  <c r="O261" i="39"/>
  <c r="P261" i="39" s="1"/>
  <c r="Q261" i="39" s="1"/>
  <c r="O272" i="39"/>
  <c r="P272" i="39" s="1"/>
  <c r="Q272" i="39" s="1"/>
  <c r="O167" i="39"/>
  <c r="P167" i="39" s="1"/>
  <c r="Q167" i="39" s="1"/>
  <c r="O222" i="39"/>
  <c r="P222" i="39" s="1"/>
  <c r="Q222" i="39" s="1"/>
  <c r="O257" i="39"/>
  <c r="P257" i="39" s="1"/>
  <c r="Q257" i="39" s="1"/>
  <c r="O162" i="39"/>
  <c r="P162" i="39" s="1"/>
  <c r="Q162" i="39" s="1"/>
  <c r="O80" i="39"/>
  <c r="P80" i="39" s="1"/>
  <c r="Q80" i="39" s="1"/>
  <c r="O181" i="39"/>
  <c r="P181" i="39" s="1"/>
  <c r="Q181" i="39" s="1"/>
  <c r="O200" i="39"/>
  <c r="P200" i="39" s="1"/>
  <c r="Q200" i="39" s="1"/>
  <c r="O293" i="39"/>
  <c r="P293" i="39" s="1"/>
  <c r="Q293" i="39" s="1"/>
  <c r="O100" i="39"/>
  <c r="P100" i="39" s="1"/>
  <c r="Q100" i="39" s="1"/>
  <c r="O124" i="39"/>
  <c r="P124" i="39" s="1"/>
  <c r="Q124" i="39" s="1"/>
  <c r="O270" i="39"/>
  <c r="P270" i="39" s="1"/>
  <c r="Q270" i="39" s="1"/>
  <c r="O238" i="39"/>
  <c r="P238" i="39" s="1"/>
  <c r="Q238" i="39" s="1"/>
  <c r="O85" i="39"/>
  <c r="P85" i="39" s="1"/>
  <c r="Q85" i="39" s="1"/>
  <c r="O311" i="39"/>
  <c r="P311" i="39" s="1"/>
  <c r="Q311" i="39" s="1"/>
  <c r="O104" i="39"/>
  <c r="P104" i="39" s="1"/>
  <c r="Q104" i="39" s="1"/>
  <c r="O233" i="39"/>
  <c r="P233" i="39" s="1"/>
  <c r="Q233" i="39" s="1"/>
  <c r="O42" i="39"/>
  <c r="P42" i="39" s="1"/>
  <c r="Q42" i="39" s="1"/>
  <c r="O241" i="39"/>
  <c r="P241" i="39" s="1"/>
  <c r="Q241" i="39" s="1"/>
  <c r="O14" i="39"/>
  <c r="P14" i="39" s="1"/>
  <c r="Q14" i="39" s="1"/>
  <c r="O187" i="39"/>
  <c r="P187" i="39" s="1"/>
  <c r="Q187" i="39" s="1"/>
  <c r="O54" i="39"/>
  <c r="P54" i="39" s="1"/>
  <c r="Q54" i="39" s="1"/>
  <c r="O149" i="39"/>
  <c r="P149" i="39" s="1"/>
  <c r="Q149" i="39" s="1"/>
  <c r="O289" i="39"/>
  <c r="P289" i="39" s="1"/>
  <c r="Q289" i="39" s="1"/>
  <c r="O26" i="39"/>
  <c r="P26" i="39" s="1"/>
  <c r="Q26" i="39" s="1"/>
  <c r="O196" i="39"/>
  <c r="P196" i="39" s="1"/>
  <c r="Q196" i="39" s="1"/>
  <c r="O29" i="39"/>
  <c r="P29" i="39" s="1"/>
  <c r="Q29" i="39" s="1"/>
  <c r="O161" i="39"/>
  <c r="P161" i="39" s="1"/>
  <c r="Q161" i="39" s="1"/>
  <c r="O119" i="39"/>
  <c r="P119" i="39" s="1"/>
  <c r="Q119" i="39" s="1"/>
  <c r="O298" i="39"/>
  <c r="P298" i="39" s="1"/>
  <c r="Q298" i="39" s="1"/>
  <c r="O277" i="39"/>
  <c r="P277" i="39" s="1"/>
  <c r="Q277" i="39" s="1"/>
  <c r="O180" i="39"/>
  <c r="P180" i="39" s="1"/>
  <c r="Q180" i="39" s="1"/>
  <c r="O93" i="39"/>
  <c r="P93" i="39" s="1"/>
  <c r="Q93" i="39" s="1"/>
  <c r="O127" i="39"/>
  <c r="P127" i="39" s="1"/>
  <c r="Q127" i="39" s="1"/>
  <c r="O207" i="39"/>
  <c r="P207" i="39" s="1"/>
  <c r="Q207" i="39" s="1"/>
  <c r="O197" i="39"/>
  <c r="P197" i="39" s="1"/>
  <c r="Q197" i="39" s="1"/>
  <c r="O226" i="39"/>
  <c r="P226" i="39" s="1"/>
  <c r="Q226" i="39" s="1"/>
  <c r="O25" i="39"/>
  <c r="P25" i="39" s="1"/>
  <c r="Q25" i="39" s="1"/>
  <c r="O76" i="39"/>
  <c r="P76" i="39" s="1"/>
  <c r="Q76" i="39" s="1"/>
  <c r="O66" i="39"/>
  <c r="P66" i="39" s="1"/>
  <c r="Q66" i="39" s="1"/>
  <c r="O60" i="39"/>
  <c r="P60" i="39" s="1"/>
  <c r="Q60" i="39" s="1"/>
  <c r="O19" i="39"/>
  <c r="P19" i="39" s="1"/>
  <c r="Q19" i="39" s="1"/>
  <c r="O218" i="39"/>
  <c r="P218" i="39" s="1"/>
  <c r="Q218" i="39" s="1"/>
  <c r="O193" i="39"/>
  <c r="P193" i="39" s="1"/>
  <c r="Q193" i="39" s="1"/>
  <c r="O220" i="39"/>
  <c r="P220" i="39" s="1"/>
  <c r="Q220" i="39" s="1"/>
  <c r="O296" i="39"/>
  <c r="P296" i="39" s="1"/>
  <c r="Q296" i="39" s="1"/>
  <c r="O52" i="39"/>
  <c r="P52" i="39" s="1"/>
  <c r="Q52" i="39" s="1"/>
  <c r="O97" i="39"/>
  <c r="P97" i="39" s="1"/>
  <c r="Q97" i="39" s="1"/>
  <c r="O48" i="39"/>
  <c r="P48" i="39" s="1"/>
  <c r="Q48" i="39" s="1"/>
  <c r="O110" i="39"/>
  <c r="P110" i="39" s="1"/>
  <c r="Q110" i="39" s="1"/>
  <c r="O195" i="39"/>
  <c r="P195" i="39" s="1"/>
  <c r="Q195" i="39" s="1"/>
  <c r="O263" i="39"/>
  <c r="P263" i="39" s="1"/>
  <c r="Q263" i="39" s="1"/>
  <c r="O206" i="39"/>
  <c r="P206" i="39" s="1"/>
  <c r="Q206" i="39" s="1"/>
  <c r="O7" i="39"/>
  <c r="P7" i="39" s="1"/>
  <c r="Q7" i="39" s="1"/>
  <c r="O117" i="39"/>
  <c r="P117" i="39" s="1"/>
  <c r="Q117" i="39" s="1"/>
  <c r="O151" i="39"/>
  <c r="P151" i="39" s="1"/>
  <c r="Q151" i="39" s="1"/>
  <c r="O24" i="39"/>
  <c r="P24" i="39" s="1"/>
  <c r="Q24" i="39" s="1"/>
  <c r="O5" i="39"/>
  <c r="P5" i="39" s="1"/>
  <c r="Q5" i="39" s="1"/>
  <c r="O308" i="39"/>
  <c r="P308" i="39" s="1"/>
  <c r="Q308" i="39" s="1"/>
  <c r="O70" i="39"/>
  <c r="P70" i="39" s="1"/>
  <c r="Q70" i="39" s="1"/>
  <c r="O256" i="39"/>
  <c r="P256" i="39" s="1"/>
  <c r="Q256" i="39" s="1"/>
  <c r="O229" i="39"/>
  <c r="P229" i="39" s="1"/>
  <c r="Q229" i="39" s="1"/>
  <c r="O88" i="39"/>
  <c r="P88" i="39" s="1"/>
  <c r="Q88" i="39" s="1"/>
  <c r="O9" i="39"/>
  <c r="P9" i="39" s="1"/>
  <c r="Q9" i="39" s="1"/>
  <c r="O163" i="39"/>
  <c r="P163" i="39" s="1"/>
  <c r="Q163" i="39" s="1"/>
  <c r="O129" i="39"/>
  <c r="P129" i="39" s="1"/>
  <c r="Q129" i="39" s="1"/>
  <c r="O278" i="39"/>
  <c r="P278" i="39" s="1"/>
  <c r="Q278" i="39" s="1"/>
  <c r="O11" i="39"/>
  <c r="P11" i="39" s="1"/>
  <c r="Q11" i="39" s="1"/>
  <c r="O74" i="39"/>
  <c r="P74" i="39" s="1"/>
  <c r="Q74" i="39" s="1"/>
  <c r="O27" i="39"/>
  <c r="P27" i="39" s="1"/>
  <c r="Q27" i="39" s="1"/>
  <c r="O291" i="39"/>
  <c r="P291" i="39" s="1"/>
  <c r="Q291" i="39" s="1"/>
  <c r="O4" i="39"/>
  <c r="O45" i="38"/>
  <c r="P45" i="38" s="1"/>
  <c r="Q45" i="38" s="1"/>
  <c r="O102" i="38"/>
  <c r="P102" i="38" s="1"/>
  <c r="Q102" i="38" s="1"/>
  <c r="O108" i="38"/>
  <c r="P108" i="38" s="1"/>
  <c r="Q108" i="38" s="1"/>
  <c r="O28" i="38"/>
  <c r="P28" i="38" s="1"/>
  <c r="Q28" i="38" s="1"/>
  <c r="O36" i="38"/>
  <c r="P36" i="38" s="1"/>
  <c r="Q36" i="38" s="1"/>
  <c r="O280" i="38"/>
  <c r="P280" i="38" s="1"/>
  <c r="Q280" i="38" s="1"/>
  <c r="O274" i="38"/>
  <c r="P274" i="38" s="1"/>
  <c r="Q274" i="38" s="1"/>
  <c r="O40" i="38"/>
  <c r="P40" i="38" s="1"/>
  <c r="Q40" i="38" s="1"/>
  <c r="O239" i="38"/>
  <c r="P239" i="38" s="1"/>
  <c r="Q239" i="38" s="1"/>
  <c r="O174" i="38"/>
  <c r="P174" i="38" s="1"/>
  <c r="Q174" i="38" s="1"/>
  <c r="O304" i="38"/>
  <c r="P304" i="38" s="1"/>
  <c r="Q304" i="38" s="1"/>
  <c r="O46" i="38"/>
  <c r="P46" i="38" s="1"/>
  <c r="Q46" i="38" s="1"/>
  <c r="O252" i="38"/>
  <c r="P252" i="38" s="1"/>
  <c r="Q252" i="38" s="1"/>
  <c r="O123" i="38"/>
  <c r="P123" i="38" s="1"/>
  <c r="Q123" i="38" s="1"/>
  <c r="O69" i="38"/>
  <c r="P69" i="38" s="1"/>
  <c r="Q69" i="38" s="1"/>
  <c r="O111" i="38"/>
  <c r="P111" i="38" s="1"/>
  <c r="Q111" i="38" s="1"/>
  <c r="O137" i="38"/>
  <c r="P137" i="38" s="1"/>
  <c r="Q137" i="38" s="1"/>
  <c r="O79" i="38"/>
  <c r="P79" i="38" s="1"/>
  <c r="Q79" i="38" s="1"/>
  <c r="O181" i="38"/>
  <c r="P181" i="38" s="1"/>
  <c r="Q181" i="38" s="1"/>
  <c r="O165" i="38"/>
  <c r="P165" i="38" s="1"/>
  <c r="Q165" i="38" s="1"/>
  <c r="O7" i="38"/>
  <c r="P7" i="38" s="1"/>
  <c r="Q7" i="38" s="1"/>
  <c r="O29" i="38"/>
  <c r="P29" i="38" s="1"/>
  <c r="Q29" i="38" s="1"/>
  <c r="O219" i="38"/>
  <c r="P219" i="38" s="1"/>
  <c r="Q219" i="38" s="1"/>
  <c r="O43" i="38"/>
  <c r="P43" i="38" s="1"/>
  <c r="Q43" i="38" s="1"/>
  <c r="O125" i="38"/>
  <c r="P125" i="38" s="1"/>
  <c r="Q125" i="38" s="1"/>
  <c r="O147" i="38"/>
  <c r="P147" i="38" s="1"/>
  <c r="Q147" i="38" s="1"/>
  <c r="O140" i="38"/>
  <c r="P140" i="38" s="1"/>
  <c r="Q140" i="38" s="1"/>
  <c r="O182" i="38"/>
  <c r="P182" i="38" s="1"/>
  <c r="Q182" i="38" s="1"/>
  <c r="O81" i="38"/>
  <c r="P81" i="38" s="1"/>
  <c r="Q81" i="38" s="1"/>
  <c r="O201" i="38"/>
  <c r="P201" i="38" s="1"/>
  <c r="Q201" i="38" s="1"/>
  <c r="O312" i="38"/>
  <c r="P312" i="38" s="1"/>
  <c r="Q312" i="38" s="1"/>
  <c r="O120" i="38"/>
  <c r="P120" i="38" s="1"/>
  <c r="Q120" i="38" s="1"/>
  <c r="O5" i="38"/>
  <c r="P5" i="38" s="1"/>
  <c r="Q5" i="38" s="1"/>
  <c r="O196" i="38"/>
  <c r="P196" i="38" s="1"/>
  <c r="Q196" i="38" s="1"/>
  <c r="O142" i="38"/>
  <c r="P142" i="38" s="1"/>
  <c r="Q142" i="38" s="1"/>
  <c r="O218" i="38"/>
  <c r="P218" i="38" s="1"/>
  <c r="Q218" i="38" s="1"/>
  <c r="O245" i="38"/>
  <c r="P245" i="38" s="1"/>
  <c r="Q245" i="38" s="1"/>
  <c r="O9" i="38"/>
  <c r="P9" i="38" s="1"/>
  <c r="Q9" i="38" s="1"/>
  <c r="O71" i="38"/>
  <c r="P71" i="38" s="1"/>
  <c r="Q71" i="38" s="1"/>
  <c r="O149" i="38"/>
  <c r="P149" i="38" s="1"/>
  <c r="Q149" i="38" s="1"/>
  <c r="O31" i="38"/>
  <c r="P31" i="38" s="1"/>
  <c r="Q31" i="38" s="1"/>
  <c r="O114" i="38"/>
  <c r="P114" i="38" s="1"/>
  <c r="Q114" i="38" s="1"/>
  <c r="O127" i="38"/>
  <c r="P127" i="38" s="1"/>
  <c r="Q127" i="38" s="1"/>
  <c r="O97" i="38"/>
  <c r="P97" i="38" s="1"/>
  <c r="Q97" i="38" s="1"/>
  <c r="O42" i="38"/>
  <c r="P42" i="38" s="1"/>
  <c r="Q42" i="38" s="1"/>
  <c r="O195" i="38"/>
  <c r="P195" i="38" s="1"/>
  <c r="Q195" i="38" s="1"/>
  <c r="O106" i="38"/>
  <c r="P106" i="38" s="1"/>
  <c r="Q106" i="38" s="1"/>
  <c r="O253" i="38"/>
  <c r="P253" i="38" s="1"/>
  <c r="Q253" i="38" s="1"/>
  <c r="O211" i="38"/>
  <c r="P211" i="38" s="1"/>
  <c r="Q211" i="38" s="1"/>
  <c r="O104" i="38"/>
  <c r="P104" i="38" s="1"/>
  <c r="Q104" i="38" s="1"/>
  <c r="O273" i="38"/>
  <c r="P273" i="38" s="1"/>
  <c r="Q273" i="38" s="1"/>
  <c r="O19" i="38"/>
  <c r="P19" i="38" s="1"/>
  <c r="Q19" i="38" s="1"/>
  <c r="O78" i="38"/>
  <c r="P78" i="38" s="1"/>
  <c r="Q78" i="38" s="1"/>
  <c r="O228" i="38"/>
  <c r="P228" i="38" s="1"/>
  <c r="Q228" i="38" s="1"/>
  <c r="O178" i="38"/>
  <c r="P178" i="38" s="1"/>
  <c r="Q178" i="38" s="1"/>
  <c r="O272" i="38"/>
  <c r="P272" i="38" s="1"/>
  <c r="Q272" i="38" s="1"/>
  <c r="O112" i="38"/>
  <c r="P112" i="38" s="1"/>
  <c r="Q112" i="38" s="1"/>
  <c r="O208" i="38"/>
  <c r="P208" i="38" s="1"/>
  <c r="Q208" i="38" s="1"/>
  <c r="O226" i="38"/>
  <c r="P226" i="38" s="1"/>
  <c r="Q226" i="38" s="1"/>
  <c r="O16" i="38"/>
  <c r="P16" i="38" s="1"/>
  <c r="Q16" i="38" s="1"/>
  <c r="O138" i="38"/>
  <c r="P138" i="38" s="1"/>
  <c r="Q138" i="38" s="1"/>
  <c r="O82" i="38"/>
  <c r="P82" i="38" s="1"/>
  <c r="Q82" i="38" s="1"/>
  <c r="O233" i="38"/>
  <c r="P233" i="38" s="1"/>
  <c r="Q233" i="38" s="1"/>
  <c r="O298" i="38"/>
  <c r="P298" i="38" s="1"/>
  <c r="Q298" i="38" s="1"/>
  <c r="O270" i="38"/>
  <c r="P270" i="38" s="1"/>
  <c r="Q270" i="38" s="1"/>
  <c r="O295" i="38"/>
  <c r="P295" i="38" s="1"/>
  <c r="Q295" i="38" s="1"/>
  <c r="O115" i="38"/>
  <c r="P115" i="38" s="1"/>
  <c r="Q115" i="38" s="1"/>
  <c r="O242" i="38"/>
  <c r="P242" i="38" s="1"/>
  <c r="Q242" i="38" s="1"/>
  <c r="O96" i="38"/>
  <c r="P96" i="38" s="1"/>
  <c r="Q96" i="38" s="1"/>
  <c r="O155" i="38"/>
  <c r="P155" i="38" s="1"/>
  <c r="Q155" i="38" s="1"/>
  <c r="O197" i="38"/>
  <c r="P197" i="38" s="1"/>
  <c r="Q197" i="38" s="1"/>
  <c r="O130" i="38"/>
  <c r="P130" i="38" s="1"/>
  <c r="Q130" i="38" s="1"/>
  <c r="O160" i="38"/>
  <c r="P160" i="38" s="1"/>
  <c r="Q160" i="38" s="1"/>
  <c r="O289" i="38"/>
  <c r="P289" i="38" s="1"/>
  <c r="Q289" i="38" s="1"/>
  <c r="O84" i="38"/>
  <c r="P84" i="38" s="1"/>
  <c r="Q84" i="38" s="1"/>
  <c r="O57" i="38"/>
  <c r="P57" i="38" s="1"/>
  <c r="Q57" i="38" s="1"/>
  <c r="O278" i="38"/>
  <c r="P278" i="38" s="1"/>
  <c r="Q278" i="38" s="1"/>
  <c r="O258" i="38"/>
  <c r="P258" i="38" s="1"/>
  <c r="Q258" i="38" s="1"/>
  <c r="O236" i="38"/>
  <c r="P236" i="38" s="1"/>
  <c r="Q236" i="38" s="1"/>
  <c r="O10" i="38"/>
  <c r="P10" i="38" s="1"/>
  <c r="Q10" i="38" s="1"/>
  <c r="O103" i="38"/>
  <c r="P103" i="38" s="1"/>
  <c r="Q103" i="38" s="1"/>
  <c r="O162" i="38"/>
  <c r="P162" i="38" s="1"/>
  <c r="Q162" i="38" s="1"/>
  <c r="O143" i="38"/>
  <c r="P143" i="38" s="1"/>
  <c r="Q143" i="38" s="1"/>
  <c r="O308" i="38"/>
  <c r="P308" i="38" s="1"/>
  <c r="Q308" i="38" s="1"/>
  <c r="O286" i="38"/>
  <c r="P286" i="38" s="1"/>
  <c r="Q286" i="38" s="1"/>
  <c r="O227" i="38"/>
  <c r="P227" i="38" s="1"/>
  <c r="Q227" i="38" s="1"/>
  <c r="O23" i="38"/>
  <c r="P23" i="38" s="1"/>
  <c r="Q23" i="38" s="1"/>
  <c r="O271" i="38"/>
  <c r="P271" i="38" s="1"/>
  <c r="Q271" i="38" s="1"/>
  <c r="O37" i="38"/>
  <c r="P37" i="38" s="1"/>
  <c r="Q37" i="38" s="1"/>
  <c r="O269" i="38"/>
  <c r="P269" i="38" s="1"/>
  <c r="Q269" i="38" s="1"/>
  <c r="O257" i="38"/>
  <c r="P257" i="38" s="1"/>
  <c r="Q257" i="38" s="1"/>
  <c r="O264" i="38"/>
  <c r="P264" i="38" s="1"/>
  <c r="Q264" i="38" s="1"/>
  <c r="O48" i="38"/>
  <c r="P48" i="38" s="1"/>
  <c r="Q48" i="38" s="1"/>
  <c r="O202" i="38"/>
  <c r="P202" i="38" s="1"/>
  <c r="Q202" i="38" s="1"/>
  <c r="O113" i="38"/>
  <c r="P113" i="38" s="1"/>
  <c r="Q113" i="38" s="1"/>
  <c r="O159" i="38"/>
  <c r="P159" i="38" s="1"/>
  <c r="Q159" i="38" s="1"/>
  <c r="O200" i="38"/>
  <c r="P200" i="38" s="1"/>
  <c r="Q200" i="38" s="1"/>
  <c r="O221" i="38"/>
  <c r="P221" i="38" s="1"/>
  <c r="Q221" i="38" s="1"/>
  <c r="O157" i="38"/>
  <c r="P157" i="38" s="1"/>
  <c r="Q157" i="38" s="1"/>
  <c r="O22" i="38"/>
  <c r="P22" i="38" s="1"/>
  <c r="Q22" i="38" s="1"/>
  <c r="O129" i="38"/>
  <c r="P129" i="38" s="1"/>
  <c r="Q129" i="38" s="1"/>
  <c r="O256" i="38"/>
  <c r="P256" i="38" s="1"/>
  <c r="Q256" i="38" s="1"/>
  <c r="O70" i="38"/>
  <c r="P70" i="38" s="1"/>
  <c r="Q70" i="38" s="1"/>
  <c r="O281" i="38"/>
  <c r="P281" i="38" s="1"/>
  <c r="Q281" i="38" s="1"/>
  <c r="O145" i="38"/>
  <c r="P145" i="38" s="1"/>
  <c r="Q145" i="38" s="1"/>
  <c r="O241" i="38"/>
  <c r="P241" i="38" s="1"/>
  <c r="Q241" i="38" s="1"/>
  <c r="O176" i="38"/>
  <c r="P176" i="38" s="1"/>
  <c r="Q176" i="38" s="1"/>
  <c r="O26" i="38"/>
  <c r="P26" i="38" s="1"/>
  <c r="Q26" i="38" s="1"/>
  <c r="O294" i="38"/>
  <c r="P294" i="38" s="1"/>
  <c r="Q294" i="38" s="1"/>
  <c r="O32" i="38"/>
  <c r="P32" i="38" s="1"/>
  <c r="Q32" i="38" s="1"/>
  <c r="O268" i="38"/>
  <c r="P268" i="38" s="1"/>
  <c r="Q268" i="38" s="1"/>
  <c r="O17" i="38"/>
  <c r="P17" i="38" s="1"/>
  <c r="Q17" i="38" s="1"/>
  <c r="O77" i="38"/>
  <c r="P77" i="38" s="1"/>
  <c r="Q77" i="38" s="1"/>
  <c r="O215" i="38"/>
  <c r="P215" i="38" s="1"/>
  <c r="Q215" i="38" s="1"/>
  <c r="O237" i="38"/>
  <c r="P237" i="38" s="1"/>
  <c r="Q237" i="38" s="1"/>
  <c r="O150" i="38"/>
  <c r="P150" i="38" s="1"/>
  <c r="Q150" i="38" s="1"/>
  <c r="O314" i="38"/>
  <c r="P314" i="38" s="1"/>
  <c r="Q314" i="38" s="1"/>
  <c r="O8" i="38"/>
  <c r="P8" i="38" s="1"/>
  <c r="Q8" i="38" s="1"/>
  <c r="O154" i="38"/>
  <c r="P154" i="38" s="1"/>
  <c r="Q154" i="38" s="1"/>
  <c r="O212" i="38"/>
  <c r="P212" i="38" s="1"/>
  <c r="Q212" i="38" s="1"/>
  <c r="O191" i="38"/>
  <c r="P191" i="38" s="1"/>
  <c r="Q191" i="38" s="1"/>
  <c r="O66" i="38"/>
  <c r="P66" i="38" s="1"/>
  <c r="Q66" i="38" s="1"/>
  <c r="O13" i="38"/>
  <c r="P13" i="38" s="1"/>
  <c r="Q13" i="38" s="1"/>
  <c r="O166" i="38"/>
  <c r="P166" i="38" s="1"/>
  <c r="Q166" i="38" s="1"/>
  <c r="O156" i="38"/>
  <c r="P156" i="38" s="1"/>
  <c r="Q156" i="38" s="1"/>
  <c r="O67" i="38"/>
  <c r="P67" i="38" s="1"/>
  <c r="Q67" i="38" s="1"/>
  <c r="O234" i="38"/>
  <c r="P234" i="38" s="1"/>
  <c r="Q234" i="38" s="1"/>
  <c r="O210" i="38"/>
  <c r="P210" i="38" s="1"/>
  <c r="Q210" i="38" s="1"/>
  <c r="O93" i="38"/>
  <c r="P93" i="38" s="1"/>
  <c r="Q93" i="38" s="1"/>
  <c r="O163" i="38"/>
  <c r="P163" i="38" s="1"/>
  <c r="Q163" i="38" s="1"/>
  <c r="O139" i="38"/>
  <c r="P139" i="38" s="1"/>
  <c r="Q139" i="38" s="1"/>
  <c r="O220" i="38"/>
  <c r="P220" i="38" s="1"/>
  <c r="Q220" i="38" s="1"/>
  <c r="O284" i="38"/>
  <c r="P284" i="38" s="1"/>
  <c r="Q284" i="38" s="1"/>
  <c r="O282" i="38"/>
  <c r="P282" i="38" s="1"/>
  <c r="Q282" i="38" s="1"/>
  <c r="O89" i="38"/>
  <c r="P89" i="38" s="1"/>
  <c r="Q89" i="38" s="1"/>
  <c r="O223" i="38"/>
  <c r="P223" i="38" s="1"/>
  <c r="Q223" i="38" s="1"/>
  <c r="O27" i="38"/>
  <c r="P27" i="38" s="1"/>
  <c r="Q27" i="38" s="1"/>
  <c r="O94" i="38"/>
  <c r="P94" i="38" s="1"/>
  <c r="Q94" i="38" s="1"/>
  <c r="O72" i="38"/>
  <c r="P72" i="38" s="1"/>
  <c r="Q72" i="38" s="1"/>
  <c r="O262" i="38"/>
  <c r="P262" i="38" s="1"/>
  <c r="Q262" i="38" s="1"/>
  <c r="O313" i="38"/>
  <c r="P313" i="38" s="1"/>
  <c r="Q313" i="38" s="1"/>
  <c r="O249" i="38"/>
  <c r="P249" i="38" s="1"/>
  <c r="Q249" i="38" s="1"/>
  <c r="O203" i="38"/>
  <c r="P203" i="38" s="1"/>
  <c r="Q203" i="38" s="1"/>
  <c r="O169" i="38"/>
  <c r="P169" i="38" s="1"/>
  <c r="Q169" i="38" s="1"/>
  <c r="O177" i="38"/>
  <c r="P177" i="38" s="1"/>
  <c r="Q177" i="38" s="1"/>
  <c r="O299" i="38"/>
  <c r="P299" i="38" s="1"/>
  <c r="Q299" i="38" s="1"/>
  <c r="O148" i="38"/>
  <c r="P148" i="38" s="1"/>
  <c r="Q148" i="38" s="1"/>
  <c r="O288" i="38"/>
  <c r="P288" i="38" s="1"/>
  <c r="Q288" i="38" s="1"/>
  <c r="O266" i="38"/>
  <c r="P266" i="38" s="1"/>
  <c r="Q266" i="38" s="1"/>
  <c r="O186" i="38"/>
  <c r="P186" i="38" s="1"/>
  <c r="Q186" i="38" s="1"/>
  <c r="O59" i="38"/>
  <c r="P59" i="38" s="1"/>
  <c r="Q59" i="38" s="1"/>
  <c r="O204" i="38"/>
  <c r="P204" i="38" s="1"/>
  <c r="Q204" i="38" s="1"/>
  <c r="O173" i="38"/>
  <c r="P173" i="38" s="1"/>
  <c r="Q173" i="38" s="1"/>
  <c r="O265" i="38"/>
  <c r="P265" i="38" s="1"/>
  <c r="Q265" i="38" s="1"/>
  <c r="O296" i="38"/>
  <c r="P296" i="38" s="1"/>
  <c r="Q296" i="38" s="1"/>
  <c r="O33" i="38"/>
  <c r="P33" i="38" s="1"/>
  <c r="Q33" i="38" s="1"/>
  <c r="O189" i="38"/>
  <c r="P189" i="38" s="1"/>
  <c r="Q189" i="38" s="1"/>
  <c r="O260" i="38"/>
  <c r="P260" i="38" s="1"/>
  <c r="Q260" i="38" s="1"/>
  <c r="O58" i="38"/>
  <c r="P58" i="38" s="1"/>
  <c r="Q58" i="38" s="1"/>
  <c r="O56" i="38"/>
  <c r="P56" i="38" s="1"/>
  <c r="Q56" i="38" s="1"/>
  <c r="O164" i="38"/>
  <c r="P164" i="38" s="1"/>
  <c r="Q164" i="38" s="1"/>
  <c r="O68" i="38"/>
  <c r="P68" i="38" s="1"/>
  <c r="Q68" i="38" s="1"/>
  <c r="O254" i="38"/>
  <c r="P254" i="38" s="1"/>
  <c r="Q254" i="38" s="1"/>
  <c r="O297" i="38"/>
  <c r="P297" i="38" s="1"/>
  <c r="Q297" i="38" s="1"/>
  <c r="O54" i="38"/>
  <c r="P54" i="38" s="1"/>
  <c r="Q54" i="38" s="1"/>
  <c r="O232" i="38"/>
  <c r="P232" i="38" s="1"/>
  <c r="Q232" i="38" s="1"/>
  <c r="O198" i="38"/>
  <c r="P198" i="38" s="1"/>
  <c r="Q198" i="38" s="1"/>
  <c r="O171" i="38"/>
  <c r="P171" i="38" s="1"/>
  <c r="Q171" i="38" s="1"/>
  <c r="O63" i="38"/>
  <c r="P63" i="38" s="1"/>
  <c r="Q63" i="38" s="1"/>
  <c r="O261" i="38"/>
  <c r="P261" i="38" s="1"/>
  <c r="Q261" i="38" s="1"/>
  <c r="O49" i="38"/>
  <c r="P49" i="38" s="1"/>
  <c r="Q49" i="38" s="1"/>
  <c r="O34" i="38"/>
  <c r="P34" i="38" s="1"/>
  <c r="Q34" i="38" s="1"/>
  <c r="O302" i="38"/>
  <c r="P302" i="38" s="1"/>
  <c r="Q302" i="38" s="1"/>
  <c r="O216" i="38"/>
  <c r="P216" i="38" s="1"/>
  <c r="Q216" i="38" s="1"/>
  <c r="O170" i="38"/>
  <c r="P170" i="38" s="1"/>
  <c r="Q170" i="38" s="1"/>
  <c r="O92" i="38"/>
  <c r="P92" i="38" s="1"/>
  <c r="Q92" i="38" s="1"/>
  <c r="O291" i="38"/>
  <c r="P291" i="38" s="1"/>
  <c r="Q291" i="38" s="1"/>
  <c r="O179" i="38"/>
  <c r="P179" i="38" s="1"/>
  <c r="Q179" i="38" s="1"/>
  <c r="O141" i="38"/>
  <c r="P141" i="38" s="1"/>
  <c r="Q141" i="38" s="1"/>
  <c r="O30" i="38"/>
  <c r="P30" i="38" s="1"/>
  <c r="Q30" i="38" s="1"/>
  <c r="O117" i="38"/>
  <c r="P117" i="38" s="1"/>
  <c r="Q117" i="38" s="1"/>
  <c r="O52" i="38"/>
  <c r="P52" i="38" s="1"/>
  <c r="Q52" i="38" s="1"/>
  <c r="O87" i="38"/>
  <c r="P87" i="38" s="1"/>
  <c r="Q87" i="38" s="1"/>
  <c r="O192" i="38"/>
  <c r="P192" i="38" s="1"/>
  <c r="Q192" i="38" s="1"/>
  <c r="O133" i="38"/>
  <c r="P133" i="38" s="1"/>
  <c r="Q133" i="38" s="1"/>
  <c r="O109" i="38"/>
  <c r="P109" i="38" s="1"/>
  <c r="Q109" i="38" s="1"/>
  <c r="O205" i="38"/>
  <c r="P205" i="38" s="1"/>
  <c r="Q205" i="38" s="1"/>
  <c r="O222" i="38"/>
  <c r="P222" i="38" s="1"/>
  <c r="Q222" i="38" s="1"/>
  <c r="O305" i="38"/>
  <c r="P305" i="38" s="1"/>
  <c r="Q305" i="38" s="1"/>
  <c r="O247" i="38"/>
  <c r="P247" i="38" s="1"/>
  <c r="Q247" i="38" s="1"/>
  <c r="O122" i="38"/>
  <c r="P122" i="38" s="1"/>
  <c r="Q122" i="38" s="1"/>
  <c r="O285" i="38"/>
  <c r="P285" i="38" s="1"/>
  <c r="Q285" i="38" s="1"/>
  <c r="O306" i="38"/>
  <c r="P306" i="38" s="1"/>
  <c r="Q306" i="38" s="1"/>
  <c r="O12" i="38"/>
  <c r="P12" i="38" s="1"/>
  <c r="Q12" i="38" s="1"/>
  <c r="O153" i="38"/>
  <c r="P153" i="38" s="1"/>
  <c r="Q153" i="38" s="1"/>
  <c r="O50" i="38"/>
  <c r="P50" i="38" s="1"/>
  <c r="Q50" i="38" s="1"/>
  <c r="O250" i="38"/>
  <c r="P250" i="38" s="1"/>
  <c r="Q250" i="38" s="1"/>
  <c r="O187" i="38"/>
  <c r="P187" i="38" s="1"/>
  <c r="Q187" i="38" s="1"/>
  <c r="O20" i="38"/>
  <c r="P20" i="38" s="1"/>
  <c r="Q20" i="38" s="1"/>
  <c r="O180" i="38"/>
  <c r="P180" i="38" s="1"/>
  <c r="Q180" i="38" s="1"/>
  <c r="O85" i="38"/>
  <c r="P85" i="38" s="1"/>
  <c r="Q85" i="38" s="1"/>
  <c r="O207" i="38"/>
  <c r="P207" i="38" s="1"/>
  <c r="Q207" i="38" s="1"/>
  <c r="O183" i="38"/>
  <c r="P183" i="38" s="1"/>
  <c r="Q183" i="38" s="1"/>
  <c r="O209" i="38"/>
  <c r="P209" i="38" s="1"/>
  <c r="Q209" i="38" s="1"/>
  <c r="O263" i="38"/>
  <c r="P263" i="38" s="1"/>
  <c r="Q263" i="38" s="1"/>
  <c r="O167" i="38"/>
  <c r="P167" i="38" s="1"/>
  <c r="Q167" i="38" s="1"/>
  <c r="O214" i="38"/>
  <c r="P214" i="38" s="1"/>
  <c r="Q214" i="38" s="1"/>
  <c r="O15" i="38"/>
  <c r="P15" i="38" s="1"/>
  <c r="Q15" i="38" s="1"/>
  <c r="O213" i="38"/>
  <c r="P213" i="38" s="1"/>
  <c r="Q213" i="38" s="1"/>
  <c r="O116" i="38"/>
  <c r="P116" i="38" s="1"/>
  <c r="Q116" i="38" s="1"/>
  <c r="O80" i="38"/>
  <c r="P80" i="38" s="1"/>
  <c r="Q80" i="38" s="1"/>
  <c r="O65" i="38"/>
  <c r="P65" i="38" s="1"/>
  <c r="Q65" i="38" s="1"/>
  <c r="O128" i="38"/>
  <c r="P128" i="38" s="1"/>
  <c r="Q128" i="38" s="1"/>
  <c r="O41" i="38"/>
  <c r="P41" i="38" s="1"/>
  <c r="Q41" i="38" s="1"/>
  <c r="O158" i="38"/>
  <c r="P158" i="38" s="1"/>
  <c r="Q158" i="38" s="1"/>
  <c r="O276" i="38"/>
  <c r="P276" i="38" s="1"/>
  <c r="Q276" i="38" s="1"/>
  <c r="O152" i="38"/>
  <c r="P152" i="38" s="1"/>
  <c r="Q152" i="38" s="1"/>
  <c r="O53" i="38"/>
  <c r="P53" i="38" s="1"/>
  <c r="Q53" i="38" s="1"/>
  <c r="O62" i="38"/>
  <c r="P62" i="38" s="1"/>
  <c r="Q62" i="38" s="1"/>
  <c r="O119" i="38"/>
  <c r="P119" i="38" s="1"/>
  <c r="Q119" i="38" s="1"/>
  <c r="O88" i="38"/>
  <c r="P88" i="38" s="1"/>
  <c r="Q88" i="38" s="1"/>
  <c r="O184" i="38"/>
  <c r="P184" i="38" s="1"/>
  <c r="Q184" i="38" s="1"/>
  <c r="O73" i="38"/>
  <c r="P73" i="38" s="1"/>
  <c r="Q73" i="38" s="1"/>
  <c r="O175" i="38"/>
  <c r="P175" i="38" s="1"/>
  <c r="Q175" i="38" s="1"/>
  <c r="O238" i="38"/>
  <c r="P238" i="38" s="1"/>
  <c r="Q238" i="38" s="1"/>
  <c r="O101" i="38"/>
  <c r="P101" i="38" s="1"/>
  <c r="Q101" i="38" s="1"/>
  <c r="O18" i="38"/>
  <c r="P18" i="38" s="1"/>
  <c r="Q18" i="38" s="1"/>
  <c r="O185" i="38"/>
  <c r="P185" i="38" s="1"/>
  <c r="Q185" i="38" s="1"/>
  <c r="O124" i="38"/>
  <c r="P124" i="38" s="1"/>
  <c r="Q124" i="38" s="1"/>
  <c r="O136" i="38"/>
  <c r="P136" i="38" s="1"/>
  <c r="Q136" i="38" s="1"/>
  <c r="O110" i="38"/>
  <c r="P110" i="38" s="1"/>
  <c r="Q110" i="38" s="1"/>
  <c r="O61" i="38"/>
  <c r="P61" i="38" s="1"/>
  <c r="Q61" i="38" s="1"/>
  <c r="O309" i="38"/>
  <c r="P309" i="38" s="1"/>
  <c r="Q309" i="38" s="1"/>
  <c r="O95" i="38"/>
  <c r="P95" i="38" s="1"/>
  <c r="Q95" i="38" s="1"/>
  <c r="O86" i="38"/>
  <c r="P86" i="38" s="1"/>
  <c r="Q86" i="38" s="1"/>
  <c r="O188" i="38"/>
  <c r="P188" i="38" s="1"/>
  <c r="Q188" i="38" s="1"/>
  <c r="O146" i="38"/>
  <c r="P146" i="38" s="1"/>
  <c r="Q146" i="38" s="1"/>
  <c r="O240" i="38"/>
  <c r="P240" i="38" s="1"/>
  <c r="Q240" i="38" s="1"/>
  <c r="O132" i="38"/>
  <c r="P132" i="38" s="1"/>
  <c r="Q132" i="38" s="1"/>
  <c r="O293" i="38"/>
  <c r="P293" i="38" s="1"/>
  <c r="Q293" i="38" s="1"/>
  <c r="O243" i="38"/>
  <c r="P243" i="38" s="1"/>
  <c r="Q243" i="38" s="1"/>
  <c r="O118" i="38"/>
  <c r="P118" i="38" s="1"/>
  <c r="Q118" i="38" s="1"/>
  <c r="O105" i="38"/>
  <c r="P105" i="38" s="1"/>
  <c r="Q105" i="38" s="1"/>
  <c r="O300" i="38"/>
  <c r="P300" i="38" s="1"/>
  <c r="Q300" i="38" s="1"/>
  <c r="O199" i="38"/>
  <c r="P199" i="38" s="1"/>
  <c r="Q199" i="38" s="1"/>
  <c r="O279" i="38"/>
  <c r="P279" i="38" s="1"/>
  <c r="Q279" i="38" s="1"/>
  <c r="O11" i="38"/>
  <c r="P11" i="38" s="1"/>
  <c r="Q11" i="38" s="1"/>
  <c r="O38" i="38"/>
  <c r="P38" i="38" s="1"/>
  <c r="Q38" i="38" s="1"/>
  <c r="O131" i="38"/>
  <c r="P131" i="38" s="1"/>
  <c r="Q131" i="38" s="1"/>
  <c r="O283" i="38"/>
  <c r="P283" i="38" s="1"/>
  <c r="Q283" i="38" s="1"/>
  <c r="O255" i="38"/>
  <c r="P255" i="38" s="1"/>
  <c r="Q255" i="38" s="1"/>
  <c r="O246" i="38"/>
  <c r="P246" i="38" s="1"/>
  <c r="Q246" i="38" s="1"/>
  <c r="O248" i="38"/>
  <c r="P248" i="38" s="1"/>
  <c r="Q248" i="38" s="1"/>
  <c r="O39" i="38"/>
  <c r="P39" i="38" s="1"/>
  <c r="Q39" i="38" s="1"/>
  <c r="O217" i="38"/>
  <c r="P217" i="38" s="1"/>
  <c r="Q217" i="38" s="1"/>
  <c r="O83" i="38"/>
  <c r="P83" i="38" s="1"/>
  <c r="Q83" i="38" s="1"/>
  <c r="O25" i="38"/>
  <c r="P25" i="38" s="1"/>
  <c r="Q25" i="38" s="1"/>
  <c r="O225" i="38"/>
  <c r="P225" i="38" s="1"/>
  <c r="Q225" i="38" s="1"/>
  <c r="O134" i="38"/>
  <c r="P134" i="38" s="1"/>
  <c r="Q134" i="38" s="1"/>
  <c r="O14" i="38"/>
  <c r="P14" i="38" s="1"/>
  <c r="Q14" i="38" s="1"/>
  <c r="O206" i="38"/>
  <c r="P206" i="38" s="1"/>
  <c r="Q206" i="38" s="1"/>
  <c r="O99" i="38"/>
  <c r="P99" i="38" s="1"/>
  <c r="Q99" i="38" s="1"/>
  <c r="O98" i="38"/>
  <c r="P98" i="38" s="1"/>
  <c r="Q98" i="38" s="1"/>
  <c r="O235" i="38"/>
  <c r="P235" i="38" s="1"/>
  <c r="Q235" i="38" s="1"/>
  <c r="O35" i="38"/>
  <c r="P35" i="38" s="1"/>
  <c r="Q35" i="38" s="1"/>
  <c r="O190" i="38"/>
  <c r="P190" i="38" s="1"/>
  <c r="Q190" i="38" s="1"/>
  <c r="O76" i="38"/>
  <c r="P76" i="38" s="1"/>
  <c r="Q76" i="38" s="1"/>
  <c r="O21" i="38"/>
  <c r="P21" i="38" s="1"/>
  <c r="Q21" i="38" s="1"/>
  <c r="O287" i="38"/>
  <c r="P287" i="38" s="1"/>
  <c r="Q287" i="38" s="1"/>
  <c r="O44" i="38"/>
  <c r="P44" i="38" s="1"/>
  <c r="Q44" i="38" s="1"/>
  <c r="O121" i="38"/>
  <c r="P121" i="38" s="1"/>
  <c r="Q121" i="38" s="1"/>
  <c r="O315" i="38"/>
  <c r="P315" i="38" s="1"/>
  <c r="Q315" i="38" s="1"/>
  <c r="O151" i="38"/>
  <c r="P151" i="38" s="1"/>
  <c r="Q151" i="38" s="1"/>
  <c r="O64" i="38"/>
  <c r="P64" i="38" s="1"/>
  <c r="Q64" i="38" s="1"/>
  <c r="O194" i="38"/>
  <c r="P194" i="38" s="1"/>
  <c r="Q194" i="38" s="1"/>
  <c r="O303" i="38"/>
  <c r="P303" i="38" s="1"/>
  <c r="Q303" i="38" s="1"/>
  <c r="O230" i="38"/>
  <c r="P230" i="38" s="1"/>
  <c r="Q230" i="38" s="1"/>
  <c r="O51" i="38"/>
  <c r="P51" i="38" s="1"/>
  <c r="Q51" i="38" s="1"/>
  <c r="O244" i="38"/>
  <c r="P244" i="38" s="1"/>
  <c r="Q244" i="38" s="1"/>
  <c r="O275" i="38"/>
  <c r="P275" i="38" s="1"/>
  <c r="Q275" i="38" s="1"/>
  <c r="O75" i="38"/>
  <c r="P75" i="38" s="1"/>
  <c r="Q75" i="38" s="1"/>
  <c r="O259" i="38"/>
  <c r="P259" i="38" s="1"/>
  <c r="Q259" i="38" s="1"/>
  <c r="O311" i="38"/>
  <c r="P311" i="38" s="1"/>
  <c r="Q311" i="38" s="1"/>
  <c r="O90" i="38"/>
  <c r="P90" i="38" s="1"/>
  <c r="Q90" i="38" s="1"/>
  <c r="O60" i="38"/>
  <c r="P60" i="38" s="1"/>
  <c r="Q60" i="38" s="1"/>
  <c r="O251" i="38"/>
  <c r="P251" i="38" s="1"/>
  <c r="Q251" i="38" s="1"/>
  <c r="O224" i="38"/>
  <c r="P224" i="38" s="1"/>
  <c r="Q224" i="38" s="1"/>
  <c r="O144" i="38"/>
  <c r="P144" i="38" s="1"/>
  <c r="Q144" i="38" s="1"/>
  <c r="O74" i="38"/>
  <c r="P74" i="38" s="1"/>
  <c r="Q74" i="38" s="1"/>
  <c r="O126" i="38"/>
  <c r="P126" i="38" s="1"/>
  <c r="Q126" i="38" s="1"/>
  <c r="O55" i="38"/>
  <c r="P55" i="38" s="1"/>
  <c r="Q55" i="38" s="1"/>
  <c r="O161" i="38"/>
  <c r="P161" i="38" s="1"/>
  <c r="Q161" i="38" s="1"/>
  <c r="O91" i="38"/>
  <c r="P91" i="38" s="1"/>
  <c r="Q91" i="38" s="1"/>
  <c r="O290" i="38"/>
  <c r="P290" i="38" s="1"/>
  <c r="Q290" i="38" s="1"/>
  <c r="O168" i="38"/>
  <c r="P168" i="38" s="1"/>
  <c r="Q168" i="38" s="1"/>
  <c r="O135" i="38"/>
  <c r="P135" i="38" s="1"/>
  <c r="Q135" i="38" s="1"/>
  <c r="O292" i="38"/>
  <c r="P292" i="38" s="1"/>
  <c r="Q292" i="38" s="1"/>
  <c r="O6" i="38"/>
  <c r="P6" i="38" s="1"/>
  <c r="Q6" i="38" s="1"/>
  <c r="O267" i="38"/>
  <c r="P267" i="38" s="1"/>
  <c r="Q267" i="38" s="1"/>
  <c r="O229" i="38"/>
  <c r="P229" i="38" s="1"/>
  <c r="Q229" i="38" s="1"/>
  <c r="O24" i="38"/>
  <c r="P24" i="38" s="1"/>
  <c r="Q24" i="38" s="1"/>
  <c r="O172" i="38"/>
  <c r="P172" i="38" s="1"/>
  <c r="Q172" i="38" s="1"/>
  <c r="O107" i="38"/>
  <c r="P107" i="38" s="1"/>
  <c r="Q107" i="38" s="1"/>
  <c r="O301" i="38"/>
  <c r="P301" i="38" s="1"/>
  <c r="Q301" i="38" s="1"/>
  <c r="O307" i="38"/>
  <c r="P307" i="38" s="1"/>
  <c r="Q307" i="38" s="1"/>
  <c r="O193" i="38"/>
  <c r="P193" i="38" s="1"/>
  <c r="Q193" i="38" s="1"/>
  <c r="O310" i="38"/>
  <c r="P310" i="38" s="1"/>
  <c r="Q310" i="38" s="1"/>
  <c r="O231" i="38"/>
  <c r="P231" i="38" s="1"/>
  <c r="Q231" i="38" s="1"/>
  <c r="O47" i="38"/>
  <c r="P47" i="38" s="1"/>
  <c r="Q47" i="38" s="1"/>
  <c r="O100" i="38"/>
  <c r="P100" i="38" s="1"/>
  <c r="Q100" i="38" s="1"/>
  <c r="O277" i="38"/>
  <c r="P277" i="38" s="1"/>
  <c r="Q277" i="38" s="1"/>
  <c r="O4" i="38"/>
  <c r="O4" i="37"/>
  <c r="O94" i="36"/>
  <c r="P94" i="36" s="1"/>
  <c r="Q94" i="36" s="1"/>
  <c r="O267" i="36"/>
  <c r="P267" i="36" s="1"/>
  <c r="Q267" i="36" s="1"/>
  <c r="O164" i="36"/>
  <c r="P164" i="36" s="1"/>
  <c r="Q164" i="36" s="1"/>
  <c r="O201" i="36"/>
  <c r="P201" i="36" s="1"/>
  <c r="Q201" i="36" s="1"/>
  <c r="O106" i="36"/>
  <c r="P106" i="36" s="1"/>
  <c r="Q106" i="36" s="1"/>
  <c r="O141" i="36"/>
  <c r="P141" i="36" s="1"/>
  <c r="Q141" i="36" s="1"/>
  <c r="O44" i="36"/>
  <c r="P44" i="36" s="1"/>
  <c r="Q44" i="36" s="1"/>
  <c r="O90" i="36"/>
  <c r="P90" i="36" s="1"/>
  <c r="Q90" i="36" s="1"/>
  <c r="O72" i="36"/>
  <c r="P72" i="36" s="1"/>
  <c r="Q72" i="36" s="1"/>
  <c r="O175" i="36"/>
  <c r="P175" i="36" s="1"/>
  <c r="Q175" i="36" s="1"/>
  <c r="O70" i="36"/>
  <c r="P70" i="36" s="1"/>
  <c r="Q70" i="36" s="1"/>
  <c r="O260" i="36"/>
  <c r="P260" i="36" s="1"/>
  <c r="Q260" i="36" s="1"/>
  <c r="O240" i="36"/>
  <c r="P240" i="36" s="1"/>
  <c r="Q240" i="36" s="1"/>
  <c r="O282" i="36"/>
  <c r="P282" i="36" s="1"/>
  <c r="Q282" i="36" s="1"/>
  <c r="O147" i="36"/>
  <c r="P147" i="36" s="1"/>
  <c r="Q147" i="36" s="1"/>
  <c r="O212" i="36"/>
  <c r="P212" i="36" s="1"/>
  <c r="Q212" i="36" s="1"/>
  <c r="O144" i="36"/>
  <c r="P144" i="36" s="1"/>
  <c r="Q144" i="36" s="1"/>
  <c r="O120" i="36"/>
  <c r="P120" i="36" s="1"/>
  <c r="Q120" i="36" s="1"/>
  <c r="O105" i="36"/>
  <c r="P105" i="36" s="1"/>
  <c r="Q105" i="36" s="1"/>
  <c r="O228" i="36"/>
  <c r="P228" i="36" s="1"/>
  <c r="Q228" i="36" s="1"/>
  <c r="O289" i="36"/>
  <c r="P289" i="36" s="1"/>
  <c r="Q289" i="36" s="1"/>
  <c r="O79" i="36"/>
  <c r="P79" i="36" s="1"/>
  <c r="Q79" i="36" s="1"/>
  <c r="O210" i="36"/>
  <c r="P210" i="36" s="1"/>
  <c r="Q210" i="36" s="1"/>
  <c r="O242" i="36"/>
  <c r="P242" i="36" s="1"/>
  <c r="Q242" i="36" s="1"/>
  <c r="O150" i="36"/>
  <c r="P150" i="36" s="1"/>
  <c r="Q150" i="36" s="1"/>
  <c r="O151" i="36"/>
  <c r="P151" i="36" s="1"/>
  <c r="Q151" i="36" s="1"/>
  <c r="O266" i="36"/>
  <c r="P266" i="36" s="1"/>
  <c r="Q266" i="36" s="1"/>
  <c r="O277" i="36"/>
  <c r="P277" i="36" s="1"/>
  <c r="Q277" i="36" s="1"/>
  <c r="O207" i="36"/>
  <c r="P207" i="36" s="1"/>
  <c r="Q207" i="36" s="1"/>
  <c r="O52" i="36"/>
  <c r="P52" i="36" s="1"/>
  <c r="Q52" i="36" s="1"/>
  <c r="O59" i="36"/>
  <c r="P59" i="36" s="1"/>
  <c r="Q59" i="36" s="1"/>
  <c r="O47" i="36"/>
  <c r="P47" i="36" s="1"/>
  <c r="Q47" i="36" s="1"/>
  <c r="O232" i="36"/>
  <c r="P232" i="36" s="1"/>
  <c r="Q232" i="36" s="1"/>
  <c r="O104" i="36"/>
  <c r="P104" i="36" s="1"/>
  <c r="Q104" i="36" s="1"/>
  <c r="O283" i="36"/>
  <c r="P283" i="36" s="1"/>
  <c r="Q283" i="36" s="1"/>
  <c r="O61" i="36"/>
  <c r="P61" i="36" s="1"/>
  <c r="Q61" i="36" s="1"/>
  <c r="O227" i="36"/>
  <c r="P227" i="36" s="1"/>
  <c r="Q227" i="36" s="1"/>
  <c r="O223" i="36"/>
  <c r="P223" i="36" s="1"/>
  <c r="Q223" i="36" s="1"/>
  <c r="O135" i="36"/>
  <c r="P135" i="36" s="1"/>
  <c r="Q135" i="36" s="1"/>
  <c r="O77" i="36"/>
  <c r="P77" i="36" s="1"/>
  <c r="Q77" i="36" s="1"/>
  <c r="O257" i="36"/>
  <c r="P257" i="36" s="1"/>
  <c r="Q257" i="36" s="1"/>
  <c r="O119" i="36"/>
  <c r="P119" i="36" s="1"/>
  <c r="Q119" i="36" s="1"/>
  <c r="O156" i="36"/>
  <c r="P156" i="36" s="1"/>
  <c r="Q156" i="36" s="1"/>
  <c r="O192" i="36"/>
  <c r="P192" i="36" s="1"/>
  <c r="Q192" i="36" s="1"/>
  <c r="O127" i="36"/>
  <c r="P127" i="36" s="1"/>
  <c r="Q127" i="36" s="1"/>
  <c r="O315" i="36"/>
  <c r="P315" i="36" s="1"/>
  <c r="Q315" i="36" s="1"/>
  <c r="O24" i="36"/>
  <c r="P24" i="36" s="1"/>
  <c r="Q24" i="36" s="1"/>
  <c r="O18" i="36"/>
  <c r="P18" i="36" s="1"/>
  <c r="Q18" i="36" s="1"/>
  <c r="O63" i="36"/>
  <c r="P63" i="36" s="1"/>
  <c r="Q63" i="36" s="1"/>
  <c r="O197" i="36"/>
  <c r="P197" i="36" s="1"/>
  <c r="Q197" i="36" s="1"/>
  <c r="O140" i="36"/>
  <c r="P140" i="36" s="1"/>
  <c r="Q140" i="36" s="1"/>
  <c r="O20" i="36"/>
  <c r="P20" i="36" s="1"/>
  <c r="Q20" i="36" s="1"/>
  <c r="O264" i="36"/>
  <c r="P264" i="36" s="1"/>
  <c r="Q264" i="36" s="1"/>
  <c r="O310" i="36"/>
  <c r="P310" i="36" s="1"/>
  <c r="Q310" i="36" s="1"/>
  <c r="O121" i="36"/>
  <c r="P121" i="36" s="1"/>
  <c r="Q121" i="36" s="1"/>
  <c r="O272" i="36"/>
  <c r="P272" i="36" s="1"/>
  <c r="Q272" i="36" s="1"/>
  <c r="O258" i="36"/>
  <c r="P258" i="36" s="1"/>
  <c r="Q258" i="36" s="1"/>
  <c r="O249" i="36"/>
  <c r="P249" i="36" s="1"/>
  <c r="Q249" i="36" s="1"/>
  <c r="O35" i="36"/>
  <c r="P35" i="36" s="1"/>
  <c r="Q35" i="36" s="1"/>
  <c r="O203" i="36"/>
  <c r="P203" i="36" s="1"/>
  <c r="Q203" i="36" s="1"/>
  <c r="O146" i="36"/>
  <c r="P146" i="36" s="1"/>
  <c r="Q146" i="36" s="1"/>
  <c r="O281" i="36"/>
  <c r="P281" i="36" s="1"/>
  <c r="Q281" i="36" s="1"/>
  <c r="O109" i="36"/>
  <c r="P109" i="36" s="1"/>
  <c r="Q109" i="36" s="1"/>
  <c r="O174" i="36"/>
  <c r="P174" i="36" s="1"/>
  <c r="Q174" i="36" s="1"/>
  <c r="O263" i="36"/>
  <c r="P263" i="36" s="1"/>
  <c r="Q263" i="36" s="1"/>
  <c r="O87" i="36"/>
  <c r="P87" i="36" s="1"/>
  <c r="Q87" i="36" s="1"/>
  <c r="O261" i="36"/>
  <c r="P261" i="36" s="1"/>
  <c r="Q261" i="36" s="1"/>
  <c r="O295" i="36"/>
  <c r="P295" i="36" s="1"/>
  <c r="Q295" i="36" s="1"/>
  <c r="O56" i="36"/>
  <c r="P56" i="36" s="1"/>
  <c r="Q56" i="36" s="1"/>
  <c r="O8" i="36"/>
  <c r="P8" i="36" s="1"/>
  <c r="Q8" i="36" s="1"/>
  <c r="O91" i="36"/>
  <c r="P91" i="36" s="1"/>
  <c r="Q91" i="36" s="1"/>
  <c r="O113" i="36"/>
  <c r="P113" i="36" s="1"/>
  <c r="Q113" i="36" s="1"/>
  <c r="O66" i="36"/>
  <c r="P66" i="36" s="1"/>
  <c r="Q66" i="36" s="1"/>
  <c r="O252" i="36"/>
  <c r="P252" i="36" s="1"/>
  <c r="Q252" i="36" s="1"/>
  <c r="O243" i="36"/>
  <c r="P243" i="36" s="1"/>
  <c r="Q243" i="36" s="1"/>
  <c r="O130" i="36"/>
  <c r="P130" i="36" s="1"/>
  <c r="Q130" i="36" s="1"/>
  <c r="O256" i="36"/>
  <c r="P256" i="36" s="1"/>
  <c r="Q256" i="36" s="1"/>
  <c r="O194" i="36"/>
  <c r="P194" i="36" s="1"/>
  <c r="Q194" i="36" s="1"/>
  <c r="O306" i="36"/>
  <c r="P306" i="36" s="1"/>
  <c r="Q306" i="36" s="1"/>
  <c r="O85" i="36"/>
  <c r="P85" i="36" s="1"/>
  <c r="Q85" i="36" s="1"/>
  <c r="O10" i="36"/>
  <c r="P10" i="36" s="1"/>
  <c r="Q10" i="36" s="1"/>
  <c r="O53" i="36"/>
  <c r="P53" i="36" s="1"/>
  <c r="Q53" i="36" s="1"/>
  <c r="O188" i="36"/>
  <c r="P188" i="36" s="1"/>
  <c r="Q188" i="36" s="1"/>
  <c r="O285" i="36"/>
  <c r="P285" i="36" s="1"/>
  <c r="Q285" i="36" s="1"/>
  <c r="O274" i="36"/>
  <c r="P274" i="36" s="1"/>
  <c r="Q274" i="36" s="1"/>
  <c r="O308" i="36"/>
  <c r="P308" i="36" s="1"/>
  <c r="Q308" i="36" s="1"/>
  <c r="O222" i="36"/>
  <c r="P222" i="36" s="1"/>
  <c r="Q222" i="36" s="1"/>
  <c r="O219" i="36"/>
  <c r="P219" i="36" s="1"/>
  <c r="Q219" i="36" s="1"/>
  <c r="O32" i="36"/>
  <c r="P32" i="36" s="1"/>
  <c r="Q32" i="36" s="1"/>
  <c r="O178" i="36"/>
  <c r="P178" i="36" s="1"/>
  <c r="Q178" i="36" s="1"/>
  <c r="O139" i="36"/>
  <c r="P139" i="36" s="1"/>
  <c r="Q139" i="36" s="1"/>
  <c r="O62" i="36"/>
  <c r="P62" i="36" s="1"/>
  <c r="Q62" i="36" s="1"/>
  <c r="O313" i="36"/>
  <c r="P313" i="36" s="1"/>
  <c r="Q313" i="36" s="1"/>
  <c r="O233" i="36"/>
  <c r="P233" i="36" s="1"/>
  <c r="Q233" i="36" s="1"/>
  <c r="O95" i="36"/>
  <c r="P95" i="36" s="1"/>
  <c r="Q95" i="36" s="1"/>
  <c r="O231" i="36"/>
  <c r="P231" i="36" s="1"/>
  <c r="Q231" i="36" s="1"/>
  <c r="O108" i="36"/>
  <c r="P108" i="36" s="1"/>
  <c r="Q108" i="36" s="1"/>
  <c r="O76" i="36"/>
  <c r="P76" i="36" s="1"/>
  <c r="Q76" i="36" s="1"/>
  <c r="O255" i="36"/>
  <c r="P255" i="36" s="1"/>
  <c r="Q255" i="36" s="1"/>
  <c r="O173" i="36"/>
  <c r="P173" i="36" s="1"/>
  <c r="Q173" i="36" s="1"/>
  <c r="O153" i="36"/>
  <c r="P153" i="36" s="1"/>
  <c r="Q153" i="36" s="1"/>
  <c r="O273" i="36"/>
  <c r="P273" i="36" s="1"/>
  <c r="Q273" i="36" s="1"/>
  <c r="O122" i="36"/>
  <c r="P122" i="36" s="1"/>
  <c r="Q122" i="36" s="1"/>
  <c r="O26" i="36"/>
  <c r="P26" i="36" s="1"/>
  <c r="Q26" i="36" s="1"/>
  <c r="O245" i="36"/>
  <c r="P245" i="36" s="1"/>
  <c r="Q245" i="36" s="1"/>
  <c r="O236" i="36"/>
  <c r="P236" i="36" s="1"/>
  <c r="Q236" i="36" s="1"/>
  <c r="O185" i="36"/>
  <c r="P185" i="36" s="1"/>
  <c r="Q185" i="36" s="1"/>
  <c r="O220" i="36"/>
  <c r="P220" i="36" s="1"/>
  <c r="Q220" i="36" s="1"/>
  <c r="O199" i="36"/>
  <c r="P199" i="36" s="1"/>
  <c r="Q199" i="36" s="1"/>
  <c r="O237" i="36"/>
  <c r="P237" i="36" s="1"/>
  <c r="Q237" i="36" s="1"/>
  <c r="O291" i="36"/>
  <c r="P291" i="36" s="1"/>
  <c r="Q291" i="36" s="1"/>
  <c r="O276" i="36"/>
  <c r="P276" i="36" s="1"/>
  <c r="Q276" i="36" s="1"/>
  <c r="O54" i="36"/>
  <c r="P54" i="36" s="1"/>
  <c r="Q54" i="36" s="1"/>
  <c r="O148" i="36"/>
  <c r="P148" i="36" s="1"/>
  <c r="Q148" i="36" s="1"/>
  <c r="O65" i="36"/>
  <c r="P65" i="36" s="1"/>
  <c r="Q65" i="36" s="1"/>
  <c r="O17" i="36"/>
  <c r="P17" i="36" s="1"/>
  <c r="Q17" i="36" s="1"/>
  <c r="O22" i="36"/>
  <c r="P22" i="36" s="1"/>
  <c r="Q22" i="36" s="1"/>
  <c r="O290" i="36"/>
  <c r="P290" i="36" s="1"/>
  <c r="Q290" i="36" s="1"/>
  <c r="O36" i="36"/>
  <c r="P36" i="36" s="1"/>
  <c r="Q36" i="36" s="1"/>
  <c r="O149" i="36"/>
  <c r="P149" i="36" s="1"/>
  <c r="Q149" i="36" s="1"/>
  <c r="O190" i="36"/>
  <c r="P190" i="36" s="1"/>
  <c r="Q190" i="36" s="1"/>
  <c r="O80" i="36"/>
  <c r="P80" i="36" s="1"/>
  <c r="Q80" i="36" s="1"/>
  <c r="O115" i="36"/>
  <c r="P115" i="36" s="1"/>
  <c r="Q115" i="36" s="1"/>
  <c r="O296" i="36"/>
  <c r="P296" i="36" s="1"/>
  <c r="Q296" i="36" s="1"/>
  <c r="O239" i="36"/>
  <c r="P239" i="36" s="1"/>
  <c r="Q239" i="36" s="1"/>
  <c r="O110" i="36"/>
  <c r="P110" i="36" s="1"/>
  <c r="Q110" i="36" s="1"/>
  <c r="O97" i="36"/>
  <c r="P97" i="36" s="1"/>
  <c r="Q97" i="36" s="1"/>
  <c r="O98" i="36"/>
  <c r="P98" i="36" s="1"/>
  <c r="Q98" i="36" s="1"/>
  <c r="O230" i="36"/>
  <c r="P230" i="36" s="1"/>
  <c r="Q230" i="36" s="1"/>
  <c r="O125" i="36"/>
  <c r="P125" i="36" s="1"/>
  <c r="Q125" i="36" s="1"/>
  <c r="O209" i="36"/>
  <c r="P209" i="36" s="1"/>
  <c r="Q209" i="36" s="1"/>
  <c r="O246" i="36"/>
  <c r="P246" i="36" s="1"/>
  <c r="Q246" i="36" s="1"/>
  <c r="O126" i="36"/>
  <c r="P126" i="36" s="1"/>
  <c r="Q126" i="36" s="1"/>
  <c r="O137" i="36"/>
  <c r="P137" i="36" s="1"/>
  <c r="Q137" i="36" s="1"/>
  <c r="O27" i="36"/>
  <c r="P27" i="36" s="1"/>
  <c r="Q27" i="36" s="1"/>
  <c r="O235" i="36"/>
  <c r="P235" i="36" s="1"/>
  <c r="Q235" i="36" s="1"/>
  <c r="O89" i="36"/>
  <c r="P89" i="36" s="1"/>
  <c r="Q89" i="36" s="1"/>
  <c r="O158" i="36"/>
  <c r="P158" i="36" s="1"/>
  <c r="Q158" i="36" s="1"/>
  <c r="O271" i="36"/>
  <c r="P271" i="36" s="1"/>
  <c r="Q271" i="36" s="1"/>
  <c r="O297" i="36"/>
  <c r="P297" i="36" s="1"/>
  <c r="Q297" i="36" s="1"/>
  <c r="O6" i="36"/>
  <c r="P6" i="36" s="1"/>
  <c r="Q6" i="36" s="1"/>
  <c r="O43" i="36"/>
  <c r="P43" i="36" s="1"/>
  <c r="Q43" i="36" s="1"/>
  <c r="O73" i="36"/>
  <c r="P73" i="36" s="1"/>
  <c r="Q73" i="36" s="1"/>
  <c r="O200" i="36"/>
  <c r="P200" i="36" s="1"/>
  <c r="Q200" i="36" s="1"/>
  <c r="O205" i="36"/>
  <c r="P205" i="36" s="1"/>
  <c r="Q205" i="36" s="1"/>
  <c r="O288" i="36"/>
  <c r="P288" i="36" s="1"/>
  <c r="Q288" i="36" s="1"/>
  <c r="O269" i="36"/>
  <c r="P269" i="36" s="1"/>
  <c r="Q269" i="36" s="1"/>
  <c r="O14" i="36"/>
  <c r="P14" i="36" s="1"/>
  <c r="Q14" i="36" s="1"/>
  <c r="O311" i="36"/>
  <c r="P311" i="36" s="1"/>
  <c r="Q311" i="36" s="1"/>
  <c r="O187" i="36"/>
  <c r="P187" i="36" s="1"/>
  <c r="Q187" i="36" s="1"/>
  <c r="O169" i="36"/>
  <c r="P169" i="36" s="1"/>
  <c r="Q169" i="36" s="1"/>
  <c r="O226" i="36"/>
  <c r="P226" i="36" s="1"/>
  <c r="Q226" i="36" s="1"/>
  <c r="O182" i="36"/>
  <c r="P182" i="36" s="1"/>
  <c r="Q182" i="36" s="1"/>
  <c r="O67" i="36"/>
  <c r="P67" i="36" s="1"/>
  <c r="Q67" i="36" s="1"/>
  <c r="O262" i="36"/>
  <c r="P262" i="36" s="1"/>
  <c r="Q262" i="36" s="1"/>
  <c r="O30" i="36"/>
  <c r="P30" i="36" s="1"/>
  <c r="Q30" i="36" s="1"/>
  <c r="O294" i="36"/>
  <c r="P294" i="36" s="1"/>
  <c r="Q294" i="36" s="1"/>
  <c r="O302" i="36"/>
  <c r="P302" i="36" s="1"/>
  <c r="Q302" i="36" s="1"/>
  <c r="O145" i="36"/>
  <c r="P145" i="36" s="1"/>
  <c r="Q145" i="36" s="1"/>
  <c r="O163" i="36"/>
  <c r="P163" i="36" s="1"/>
  <c r="Q163" i="36" s="1"/>
  <c r="O259" i="36"/>
  <c r="P259" i="36" s="1"/>
  <c r="Q259" i="36" s="1"/>
  <c r="O234" i="36"/>
  <c r="P234" i="36" s="1"/>
  <c r="Q234" i="36" s="1"/>
  <c r="O154" i="36"/>
  <c r="P154" i="36" s="1"/>
  <c r="Q154" i="36" s="1"/>
  <c r="O170" i="36"/>
  <c r="P170" i="36" s="1"/>
  <c r="Q170" i="36" s="1"/>
  <c r="O206" i="36"/>
  <c r="P206" i="36" s="1"/>
  <c r="Q206" i="36" s="1"/>
  <c r="O247" i="36"/>
  <c r="P247" i="36" s="1"/>
  <c r="Q247" i="36" s="1"/>
  <c r="O131" i="36"/>
  <c r="P131" i="36" s="1"/>
  <c r="Q131" i="36" s="1"/>
  <c r="O280" i="36"/>
  <c r="P280" i="36" s="1"/>
  <c r="Q280" i="36" s="1"/>
  <c r="O166" i="36"/>
  <c r="P166" i="36" s="1"/>
  <c r="Q166" i="36" s="1"/>
  <c r="O101" i="36"/>
  <c r="P101" i="36" s="1"/>
  <c r="Q101" i="36" s="1"/>
  <c r="O111" i="36"/>
  <c r="P111" i="36" s="1"/>
  <c r="Q111" i="36" s="1"/>
  <c r="O9" i="36"/>
  <c r="P9" i="36" s="1"/>
  <c r="Q9" i="36" s="1"/>
  <c r="O184" i="36"/>
  <c r="P184" i="36" s="1"/>
  <c r="Q184" i="36" s="1"/>
  <c r="O299" i="36"/>
  <c r="P299" i="36" s="1"/>
  <c r="Q299" i="36" s="1"/>
  <c r="O216" i="36"/>
  <c r="P216" i="36" s="1"/>
  <c r="Q216" i="36" s="1"/>
  <c r="O224" i="36"/>
  <c r="P224" i="36" s="1"/>
  <c r="Q224" i="36" s="1"/>
  <c r="O171" i="36"/>
  <c r="P171" i="36" s="1"/>
  <c r="Q171" i="36" s="1"/>
  <c r="O112" i="36"/>
  <c r="P112" i="36" s="1"/>
  <c r="Q112" i="36" s="1"/>
  <c r="O21" i="36"/>
  <c r="P21" i="36" s="1"/>
  <c r="Q21" i="36" s="1"/>
  <c r="O278" i="36"/>
  <c r="P278" i="36" s="1"/>
  <c r="Q278" i="36" s="1"/>
  <c r="O189" i="36"/>
  <c r="P189" i="36" s="1"/>
  <c r="Q189" i="36" s="1"/>
  <c r="O157" i="36"/>
  <c r="P157" i="36" s="1"/>
  <c r="Q157" i="36" s="1"/>
  <c r="O50" i="36"/>
  <c r="P50" i="36" s="1"/>
  <c r="Q50" i="36" s="1"/>
  <c r="O118" i="36"/>
  <c r="P118" i="36" s="1"/>
  <c r="Q118" i="36" s="1"/>
  <c r="O248" i="36"/>
  <c r="P248" i="36" s="1"/>
  <c r="Q248" i="36" s="1"/>
  <c r="O68" i="36"/>
  <c r="P68" i="36" s="1"/>
  <c r="Q68" i="36" s="1"/>
  <c r="O229" i="36"/>
  <c r="P229" i="36" s="1"/>
  <c r="Q229" i="36" s="1"/>
  <c r="O11" i="36"/>
  <c r="P11" i="36" s="1"/>
  <c r="Q11" i="36" s="1"/>
  <c r="O40" i="36"/>
  <c r="P40" i="36" s="1"/>
  <c r="Q40" i="36" s="1"/>
  <c r="O41" i="36"/>
  <c r="P41" i="36" s="1"/>
  <c r="Q41" i="36" s="1"/>
  <c r="O57" i="36"/>
  <c r="P57" i="36" s="1"/>
  <c r="Q57" i="36" s="1"/>
  <c r="O307" i="36"/>
  <c r="P307" i="36" s="1"/>
  <c r="Q307" i="36" s="1"/>
  <c r="O38" i="36"/>
  <c r="P38" i="36" s="1"/>
  <c r="Q38" i="36" s="1"/>
  <c r="O138" i="36"/>
  <c r="P138" i="36" s="1"/>
  <c r="Q138" i="36" s="1"/>
  <c r="O142" i="36"/>
  <c r="P142" i="36" s="1"/>
  <c r="Q142" i="36" s="1"/>
  <c r="O298" i="36"/>
  <c r="P298" i="36" s="1"/>
  <c r="Q298" i="36" s="1"/>
  <c r="O31" i="36"/>
  <c r="P31" i="36" s="1"/>
  <c r="Q31" i="36" s="1"/>
  <c r="O304" i="36"/>
  <c r="P304" i="36" s="1"/>
  <c r="Q304" i="36" s="1"/>
  <c r="O268" i="36"/>
  <c r="P268" i="36" s="1"/>
  <c r="Q268" i="36" s="1"/>
  <c r="O143" i="36"/>
  <c r="P143" i="36" s="1"/>
  <c r="Q143" i="36" s="1"/>
  <c r="O161" i="36"/>
  <c r="P161" i="36" s="1"/>
  <c r="Q161" i="36" s="1"/>
  <c r="O34" i="36"/>
  <c r="P34" i="36" s="1"/>
  <c r="Q34" i="36" s="1"/>
  <c r="O221" i="36"/>
  <c r="P221" i="36" s="1"/>
  <c r="Q221" i="36" s="1"/>
  <c r="O64" i="36"/>
  <c r="P64" i="36" s="1"/>
  <c r="Q64" i="36" s="1"/>
  <c r="O42" i="36"/>
  <c r="P42" i="36" s="1"/>
  <c r="Q42" i="36" s="1"/>
  <c r="O176" i="36"/>
  <c r="P176" i="36" s="1"/>
  <c r="Q176" i="36" s="1"/>
  <c r="O159" i="36"/>
  <c r="P159" i="36" s="1"/>
  <c r="Q159" i="36" s="1"/>
  <c r="O253" i="36"/>
  <c r="P253" i="36" s="1"/>
  <c r="Q253" i="36" s="1"/>
  <c r="O300" i="36"/>
  <c r="P300" i="36" s="1"/>
  <c r="Q300" i="36" s="1"/>
  <c r="O251" i="36"/>
  <c r="P251" i="36" s="1"/>
  <c r="Q251" i="36" s="1"/>
  <c r="O71" i="36"/>
  <c r="P71" i="36" s="1"/>
  <c r="Q71" i="36" s="1"/>
  <c r="O58" i="36"/>
  <c r="P58" i="36" s="1"/>
  <c r="Q58" i="36" s="1"/>
  <c r="O287" i="36"/>
  <c r="P287" i="36" s="1"/>
  <c r="Q287" i="36" s="1"/>
  <c r="O117" i="36"/>
  <c r="P117" i="36" s="1"/>
  <c r="Q117" i="36" s="1"/>
  <c r="O78" i="36"/>
  <c r="P78" i="36" s="1"/>
  <c r="Q78" i="36" s="1"/>
  <c r="O172" i="36"/>
  <c r="P172" i="36" s="1"/>
  <c r="Q172" i="36" s="1"/>
  <c r="O96" i="36"/>
  <c r="P96" i="36" s="1"/>
  <c r="Q96" i="36" s="1"/>
  <c r="O244" i="36"/>
  <c r="P244" i="36" s="1"/>
  <c r="Q244" i="36" s="1"/>
  <c r="O301" i="36"/>
  <c r="P301" i="36" s="1"/>
  <c r="Q301" i="36" s="1"/>
  <c r="O93" i="36"/>
  <c r="P93" i="36" s="1"/>
  <c r="Q93" i="36" s="1"/>
  <c r="O314" i="36"/>
  <c r="P314" i="36" s="1"/>
  <c r="Q314" i="36" s="1"/>
  <c r="O134" i="36"/>
  <c r="P134" i="36" s="1"/>
  <c r="Q134" i="36" s="1"/>
  <c r="O45" i="36"/>
  <c r="P45" i="36" s="1"/>
  <c r="Q45" i="36" s="1"/>
  <c r="O92" i="36"/>
  <c r="P92" i="36" s="1"/>
  <c r="Q92" i="36" s="1"/>
  <c r="O193" i="36"/>
  <c r="P193" i="36" s="1"/>
  <c r="Q193" i="36" s="1"/>
  <c r="O102" i="36"/>
  <c r="P102" i="36" s="1"/>
  <c r="Q102" i="36" s="1"/>
  <c r="O225" i="36"/>
  <c r="P225" i="36" s="1"/>
  <c r="Q225" i="36" s="1"/>
  <c r="O195" i="36"/>
  <c r="P195" i="36" s="1"/>
  <c r="Q195" i="36" s="1"/>
  <c r="O75" i="36"/>
  <c r="P75" i="36" s="1"/>
  <c r="Q75" i="36" s="1"/>
  <c r="O33" i="36"/>
  <c r="P33" i="36" s="1"/>
  <c r="Q33" i="36" s="1"/>
  <c r="O160" i="36"/>
  <c r="P160" i="36" s="1"/>
  <c r="Q160" i="36" s="1"/>
  <c r="O16" i="36"/>
  <c r="P16" i="36" s="1"/>
  <c r="Q16" i="36" s="1"/>
  <c r="O179" i="36"/>
  <c r="P179" i="36" s="1"/>
  <c r="Q179" i="36" s="1"/>
  <c r="O186" i="36"/>
  <c r="P186" i="36" s="1"/>
  <c r="Q186" i="36" s="1"/>
  <c r="O241" i="36"/>
  <c r="P241" i="36" s="1"/>
  <c r="Q241" i="36" s="1"/>
  <c r="O29" i="36"/>
  <c r="P29" i="36" s="1"/>
  <c r="Q29" i="36" s="1"/>
  <c r="O81" i="36"/>
  <c r="P81" i="36" s="1"/>
  <c r="Q81" i="36" s="1"/>
  <c r="O202" i="36"/>
  <c r="P202" i="36" s="1"/>
  <c r="Q202" i="36" s="1"/>
  <c r="O305" i="36"/>
  <c r="P305" i="36" s="1"/>
  <c r="Q305" i="36" s="1"/>
  <c r="O168" i="36"/>
  <c r="P168" i="36" s="1"/>
  <c r="Q168" i="36" s="1"/>
  <c r="O60" i="36"/>
  <c r="P60" i="36" s="1"/>
  <c r="Q60" i="36" s="1"/>
  <c r="O116" i="36"/>
  <c r="P116" i="36" s="1"/>
  <c r="Q116" i="36" s="1"/>
  <c r="O7" i="36"/>
  <c r="P7" i="36" s="1"/>
  <c r="Q7" i="36" s="1"/>
  <c r="O74" i="36"/>
  <c r="P74" i="36" s="1"/>
  <c r="Q74" i="36" s="1"/>
  <c r="O107" i="36"/>
  <c r="P107" i="36" s="1"/>
  <c r="Q107" i="36" s="1"/>
  <c r="O37" i="36"/>
  <c r="P37" i="36" s="1"/>
  <c r="Q37" i="36" s="1"/>
  <c r="O103" i="36"/>
  <c r="P103" i="36" s="1"/>
  <c r="Q103" i="36" s="1"/>
  <c r="O217" i="36"/>
  <c r="P217" i="36" s="1"/>
  <c r="Q217" i="36" s="1"/>
  <c r="O286" i="36"/>
  <c r="P286" i="36" s="1"/>
  <c r="Q286" i="36" s="1"/>
  <c r="O208" i="36"/>
  <c r="P208" i="36" s="1"/>
  <c r="Q208" i="36" s="1"/>
  <c r="O123" i="36"/>
  <c r="P123" i="36" s="1"/>
  <c r="Q123" i="36" s="1"/>
  <c r="O211" i="36"/>
  <c r="P211" i="36" s="1"/>
  <c r="Q211" i="36" s="1"/>
  <c r="O5" i="36"/>
  <c r="P5" i="36" s="1"/>
  <c r="Q5" i="36" s="1"/>
  <c r="O25" i="36"/>
  <c r="P25" i="36" s="1"/>
  <c r="Q25" i="36" s="1"/>
  <c r="O69" i="36"/>
  <c r="P69" i="36" s="1"/>
  <c r="Q69" i="36" s="1"/>
  <c r="O198" i="36"/>
  <c r="P198" i="36" s="1"/>
  <c r="Q198" i="36" s="1"/>
  <c r="O19" i="36"/>
  <c r="P19" i="36" s="1"/>
  <c r="Q19" i="36" s="1"/>
  <c r="O46" i="36"/>
  <c r="P46" i="36" s="1"/>
  <c r="Q46" i="36" s="1"/>
  <c r="O214" i="36"/>
  <c r="P214" i="36" s="1"/>
  <c r="Q214" i="36" s="1"/>
  <c r="O136" i="36"/>
  <c r="P136" i="36" s="1"/>
  <c r="Q136" i="36" s="1"/>
  <c r="O23" i="36"/>
  <c r="P23" i="36" s="1"/>
  <c r="Q23" i="36" s="1"/>
  <c r="O177" i="36"/>
  <c r="P177" i="36" s="1"/>
  <c r="Q177" i="36" s="1"/>
  <c r="O309" i="36"/>
  <c r="P309" i="36" s="1"/>
  <c r="Q309" i="36" s="1"/>
  <c r="O152" i="36"/>
  <c r="P152" i="36" s="1"/>
  <c r="Q152" i="36" s="1"/>
  <c r="O100" i="36"/>
  <c r="P100" i="36" s="1"/>
  <c r="Q100" i="36" s="1"/>
  <c r="O86" i="36"/>
  <c r="P86" i="36" s="1"/>
  <c r="Q86" i="36" s="1"/>
  <c r="O49" i="36"/>
  <c r="P49" i="36" s="1"/>
  <c r="Q49" i="36" s="1"/>
  <c r="O124" i="36"/>
  <c r="P124" i="36" s="1"/>
  <c r="Q124" i="36" s="1"/>
  <c r="O55" i="36"/>
  <c r="P55" i="36" s="1"/>
  <c r="Q55" i="36" s="1"/>
  <c r="O162" i="36"/>
  <c r="P162" i="36" s="1"/>
  <c r="Q162" i="36" s="1"/>
  <c r="O84" i="36"/>
  <c r="P84" i="36" s="1"/>
  <c r="Q84" i="36" s="1"/>
  <c r="O167" i="36"/>
  <c r="P167" i="36" s="1"/>
  <c r="Q167" i="36" s="1"/>
  <c r="O275" i="36"/>
  <c r="P275" i="36" s="1"/>
  <c r="Q275" i="36" s="1"/>
  <c r="O181" i="36"/>
  <c r="P181" i="36" s="1"/>
  <c r="Q181" i="36" s="1"/>
  <c r="O284" i="36"/>
  <c r="P284" i="36" s="1"/>
  <c r="Q284" i="36" s="1"/>
  <c r="O114" i="36"/>
  <c r="P114" i="36" s="1"/>
  <c r="Q114" i="36" s="1"/>
  <c r="O82" i="36"/>
  <c r="P82" i="36" s="1"/>
  <c r="Q82" i="36" s="1"/>
  <c r="O88" i="36"/>
  <c r="P88" i="36" s="1"/>
  <c r="Q88" i="36" s="1"/>
  <c r="O292" i="36"/>
  <c r="P292" i="36" s="1"/>
  <c r="Q292" i="36" s="1"/>
  <c r="O28" i="36"/>
  <c r="P28" i="36" s="1"/>
  <c r="Q28" i="36" s="1"/>
  <c r="O83" i="36"/>
  <c r="P83" i="36" s="1"/>
  <c r="Q83" i="36" s="1"/>
  <c r="O254" i="36"/>
  <c r="P254" i="36" s="1"/>
  <c r="Q254" i="36" s="1"/>
  <c r="O133" i="36"/>
  <c r="P133" i="36" s="1"/>
  <c r="Q133" i="36" s="1"/>
  <c r="O238" i="36"/>
  <c r="P238" i="36" s="1"/>
  <c r="Q238" i="36" s="1"/>
  <c r="O39" i="36"/>
  <c r="P39" i="36" s="1"/>
  <c r="Q39" i="36" s="1"/>
  <c r="O196" i="36"/>
  <c r="P196" i="36" s="1"/>
  <c r="Q196" i="36" s="1"/>
  <c r="O180" i="36"/>
  <c r="P180" i="36" s="1"/>
  <c r="Q180" i="36" s="1"/>
  <c r="O270" i="36"/>
  <c r="P270" i="36" s="1"/>
  <c r="Q270" i="36" s="1"/>
  <c r="O293" i="36"/>
  <c r="P293" i="36" s="1"/>
  <c r="Q293" i="36" s="1"/>
  <c r="O132" i="36"/>
  <c r="P132" i="36" s="1"/>
  <c r="Q132" i="36" s="1"/>
  <c r="O155" i="36"/>
  <c r="P155" i="36" s="1"/>
  <c r="Q155" i="36" s="1"/>
  <c r="O165" i="36"/>
  <c r="P165" i="36" s="1"/>
  <c r="Q165" i="36" s="1"/>
  <c r="O99" i="36"/>
  <c r="P99" i="36" s="1"/>
  <c r="Q99" i="36" s="1"/>
  <c r="O191" i="36"/>
  <c r="P191" i="36" s="1"/>
  <c r="Q191" i="36" s="1"/>
  <c r="O215" i="36"/>
  <c r="P215" i="36" s="1"/>
  <c r="Q215" i="36" s="1"/>
  <c r="O204" i="36"/>
  <c r="P204" i="36" s="1"/>
  <c r="Q204" i="36" s="1"/>
  <c r="O51" i="36"/>
  <c r="P51" i="36" s="1"/>
  <c r="Q51" i="36" s="1"/>
  <c r="O213" i="36"/>
  <c r="P213" i="36" s="1"/>
  <c r="Q213" i="36" s="1"/>
  <c r="O312" i="36"/>
  <c r="P312" i="36" s="1"/>
  <c r="Q312" i="36" s="1"/>
  <c r="O250" i="36"/>
  <c r="P250" i="36" s="1"/>
  <c r="Q250" i="36" s="1"/>
  <c r="O128" i="36"/>
  <c r="P128" i="36" s="1"/>
  <c r="Q128" i="36" s="1"/>
  <c r="O48" i="36"/>
  <c r="P48" i="36" s="1"/>
  <c r="Q48" i="36" s="1"/>
  <c r="O218" i="36"/>
  <c r="P218" i="36" s="1"/>
  <c r="Q218" i="36" s="1"/>
  <c r="O12" i="36"/>
  <c r="P12" i="36" s="1"/>
  <c r="Q12" i="36" s="1"/>
  <c r="O129" i="36"/>
  <c r="P129" i="36" s="1"/>
  <c r="Q129" i="36" s="1"/>
  <c r="O279" i="36"/>
  <c r="P279" i="36" s="1"/>
  <c r="Q279" i="36" s="1"/>
  <c r="O15" i="36"/>
  <c r="P15" i="36" s="1"/>
  <c r="Q15" i="36" s="1"/>
  <c r="O265" i="36"/>
  <c r="P265" i="36" s="1"/>
  <c r="Q265" i="36" s="1"/>
  <c r="O303" i="36"/>
  <c r="P303" i="36" s="1"/>
  <c r="Q303" i="36" s="1"/>
  <c r="O183" i="36"/>
  <c r="P183" i="36" s="1"/>
  <c r="Q183" i="36" s="1"/>
  <c r="O13" i="36"/>
  <c r="P13" i="36" s="1"/>
  <c r="Q13" i="36" s="1"/>
  <c r="O3" i="39" l="1" a="1"/>
  <c r="O3" i="39" s="1"/>
  <c r="P4" i="36"/>
  <c r="P3" i="36" s="1" a="1"/>
  <c r="P3" i="36" s="1"/>
  <c r="O3" i="36" a="1"/>
  <c r="O3" i="36" s="1"/>
  <c r="O3" i="38" a="1"/>
  <c r="O3" i="38" s="1"/>
  <c r="R316" i="36"/>
  <c r="R317" i="36"/>
  <c r="R316" i="37"/>
  <c r="R317" i="39"/>
  <c r="R316" i="39"/>
  <c r="R256" i="39"/>
  <c r="R187" i="39"/>
  <c r="R142" i="39"/>
  <c r="R265" i="39"/>
  <c r="R138" i="39"/>
  <c r="R248" i="39"/>
  <c r="R278" i="39"/>
  <c r="R308" i="39"/>
  <c r="R195" i="39"/>
  <c r="R218" i="39"/>
  <c r="R207" i="39"/>
  <c r="R29" i="39"/>
  <c r="R241" i="39"/>
  <c r="R124" i="39"/>
  <c r="R257" i="39"/>
  <c r="R32" i="39"/>
  <c r="R101" i="39"/>
  <c r="R182" i="39"/>
  <c r="R237" i="39"/>
  <c r="R170" i="39"/>
  <c r="R309" i="39"/>
  <c r="R137" i="39"/>
  <c r="R219" i="39"/>
  <c r="R299" i="39"/>
  <c r="R231" i="39"/>
  <c r="R67" i="39"/>
  <c r="R57" i="39"/>
  <c r="R280" i="39"/>
  <c r="R287" i="39"/>
  <c r="R115" i="39"/>
  <c r="R190" i="39"/>
  <c r="R61" i="39"/>
  <c r="R164" i="39"/>
  <c r="R168" i="39"/>
  <c r="R306" i="39"/>
  <c r="R201" i="39"/>
  <c r="R211" i="39"/>
  <c r="R186" i="39"/>
  <c r="R49" i="39"/>
  <c r="R158" i="39"/>
  <c r="R37" i="39"/>
  <c r="R192" i="39"/>
  <c r="R140" i="39"/>
  <c r="R159" i="39"/>
  <c r="R209" i="39"/>
  <c r="R129" i="39"/>
  <c r="R5" i="39"/>
  <c r="R110" i="39"/>
  <c r="R19" i="39"/>
  <c r="R127" i="39"/>
  <c r="R196" i="39"/>
  <c r="R42" i="39"/>
  <c r="R100" i="39"/>
  <c r="R222" i="39"/>
  <c r="R160" i="39"/>
  <c r="R22" i="39"/>
  <c r="R65" i="39"/>
  <c r="R184" i="39"/>
  <c r="R21" i="39"/>
  <c r="R189" i="39"/>
  <c r="R109" i="39"/>
  <c r="R267" i="39"/>
  <c r="R10" i="39"/>
  <c r="R252" i="39"/>
  <c r="R169" i="39"/>
  <c r="R255" i="39"/>
  <c r="R305" i="39"/>
  <c r="R283" i="39"/>
  <c r="R51" i="39"/>
  <c r="R281" i="39"/>
  <c r="R82" i="39"/>
  <c r="R178" i="39"/>
  <c r="R171" i="39"/>
  <c r="R91" i="39"/>
  <c r="R274" i="39"/>
  <c r="R141" i="39"/>
  <c r="R236" i="39"/>
  <c r="R294" i="39"/>
  <c r="R35" i="39"/>
  <c r="R313" i="39"/>
  <c r="R46" i="39"/>
  <c r="R157" i="39"/>
  <c r="R58" i="39"/>
  <c r="R315" i="39"/>
  <c r="R74" i="39"/>
  <c r="R119" i="39"/>
  <c r="R191" i="39"/>
  <c r="R125" i="39"/>
  <c r="R245" i="39"/>
  <c r="R133" i="39"/>
  <c r="R48" i="39"/>
  <c r="R93" i="39"/>
  <c r="R90" i="39"/>
  <c r="R79" i="39"/>
  <c r="R120" i="39"/>
  <c r="R123" i="39"/>
  <c r="R285" i="39"/>
  <c r="R47" i="39"/>
  <c r="R73" i="39"/>
  <c r="R208" i="39"/>
  <c r="R87" i="39"/>
  <c r="P4" i="39"/>
  <c r="P3" i="39" s="1" a="1"/>
  <c r="P3" i="39" s="1"/>
  <c r="R9" i="39"/>
  <c r="R151" i="39"/>
  <c r="R97" i="39"/>
  <c r="R66" i="39"/>
  <c r="R180" i="39"/>
  <c r="R289" i="39"/>
  <c r="R104" i="39"/>
  <c r="R293" i="39"/>
  <c r="R272" i="39"/>
  <c r="R224" i="39"/>
  <c r="R210" i="39"/>
  <c r="R63" i="39"/>
  <c r="R130" i="39"/>
  <c r="R262" i="39"/>
  <c r="R16" i="39"/>
  <c r="R132" i="39"/>
  <c r="R89" i="39"/>
  <c r="R258" i="39"/>
  <c r="R214" i="39"/>
  <c r="R121" i="39"/>
  <c r="R131" i="39"/>
  <c r="R150" i="39"/>
  <c r="R31" i="39"/>
  <c r="R126" i="39"/>
  <c r="R271" i="39"/>
  <c r="R45" i="39"/>
  <c r="R166" i="39"/>
  <c r="R146" i="39"/>
  <c r="R172" i="39"/>
  <c r="R118" i="39"/>
  <c r="R72" i="39"/>
  <c r="R122" i="39"/>
  <c r="R203" i="39"/>
  <c r="R303" i="39"/>
  <c r="R249" i="39"/>
  <c r="R260" i="39"/>
  <c r="R297" i="39"/>
  <c r="R307" i="39"/>
  <c r="R206" i="39"/>
  <c r="R199" i="39"/>
  <c r="R163" i="39"/>
  <c r="R26" i="39"/>
  <c r="R167" i="39"/>
  <c r="R103" i="39"/>
  <c r="R128" i="39"/>
  <c r="R205" i="39"/>
  <c r="R75" i="39"/>
  <c r="R273" i="39"/>
  <c r="R234" i="39"/>
  <c r="R291" i="39"/>
  <c r="R88" i="39"/>
  <c r="R117" i="39"/>
  <c r="R52" i="39"/>
  <c r="R76" i="39"/>
  <c r="R277" i="39"/>
  <c r="R149" i="39"/>
  <c r="R311" i="39"/>
  <c r="R200" i="39"/>
  <c r="R95" i="39"/>
  <c r="R154" i="39"/>
  <c r="R176" i="39"/>
  <c r="R18" i="39"/>
  <c r="R173" i="39"/>
  <c r="R153" i="39"/>
  <c r="R259" i="39"/>
  <c r="R77" i="39"/>
  <c r="R216" i="39"/>
  <c r="R112" i="39"/>
  <c r="R6" i="39"/>
  <c r="R116" i="39"/>
  <c r="R71" i="39"/>
  <c r="R145" i="39"/>
  <c r="R114" i="39"/>
  <c r="R314" i="39"/>
  <c r="R230" i="39"/>
  <c r="R225" i="39"/>
  <c r="R144" i="39"/>
  <c r="R275" i="39"/>
  <c r="R92" i="39"/>
  <c r="R288" i="39"/>
  <c r="R244" i="39"/>
  <c r="R143" i="39"/>
  <c r="R301" i="39"/>
  <c r="R183" i="39"/>
  <c r="R212" i="39"/>
  <c r="R105" i="39"/>
  <c r="R253" i="39"/>
  <c r="R226" i="39"/>
  <c r="R80" i="39"/>
  <c r="R41" i="39"/>
  <c r="R69" i="39"/>
  <c r="R156" i="39"/>
  <c r="R24" i="39"/>
  <c r="R60" i="39"/>
  <c r="R233" i="39"/>
  <c r="R50" i="39"/>
  <c r="R269" i="39"/>
  <c r="R264" i="39"/>
  <c r="R43" i="39"/>
  <c r="R68" i="39"/>
  <c r="R177" i="39"/>
  <c r="R179" i="39"/>
  <c r="R286" i="39"/>
  <c r="R304" i="39"/>
  <c r="R12" i="39"/>
  <c r="R36" i="39"/>
  <c r="R147" i="39"/>
  <c r="R152" i="39"/>
  <c r="R310" i="39"/>
  <c r="R96" i="39"/>
  <c r="R27" i="39"/>
  <c r="R229" i="39"/>
  <c r="R7" i="39"/>
  <c r="R296" i="39"/>
  <c r="R25" i="39"/>
  <c r="R298" i="39"/>
  <c r="R54" i="39"/>
  <c r="R85" i="39"/>
  <c r="R181" i="39"/>
  <c r="R261" i="39"/>
  <c r="R194" i="39"/>
  <c r="R240" i="39"/>
  <c r="R300" i="39"/>
  <c r="R53" i="39"/>
  <c r="R134" i="39"/>
  <c r="R62" i="39"/>
  <c r="R276" i="39"/>
  <c r="R217" i="39"/>
  <c r="R94" i="39"/>
  <c r="R302" i="39"/>
  <c r="R13" i="39"/>
  <c r="R56" i="39"/>
  <c r="R266" i="39"/>
  <c r="R155" i="39"/>
  <c r="R250" i="39"/>
  <c r="R99" i="39"/>
  <c r="R213" i="39"/>
  <c r="R83" i="39"/>
  <c r="R221" i="39"/>
  <c r="R312" i="39"/>
  <c r="R55" i="39"/>
  <c r="R243" i="39"/>
  <c r="R135" i="39"/>
  <c r="R81" i="39"/>
  <c r="R235" i="39"/>
  <c r="R188" i="39"/>
  <c r="R102" i="39"/>
  <c r="R292" i="39"/>
  <c r="R108" i="39"/>
  <c r="R44" i="39"/>
  <c r="R220" i="39"/>
  <c r="R238" i="39"/>
  <c r="R279" i="39"/>
  <c r="R242" i="39"/>
  <c r="R175" i="39"/>
  <c r="R59" i="39"/>
  <c r="R86" i="39"/>
  <c r="R228" i="39"/>
  <c r="R174" i="39"/>
  <c r="R17" i="39"/>
  <c r="R84" i="39"/>
  <c r="R139" i="39"/>
  <c r="R39" i="39"/>
  <c r="R246" i="39"/>
  <c r="R20" i="39"/>
  <c r="R64" i="39"/>
  <c r="R78" i="39"/>
  <c r="R215" i="39"/>
  <c r="R239" i="39"/>
  <c r="R148" i="39"/>
  <c r="R268" i="39"/>
  <c r="R11" i="39"/>
  <c r="R70" i="39"/>
  <c r="R263" i="39"/>
  <c r="R193" i="39"/>
  <c r="R197" i="39"/>
  <c r="R161" i="39"/>
  <c r="R14" i="39"/>
  <c r="R270" i="39"/>
  <c r="R162" i="39"/>
  <c r="R247" i="39"/>
  <c r="R106" i="39"/>
  <c r="R30" i="39"/>
  <c r="R113" i="39"/>
  <c r="R23" i="39"/>
  <c r="R111" i="39"/>
  <c r="R223" i="39"/>
  <c r="R295" i="39"/>
  <c r="R198" i="39"/>
  <c r="R284" i="39"/>
  <c r="R202" i="39"/>
  <c r="R204" i="39"/>
  <c r="R98" i="39"/>
  <c r="R185" i="39"/>
  <c r="R251" i="39"/>
  <c r="R227" i="39"/>
  <c r="R28" i="39"/>
  <c r="R165" i="39"/>
  <c r="R40" i="39"/>
  <c r="R34" i="39"/>
  <c r="R38" i="39"/>
  <c r="R290" i="39"/>
  <c r="R8" i="39"/>
  <c r="R136" i="39"/>
  <c r="R232" i="39"/>
  <c r="R107" i="39"/>
  <c r="R15" i="39"/>
  <c r="R254" i="39"/>
  <c r="R282" i="39"/>
  <c r="R33" i="39"/>
  <c r="R310" i="38"/>
  <c r="R267" i="38"/>
  <c r="R161" i="38"/>
  <c r="R60" i="38"/>
  <c r="R287" i="38"/>
  <c r="R206" i="38"/>
  <c r="R248" i="38"/>
  <c r="R199" i="38"/>
  <c r="R263" i="38"/>
  <c r="R250" i="38"/>
  <c r="R305" i="38"/>
  <c r="R52" i="38"/>
  <c r="R216" i="38"/>
  <c r="R232" i="38"/>
  <c r="R260" i="38"/>
  <c r="R186" i="38"/>
  <c r="R249" i="38"/>
  <c r="R282" i="38"/>
  <c r="R67" i="38"/>
  <c r="R154" i="38"/>
  <c r="R268" i="38"/>
  <c r="R70" i="38"/>
  <c r="R113" i="38"/>
  <c r="R23" i="38"/>
  <c r="R236" i="38"/>
  <c r="R130" i="38"/>
  <c r="R298" i="38"/>
  <c r="R272" i="38"/>
  <c r="R253" i="38"/>
  <c r="R149" i="38"/>
  <c r="R120" i="38"/>
  <c r="R43" i="38"/>
  <c r="R111" i="38"/>
  <c r="R40" i="38"/>
  <c r="R193" i="38"/>
  <c r="R6" i="38"/>
  <c r="R55" i="38"/>
  <c r="R90" i="38"/>
  <c r="R303" i="38"/>
  <c r="R21" i="38"/>
  <c r="R14" i="38"/>
  <c r="R246" i="38"/>
  <c r="R300" i="38"/>
  <c r="R188" i="38"/>
  <c r="R185" i="38"/>
  <c r="R119" i="38"/>
  <c r="R65" i="38"/>
  <c r="R209" i="38"/>
  <c r="R50" i="38"/>
  <c r="R222" i="38"/>
  <c r="R117" i="38"/>
  <c r="R302" i="38"/>
  <c r="R54" i="38"/>
  <c r="R189" i="38"/>
  <c r="R266" i="38"/>
  <c r="R313" i="38"/>
  <c r="R284" i="38"/>
  <c r="R156" i="38"/>
  <c r="R8" i="38"/>
  <c r="R32" i="38"/>
  <c r="R256" i="38"/>
  <c r="R202" i="38"/>
  <c r="R227" i="38"/>
  <c r="R258" i="38"/>
  <c r="R197" i="38"/>
  <c r="R233" i="38"/>
  <c r="R178" i="38"/>
  <c r="R106" i="38"/>
  <c r="R71" i="38"/>
  <c r="R312" i="38"/>
  <c r="R219" i="38"/>
  <c r="R69" i="38"/>
  <c r="R274" i="38"/>
  <c r="R128" i="38"/>
  <c r="R311" i="38"/>
  <c r="R105" i="38"/>
  <c r="R80" i="38"/>
  <c r="R34" i="38"/>
  <c r="R262" i="38"/>
  <c r="R294" i="38"/>
  <c r="R278" i="38"/>
  <c r="R280" i="38"/>
  <c r="P4" i="38"/>
  <c r="P3" i="38" s="1" a="1"/>
  <c r="P3" i="38" s="1"/>
  <c r="R301" i="38"/>
  <c r="R74" i="38"/>
  <c r="R259" i="38"/>
  <c r="R64" i="38"/>
  <c r="R190" i="38"/>
  <c r="R225" i="38"/>
  <c r="R283" i="38"/>
  <c r="R118" i="38"/>
  <c r="R95" i="38"/>
  <c r="R101" i="38"/>
  <c r="R53" i="38"/>
  <c r="R116" i="38"/>
  <c r="R207" i="38"/>
  <c r="R12" i="38"/>
  <c r="R109" i="38"/>
  <c r="R141" i="38"/>
  <c r="R49" i="38"/>
  <c r="R254" i="38"/>
  <c r="R296" i="38"/>
  <c r="R148" i="38"/>
  <c r="R72" i="38"/>
  <c r="R139" i="38"/>
  <c r="R13" i="38"/>
  <c r="R150" i="38"/>
  <c r="R26" i="38"/>
  <c r="R22" i="38"/>
  <c r="R264" i="38"/>
  <c r="R308" i="38"/>
  <c r="R57" i="38"/>
  <c r="R96" i="38"/>
  <c r="R138" i="38"/>
  <c r="R78" i="38"/>
  <c r="R42" i="38"/>
  <c r="R245" i="38"/>
  <c r="R81" i="38"/>
  <c r="R7" i="38"/>
  <c r="R252" i="38"/>
  <c r="R36" i="38"/>
  <c r="R146" i="38"/>
  <c r="R194" i="38"/>
  <c r="R86" i="38"/>
  <c r="R153" i="38"/>
  <c r="R33" i="38"/>
  <c r="R166" i="38"/>
  <c r="R48" i="38"/>
  <c r="R82" i="38"/>
  <c r="R195" i="38"/>
  <c r="R123" i="38"/>
  <c r="R277" i="38"/>
  <c r="R107" i="38"/>
  <c r="R135" i="38"/>
  <c r="R144" i="38"/>
  <c r="R75" i="38"/>
  <c r="R151" i="38"/>
  <c r="R35" i="38"/>
  <c r="R25" i="38"/>
  <c r="R131" i="38"/>
  <c r="R243" i="38"/>
  <c r="R309" i="38"/>
  <c r="R238" i="38"/>
  <c r="R152" i="38"/>
  <c r="R213" i="38"/>
  <c r="R85" i="38"/>
  <c r="R306" i="38"/>
  <c r="R133" i="38"/>
  <c r="R179" i="38"/>
  <c r="R261" i="38"/>
  <c r="R68" i="38"/>
  <c r="R265" i="38"/>
  <c r="R299" i="38"/>
  <c r="R94" i="38"/>
  <c r="R163" i="38"/>
  <c r="R66" i="38"/>
  <c r="R237" i="38"/>
  <c r="R176" i="38"/>
  <c r="R157" i="38"/>
  <c r="R257" i="38"/>
  <c r="R143" i="38"/>
  <c r="R242" i="38"/>
  <c r="R16" i="38"/>
  <c r="R19" i="38"/>
  <c r="R97" i="38"/>
  <c r="R218" i="38"/>
  <c r="R182" i="38"/>
  <c r="R165" i="38"/>
  <c r="R46" i="38"/>
  <c r="R28" i="38"/>
  <c r="R230" i="38"/>
  <c r="R307" i="38"/>
  <c r="R76" i="38"/>
  <c r="R183" i="38"/>
  <c r="R201" i="38"/>
  <c r="R100" i="38"/>
  <c r="R172" i="38"/>
  <c r="R168" i="38"/>
  <c r="R275" i="38"/>
  <c r="R315" i="38"/>
  <c r="R235" i="38"/>
  <c r="R83" i="38"/>
  <c r="R38" i="38"/>
  <c r="R293" i="38"/>
  <c r="R61" i="38"/>
  <c r="R175" i="38"/>
  <c r="R276" i="38"/>
  <c r="R15" i="38"/>
  <c r="R180" i="38"/>
  <c r="R285" i="38"/>
  <c r="R291" i="38"/>
  <c r="R63" i="38"/>
  <c r="R164" i="38"/>
  <c r="R173" i="38"/>
  <c r="R177" i="38"/>
  <c r="R27" i="38"/>
  <c r="R93" i="38"/>
  <c r="R191" i="38"/>
  <c r="R215" i="38"/>
  <c r="R241" i="38"/>
  <c r="R221" i="38"/>
  <c r="R269" i="38"/>
  <c r="R162" i="38"/>
  <c r="R84" i="38"/>
  <c r="R115" i="38"/>
  <c r="R226" i="38"/>
  <c r="R273" i="38"/>
  <c r="R127" i="38"/>
  <c r="R142" i="38"/>
  <c r="R140" i="38"/>
  <c r="R181" i="38"/>
  <c r="R304" i="38"/>
  <c r="R108" i="38"/>
  <c r="R124" i="38"/>
  <c r="R292" i="38"/>
  <c r="R134" i="38"/>
  <c r="R18" i="38"/>
  <c r="R205" i="38"/>
  <c r="R297" i="38"/>
  <c r="R220" i="38"/>
  <c r="R129" i="38"/>
  <c r="R155" i="38"/>
  <c r="R29" i="38"/>
  <c r="R47" i="38"/>
  <c r="R24" i="38"/>
  <c r="R290" i="38"/>
  <c r="R224" i="38"/>
  <c r="R244" i="38"/>
  <c r="R121" i="38"/>
  <c r="R98" i="38"/>
  <c r="R217" i="38"/>
  <c r="R11" i="38"/>
  <c r="R132" i="38"/>
  <c r="R110" i="38"/>
  <c r="R73" i="38"/>
  <c r="R158" i="38"/>
  <c r="R214" i="38"/>
  <c r="R20" i="38"/>
  <c r="R122" i="38"/>
  <c r="R192" i="38"/>
  <c r="R92" i="38"/>
  <c r="R171" i="38"/>
  <c r="R56" i="38"/>
  <c r="R204" i="38"/>
  <c r="R169" i="38"/>
  <c r="R223" i="38"/>
  <c r="R210" i="38"/>
  <c r="R212" i="38"/>
  <c r="R77" i="38"/>
  <c r="R145" i="38"/>
  <c r="R200" i="38"/>
  <c r="R37" i="38"/>
  <c r="R103" i="38"/>
  <c r="R289" i="38"/>
  <c r="R295" i="38"/>
  <c r="R208" i="38"/>
  <c r="R104" i="38"/>
  <c r="R114" i="38"/>
  <c r="R196" i="38"/>
  <c r="R147" i="38"/>
  <c r="R79" i="38"/>
  <c r="R174" i="38"/>
  <c r="R102" i="38"/>
  <c r="R88" i="38"/>
  <c r="R126" i="38"/>
  <c r="R255" i="38"/>
  <c r="R62" i="38"/>
  <c r="R30" i="38"/>
  <c r="R288" i="38"/>
  <c r="R314" i="38"/>
  <c r="R286" i="38"/>
  <c r="R228" i="38"/>
  <c r="R9" i="38"/>
  <c r="R231" i="38"/>
  <c r="R229" i="38"/>
  <c r="R91" i="38"/>
  <c r="R251" i="38"/>
  <c r="R51" i="38"/>
  <c r="R44" i="38"/>
  <c r="R99" i="38"/>
  <c r="R39" i="38"/>
  <c r="R279" i="38"/>
  <c r="R240" i="38"/>
  <c r="R136" i="38"/>
  <c r="R184" i="38"/>
  <c r="R41" i="38"/>
  <c r="R167" i="38"/>
  <c r="R187" i="38"/>
  <c r="R247" i="38"/>
  <c r="R87" i="38"/>
  <c r="R170" i="38"/>
  <c r="R198" i="38"/>
  <c r="R58" i="38"/>
  <c r="R59" i="38"/>
  <c r="R203" i="38"/>
  <c r="R89" i="38"/>
  <c r="R234" i="38"/>
  <c r="R17" i="38"/>
  <c r="R281" i="38"/>
  <c r="R159" i="38"/>
  <c r="R271" i="38"/>
  <c r="R10" i="38"/>
  <c r="R160" i="38"/>
  <c r="R270" i="38"/>
  <c r="R112" i="38"/>
  <c r="R211" i="38"/>
  <c r="R31" i="38"/>
  <c r="R5" i="38"/>
  <c r="R125" i="38"/>
  <c r="R137" i="38"/>
  <c r="R239" i="38"/>
  <c r="R45" i="38"/>
  <c r="P4" i="37"/>
  <c r="O301" i="37"/>
  <c r="P301" i="37" s="1"/>
  <c r="Q301" i="37" s="1"/>
  <c r="O220" i="37"/>
  <c r="P220" i="37" s="1"/>
  <c r="Q220" i="37" s="1"/>
  <c r="O50" i="37"/>
  <c r="P50" i="37" s="1"/>
  <c r="Q50" i="37" s="1"/>
  <c r="O216" i="37"/>
  <c r="P216" i="37" s="1"/>
  <c r="Q216" i="37" s="1"/>
  <c r="O198" i="37"/>
  <c r="P198" i="37" s="1"/>
  <c r="Q198" i="37" s="1"/>
  <c r="O60" i="37"/>
  <c r="P60" i="37" s="1"/>
  <c r="Q60" i="37" s="1"/>
  <c r="O46" i="37"/>
  <c r="P46" i="37" s="1"/>
  <c r="Q46" i="37" s="1"/>
  <c r="O147" i="37"/>
  <c r="P147" i="37" s="1"/>
  <c r="Q147" i="37" s="1"/>
  <c r="O249" i="37"/>
  <c r="P249" i="37" s="1"/>
  <c r="Q249" i="37" s="1"/>
  <c r="O199" i="37"/>
  <c r="P199" i="37" s="1"/>
  <c r="Q199" i="37" s="1"/>
  <c r="O305" i="37"/>
  <c r="P305" i="37" s="1"/>
  <c r="Q305" i="37" s="1"/>
  <c r="O7" i="37"/>
  <c r="P7" i="37" s="1"/>
  <c r="Q7" i="37" s="1"/>
  <c r="O144" i="37"/>
  <c r="P144" i="37" s="1"/>
  <c r="Q144" i="37" s="1"/>
  <c r="O141" i="37"/>
  <c r="P141" i="37" s="1"/>
  <c r="Q141" i="37" s="1"/>
  <c r="O183" i="37"/>
  <c r="P183" i="37" s="1"/>
  <c r="Q183" i="37" s="1"/>
  <c r="O208" i="37"/>
  <c r="P208" i="37" s="1"/>
  <c r="Q208" i="37" s="1"/>
  <c r="O69" i="37"/>
  <c r="P69" i="37" s="1"/>
  <c r="Q69" i="37" s="1"/>
  <c r="O44" i="37"/>
  <c r="P44" i="37" s="1"/>
  <c r="Q44" i="37" s="1"/>
  <c r="O233" i="37"/>
  <c r="P233" i="37" s="1"/>
  <c r="Q233" i="37" s="1"/>
  <c r="O137" i="37"/>
  <c r="P137" i="37" s="1"/>
  <c r="Q137" i="37" s="1"/>
  <c r="O127" i="37"/>
  <c r="P127" i="37" s="1"/>
  <c r="Q127" i="37" s="1"/>
  <c r="O205" i="37"/>
  <c r="P205" i="37" s="1"/>
  <c r="Q205" i="37" s="1"/>
  <c r="O235" i="37"/>
  <c r="P235" i="37" s="1"/>
  <c r="Q235" i="37" s="1"/>
  <c r="O122" i="37"/>
  <c r="P122" i="37" s="1"/>
  <c r="Q122" i="37" s="1"/>
  <c r="O194" i="37"/>
  <c r="P194" i="37" s="1"/>
  <c r="Q194" i="37" s="1"/>
  <c r="O10" i="37"/>
  <c r="P10" i="37" s="1"/>
  <c r="Q10" i="37" s="1"/>
  <c r="O258" i="37"/>
  <c r="P258" i="37" s="1"/>
  <c r="Q258" i="37" s="1"/>
  <c r="O129" i="37"/>
  <c r="P129" i="37" s="1"/>
  <c r="Q129" i="37" s="1"/>
  <c r="O109" i="37"/>
  <c r="P109" i="37" s="1"/>
  <c r="Q109" i="37" s="1"/>
  <c r="O242" i="37"/>
  <c r="P242" i="37" s="1"/>
  <c r="Q242" i="37" s="1"/>
  <c r="O231" i="37"/>
  <c r="P231" i="37" s="1"/>
  <c r="Q231" i="37" s="1"/>
  <c r="O192" i="37"/>
  <c r="P192" i="37" s="1"/>
  <c r="Q192" i="37" s="1"/>
  <c r="O72" i="37"/>
  <c r="P72" i="37" s="1"/>
  <c r="Q72" i="37" s="1"/>
  <c r="O213" i="37"/>
  <c r="P213" i="37" s="1"/>
  <c r="Q213" i="37" s="1"/>
  <c r="O212" i="37"/>
  <c r="P212" i="37" s="1"/>
  <c r="Q212" i="37" s="1"/>
  <c r="O234" i="37"/>
  <c r="P234" i="37" s="1"/>
  <c r="Q234" i="37" s="1"/>
  <c r="O288" i="37"/>
  <c r="P288" i="37" s="1"/>
  <c r="Q288" i="37" s="1"/>
  <c r="O102" i="37"/>
  <c r="P102" i="37" s="1"/>
  <c r="Q102" i="37" s="1"/>
  <c r="O158" i="37"/>
  <c r="P158" i="37" s="1"/>
  <c r="Q158" i="37" s="1"/>
  <c r="O229" i="37"/>
  <c r="P229" i="37" s="1"/>
  <c r="Q229" i="37" s="1"/>
  <c r="O302" i="37"/>
  <c r="P302" i="37" s="1"/>
  <c r="Q302" i="37" s="1"/>
  <c r="O17" i="37"/>
  <c r="P17" i="37" s="1"/>
  <c r="Q17" i="37" s="1"/>
  <c r="O265" i="37"/>
  <c r="P265" i="37" s="1"/>
  <c r="Q265" i="37" s="1"/>
  <c r="O223" i="37"/>
  <c r="P223" i="37" s="1"/>
  <c r="Q223" i="37" s="1"/>
  <c r="O90" i="37"/>
  <c r="P90" i="37" s="1"/>
  <c r="Q90" i="37" s="1"/>
  <c r="O66" i="37"/>
  <c r="P66" i="37" s="1"/>
  <c r="Q66" i="37" s="1"/>
  <c r="O290" i="37"/>
  <c r="P290" i="37" s="1"/>
  <c r="Q290" i="37" s="1"/>
  <c r="O255" i="37"/>
  <c r="P255" i="37" s="1"/>
  <c r="Q255" i="37" s="1"/>
  <c r="O307" i="37"/>
  <c r="P307" i="37" s="1"/>
  <c r="Q307" i="37" s="1"/>
  <c r="O224" i="37"/>
  <c r="P224" i="37" s="1"/>
  <c r="Q224" i="37" s="1"/>
  <c r="O101" i="37"/>
  <c r="P101" i="37" s="1"/>
  <c r="Q101" i="37" s="1"/>
  <c r="O311" i="37"/>
  <c r="P311" i="37" s="1"/>
  <c r="Q311" i="37" s="1"/>
  <c r="O20" i="37"/>
  <c r="P20" i="37" s="1"/>
  <c r="Q20" i="37" s="1"/>
  <c r="O239" i="37"/>
  <c r="P239" i="37" s="1"/>
  <c r="Q239" i="37" s="1"/>
  <c r="O40" i="37"/>
  <c r="P40" i="37" s="1"/>
  <c r="Q40" i="37" s="1"/>
  <c r="O16" i="37"/>
  <c r="P16" i="37" s="1"/>
  <c r="Q16" i="37" s="1"/>
  <c r="O195" i="37"/>
  <c r="P195" i="37" s="1"/>
  <c r="Q195" i="37" s="1"/>
  <c r="O6" i="37"/>
  <c r="P6" i="37" s="1"/>
  <c r="Q6" i="37" s="1"/>
  <c r="O91" i="37"/>
  <c r="P91" i="37" s="1"/>
  <c r="Q91" i="37" s="1"/>
  <c r="O226" i="37"/>
  <c r="P226" i="37" s="1"/>
  <c r="Q226" i="37" s="1"/>
  <c r="O193" i="37"/>
  <c r="P193" i="37" s="1"/>
  <c r="Q193" i="37" s="1"/>
  <c r="O140" i="37"/>
  <c r="P140" i="37" s="1"/>
  <c r="Q140" i="37" s="1"/>
  <c r="O164" i="37"/>
  <c r="P164" i="37" s="1"/>
  <c r="Q164" i="37" s="1"/>
  <c r="O165" i="37"/>
  <c r="P165" i="37" s="1"/>
  <c r="Q165" i="37" s="1"/>
  <c r="O121" i="37"/>
  <c r="P121" i="37" s="1"/>
  <c r="Q121" i="37" s="1"/>
  <c r="O162" i="37"/>
  <c r="P162" i="37" s="1"/>
  <c r="Q162" i="37" s="1"/>
  <c r="O136" i="37"/>
  <c r="P136" i="37" s="1"/>
  <c r="Q136" i="37" s="1"/>
  <c r="O188" i="37"/>
  <c r="P188" i="37" s="1"/>
  <c r="Q188" i="37" s="1"/>
  <c r="O61" i="37"/>
  <c r="P61" i="37" s="1"/>
  <c r="Q61" i="37" s="1"/>
  <c r="O82" i="37"/>
  <c r="P82" i="37" s="1"/>
  <c r="Q82" i="37" s="1"/>
  <c r="O56" i="37"/>
  <c r="P56" i="37" s="1"/>
  <c r="Q56" i="37" s="1"/>
  <c r="O130" i="37"/>
  <c r="P130" i="37" s="1"/>
  <c r="Q130" i="37" s="1"/>
  <c r="O236" i="37"/>
  <c r="P236" i="37" s="1"/>
  <c r="Q236" i="37" s="1"/>
  <c r="O106" i="37"/>
  <c r="P106" i="37" s="1"/>
  <c r="Q106" i="37" s="1"/>
  <c r="O25" i="37"/>
  <c r="P25" i="37" s="1"/>
  <c r="Q25" i="37" s="1"/>
  <c r="O23" i="37"/>
  <c r="P23" i="37" s="1"/>
  <c r="Q23" i="37" s="1"/>
  <c r="O88" i="37"/>
  <c r="P88" i="37" s="1"/>
  <c r="Q88" i="37" s="1"/>
  <c r="O63" i="37"/>
  <c r="P63" i="37" s="1"/>
  <c r="Q63" i="37" s="1"/>
  <c r="O112" i="37"/>
  <c r="P112" i="37" s="1"/>
  <c r="Q112" i="37" s="1"/>
  <c r="O202" i="37"/>
  <c r="P202" i="37" s="1"/>
  <c r="Q202" i="37" s="1"/>
  <c r="O53" i="37"/>
  <c r="P53" i="37" s="1"/>
  <c r="Q53" i="37" s="1"/>
  <c r="O86" i="37"/>
  <c r="P86" i="37" s="1"/>
  <c r="Q86" i="37" s="1"/>
  <c r="O274" i="37"/>
  <c r="P274" i="37" s="1"/>
  <c r="Q274" i="37" s="1"/>
  <c r="O83" i="37"/>
  <c r="P83" i="37" s="1"/>
  <c r="Q83" i="37" s="1"/>
  <c r="O178" i="37"/>
  <c r="P178" i="37" s="1"/>
  <c r="Q178" i="37" s="1"/>
  <c r="O135" i="37"/>
  <c r="P135" i="37" s="1"/>
  <c r="Q135" i="37" s="1"/>
  <c r="O120" i="37"/>
  <c r="P120" i="37" s="1"/>
  <c r="Q120" i="37" s="1"/>
  <c r="O13" i="37"/>
  <c r="P13" i="37" s="1"/>
  <c r="Q13" i="37" s="1"/>
  <c r="O124" i="37"/>
  <c r="P124" i="37" s="1"/>
  <c r="Q124" i="37" s="1"/>
  <c r="O304" i="37"/>
  <c r="P304" i="37" s="1"/>
  <c r="Q304" i="37" s="1"/>
  <c r="O24" i="37"/>
  <c r="P24" i="37" s="1"/>
  <c r="Q24" i="37" s="1"/>
  <c r="O189" i="37"/>
  <c r="P189" i="37" s="1"/>
  <c r="Q189" i="37" s="1"/>
  <c r="O89" i="37"/>
  <c r="P89" i="37" s="1"/>
  <c r="Q89" i="37" s="1"/>
  <c r="O87" i="37"/>
  <c r="P87" i="37" s="1"/>
  <c r="Q87" i="37" s="1"/>
  <c r="O93" i="37"/>
  <c r="P93" i="37" s="1"/>
  <c r="Q93" i="37" s="1"/>
  <c r="O166" i="37"/>
  <c r="P166" i="37" s="1"/>
  <c r="Q166" i="37" s="1"/>
  <c r="O45" i="37"/>
  <c r="P45" i="37" s="1"/>
  <c r="Q45" i="37" s="1"/>
  <c r="O79" i="37"/>
  <c r="P79" i="37" s="1"/>
  <c r="Q79" i="37" s="1"/>
  <c r="O43" i="37"/>
  <c r="P43" i="37" s="1"/>
  <c r="Q43" i="37" s="1"/>
  <c r="O259" i="37"/>
  <c r="P259" i="37" s="1"/>
  <c r="Q259" i="37" s="1"/>
  <c r="O139" i="37"/>
  <c r="P139" i="37" s="1"/>
  <c r="Q139" i="37" s="1"/>
  <c r="O299" i="37"/>
  <c r="P299" i="37" s="1"/>
  <c r="Q299" i="37" s="1"/>
  <c r="O277" i="37"/>
  <c r="P277" i="37" s="1"/>
  <c r="Q277" i="37" s="1"/>
  <c r="O163" i="37"/>
  <c r="P163" i="37" s="1"/>
  <c r="Q163" i="37" s="1"/>
  <c r="O37" i="37"/>
  <c r="P37" i="37" s="1"/>
  <c r="Q37" i="37" s="1"/>
  <c r="O34" i="37"/>
  <c r="P34" i="37" s="1"/>
  <c r="Q34" i="37" s="1"/>
  <c r="O263" i="37"/>
  <c r="P263" i="37" s="1"/>
  <c r="Q263" i="37" s="1"/>
  <c r="O253" i="37"/>
  <c r="P253" i="37" s="1"/>
  <c r="Q253" i="37" s="1"/>
  <c r="O84" i="37"/>
  <c r="P84" i="37" s="1"/>
  <c r="Q84" i="37" s="1"/>
  <c r="O257" i="37"/>
  <c r="P257" i="37" s="1"/>
  <c r="Q257" i="37" s="1"/>
  <c r="O118" i="37"/>
  <c r="P118" i="37" s="1"/>
  <c r="Q118" i="37" s="1"/>
  <c r="O128" i="37"/>
  <c r="P128" i="37" s="1"/>
  <c r="Q128" i="37" s="1"/>
  <c r="O99" i="37"/>
  <c r="P99" i="37" s="1"/>
  <c r="Q99" i="37" s="1"/>
  <c r="O116" i="37"/>
  <c r="P116" i="37" s="1"/>
  <c r="Q116" i="37" s="1"/>
  <c r="O155" i="37"/>
  <c r="P155" i="37" s="1"/>
  <c r="Q155" i="37" s="1"/>
  <c r="O281" i="37"/>
  <c r="P281" i="37" s="1"/>
  <c r="Q281" i="37" s="1"/>
  <c r="O245" i="37"/>
  <c r="P245" i="37" s="1"/>
  <c r="Q245" i="37" s="1"/>
  <c r="O214" i="37"/>
  <c r="P214" i="37" s="1"/>
  <c r="Q214" i="37" s="1"/>
  <c r="O31" i="37"/>
  <c r="P31" i="37" s="1"/>
  <c r="Q31" i="37" s="1"/>
  <c r="O19" i="37"/>
  <c r="P19" i="37" s="1"/>
  <c r="Q19" i="37" s="1"/>
  <c r="O78" i="37"/>
  <c r="P78" i="37" s="1"/>
  <c r="Q78" i="37" s="1"/>
  <c r="O177" i="37"/>
  <c r="P177" i="37" s="1"/>
  <c r="Q177" i="37" s="1"/>
  <c r="O110" i="37"/>
  <c r="P110" i="37" s="1"/>
  <c r="Q110" i="37" s="1"/>
  <c r="O14" i="37"/>
  <c r="P14" i="37" s="1"/>
  <c r="Q14" i="37" s="1"/>
  <c r="O170" i="37"/>
  <c r="P170" i="37" s="1"/>
  <c r="Q170" i="37" s="1"/>
  <c r="O252" i="37"/>
  <c r="P252" i="37" s="1"/>
  <c r="Q252" i="37" s="1"/>
  <c r="O161" i="37"/>
  <c r="P161" i="37" s="1"/>
  <c r="Q161" i="37" s="1"/>
  <c r="O152" i="37"/>
  <c r="P152" i="37" s="1"/>
  <c r="Q152" i="37" s="1"/>
  <c r="O65" i="37"/>
  <c r="P65" i="37" s="1"/>
  <c r="Q65" i="37" s="1"/>
  <c r="O15" i="37"/>
  <c r="P15" i="37" s="1"/>
  <c r="Q15" i="37" s="1"/>
  <c r="O289" i="37"/>
  <c r="P289" i="37" s="1"/>
  <c r="Q289" i="37" s="1"/>
  <c r="O55" i="37"/>
  <c r="P55" i="37" s="1"/>
  <c r="Q55" i="37" s="1"/>
  <c r="O256" i="37"/>
  <c r="P256" i="37" s="1"/>
  <c r="Q256" i="37" s="1"/>
  <c r="O200" i="37"/>
  <c r="P200" i="37" s="1"/>
  <c r="Q200" i="37" s="1"/>
  <c r="O74" i="37"/>
  <c r="P74" i="37" s="1"/>
  <c r="Q74" i="37" s="1"/>
  <c r="O174" i="37"/>
  <c r="P174" i="37" s="1"/>
  <c r="Q174" i="37" s="1"/>
  <c r="O62" i="37"/>
  <c r="P62" i="37" s="1"/>
  <c r="Q62" i="37" s="1"/>
  <c r="O270" i="37"/>
  <c r="P270" i="37" s="1"/>
  <c r="Q270" i="37" s="1"/>
  <c r="O244" i="37"/>
  <c r="P244" i="37" s="1"/>
  <c r="Q244" i="37" s="1"/>
  <c r="O279" i="37"/>
  <c r="P279" i="37" s="1"/>
  <c r="Q279" i="37" s="1"/>
  <c r="O41" i="37"/>
  <c r="P41" i="37" s="1"/>
  <c r="Q41" i="37" s="1"/>
  <c r="O113" i="37"/>
  <c r="P113" i="37" s="1"/>
  <c r="Q113" i="37" s="1"/>
  <c r="O153" i="37"/>
  <c r="P153" i="37" s="1"/>
  <c r="Q153" i="37" s="1"/>
  <c r="O309" i="37"/>
  <c r="P309" i="37" s="1"/>
  <c r="Q309" i="37" s="1"/>
  <c r="O312" i="37"/>
  <c r="P312" i="37" s="1"/>
  <c r="Q312" i="37" s="1"/>
  <c r="O297" i="37"/>
  <c r="P297" i="37" s="1"/>
  <c r="Q297" i="37" s="1"/>
  <c r="O294" i="37"/>
  <c r="P294" i="37" s="1"/>
  <c r="Q294" i="37" s="1"/>
  <c r="O278" i="37"/>
  <c r="P278" i="37" s="1"/>
  <c r="Q278" i="37" s="1"/>
  <c r="O96" i="37"/>
  <c r="P96" i="37" s="1"/>
  <c r="Q96" i="37" s="1"/>
  <c r="O246" i="37"/>
  <c r="P246" i="37" s="1"/>
  <c r="Q246" i="37" s="1"/>
  <c r="O217" i="37"/>
  <c r="P217" i="37" s="1"/>
  <c r="Q217" i="37" s="1"/>
  <c r="O181" i="37"/>
  <c r="P181" i="37" s="1"/>
  <c r="Q181" i="37" s="1"/>
  <c r="O264" i="37"/>
  <c r="P264" i="37" s="1"/>
  <c r="Q264" i="37" s="1"/>
  <c r="O70" i="37"/>
  <c r="P70" i="37" s="1"/>
  <c r="Q70" i="37" s="1"/>
  <c r="O306" i="37"/>
  <c r="P306" i="37" s="1"/>
  <c r="Q306" i="37" s="1"/>
  <c r="O268" i="37"/>
  <c r="P268" i="37" s="1"/>
  <c r="Q268" i="37" s="1"/>
  <c r="O172" i="37"/>
  <c r="P172" i="37" s="1"/>
  <c r="Q172" i="37" s="1"/>
  <c r="O300" i="37"/>
  <c r="P300" i="37" s="1"/>
  <c r="Q300" i="37" s="1"/>
  <c r="O75" i="37"/>
  <c r="P75" i="37" s="1"/>
  <c r="Q75" i="37" s="1"/>
  <c r="O251" i="37"/>
  <c r="P251" i="37" s="1"/>
  <c r="Q251" i="37" s="1"/>
  <c r="O160" i="37"/>
  <c r="P160" i="37" s="1"/>
  <c r="Q160" i="37" s="1"/>
  <c r="O47" i="37"/>
  <c r="P47" i="37" s="1"/>
  <c r="Q47" i="37" s="1"/>
  <c r="O117" i="37"/>
  <c r="P117" i="37" s="1"/>
  <c r="Q117" i="37" s="1"/>
  <c r="O169" i="37"/>
  <c r="P169" i="37" s="1"/>
  <c r="Q169" i="37" s="1"/>
  <c r="O228" i="37"/>
  <c r="P228" i="37" s="1"/>
  <c r="Q228" i="37" s="1"/>
  <c r="O39" i="37"/>
  <c r="P39" i="37" s="1"/>
  <c r="Q39" i="37" s="1"/>
  <c r="O85" i="37"/>
  <c r="P85" i="37" s="1"/>
  <c r="Q85" i="37" s="1"/>
  <c r="O296" i="37"/>
  <c r="P296" i="37" s="1"/>
  <c r="Q296" i="37" s="1"/>
  <c r="O219" i="37"/>
  <c r="P219" i="37" s="1"/>
  <c r="Q219" i="37" s="1"/>
  <c r="O232" i="37"/>
  <c r="P232" i="37" s="1"/>
  <c r="Q232" i="37" s="1"/>
  <c r="O33" i="37"/>
  <c r="P33" i="37" s="1"/>
  <c r="Q33" i="37" s="1"/>
  <c r="O292" i="37"/>
  <c r="P292" i="37" s="1"/>
  <c r="Q292" i="37" s="1"/>
  <c r="O291" i="37"/>
  <c r="P291" i="37" s="1"/>
  <c r="Q291" i="37" s="1"/>
  <c r="O227" i="37"/>
  <c r="P227" i="37" s="1"/>
  <c r="Q227" i="37" s="1"/>
  <c r="O18" i="37"/>
  <c r="P18" i="37" s="1"/>
  <c r="Q18" i="37" s="1"/>
  <c r="O154" i="37"/>
  <c r="P154" i="37" s="1"/>
  <c r="Q154" i="37" s="1"/>
  <c r="O133" i="37"/>
  <c r="P133" i="37" s="1"/>
  <c r="Q133" i="37" s="1"/>
  <c r="O204" i="37"/>
  <c r="P204" i="37" s="1"/>
  <c r="Q204" i="37" s="1"/>
  <c r="O142" i="37"/>
  <c r="P142" i="37" s="1"/>
  <c r="Q142" i="37" s="1"/>
  <c r="O94" i="37"/>
  <c r="P94" i="37" s="1"/>
  <c r="Q94" i="37" s="1"/>
  <c r="O138" i="37"/>
  <c r="P138" i="37" s="1"/>
  <c r="Q138" i="37" s="1"/>
  <c r="O171" i="37"/>
  <c r="P171" i="37" s="1"/>
  <c r="Q171" i="37" s="1"/>
  <c r="O38" i="37"/>
  <c r="P38" i="37" s="1"/>
  <c r="Q38" i="37" s="1"/>
  <c r="O156" i="37"/>
  <c r="P156" i="37" s="1"/>
  <c r="Q156" i="37" s="1"/>
  <c r="O9" i="37"/>
  <c r="P9" i="37" s="1"/>
  <c r="Q9" i="37" s="1"/>
  <c r="O175" i="37"/>
  <c r="P175" i="37" s="1"/>
  <c r="Q175" i="37" s="1"/>
  <c r="O131" i="37"/>
  <c r="P131" i="37" s="1"/>
  <c r="Q131" i="37" s="1"/>
  <c r="O182" i="37"/>
  <c r="P182" i="37" s="1"/>
  <c r="Q182" i="37" s="1"/>
  <c r="O52" i="37"/>
  <c r="P52" i="37" s="1"/>
  <c r="Q52" i="37" s="1"/>
  <c r="O215" i="37"/>
  <c r="P215" i="37" s="1"/>
  <c r="Q215" i="37" s="1"/>
  <c r="O35" i="37"/>
  <c r="P35" i="37" s="1"/>
  <c r="Q35" i="37" s="1"/>
  <c r="O295" i="37"/>
  <c r="P295" i="37" s="1"/>
  <c r="Q295" i="37" s="1"/>
  <c r="O51" i="37"/>
  <c r="P51" i="37" s="1"/>
  <c r="Q51" i="37" s="1"/>
  <c r="O310" i="37"/>
  <c r="P310" i="37" s="1"/>
  <c r="Q310" i="37" s="1"/>
  <c r="O196" i="37"/>
  <c r="P196" i="37" s="1"/>
  <c r="Q196" i="37" s="1"/>
  <c r="O285" i="37"/>
  <c r="P285" i="37" s="1"/>
  <c r="Q285" i="37" s="1"/>
  <c r="O42" i="37"/>
  <c r="P42" i="37" s="1"/>
  <c r="Q42" i="37" s="1"/>
  <c r="O68" i="37"/>
  <c r="P68" i="37" s="1"/>
  <c r="Q68" i="37" s="1"/>
  <c r="O272" i="37"/>
  <c r="P272" i="37" s="1"/>
  <c r="Q272" i="37" s="1"/>
  <c r="O179" i="37"/>
  <c r="P179" i="37" s="1"/>
  <c r="Q179" i="37" s="1"/>
  <c r="O5" i="37"/>
  <c r="P5" i="37" s="1"/>
  <c r="Q5" i="37" s="1"/>
  <c r="O48" i="37"/>
  <c r="P48" i="37" s="1"/>
  <c r="Q48" i="37" s="1"/>
  <c r="O207" i="37"/>
  <c r="P207" i="37" s="1"/>
  <c r="Q207" i="37" s="1"/>
  <c r="O134" i="37"/>
  <c r="P134" i="37" s="1"/>
  <c r="Q134" i="37" s="1"/>
  <c r="O197" i="37"/>
  <c r="P197" i="37" s="1"/>
  <c r="Q197" i="37" s="1"/>
  <c r="O247" i="37"/>
  <c r="P247" i="37" s="1"/>
  <c r="Q247" i="37" s="1"/>
  <c r="O114" i="37"/>
  <c r="P114" i="37" s="1"/>
  <c r="Q114" i="37" s="1"/>
  <c r="O22" i="37"/>
  <c r="P22" i="37" s="1"/>
  <c r="Q22" i="37" s="1"/>
  <c r="O173" i="37"/>
  <c r="P173" i="37" s="1"/>
  <c r="Q173" i="37" s="1"/>
  <c r="O230" i="37"/>
  <c r="P230" i="37" s="1"/>
  <c r="Q230" i="37" s="1"/>
  <c r="O176" i="37"/>
  <c r="P176" i="37" s="1"/>
  <c r="Q176" i="37" s="1"/>
  <c r="O8" i="37"/>
  <c r="P8" i="37" s="1"/>
  <c r="Q8" i="37" s="1"/>
  <c r="O280" i="37"/>
  <c r="P280" i="37" s="1"/>
  <c r="Q280" i="37" s="1"/>
  <c r="O105" i="37"/>
  <c r="P105" i="37" s="1"/>
  <c r="Q105" i="37" s="1"/>
  <c r="O303" i="37"/>
  <c r="P303" i="37" s="1"/>
  <c r="Q303" i="37" s="1"/>
  <c r="O26" i="37"/>
  <c r="P26" i="37" s="1"/>
  <c r="Q26" i="37" s="1"/>
  <c r="O218" i="37"/>
  <c r="P218" i="37" s="1"/>
  <c r="Q218" i="37" s="1"/>
  <c r="O241" i="37"/>
  <c r="P241" i="37" s="1"/>
  <c r="Q241" i="37" s="1"/>
  <c r="O27" i="37"/>
  <c r="P27" i="37" s="1"/>
  <c r="Q27" i="37" s="1"/>
  <c r="O12" i="37"/>
  <c r="P12" i="37" s="1"/>
  <c r="Q12" i="37" s="1"/>
  <c r="O146" i="37"/>
  <c r="P146" i="37" s="1"/>
  <c r="Q146" i="37" s="1"/>
  <c r="O260" i="37"/>
  <c r="P260" i="37" s="1"/>
  <c r="Q260" i="37" s="1"/>
  <c r="O30" i="37"/>
  <c r="P30" i="37" s="1"/>
  <c r="Q30" i="37" s="1"/>
  <c r="O209" i="37"/>
  <c r="P209" i="37" s="1"/>
  <c r="Q209" i="37" s="1"/>
  <c r="O149" i="37"/>
  <c r="P149" i="37" s="1"/>
  <c r="Q149" i="37" s="1"/>
  <c r="O283" i="37"/>
  <c r="P283" i="37" s="1"/>
  <c r="Q283" i="37" s="1"/>
  <c r="O275" i="37"/>
  <c r="P275" i="37" s="1"/>
  <c r="Q275" i="37" s="1"/>
  <c r="O167" i="37"/>
  <c r="P167" i="37" s="1"/>
  <c r="Q167" i="37" s="1"/>
  <c r="O287" i="37"/>
  <c r="P287" i="37" s="1"/>
  <c r="Q287" i="37" s="1"/>
  <c r="O298" i="37"/>
  <c r="P298" i="37" s="1"/>
  <c r="Q298" i="37" s="1"/>
  <c r="O77" i="37"/>
  <c r="P77" i="37" s="1"/>
  <c r="Q77" i="37" s="1"/>
  <c r="O222" i="37"/>
  <c r="P222" i="37" s="1"/>
  <c r="Q222" i="37" s="1"/>
  <c r="O97" i="37"/>
  <c r="P97" i="37" s="1"/>
  <c r="Q97" i="37" s="1"/>
  <c r="O240" i="37"/>
  <c r="P240" i="37" s="1"/>
  <c r="Q240" i="37" s="1"/>
  <c r="O132" i="37"/>
  <c r="P132" i="37" s="1"/>
  <c r="Q132" i="37" s="1"/>
  <c r="O186" i="37"/>
  <c r="P186" i="37" s="1"/>
  <c r="Q186" i="37" s="1"/>
  <c r="O185" i="37"/>
  <c r="P185" i="37" s="1"/>
  <c r="Q185" i="37" s="1"/>
  <c r="O54" i="37"/>
  <c r="P54" i="37" s="1"/>
  <c r="Q54" i="37" s="1"/>
  <c r="O315" i="37"/>
  <c r="P315" i="37" s="1"/>
  <c r="Q315" i="37" s="1"/>
  <c r="O145" i="37"/>
  <c r="P145" i="37" s="1"/>
  <c r="Q145" i="37" s="1"/>
  <c r="O95" i="37"/>
  <c r="P95" i="37" s="1"/>
  <c r="Q95" i="37" s="1"/>
  <c r="O271" i="37"/>
  <c r="P271" i="37" s="1"/>
  <c r="Q271" i="37" s="1"/>
  <c r="O64" i="37"/>
  <c r="P64" i="37" s="1"/>
  <c r="Q64" i="37" s="1"/>
  <c r="O29" i="37"/>
  <c r="P29" i="37" s="1"/>
  <c r="Q29" i="37" s="1"/>
  <c r="O123" i="37"/>
  <c r="P123" i="37" s="1"/>
  <c r="Q123" i="37" s="1"/>
  <c r="O125" i="37"/>
  <c r="P125" i="37" s="1"/>
  <c r="Q125" i="37" s="1"/>
  <c r="O58" i="37"/>
  <c r="P58" i="37" s="1"/>
  <c r="Q58" i="37" s="1"/>
  <c r="O261" i="37"/>
  <c r="P261" i="37" s="1"/>
  <c r="Q261" i="37" s="1"/>
  <c r="O203" i="37"/>
  <c r="P203" i="37" s="1"/>
  <c r="Q203" i="37" s="1"/>
  <c r="O168" i="37"/>
  <c r="P168" i="37" s="1"/>
  <c r="Q168" i="37" s="1"/>
  <c r="O254" i="37"/>
  <c r="P254" i="37" s="1"/>
  <c r="Q254" i="37" s="1"/>
  <c r="O11" i="37"/>
  <c r="P11" i="37" s="1"/>
  <c r="Q11" i="37" s="1"/>
  <c r="O98" i="37"/>
  <c r="P98" i="37" s="1"/>
  <c r="Q98" i="37" s="1"/>
  <c r="O266" i="37"/>
  <c r="P266" i="37" s="1"/>
  <c r="Q266" i="37" s="1"/>
  <c r="O49" i="37"/>
  <c r="P49" i="37" s="1"/>
  <c r="Q49" i="37" s="1"/>
  <c r="O282" i="37"/>
  <c r="P282" i="37" s="1"/>
  <c r="Q282" i="37" s="1"/>
  <c r="O36" i="37"/>
  <c r="P36" i="37" s="1"/>
  <c r="Q36" i="37" s="1"/>
  <c r="O308" i="37"/>
  <c r="P308" i="37" s="1"/>
  <c r="Q308" i="37" s="1"/>
  <c r="O250" i="37"/>
  <c r="P250" i="37" s="1"/>
  <c r="Q250" i="37" s="1"/>
  <c r="O184" i="37"/>
  <c r="P184" i="37" s="1"/>
  <c r="Q184" i="37" s="1"/>
  <c r="O313" i="37"/>
  <c r="P313" i="37" s="1"/>
  <c r="Q313" i="37" s="1"/>
  <c r="O59" i="37"/>
  <c r="P59" i="37" s="1"/>
  <c r="Q59" i="37" s="1"/>
  <c r="O151" i="37"/>
  <c r="P151" i="37" s="1"/>
  <c r="Q151" i="37" s="1"/>
  <c r="O71" i="37"/>
  <c r="P71" i="37" s="1"/>
  <c r="Q71" i="37" s="1"/>
  <c r="O57" i="37"/>
  <c r="P57" i="37" s="1"/>
  <c r="Q57" i="37" s="1"/>
  <c r="O80" i="37"/>
  <c r="P80" i="37" s="1"/>
  <c r="Q80" i="37" s="1"/>
  <c r="O157" i="37"/>
  <c r="P157" i="37" s="1"/>
  <c r="Q157" i="37" s="1"/>
  <c r="O28" i="37"/>
  <c r="P28" i="37" s="1"/>
  <c r="Q28" i="37" s="1"/>
  <c r="O108" i="37"/>
  <c r="P108" i="37" s="1"/>
  <c r="Q108" i="37" s="1"/>
  <c r="O273" i="37"/>
  <c r="P273" i="37" s="1"/>
  <c r="Q273" i="37" s="1"/>
  <c r="O248" i="37"/>
  <c r="P248" i="37" s="1"/>
  <c r="Q248" i="37" s="1"/>
  <c r="O210" i="37"/>
  <c r="P210" i="37" s="1"/>
  <c r="Q210" i="37" s="1"/>
  <c r="O143" i="37"/>
  <c r="P143" i="37" s="1"/>
  <c r="Q143" i="37" s="1"/>
  <c r="O150" i="37"/>
  <c r="P150" i="37" s="1"/>
  <c r="Q150" i="37" s="1"/>
  <c r="O100" i="37"/>
  <c r="P100" i="37" s="1"/>
  <c r="Q100" i="37" s="1"/>
  <c r="O76" i="37"/>
  <c r="P76" i="37" s="1"/>
  <c r="Q76" i="37" s="1"/>
  <c r="O201" i="37"/>
  <c r="P201" i="37" s="1"/>
  <c r="Q201" i="37" s="1"/>
  <c r="O243" i="37"/>
  <c r="P243" i="37" s="1"/>
  <c r="Q243" i="37" s="1"/>
  <c r="O293" i="37"/>
  <c r="P293" i="37" s="1"/>
  <c r="Q293" i="37" s="1"/>
  <c r="O148" i="37"/>
  <c r="P148" i="37" s="1"/>
  <c r="Q148" i="37" s="1"/>
  <c r="O276" i="37"/>
  <c r="P276" i="37" s="1"/>
  <c r="Q276" i="37" s="1"/>
  <c r="O269" i="37"/>
  <c r="P269" i="37" s="1"/>
  <c r="Q269" i="37" s="1"/>
  <c r="O111" i="37"/>
  <c r="P111" i="37" s="1"/>
  <c r="Q111" i="37" s="1"/>
  <c r="O126" i="37"/>
  <c r="P126" i="37" s="1"/>
  <c r="Q126" i="37" s="1"/>
  <c r="O159" i="37"/>
  <c r="P159" i="37" s="1"/>
  <c r="Q159" i="37" s="1"/>
  <c r="O284" i="37"/>
  <c r="P284" i="37" s="1"/>
  <c r="Q284" i="37" s="1"/>
  <c r="O211" i="37"/>
  <c r="P211" i="37" s="1"/>
  <c r="Q211" i="37" s="1"/>
  <c r="O237" i="37"/>
  <c r="P237" i="37" s="1"/>
  <c r="Q237" i="37" s="1"/>
  <c r="O267" i="37"/>
  <c r="P267" i="37" s="1"/>
  <c r="Q267" i="37" s="1"/>
  <c r="O314" i="37"/>
  <c r="P314" i="37" s="1"/>
  <c r="Q314" i="37" s="1"/>
  <c r="O221" i="37"/>
  <c r="P221" i="37" s="1"/>
  <c r="Q221" i="37" s="1"/>
  <c r="O119" i="37"/>
  <c r="P119" i="37" s="1"/>
  <c r="Q119" i="37" s="1"/>
  <c r="O225" i="37"/>
  <c r="P225" i="37" s="1"/>
  <c r="Q225" i="37" s="1"/>
  <c r="O115" i="37"/>
  <c r="P115" i="37" s="1"/>
  <c r="Q115" i="37" s="1"/>
  <c r="O32" i="37"/>
  <c r="P32" i="37" s="1"/>
  <c r="Q32" i="37" s="1"/>
  <c r="O107" i="37"/>
  <c r="P107" i="37" s="1"/>
  <c r="Q107" i="37" s="1"/>
  <c r="O67" i="37"/>
  <c r="P67" i="37" s="1"/>
  <c r="Q67" i="37" s="1"/>
  <c r="O286" i="37"/>
  <c r="P286" i="37" s="1"/>
  <c r="Q286" i="37" s="1"/>
  <c r="O21" i="37"/>
  <c r="P21" i="37" s="1"/>
  <c r="Q21" i="37" s="1"/>
  <c r="O180" i="37"/>
  <c r="P180" i="37" s="1"/>
  <c r="Q180" i="37" s="1"/>
  <c r="O262" i="37"/>
  <c r="P262" i="37" s="1"/>
  <c r="Q262" i="37" s="1"/>
  <c r="O103" i="37"/>
  <c r="P103" i="37" s="1"/>
  <c r="Q103" i="37" s="1"/>
  <c r="O73" i="37"/>
  <c r="P73" i="37" s="1"/>
  <c r="Q73" i="37" s="1"/>
  <c r="O81" i="37"/>
  <c r="P81" i="37" s="1"/>
  <c r="Q81" i="37" s="1"/>
  <c r="O187" i="37"/>
  <c r="P187" i="37" s="1"/>
  <c r="Q187" i="37" s="1"/>
  <c r="O206" i="37"/>
  <c r="P206" i="37" s="1"/>
  <c r="Q206" i="37" s="1"/>
  <c r="O191" i="37"/>
  <c r="P191" i="37" s="1"/>
  <c r="Q191" i="37" s="1"/>
  <c r="O190" i="37"/>
  <c r="P190" i="37" s="1"/>
  <c r="Q190" i="37" s="1"/>
  <c r="O238" i="37"/>
  <c r="P238" i="37" s="1"/>
  <c r="Q238" i="37" s="1"/>
  <c r="O92" i="37"/>
  <c r="P92" i="37" s="1"/>
  <c r="Q92" i="37" s="1"/>
  <c r="O104" i="37"/>
  <c r="P104" i="37" s="1"/>
  <c r="Q104" i="37" s="1"/>
  <c r="R129" i="36"/>
  <c r="R51" i="36"/>
  <c r="R293" i="36"/>
  <c r="R83" i="36"/>
  <c r="R275" i="36"/>
  <c r="R100" i="36"/>
  <c r="R19" i="36"/>
  <c r="R286" i="36"/>
  <c r="R60" i="36"/>
  <c r="R179" i="36"/>
  <c r="R193" i="36"/>
  <c r="R244" i="36"/>
  <c r="R251" i="36"/>
  <c r="R34" i="36"/>
  <c r="R138" i="36"/>
  <c r="R68" i="36"/>
  <c r="R112" i="36"/>
  <c r="R101" i="36"/>
  <c r="R234" i="36"/>
  <c r="R67" i="36"/>
  <c r="R271" i="36"/>
  <c r="R209" i="36"/>
  <c r="R115" i="36"/>
  <c r="R65" i="36"/>
  <c r="R220" i="36"/>
  <c r="R173" i="36"/>
  <c r="R62" i="36"/>
  <c r="R285" i="36"/>
  <c r="R130" i="36"/>
  <c r="R295" i="36"/>
  <c r="R203" i="36"/>
  <c r="R20" i="36"/>
  <c r="R227" i="36"/>
  <c r="R52" i="36"/>
  <c r="R79" i="36"/>
  <c r="R282" i="36"/>
  <c r="R141" i="36"/>
  <c r="R12" i="36"/>
  <c r="R204" i="36"/>
  <c r="R270" i="36"/>
  <c r="R28" i="36"/>
  <c r="R167" i="36"/>
  <c r="R152" i="36"/>
  <c r="R198" i="36"/>
  <c r="R217" i="36"/>
  <c r="R168" i="36"/>
  <c r="R16" i="36"/>
  <c r="R92" i="36"/>
  <c r="R96" i="36"/>
  <c r="R300" i="36"/>
  <c r="R161" i="36"/>
  <c r="R38" i="36"/>
  <c r="R248" i="36"/>
  <c r="R171" i="36"/>
  <c r="R166" i="36"/>
  <c r="R259" i="36"/>
  <c r="R182" i="36"/>
  <c r="R288" i="36"/>
  <c r="R158" i="36"/>
  <c r="R125" i="36"/>
  <c r="R80" i="36"/>
  <c r="R148" i="36"/>
  <c r="R185" i="36"/>
  <c r="R255" i="36"/>
  <c r="R139" i="36"/>
  <c r="R188" i="36"/>
  <c r="R243" i="36"/>
  <c r="R261" i="36"/>
  <c r="R35" i="36"/>
  <c r="R140" i="36"/>
  <c r="R192" i="36"/>
  <c r="R61" i="36"/>
  <c r="R207" i="36"/>
  <c r="R289" i="36"/>
  <c r="R240" i="36"/>
  <c r="R106" i="36"/>
  <c r="R13" i="36"/>
  <c r="R218" i="36"/>
  <c r="R215" i="36"/>
  <c r="R180" i="36"/>
  <c r="R292" i="36"/>
  <c r="R84" i="36"/>
  <c r="R309" i="36"/>
  <c r="R69" i="36"/>
  <c r="R103" i="36"/>
  <c r="R305" i="36"/>
  <c r="R160" i="36"/>
  <c r="R45" i="36"/>
  <c r="R172" i="36"/>
  <c r="R253" i="36"/>
  <c r="R143" i="36"/>
  <c r="R307" i="36"/>
  <c r="R118" i="36"/>
  <c r="R224" i="36"/>
  <c r="R280" i="36"/>
  <c r="R163" i="36"/>
  <c r="R226" i="36"/>
  <c r="R205" i="36"/>
  <c r="R89" i="36"/>
  <c r="R230" i="36"/>
  <c r="R190" i="36"/>
  <c r="R54" i="36"/>
  <c r="R236" i="36"/>
  <c r="R76" i="36"/>
  <c r="R178" i="36"/>
  <c r="R53" i="36"/>
  <c r="R252" i="36"/>
  <c r="R87" i="36"/>
  <c r="R249" i="36"/>
  <c r="R197" i="36"/>
  <c r="R156" i="36"/>
  <c r="R283" i="36"/>
  <c r="R277" i="36"/>
  <c r="R228" i="36"/>
  <c r="R260" i="36"/>
  <c r="R201" i="36"/>
  <c r="R183" i="36"/>
  <c r="R48" i="36"/>
  <c r="R191" i="36"/>
  <c r="R196" i="36"/>
  <c r="R88" i="36"/>
  <c r="R162" i="36"/>
  <c r="R177" i="36"/>
  <c r="R25" i="36"/>
  <c r="R37" i="36"/>
  <c r="R202" i="36"/>
  <c r="R33" i="36"/>
  <c r="R134" i="36"/>
  <c r="R78" i="36"/>
  <c r="R159" i="36"/>
  <c r="R268" i="36"/>
  <c r="R57" i="36"/>
  <c r="R50" i="36"/>
  <c r="R216" i="36"/>
  <c r="R131" i="36"/>
  <c r="R145" i="36"/>
  <c r="R169" i="36"/>
  <c r="R200" i="36"/>
  <c r="R235" i="36"/>
  <c r="R98" i="36"/>
  <c r="R149" i="36"/>
  <c r="R276" i="36"/>
  <c r="R245" i="36"/>
  <c r="R108" i="36"/>
  <c r="R32" i="36"/>
  <c r="R10" i="36"/>
  <c r="R66" i="36"/>
  <c r="R263" i="36"/>
  <c r="R258" i="36"/>
  <c r="R63" i="36"/>
  <c r="R119" i="36"/>
  <c r="R104" i="36"/>
  <c r="R266" i="36"/>
  <c r="R105" i="36"/>
  <c r="R70" i="36"/>
  <c r="R164" i="36"/>
  <c r="R303" i="36"/>
  <c r="R128" i="36"/>
  <c r="R99" i="36"/>
  <c r="R39" i="36"/>
  <c r="R82" i="36"/>
  <c r="R55" i="36"/>
  <c r="R23" i="36"/>
  <c r="R5" i="36"/>
  <c r="R107" i="36"/>
  <c r="R81" i="36"/>
  <c r="R75" i="36"/>
  <c r="R314" i="36"/>
  <c r="R117" i="36"/>
  <c r="R176" i="36"/>
  <c r="R304" i="36"/>
  <c r="R41" i="36"/>
  <c r="R157" i="36"/>
  <c r="R299" i="36"/>
  <c r="R247" i="36"/>
  <c r="R302" i="36"/>
  <c r="R187" i="36"/>
  <c r="R73" i="36"/>
  <c r="R27" i="36"/>
  <c r="R97" i="36"/>
  <c r="R36" i="36"/>
  <c r="R26" i="36"/>
  <c r="R231" i="36"/>
  <c r="R219" i="36"/>
  <c r="R85" i="36"/>
  <c r="R113" i="36"/>
  <c r="R174" i="36"/>
  <c r="R272" i="36"/>
  <c r="R18" i="36"/>
  <c r="R257" i="36"/>
  <c r="R232" i="36"/>
  <c r="R151" i="36"/>
  <c r="R120" i="36"/>
  <c r="R175" i="36"/>
  <c r="R267" i="36"/>
  <c r="R265" i="36"/>
  <c r="R250" i="36"/>
  <c r="R165" i="36"/>
  <c r="R238" i="36"/>
  <c r="R114" i="36"/>
  <c r="R124" i="36"/>
  <c r="R136" i="36"/>
  <c r="R211" i="36"/>
  <c r="R74" i="36"/>
  <c r="R29" i="36"/>
  <c r="R195" i="36"/>
  <c r="R93" i="36"/>
  <c r="R287" i="36"/>
  <c r="R42" i="36"/>
  <c r="R31" i="36"/>
  <c r="R40" i="36"/>
  <c r="R189" i="36"/>
  <c r="R184" i="36"/>
  <c r="R206" i="36"/>
  <c r="R294" i="36"/>
  <c r="R311" i="36"/>
  <c r="R43" i="36"/>
  <c r="R137" i="36"/>
  <c r="R110" i="36"/>
  <c r="R290" i="36"/>
  <c r="R291" i="36"/>
  <c r="R122" i="36"/>
  <c r="R95" i="36"/>
  <c r="R222" i="36"/>
  <c r="R306" i="36"/>
  <c r="R91" i="36"/>
  <c r="R109" i="36"/>
  <c r="R121" i="36"/>
  <c r="R24" i="36"/>
  <c r="R77" i="36"/>
  <c r="R150" i="36"/>
  <c r="R144" i="36"/>
  <c r="R72" i="36"/>
  <c r="R94" i="36"/>
  <c r="R15" i="36"/>
  <c r="R312" i="36"/>
  <c r="R155" i="36"/>
  <c r="R133" i="36"/>
  <c r="R284" i="36"/>
  <c r="R49" i="36"/>
  <c r="R214" i="36"/>
  <c r="R123" i="36"/>
  <c r="R7" i="36"/>
  <c r="R241" i="36"/>
  <c r="R225" i="36"/>
  <c r="R58" i="36"/>
  <c r="R64" i="36"/>
  <c r="R298" i="36"/>
  <c r="R11" i="36"/>
  <c r="R278" i="36"/>
  <c r="R9" i="36"/>
  <c r="R170" i="36"/>
  <c r="R30" i="36"/>
  <c r="R14" i="36"/>
  <c r="R6" i="36"/>
  <c r="R126" i="36"/>
  <c r="R239" i="36"/>
  <c r="R22" i="36"/>
  <c r="R237" i="36"/>
  <c r="R273" i="36"/>
  <c r="R233" i="36"/>
  <c r="R308" i="36"/>
  <c r="R194" i="36"/>
  <c r="R8" i="36"/>
  <c r="R281" i="36"/>
  <c r="R310" i="36"/>
  <c r="R315" i="36"/>
  <c r="R135" i="36"/>
  <c r="R47" i="36"/>
  <c r="R242" i="36"/>
  <c r="R212" i="36"/>
  <c r="R90" i="36"/>
  <c r="R279" i="36"/>
  <c r="R213" i="36"/>
  <c r="R132" i="36"/>
  <c r="R254" i="36"/>
  <c r="R181" i="36"/>
  <c r="R86" i="36"/>
  <c r="R46" i="36"/>
  <c r="R208" i="36"/>
  <c r="R116" i="36"/>
  <c r="R186" i="36"/>
  <c r="R102" i="36"/>
  <c r="R301" i="36"/>
  <c r="R71" i="36"/>
  <c r="R221" i="36"/>
  <c r="R142" i="36"/>
  <c r="R229" i="36"/>
  <c r="R21" i="36"/>
  <c r="R111" i="36"/>
  <c r="R154" i="36"/>
  <c r="R262" i="36"/>
  <c r="R269" i="36"/>
  <c r="R297" i="36"/>
  <c r="R246" i="36"/>
  <c r="R296" i="36"/>
  <c r="R17" i="36"/>
  <c r="R199" i="36"/>
  <c r="R153" i="36"/>
  <c r="R313" i="36"/>
  <c r="R274" i="36"/>
  <c r="R256" i="36"/>
  <c r="R56" i="36"/>
  <c r="R146" i="36"/>
  <c r="R264" i="36"/>
  <c r="R127" i="36"/>
  <c r="R223" i="36"/>
  <c r="R59" i="36"/>
  <c r="R210" i="36"/>
  <c r="R147" i="36"/>
  <c r="R44" i="36"/>
  <c r="Q4" i="36" l="1"/>
  <c r="Q3" i="36" s="1" a="1"/>
  <c r="Q3" i="36" s="1"/>
  <c r="O3" i="37" a="1"/>
  <c r="O3" i="37" s="1"/>
  <c r="P3" i="37" a="1"/>
  <c r="P3" i="37" s="1"/>
  <c r="Q4" i="39"/>
  <c r="Q3" i="39" s="1" a="1"/>
  <c r="Q3" i="39" s="1"/>
  <c r="Q4" i="38"/>
  <c r="Q3" i="38" s="1" a="1"/>
  <c r="Q3" i="38" s="1"/>
  <c r="R81" i="37"/>
  <c r="R206" i="37"/>
  <c r="R111" i="37"/>
  <c r="R250" i="37"/>
  <c r="R42" i="37"/>
  <c r="R286" i="37"/>
  <c r="R314" i="37"/>
  <c r="R269" i="37"/>
  <c r="R150" i="37"/>
  <c r="R80" i="37"/>
  <c r="R308" i="37"/>
  <c r="R168" i="37"/>
  <c r="R271" i="37"/>
  <c r="R240" i="37"/>
  <c r="R283" i="37"/>
  <c r="R8" i="37"/>
  <c r="R134" i="37"/>
  <c r="R285" i="37"/>
  <c r="R182" i="37"/>
  <c r="R94" i="37"/>
  <c r="R292" i="37"/>
  <c r="R169" i="37"/>
  <c r="R268" i="37"/>
  <c r="R278" i="37"/>
  <c r="R279" i="37"/>
  <c r="R55" i="37"/>
  <c r="R14" i="37"/>
  <c r="R245" i="37"/>
  <c r="R84" i="37"/>
  <c r="R139" i="37"/>
  <c r="R89" i="37"/>
  <c r="R178" i="37"/>
  <c r="R88" i="37"/>
  <c r="R61" i="37"/>
  <c r="R193" i="37"/>
  <c r="R20" i="37"/>
  <c r="R90" i="37"/>
  <c r="R288" i="37"/>
  <c r="R109" i="37"/>
  <c r="R127" i="37"/>
  <c r="R144" i="37"/>
  <c r="R107" i="37"/>
  <c r="R221" i="37"/>
  <c r="R157" i="37"/>
  <c r="R197" i="37"/>
  <c r="R187" i="37"/>
  <c r="R67" i="37"/>
  <c r="R267" i="37"/>
  <c r="R276" i="37"/>
  <c r="R143" i="37"/>
  <c r="R57" i="37"/>
  <c r="R36" i="37"/>
  <c r="R203" i="37"/>
  <c r="R95" i="37"/>
  <c r="R97" i="37"/>
  <c r="R149" i="37"/>
  <c r="R176" i="37"/>
  <c r="R207" i="37"/>
  <c r="R196" i="37"/>
  <c r="R131" i="37"/>
  <c r="R142" i="37"/>
  <c r="R33" i="37"/>
  <c r="R117" i="37"/>
  <c r="R306" i="37"/>
  <c r="R294" i="37"/>
  <c r="R244" i="37"/>
  <c r="R289" i="37"/>
  <c r="R110" i="37"/>
  <c r="R281" i="37"/>
  <c r="R253" i="37"/>
  <c r="R259" i="37"/>
  <c r="R189" i="37"/>
  <c r="R83" i="37"/>
  <c r="R23" i="37"/>
  <c r="R188" i="37"/>
  <c r="R226" i="37"/>
  <c r="R311" i="37"/>
  <c r="R223" i="37"/>
  <c r="R234" i="37"/>
  <c r="R129" i="37"/>
  <c r="R137" i="37"/>
  <c r="R7" i="37"/>
  <c r="R198" i="37"/>
  <c r="R104" i="37"/>
  <c r="R71" i="37"/>
  <c r="R222" i="37"/>
  <c r="R48" i="37"/>
  <c r="R232" i="37"/>
  <c r="R297" i="37"/>
  <c r="R155" i="37"/>
  <c r="R274" i="37"/>
  <c r="R91" i="37"/>
  <c r="R265" i="37"/>
  <c r="R216" i="37"/>
  <c r="R92" i="37"/>
  <c r="R73" i="37"/>
  <c r="R32" i="37"/>
  <c r="R211" i="37"/>
  <c r="R293" i="37"/>
  <c r="R248" i="37"/>
  <c r="R151" i="37"/>
  <c r="R49" i="37"/>
  <c r="R58" i="37"/>
  <c r="R315" i="37"/>
  <c r="R77" i="37"/>
  <c r="R30" i="37"/>
  <c r="R218" i="37"/>
  <c r="R173" i="37"/>
  <c r="R5" i="37"/>
  <c r="R51" i="37"/>
  <c r="R9" i="37"/>
  <c r="R133" i="37"/>
  <c r="R219" i="37"/>
  <c r="R160" i="37"/>
  <c r="R264" i="37"/>
  <c r="R312" i="37"/>
  <c r="R62" i="37"/>
  <c r="R65" i="37"/>
  <c r="R116" i="37"/>
  <c r="R34" i="37"/>
  <c r="R79" i="37"/>
  <c r="R304" i="37"/>
  <c r="R86" i="37"/>
  <c r="R106" i="37"/>
  <c r="R162" i="37"/>
  <c r="R6" i="37"/>
  <c r="R224" i="37"/>
  <c r="R17" i="37"/>
  <c r="R213" i="37"/>
  <c r="R10" i="37"/>
  <c r="R44" i="37"/>
  <c r="R199" i="37"/>
  <c r="R50" i="37"/>
  <c r="R210" i="37"/>
  <c r="R282" i="37"/>
  <c r="R209" i="37"/>
  <c r="R310" i="37"/>
  <c r="R47" i="37"/>
  <c r="R15" i="37"/>
  <c r="R263" i="37"/>
  <c r="R25" i="37"/>
  <c r="R101" i="37"/>
  <c r="R212" i="37"/>
  <c r="R305" i="37"/>
  <c r="R238" i="37"/>
  <c r="R103" i="37"/>
  <c r="R115" i="37"/>
  <c r="R284" i="37"/>
  <c r="R243" i="37"/>
  <c r="R273" i="37"/>
  <c r="R59" i="37"/>
  <c r="R266" i="37"/>
  <c r="R125" i="37"/>
  <c r="R54" i="37"/>
  <c r="R298" i="37"/>
  <c r="R260" i="37"/>
  <c r="R26" i="37"/>
  <c r="R22" i="37"/>
  <c r="R179" i="37"/>
  <c r="R295" i="37"/>
  <c r="R156" i="37"/>
  <c r="R154" i="37"/>
  <c r="R296" i="37"/>
  <c r="R251" i="37"/>
  <c r="R181" i="37"/>
  <c r="R309" i="37"/>
  <c r="R174" i="37"/>
  <c r="R152" i="37"/>
  <c r="R78" i="37"/>
  <c r="R99" i="37"/>
  <c r="R37" i="37"/>
  <c r="R45" i="37"/>
  <c r="R124" i="37"/>
  <c r="R53" i="37"/>
  <c r="R236" i="37"/>
  <c r="R121" i="37"/>
  <c r="R195" i="37"/>
  <c r="R307" i="37"/>
  <c r="R302" i="37"/>
  <c r="R72" i="37"/>
  <c r="R194" i="37"/>
  <c r="R69" i="37"/>
  <c r="R249" i="37"/>
  <c r="R220" i="37"/>
  <c r="R148" i="37"/>
  <c r="R261" i="37"/>
  <c r="R241" i="37"/>
  <c r="R175" i="37"/>
  <c r="R70" i="37"/>
  <c r="R177" i="37"/>
  <c r="R24" i="37"/>
  <c r="R233" i="37"/>
  <c r="R190" i="37"/>
  <c r="R262" i="37"/>
  <c r="R225" i="37"/>
  <c r="R159" i="37"/>
  <c r="R201" i="37"/>
  <c r="R108" i="37"/>
  <c r="R313" i="37"/>
  <c r="R98" i="37"/>
  <c r="R123" i="37"/>
  <c r="R185" i="37"/>
  <c r="R287" i="37"/>
  <c r="R146" i="37"/>
  <c r="R303" i="37"/>
  <c r="R114" i="37"/>
  <c r="R272" i="37"/>
  <c r="R35" i="37"/>
  <c r="R38" i="37"/>
  <c r="R18" i="37"/>
  <c r="R85" i="37"/>
  <c r="R75" i="37"/>
  <c r="R217" i="37"/>
  <c r="R153" i="37"/>
  <c r="R74" i="37"/>
  <c r="R161" i="37"/>
  <c r="R19" i="37"/>
  <c r="R128" i="37"/>
  <c r="R163" i="37"/>
  <c r="R166" i="37"/>
  <c r="R13" i="37"/>
  <c r="R202" i="37"/>
  <c r="R130" i="37"/>
  <c r="R165" i="37"/>
  <c r="R16" i="37"/>
  <c r="R255" i="37"/>
  <c r="R229" i="37"/>
  <c r="R192" i="37"/>
  <c r="R122" i="37"/>
  <c r="R208" i="37"/>
  <c r="R147" i="37"/>
  <c r="R301" i="37"/>
  <c r="R237" i="37"/>
  <c r="R145" i="37"/>
  <c r="R230" i="37"/>
  <c r="R204" i="37"/>
  <c r="R270" i="37"/>
  <c r="R43" i="37"/>
  <c r="R136" i="37"/>
  <c r="R258" i="37"/>
  <c r="R191" i="37"/>
  <c r="R180" i="37"/>
  <c r="R119" i="37"/>
  <c r="R126" i="37"/>
  <c r="R76" i="37"/>
  <c r="R28" i="37"/>
  <c r="R184" i="37"/>
  <c r="R11" i="37"/>
  <c r="R29" i="37"/>
  <c r="R186" i="37"/>
  <c r="R167" i="37"/>
  <c r="R12" i="37"/>
  <c r="R105" i="37"/>
  <c r="R247" i="37"/>
  <c r="R68" i="37"/>
  <c r="R215" i="37"/>
  <c r="R171" i="37"/>
  <c r="R227" i="37"/>
  <c r="R39" i="37"/>
  <c r="R300" i="37"/>
  <c r="R246" i="37"/>
  <c r="R113" i="37"/>
  <c r="R200" i="37"/>
  <c r="R252" i="37"/>
  <c r="R31" i="37"/>
  <c r="R118" i="37"/>
  <c r="R277" i="37"/>
  <c r="R93" i="37"/>
  <c r="R120" i="37"/>
  <c r="R112" i="37"/>
  <c r="R56" i="37"/>
  <c r="R164" i="37"/>
  <c r="R40" i="37"/>
  <c r="R290" i="37"/>
  <c r="R158" i="37"/>
  <c r="R231" i="37"/>
  <c r="R235" i="37"/>
  <c r="R183" i="37"/>
  <c r="R46" i="37"/>
  <c r="Q4" i="37"/>
  <c r="Q3" i="37" s="1" a="1"/>
  <c r="Q3" i="37" s="1"/>
  <c r="R21" i="37"/>
  <c r="R100" i="37"/>
  <c r="R254" i="37"/>
  <c r="R64" i="37"/>
  <c r="R132" i="37"/>
  <c r="R275" i="37"/>
  <c r="R27" i="37"/>
  <c r="R280" i="37"/>
  <c r="R52" i="37"/>
  <c r="R138" i="37"/>
  <c r="R291" i="37"/>
  <c r="R228" i="37"/>
  <c r="R172" i="37"/>
  <c r="R96" i="37"/>
  <c r="R41" i="37"/>
  <c r="R256" i="37"/>
  <c r="R170" i="37"/>
  <c r="R214" i="37"/>
  <c r="R257" i="37"/>
  <c r="R299" i="37"/>
  <c r="R87" i="37"/>
  <c r="R135" i="37"/>
  <c r="R63" i="37"/>
  <c r="R82" i="37"/>
  <c r="R140" i="37"/>
  <c r="R239" i="37"/>
  <c r="R66" i="37"/>
  <c r="R102" i="37"/>
  <c r="R242" i="37"/>
  <c r="R205" i="37"/>
  <c r="R141" i="37"/>
  <c r="R60" i="37"/>
  <c r="R4" i="36" l="1"/>
  <c r="R3" i="36" s="1" a="1"/>
  <c r="R3" i="36" s="1"/>
  <c r="R4" i="39"/>
  <c r="R3" i="39" s="1" a="1"/>
  <c r="R3" i="39" s="1"/>
  <c r="R4" i="38"/>
  <c r="R3" i="38" s="1" a="1"/>
  <c r="R3" i="38" s="1"/>
  <c r="R4" i="37"/>
  <c r="R3" i="37" s="1" a="1"/>
  <c r="R3" i="37" s="1"/>
  <c r="S317" i="36" l="1"/>
  <c r="T317" i="36" s="1"/>
  <c r="U317" i="36" s="1"/>
  <c r="V317" i="36" s="1"/>
  <c r="S316" i="36"/>
  <c r="T316" i="36" s="1"/>
  <c r="U316" i="36" s="1"/>
  <c r="V316" i="36" s="1"/>
  <c r="S317" i="37"/>
  <c r="T317" i="37" s="1"/>
  <c r="U317" i="37" s="1"/>
  <c r="V317" i="37" s="1"/>
  <c r="S316" i="37"/>
  <c r="T316" i="37" s="1"/>
  <c r="U316" i="37" s="1"/>
  <c r="V316" i="37" s="1"/>
  <c r="S316" i="38"/>
  <c r="T316" i="38" s="1"/>
  <c r="U316" i="38" s="1"/>
  <c r="V316" i="38" s="1"/>
  <c r="S317" i="38"/>
  <c r="T317" i="38" s="1"/>
  <c r="U317" i="38" s="1"/>
  <c r="V317" i="38" s="1"/>
  <c r="S317" i="39"/>
  <c r="T317" i="39" s="1"/>
  <c r="U317" i="39" s="1"/>
  <c r="S316" i="39"/>
  <c r="T316" i="39" s="1"/>
  <c r="U316" i="39" s="1"/>
  <c r="V316" i="39" s="1"/>
  <c r="S4" i="36"/>
  <c r="S274" i="36"/>
  <c r="T274" i="36" s="1"/>
  <c r="U274" i="36" s="1"/>
  <c r="S77" i="36"/>
  <c r="T77" i="36" s="1"/>
  <c r="U77" i="36" s="1"/>
  <c r="S5" i="36"/>
  <c r="T5" i="36" s="1"/>
  <c r="U5" i="36" s="1"/>
  <c r="S264" i="36"/>
  <c r="T264" i="36" s="1"/>
  <c r="U264" i="36" s="1"/>
  <c r="S170" i="36"/>
  <c r="T170" i="36" s="1"/>
  <c r="U170" i="36" s="1"/>
  <c r="S114" i="36"/>
  <c r="T114" i="36" s="1"/>
  <c r="U114" i="36" s="1"/>
  <c r="S153" i="36"/>
  <c r="T153" i="36" s="1"/>
  <c r="U153" i="36" s="1"/>
  <c r="S109" i="36"/>
  <c r="T109" i="36" s="1"/>
  <c r="U109" i="36" s="1"/>
  <c r="S174" i="36"/>
  <c r="T174" i="36" s="1"/>
  <c r="U174" i="36" s="1"/>
  <c r="S96" i="36"/>
  <c r="T96" i="36" s="1"/>
  <c r="U96" i="36" s="1"/>
  <c r="S279" i="36"/>
  <c r="T279" i="36" s="1"/>
  <c r="U279" i="36" s="1"/>
  <c r="S95" i="36"/>
  <c r="T95" i="36" s="1"/>
  <c r="U95" i="36" s="1"/>
  <c r="S139" i="36"/>
  <c r="T139" i="36" s="1"/>
  <c r="U139" i="36" s="1"/>
  <c r="S239" i="36"/>
  <c r="T239" i="36" s="1"/>
  <c r="U239" i="36" s="1"/>
  <c r="S97" i="36"/>
  <c r="T97" i="36" s="1"/>
  <c r="U97" i="36" s="1"/>
  <c r="S59" i="36"/>
  <c r="T59" i="36" s="1"/>
  <c r="U59" i="36" s="1"/>
  <c r="S108" i="36"/>
  <c r="T108" i="36" s="1"/>
  <c r="U108" i="36" s="1"/>
  <c r="S86" i="36"/>
  <c r="T86" i="36" s="1"/>
  <c r="U86" i="36" s="1"/>
  <c r="S36" i="36"/>
  <c r="T36" i="36" s="1"/>
  <c r="U36" i="36" s="1"/>
  <c r="S242" i="36"/>
  <c r="T242" i="36" s="1"/>
  <c r="U242" i="36" s="1"/>
  <c r="S26" i="36"/>
  <c r="T26" i="36" s="1"/>
  <c r="U26" i="36" s="1"/>
  <c r="S261" i="36"/>
  <c r="T261" i="36" s="1"/>
  <c r="U261" i="36" s="1"/>
  <c r="S167" i="36"/>
  <c r="T167" i="36" s="1"/>
  <c r="U167" i="36" s="1"/>
  <c r="S282" i="36"/>
  <c r="T282" i="36" s="1"/>
  <c r="U282" i="36" s="1"/>
  <c r="S249" i="36"/>
  <c r="T249" i="36" s="1"/>
  <c r="U249" i="36" s="1"/>
  <c r="S21" i="36"/>
  <c r="T21" i="36" s="1"/>
  <c r="U21" i="36" s="1"/>
  <c r="S189" i="36"/>
  <c r="T189" i="36" s="1"/>
  <c r="U189" i="36" s="1"/>
  <c r="S82" i="36"/>
  <c r="T82" i="36" s="1"/>
  <c r="U82" i="36" s="1"/>
  <c r="S154" i="36"/>
  <c r="T154" i="36" s="1"/>
  <c r="U154" i="36" s="1"/>
  <c r="S58" i="36"/>
  <c r="T58" i="36" s="1"/>
  <c r="U58" i="36" s="1"/>
  <c r="S272" i="36"/>
  <c r="T272" i="36" s="1"/>
  <c r="U272" i="36" s="1"/>
  <c r="S142" i="36"/>
  <c r="T142" i="36" s="1"/>
  <c r="U142" i="36" s="1"/>
  <c r="S306" i="36"/>
  <c r="T306" i="36" s="1"/>
  <c r="U306" i="36" s="1"/>
  <c r="S302" i="36"/>
  <c r="T302" i="36" s="1"/>
  <c r="U302" i="36" s="1"/>
  <c r="S152" i="36"/>
  <c r="T152" i="36" s="1"/>
  <c r="U152" i="36" s="1"/>
  <c r="S315" i="36"/>
  <c r="T315" i="36" s="1"/>
  <c r="U315" i="36" s="1"/>
  <c r="S124" i="36"/>
  <c r="T124" i="36" s="1"/>
  <c r="U124" i="36" s="1"/>
  <c r="S147" i="36"/>
  <c r="T147" i="36" s="1"/>
  <c r="U147" i="36" s="1"/>
  <c r="S241" i="36"/>
  <c r="T241" i="36" s="1"/>
  <c r="U241" i="36" s="1"/>
  <c r="S73" i="36"/>
  <c r="T73" i="36" s="1"/>
  <c r="U73" i="36" s="1"/>
  <c r="S199" i="36"/>
  <c r="T199" i="36" s="1"/>
  <c r="U199" i="36" s="1"/>
  <c r="S64" i="36"/>
  <c r="T64" i="36" s="1"/>
  <c r="U64" i="36" s="1"/>
  <c r="S211" i="36"/>
  <c r="T211" i="36" s="1"/>
  <c r="U211" i="36" s="1"/>
  <c r="S159" i="36"/>
  <c r="T159" i="36" s="1"/>
  <c r="U159" i="36" s="1"/>
  <c r="S213" i="36"/>
  <c r="T213" i="36" s="1"/>
  <c r="U213" i="36" s="1"/>
  <c r="S117" i="36"/>
  <c r="T117" i="36" s="1"/>
  <c r="U117" i="36" s="1"/>
  <c r="S146" i="36"/>
  <c r="T146" i="36" s="1"/>
  <c r="U146" i="36" s="1"/>
  <c r="S8" i="36"/>
  <c r="T8" i="36" s="1"/>
  <c r="U8" i="36" s="1"/>
  <c r="S290" i="36"/>
  <c r="T290" i="36" s="1"/>
  <c r="U290" i="36" s="1"/>
  <c r="S157" i="36"/>
  <c r="T157" i="36" s="1"/>
  <c r="U157" i="36" s="1"/>
  <c r="S263" i="36"/>
  <c r="T263" i="36" s="1"/>
  <c r="U263" i="36" s="1"/>
  <c r="S288" i="36"/>
  <c r="T288" i="36" s="1"/>
  <c r="U288" i="36" s="1"/>
  <c r="S305" i="36"/>
  <c r="T305" i="36" s="1"/>
  <c r="U305" i="36" s="1"/>
  <c r="S180" i="36"/>
  <c r="T180" i="36" s="1"/>
  <c r="U180" i="36" s="1"/>
  <c r="S130" i="36"/>
  <c r="T130" i="36" s="1"/>
  <c r="U130" i="36" s="1"/>
  <c r="S202" i="36"/>
  <c r="T202" i="36" s="1"/>
  <c r="U202" i="36" s="1"/>
  <c r="S259" i="36"/>
  <c r="T259" i="36" s="1"/>
  <c r="U259" i="36" s="1"/>
  <c r="S149" i="36"/>
  <c r="T149" i="36" s="1"/>
  <c r="U149" i="36" s="1"/>
  <c r="S280" i="36"/>
  <c r="T280" i="36" s="1"/>
  <c r="U280" i="36" s="1"/>
  <c r="S19" i="36"/>
  <c r="T19" i="36" s="1"/>
  <c r="U19" i="36" s="1"/>
  <c r="S185" i="36"/>
  <c r="T185" i="36" s="1"/>
  <c r="U185" i="36" s="1"/>
  <c r="S173" i="36"/>
  <c r="T173" i="36" s="1"/>
  <c r="U173" i="36" s="1"/>
  <c r="S190" i="36"/>
  <c r="T190" i="36" s="1"/>
  <c r="U190" i="36" s="1"/>
  <c r="S16" i="36"/>
  <c r="T16" i="36" s="1"/>
  <c r="U16" i="36" s="1"/>
  <c r="S215" i="36"/>
  <c r="T215" i="36" s="1"/>
  <c r="U215" i="36" s="1"/>
  <c r="S57" i="36"/>
  <c r="T57" i="36" s="1"/>
  <c r="U57" i="36" s="1"/>
  <c r="S186" i="36"/>
  <c r="T186" i="36" s="1"/>
  <c r="U186" i="36" s="1"/>
  <c r="S135" i="36"/>
  <c r="T135" i="36" s="1"/>
  <c r="U135" i="36" s="1"/>
  <c r="S136" i="36"/>
  <c r="T136" i="36" s="1"/>
  <c r="U136" i="36" s="1"/>
  <c r="S128" i="36"/>
  <c r="T128" i="36" s="1"/>
  <c r="U128" i="36" s="1"/>
  <c r="S102" i="36"/>
  <c r="T102" i="36" s="1"/>
  <c r="U102" i="36" s="1"/>
  <c r="S225" i="36"/>
  <c r="T225" i="36" s="1"/>
  <c r="U225" i="36" s="1"/>
  <c r="S113" i="36"/>
  <c r="T113" i="36" s="1"/>
  <c r="U113" i="36" s="1"/>
  <c r="S47" i="36"/>
  <c r="T47" i="36" s="1"/>
  <c r="U47" i="36" s="1"/>
  <c r="S110" i="36"/>
  <c r="T110" i="36" s="1"/>
  <c r="U110" i="36" s="1"/>
  <c r="S119" i="36"/>
  <c r="T119" i="36" s="1"/>
  <c r="U119" i="36" s="1"/>
  <c r="S223" i="36"/>
  <c r="T223" i="36" s="1"/>
  <c r="U223" i="36" s="1"/>
  <c r="S194" i="36"/>
  <c r="T194" i="36" s="1"/>
  <c r="U194" i="36" s="1"/>
  <c r="S120" i="36"/>
  <c r="T120" i="36" s="1"/>
  <c r="U120" i="36" s="1"/>
  <c r="S221" i="36"/>
  <c r="T221" i="36" s="1"/>
  <c r="U221" i="36" s="1"/>
  <c r="S294" i="36"/>
  <c r="T294" i="36" s="1"/>
  <c r="U294" i="36" s="1"/>
  <c r="S23" i="36"/>
  <c r="T23" i="36" s="1"/>
  <c r="U23" i="36" s="1"/>
  <c r="S297" i="36"/>
  <c r="T297" i="36" s="1"/>
  <c r="U297" i="36" s="1"/>
  <c r="S123" i="36"/>
  <c r="T123" i="36" s="1"/>
  <c r="U123" i="36" s="1"/>
  <c r="S250" i="36"/>
  <c r="T250" i="36" s="1"/>
  <c r="U250" i="36" s="1"/>
  <c r="S76" i="36"/>
  <c r="T76" i="36" s="1"/>
  <c r="U76" i="36" s="1"/>
  <c r="S273" i="36"/>
  <c r="T273" i="36" s="1"/>
  <c r="U273" i="36" s="1"/>
  <c r="S107" i="36"/>
  <c r="T107" i="36" s="1"/>
  <c r="U107" i="36" s="1"/>
  <c r="S256" i="36"/>
  <c r="T256" i="36" s="1"/>
  <c r="U256" i="36" s="1"/>
  <c r="S22" i="36"/>
  <c r="T22" i="36" s="1"/>
  <c r="U22" i="36" s="1"/>
  <c r="S311" i="36"/>
  <c r="T311" i="36" s="1"/>
  <c r="U311" i="36" s="1"/>
  <c r="S304" i="36"/>
  <c r="T304" i="36" s="1"/>
  <c r="U304" i="36" s="1"/>
  <c r="S10" i="36"/>
  <c r="T10" i="36" s="1"/>
  <c r="U10" i="36" s="1"/>
  <c r="S300" i="36"/>
  <c r="T300" i="36" s="1"/>
  <c r="U300" i="36" s="1"/>
  <c r="S106" i="36"/>
  <c r="T106" i="36" s="1"/>
  <c r="U106" i="36" s="1"/>
  <c r="S203" i="36"/>
  <c r="T203" i="36" s="1"/>
  <c r="U203" i="36" s="1"/>
  <c r="S140" i="36"/>
  <c r="T140" i="36" s="1"/>
  <c r="U140" i="36" s="1"/>
  <c r="S220" i="36"/>
  <c r="T220" i="36" s="1"/>
  <c r="U220" i="36" s="1"/>
  <c r="S162" i="36"/>
  <c r="T162" i="36" s="1"/>
  <c r="U162" i="36" s="1"/>
  <c r="S171" i="36"/>
  <c r="T171" i="36" s="1"/>
  <c r="U171" i="36" s="1"/>
  <c r="S235" i="36"/>
  <c r="T235" i="36" s="1"/>
  <c r="U235" i="36" s="1"/>
  <c r="S143" i="36"/>
  <c r="T143" i="36" s="1"/>
  <c r="U143" i="36" s="1"/>
  <c r="S275" i="36"/>
  <c r="T275" i="36" s="1"/>
  <c r="U275" i="36" s="1"/>
  <c r="S158" i="36"/>
  <c r="T158" i="36" s="1"/>
  <c r="U158" i="36" s="1"/>
  <c r="S226" i="36"/>
  <c r="T226" i="36" s="1"/>
  <c r="U226" i="36" s="1"/>
  <c r="S217" i="36"/>
  <c r="T217" i="36" s="1"/>
  <c r="U217" i="36" s="1"/>
  <c r="S265" i="36"/>
  <c r="T265" i="36" s="1"/>
  <c r="U265" i="36" s="1"/>
  <c r="S246" i="36"/>
  <c r="T246" i="36" s="1"/>
  <c r="U246" i="36" s="1"/>
  <c r="S18" i="36"/>
  <c r="T18" i="36" s="1"/>
  <c r="U18" i="36" s="1"/>
  <c r="S41" i="36"/>
  <c r="T41" i="36" s="1"/>
  <c r="U41" i="36" s="1"/>
  <c r="S284" i="36"/>
  <c r="T284" i="36" s="1"/>
  <c r="U284" i="36" s="1"/>
  <c r="S296" i="36"/>
  <c r="T296" i="36" s="1"/>
  <c r="U296" i="36" s="1"/>
  <c r="S74" i="36"/>
  <c r="T74" i="36" s="1"/>
  <c r="U74" i="36" s="1"/>
  <c r="S25" i="36"/>
  <c r="T25" i="36" s="1"/>
  <c r="U25" i="36" s="1"/>
  <c r="S52" i="36"/>
  <c r="T52" i="36" s="1"/>
  <c r="U52" i="36" s="1"/>
  <c r="S271" i="36"/>
  <c r="T271" i="36" s="1"/>
  <c r="U271" i="36" s="1"/>
  <c r="S68" i="36"/>
  <c r="T68" i="36" s="1"/>
  <c r="U68" i="36" s="1"/>
  <c r="S303" i="36"/>
  <c r="T303" i="36" s="1"/>
  <c r="U303" i="36" s="1"/>
  <c r="S33" i="36"/>
  <c r="T33" i="36" s="1"/>
  <c r="U33" i="36" s="1"/>
  <c r="S227" i="36"/>
  <c r="T227" i="36" s="1"/>
  <c r="U227" i="36" s="1"/>
  <c r="S27" i="36"/>
  <c r="T27" i="36" s="1"/>
  <c r="U27" i="36" s="1"/>
  <c r="S181" i="36"/>
  <c r="T181" i="36" s="1"/>
  <c r="U181" i="36" s="1"/>
  <c r="S145" i="36"/>
  <c r="T145" i="36" s="1"/>
  <c r="U145" i="36" s="1"/>
  <c r="S29" i="36"/>
  <c r="T29" i="36" s="1"/>
  <c r="U29" i="36" s="1"/>
  <c r="S191" i="36"/>
  <c r="T191" i="36" s="1"/>
  <c r="U191" i="36" s="1"/>
  <c r="S212" i="36"/>
  <c r="T212" i="36" s="1"/>
  <c r="U212" i="36" s="1"/>
  <c r="S216" i="36"/>
  <c r="T216" i="36" s="1"/>
  <c r="U216" i="36" s="1"/>
  <c r="S24" i="36"/>
  <c r="T24" i="36" s="1"/>
  <c r="U24" i="36" s="1"/>
  <c r="S176" i="36"/>
  <c r="T176" i="36" s="1"/>
  <c r="U176" i="36" s="1"/>
  <c r="S15" i="36"/>
  <c r="T15" i="36" s="1"/>
  <c r="U15" i="36" s="1"/>
  <c r="S245" i="36"/>
  <c r="T245" i="36" s="1"/>
  <c r="U245" i="36" s="1"/>
  <c r="S155" i="36"/>
  <c r="T155" i="36" s="1"/>
  <c r="U155" i="36" s="1"/>
  <c r="S160" i="36"/>
  <c r="T160" i="36" s="1"/>
  <c r="U160" i="36" s="1"/>
  <c r="S197" i="36"/>
  <c r="T197" i="36" s="1"/>
  <c r="U197" i="36" s="1"/>
  <c r="S83" i="36"/>
  <c r="T83" i="36" s="1"/>
  <c r="U83" i="36" s="1"/>
  <c r="S100" i="36"/>
  <c r="T100" i="36" s="1"/>
  <c r="U100" i="36" s="1"/>
  <c r="S179" i="36"/>
  <c r="T179" i="36" s="1"/>
  <c r="U179" i="36" s="1"/>
  <c r="S70" i="36"/>
  <c r="T70" i="36" s="1"/>
  <c r="U70" i="36" s="1"/>
  <c r="S209" i="36"/>
  <c r="T209" i="36" s="1"/>
  <c r="U209" i="36" s="1"/>
  <c r="S178" i="36"/>
  <c r="T178" i="36" s="1"/>
  <c r="U178" i="36" s="1"/>
  <c r="S166" i="36"/>
  <c r="T166" i="36" s="1"/>
  <c r="U166" i="36" s="1"/>
  <c r="S310" i="36"/>
  <c r="T310" i="36" s="1"/>
  <c r="U310" i="36" s="1"/>
  <c r="S165" i="36"/>
  <c r="T165" i="36" s="1"/>
  <c r="U165" i="36" s="1"/>
  <c r="S307" i="36"/>
  <c r="T307" i="36" s="1"/>
  <c r="U307" i="36" s="1"/>
  <c r="S116" i="36"/>
  <c r="T116" i="36" s="1"/>
  <c r="U116" i="36" s="1"/>
  <c r="S72" i="36"/>
  <c r="T72" i="36" s="1"/>
  <c r="U72" i="36" s="1"/>
  <c r="S247" i="36"/>
  <c r="T247" i="36" s="1"/>
  <c r="U247" i="36" s="1"/>
  <c r="S233" i="36"/>
  <c r="T233" i="36" s="1"/>
  <c r="U233" i="36" s="1"/>
  <c r="S43" i="36"/>
  <c r="T43" i="36" s="1"/>
  <c r="U43" i="36" s="1"/>
  <c r="S131" i="36"/>
  <c r="T131" i="36" s="1"/>
  <c r="U131" i="36" s="1"/>
  <c r="S17" i="36"/>
  <c r="T17" i="36" s="1"/>
  <c r="U17" i="36" s="1"/>
  <c r="S30" i="36"/>
  <c r="T30" i="36" s="1"/>
  <c r="U30" i="36" s="1"/>
  <c r="S299" i="36"/>
  <c r="T299" i="36" s="1"/>
  <c r="U299" i="36" s="1"/>
  <c r="S301" i="36"/>
  <c r="T301" i="36" s="1"/>
  <c r="U301" i="36" s="1"/>
  <c r="S40" i="36"/>
  <c r="T40" i="36" s="1"/>
  <c r="U40" i="36" s="1"/>
  <c r="S39" i="36"/>
  <c r="T39" i="36" s="1"/>
  <c r="U39" i="36" s="1"/>
  <c r="S254" i="36"/>
  <c r="T254" i="36" s="1"/>
  <c r="U254" i="36" s="1"/>
  <c r="S133" i="36"/>
  <c r="T133" i="36" s="1"/>
  <c r="U133" i="36" s="1"/>
  <c r="S267" i="36"/>
  <c r="T267" i="36" s="1"/>
  <c r="U267" i="36" s="1"/>
  <c r="S224" i="36"/>
  <c r="T224" i="36" s="1"/>
  <c r="U224" i="36" s="1"/>
  <c r="S14" i="36"/>
  <c r="T14" i="36" s="1"/>
  <c r="U14" i="36" s="1"/>
  <c r="S55" i="36"/>
  <c r="T55" i="36" s="1"/>
  <c r="U55" i="36" s="1"/>
  <c r="S313" i="36"/>
  <c r="T313" i="36" s="1"/>
  <c r="U313" i="36" s="1"/>
  <c r="S298" i="36"/>
  <c r="T298" i="36" s="1"/>
  <c r="U298" i="36" s="1"/>
  <c r="S206" i="36"/>
  <c r="T206" i="36" s="1"/>
  <c r="U206" i="36" s="1"/>
  <c r="S78" i="36"/>
  <c r="T78" i="36" s="1"/>
  <c r="U78" i="36" s="1"/>
  <c r="S134" i="36"/>
  <c r="T134" i="36" s="1"/>
  <c r="U134" i="36" s="1"/>
  <c r="S12" i="36"/>
  <c r="T12" i="36" s="1"/>
  <c r="U12" i="36" s="1"/>
  <c r="S289" i="36"/>
  <c r="T289" i="36" s="1"/>
  <c r="U289" i="36" s="1"/>
  <c r="S62" i="36"/>
  <c r="T62" i="36" s="1"/>
  <c r="U62" i="36" s="1"/>
  <c r="S148" i="36"/>
  <c r="T148" i="36" s="1"/>
  <c r="U148" i="36" s="1"/>
  <c r="S101" i="36"/>
  <c r="T101" i="36" s="1"/>
  <c r="U101" i="36" s="1"/>
  <c r="S201" i="36"/>
  <c r="T201" i="36" s="1"/>
  <c r="U201" i="36" s="1"/>
  <c r="S38" i="36"/>
  <c r="T38" i="36" s="1"/>
  <c r="U38" i="36" s="1"/>
  <c r="S169" i="36"/>
  <c r="T169" i="36" s="1"/>
  <c r="U169" i="36" s="1"/>
  <c r="S13" i="36"/>
  <c r="T13" i="36" s="1"/>
  <c r="U13" i="36" s="1"/>
  <c r="S129" i="36"/>
  <c r="T129" i="36" s="1"/>
  <c r="U129" i="36" s="1"/>
  <c r="S182" i="36"/>
  <c r="T182" i="36" s="1"/>
  <c r="U182" i="36" s="1"/>
  <c r="S112" i="36"/>
  <c r="T112" i="36" s="1"/>
  <c r="U112" i="36" s="1"/>
  <c r="S118" i="36"/>
  <c r="T118" i="36" s="1"/>
  <c r="U118" i="36" s="1"/>
  <c r="S204" i="36"/>
  <c r="T204" i="36" s="1"/>
  <c r="U204" i="36" s="1"/>
  <c r="S126" i="36"/>
  <c r="T126" i="36" s="1"/>
  <c r="U126" i="36" s="1"/>
  <c r="S46" i="36"/>
  <c r="T46" i="36" s="1"/>
  <c r="U46" i="36" s="1"/>
  <c r="S122" i="36"/>
  <c r="T122" i="36" s="1"/>
  <c r="U122" i="36" s="1"/>
  <c r="S276" i="36"/>
  <c r="T276" i="36" s="1"/>
  <c r="U276" i="36" s="1"/>
  <c r="S6" i="36"/>
  <c r="T6" i="36" s="1"/>
  <c r="U6" i="36" s="1"/>
  <c r="S184" i="36"/>
  <c r="T184" i="36" s="1"/>
  <c r="U184" i="36" s="1"/>
  <c r="S9" i="36"/>
  <c r="T9" i="36" s="1"/>
  <c r="U9" i="36" s="1"/>
  <c r="S200" i="36"/>
  <c r="T200" i="36" s="1"/>
  <c r="U200" i="36" s="1"/>
  <c r="S266" i="36"/>
  <c r="T266" i="36" s="1"/>
  <c r="U266" i="36" s="1"/>
  <c r="S94" i="36"/>
  <c r="T94" i="36" s="1"/>
  <c r="U94" i="36" s="1"/>
  <c r="S172" i="36"/>
  <c r="T172" i="36" s="1"/>
  <c r="U172" i="36" s="1"/>
  <c r="S258" i="36"/>
  <c r="T258" i="36" s="1"/>
  <c r="U258" i="36" s="1"/>
  <c r="S7" i="36"/>
  <c r="T7" i="36" s="1"/>
  <c r="U7" i="36" s="1"/>
  <c r="S205" i="36"/>
  <c r="T205" i="36" s="1"/>
  <c r="U205" i="36" s="1"/>
  <c r="S61" i="36"/>
  <c r="T61" i="36" s="1"/>
  <c r="U61" i="36" s="1"/>
  <c r="S125" i="36"/>
  <c r="T125" i="36" s="1"/>
  <c r="U125" i="36" s="1"/>
  <c r="S87" i="36"/>
  <c r="T87" i="36" s="1"/>
  <c r="U87" i="36" s="1"/>
  <c r="S50" i="36"/>
  <c r="T50" i="36" s="1"/>
  <c r="U50" i="36" s="1"/>
  <c r="S192" i="36"/>
  <c r="T192" i="36" s="1"/>
  <c r="U192" i="36" s="1"/>
  <c r="S248" i="36"/>
  <c r="T248" i="36" s="1"/>
  <c r="U248" i="36" s="1"/>
  <c r="S292" i="36"/>
  <c r="T292" i="36" s="1"/>
  <c r="U292" i="36" s="1"/>
  <c r="S278" i="36"/>
  <c r="T278" i="36" s="1"/>
  <c r="U278" i="36" s="1"/>
  <c r="S207" i="36"/>
  <c r="T207" i="36" s="1"/>
  <c r="U207" i="36" s="1"/>
  <c r="S137" i="36"/>
  <c r="T137" i="36" s="1"/>
  <c r="U137" i="36" s="1"/>
  <c r="S11" i="36"/>
  <c r="T11" i="36" s="1"/>
  <c r="U11" i="36" s="1"/>
  <c r="S269" i="36"/>
  <c r="T269" i="36" s="1"/>
  <c r="U269" i="36" s="1"/>
  <c r="S268" i="36"/>
  <c r="T268" i="36" s="1"/>
  <c r="U268" i="36" s="1"/>
  <c r="S85" i="36"/>
  <c r="T85" i="36" s="1"/>
  <c r="U85" i="36" s="1"/>
  <c r="S295" i="36"/>
  <c r="T295" i="36" s="1"/>
  <c r="U295" i="36" s="1"/>
  <c r="S175" i="36"/>
  <c r="T175" i="36" s="1"/>
  <c r="U175" i="36" s="1"/>
  <c r="S115" i="36"/>
  <c r="T115" i="36" s="1"/>
  <c r="U115" i="36" s="1"/>
  <c r="S92" i="36"/>
  <c r="T92" i="36" s="1"/>
  <c r="U92" i="36" s="1"/>
  <c r="S177" i="36"/>
  <c r="T177" i="36" s="1"/>
  <c r="U177" i="36" s="1"/>
  <c r="S161" i="36"/>
  <c r="T161" i="36" s="1"/>
  <c r="U161" i="36" s="1"/>
  <c r="S32" i="36"/>
  <c r="T32" i="36" s="1"/>
  <c r="U32" i="36" s="1"/>
  <c r="S236" i="36"/>
  <c r="T236" i="36" s="1"/>
  <c r="U236" i="36" s="1"/>
  <c r="S67" i="36"/>
  <c r="T67" i="36" s="1"/>
  <c r="U67" i="36" s="1"/>
  <c r="S262" i="36"/>
  <c r="T262" i="36" s="1"/>
  <c r="U262" i="36" s="1"/>
  <c r="S188" i="36"/>
  <c r="T188" i="36" s="1"/>
  <c r="U188" i="36" s="1"/>
  <c r="S53" i="36"/>
  <c r="T53" i="36" s="1"/>
  <c r="U53" i="36" s="1"/>
  <c r="S80" i="36"/>
  <c r="T80" i="36" s="1"/>
  <c r="U80" i="36" s="1"/>
  <c r="S240" i="36"/>
  <c r="T240" i="36" s="1"/>
  <c r="U240" i="36" s="1"/>
  <c r="S60" i="36"/>
  <c r="T60" i="36" s="1"/>
  <c r="U60" i="36" s="1"/>
  <c r="S183" i="36"/>
  <c r="T183" i="36" s="1"/>
  <c r="U183" i="36" s="1"/>
  <c r="S214" i="36"/>
  <c r="T214" i="36" s="1"/>
  <c r="U214" i="36" s="1"/>
  <c r="S187" i="36"/>
  <c r="T187" i="36" s="1"/>
  <c r="U187" i="36" s="1"/>
  <c r="S44" i="36"/>
  <c r="T44" i="36" s="1"/>
  <c r="U44" i="36" s="1"/>
  <c r="S90" i="36"/>
  <c r="T90" i="36" s="1"/>
  <c r="U90" i="36" s="1"/>
  <c r="S31" i="36"/>
  <c r="T31" i="36" s="1"/>
  <c r="U31" i="36" s="1"/>
  <c r="S103" i="36"/>
  <c r="T103" i="36" s="1"/>
  <c r="U103" i="36" s="1"/>
  <c r="S49" i="36"/>
  <c r="T49" i="36" s="1"/>
  <c r="U49" i="36" s="1"/>
  <c r="S238" i="36"/>
  <c r="T238" i="36" s="1"/>
  <c r="U238" i="36" s="1"/>
  <c r="S228" i="36"/>
  <c r="T228" i="36" s="1"/>
  <c r="U228" i="36" s="1"/>
  <c r="S71" i="36"/>
  <c r="T71" i="36" s="1"/>
  <c r="U71" i="36" s="1"/>
  <c r="S312" i="36"/>
  <c r="T312" i="36" s="1"/>
  <c r="U312" i="36" s="1"/>
  <c r="S48" i="36"/>
  <c r="T48" i="36" s="1"/>
  <c r="U48" i="36" s="1"/>
  <c r="S281" i="36"/>
  <c r="T281" i="36" s="1"/>
  <c r="U281" i="36" s="1"/>
  <c r="S231" i="36"/>
  <c r="T231" i="36" s="1"/>
  <c r="U231" i="36" s="1"/>
  <c r="S28" i="36"/>
  <c r="T28" i="36" s="1"/>
  <c r="U28" i="36" s="1"/>
  <c r="S291" i="36"/>
  <c r="T291" i="36" s="1"/>
  <c r="U291" i="36" s="1"/>
  <c r="S99" i="36"/>
  <c r="T99" i="36" s="1"/>
  <c r="U99" i="36" s="1"/>
  <c r="S65" i="36"/>
  <c r="T65" i="36" s="1"/>
  <c r="U65" i="36" s="1"/>
  <c r="S287" i="36"/>
  <c r="T287" i="36" s="1"/>
  <c r="U287" i="36" s="1"/>
  <c r="S89" i="36"/>
  <c r="T89" i="36" s="1"/>
  <c r="U89" i="36" s="1"/>
  <c r="S229" i="36"/>
  <c r="T229" i="36" s="1"/>
  <c r="U229" i="36" s="1"/>
  <c r="S121" i="36"/>
  <c r="T121" i="36" s="1"/>
  <c r="U121" i="36" s="1"/>
  <c r="S257" i="36"/>
  <c r="T257" i="36" s="1"/>
  <c r="U257" i="36" s="1"/>
  <c r="S81" i="36"/>
  <c r="T81" i="36" s="1"/>
  <c r="U81" i="36" s="1"/>
  <c r="S230" i="36"/>
  <c r="T230" i="36" s="1"/>
  <c r="U230" i="36" s="1"/>
  <c r="S34" i="36"/>
  <c r="T34" i="36" s="1"/>
  <c r="U34" i="36" s="1"/>
  <c r="S255" i="36"/>
  <c r="T255" i="36" s="1"/>
  <c r="U255" i="36" s="1"/>
  <c r="S196" i="36"/>
  <c r="T196" i="36" s="1"/>
  <c r="U196" i="36" s="1"/>
  <c r="S198" i="36"/>
  <c r="T198" i="36" s="1"/>
  <c r="U198" i="36" s="1"/>
  <c r="S314" i="36"/>
  <c r="T314" i="36" s="1"/>
  <c r="U314" i="36" s="1"/>
  <c r="S253" i="36"/>
  <c r="T253" i="36" s="1"/>
  <c r="U253" i="36" s="1"/>
  <c r="S286" i="36"/>
  <c r="T286" i="36" s="1"/>
  <c r="U286" i="36" s="1"/>
  <c r="S88" i="36"/>
  <c r="T88" i="36" s="1"/>
  <c r="U88" i="36" s="1"/>
  <c r="S285" i="36"/>
  <c r="T285" i="36" s="1"/>
  <c r="U285" i="36" s="1"/>
  <c r="S37" i="36"/>
  <c r="T37" i="36" s="1"/>
  <c r="U37" i="36" s="1"/>
  <c r="S141" i="36"/>
  <c r="T141" i="36" s="1"/>
  <c r="U141" i="36" s="1"/>
  <c r="S260" i="36"/>
  <c r="T260" i="36" s="1"/>
  <c r="U260" i="36" s="1"/>
  <c r="S35" i="36"/>
  <c r="T35" i="36" s="1"/>
  <c r="U35" i="36" s="1"/>
  <c r="S234" i="36"/>
  <c r="T234" i="36" s="1"/>
  <c r="U234" i="36" s="1"/>
  <c r="S56" i="36"/>
  <c r="T56" i="36" s="1"/>
  <c r="U56" i="36" s="1"/>
  <c r="S150" i="36"/>
  <c r="T150" i="36" s="1"/>
  <c r="U150" i="36" s="1"/>
  <c r="S75" i="36"/>
  <c r="T75" i="36" s="1"/>
  <c r="U75" i="36" s="1"/>
  <c r="S210" i="36"/>
  <c r="T210" i="36" s="1"/>
  <c r="U210" i="36" s="1"/>
  <c r="S308" i="36"/>
  <c r="T308" i="36" s="1"/>
  <c r="U308" i="36" s="1"/>
  <c r="S195" i="36"/>
  <c r="T195" i="36" s="1"/>
  <c r="U195" i="36" s="1"/>
  <c r="S193" i="36"/>
  <c r="T193" i="36" s="1"/>
  <c r="U193" i="36" s="1"/>
  <c r="S144" i="36"/>
  <c r="T144" i="36" s="1"/>
  <c r="U144" i="36" s="1"/>
  <c r="S232" i="36"/>
  <c r="T232" i="36" s="1"/>
  <c r="U232" i="36" s="1"/>
  <c r="S163" i="36"/>
  <c r="T163" i="36" s="1"/>
  <c r="U163" i="36" s="1"/>
  <c r="S132" i="36"/>
  <c r="T132" i="36" s="1"/>
  <c r="U132" i="36" s="1"/>
  <c r="S309" i="36"/>
  <c r="T309" i="36" s="1"/>
  <c r="U309" i="36" s="1"/>
  <c r="S237" i="36"/>
  <c r="T237" i="36" s="1"/>
  <c r="U237" i="36" s="1"/>
  <c r="S293" i="36"/>
  <c r="T293" i="36" s="1"/>
  <c r="U293" i="36" s="1"/>
  <c r="S42" i="36"/>
  <c r="T42" i="36" s="1"/>
  <c r="U42" i="36" s="1"/>
  <c r="S164" i="36"/>
  <c r="T164" i="36" s="1"/>
  <c r="U164" i="36" s="1"/>
  <c r="S111" i="36"/>
  <c r="T111" i="36" s="1"/>
  <c r="U111" i="36" s="1"/>
  <c r="S151" i="36"/>
  <c r="T151" i="36" s="1"/>
  <c r="U151" i="36" s="1"/>
  <c r="S45" i="36"/>
  <c r="T45" i="36" s="1"/>
  <c r="U45" i="36" s="1"/>
  <c r="S208" i="36"/>
  <c r="T208" i="36" s="1"/>
  <c r="U208" i="36" s="1"/>
  <c r="S91" i="36"/>
  <c r="T91" i="36" s="1"/>
  <c r="U91" i="36" s="1"/>
  <c r="S219" i="36"/>
  <c r="T219" i="36" s="1"/>
  <c r="U219" i="36" s="1"/>
  <c r="S105" i="36"/>
  <c r="T105" i="36" s="1"/>
  <c r="U105" i="36" s="1"/>
  <c r="S218" i="36"/>
  <c r="T218" i="36" s="1"/>
  <c r="U218" i="36" s="1"/>
  <c r="S244" i="36"/>
  <c r="T244" i="36" s="1"/>
  <c r="U244" i="36" s="1"/>
  <c r="S168" i="36"/>
  <c r="T168" i="36" s="1"/>
  <c r="U168" i="36" s="1"/>
  <c r="S283" i="36"/>
  <c r="T283" i="36" s="1"/>
  <c r="U283" i="36" s="1"/>
  <c r="S270" i="36"/>
  <c r="T270" i="36" s="1"/>
  <c r="U270" i="36" s="1"/>
  <c r="S63" i="36"/>
  <c r="T63" i="36" s="1"/>
  <c r="U63" i="36" s="1"/>
  <c r="S69" i="36"/>
  <c r="T69" i="36" s="1"/>
  <c r="U69" i="36" s="1"/>
  <c r="S66" i="36"/>
  <c r="T66" i="36" s="1"/>
  <c r="U66" i="36" s="1"/>
  <c r="S277" i="36"/>
  <c r="T277" i="36" s="1"/>
  <c r="U277" i="36" s="1"/>
  <c r="S138" i="36"/>
  <c r="T138" i="36" s="1"/>
  <c r="U138" i="36" s="1"/>
  <c r="S252" i="36"/>
  <c r="T252" i="36" s="1"/>
  <c r="U252" i="36" s="1"/>
  <c r="S79" i="36"/>
  <c r="T79" i="36" s="1"/>
  <c r="U79" i="36" s="1"/>
  <c r="S156" i="36"/>
  <c r="T156" i="36" s="1"/>
  <c r="U156" i="36" s="1"/>
  <c r="S243" i="36"/>
  <c r="T243" i="36" s="1"/>
  <c r="U243" i="36" s="1"/>
  <c r="S251" i="36"/>
  <c r="T251" i="36" s="1"/>
  <c r="U251" i="36" s="1"/>
  <c r="S93" i="36"/>
  <c r="T93" i="36" s="1"/>
  <c r="U93" i="36" s="1"/>
  <c r="S127" i="36"/>
  <c r="T127" i="36" s="1"/>
  <c r="U127" i="36" s="1"/>
  <c r="S222" i="36"/>
  <c r="T222" i="36" s="1"/>
  <c r="U222" i="36" s="1"/>
  <c r="S104" i="36"/>
  <c r="T104" i="36" s="1"/>
  <c r="U104" i="36" s="1"/>
  <c r="S51" i="36"/>
  <c r="T51" i="36" s="1"/>
  <c r="U51" i="36" s="1"/>
  <c r="S54" i="36"/>
  <c r="T54" i="36" s="1"/>
  <c r="U54" i="36" s="1"/>
  <c r="S98" i="36"/>
  <c r="T98" i="36" s="1"/>
  <c r="U98" i="36" s="1"/>
  <c r="S84" i="36"/>
  <c r="T84" i="36" s="1"/>
  <c r="U84" i="36" s="1"/>
  <c r="S20" i="36"/>
  <c r="T20" i="36" s="1"/>
  <c r="U20" i="36" s="1"/>
  <c r="T4" i="36" l="1"/>
  <c r="T3" i="36" s="1" a="1"/>
  <c r="T3" i="36" s="1"/>
  <c r="S3" i="36" a="1"/>
  <c r="S3" i="36" s="1"/>
  <c r="V317" i="39"/>
  <c r="S4" i="37"/>
  <c r="S4" i="38"/>
  <c r="S290" i="39"/>
  <c r="T290" i="39" s="1"/>
  <c r="U290" i="39" s="1"/>
  <c r="S250" i="39"/>
  <c r="T250" i="39" s="1"/>
  <c r="U250" i="39" s="1"/>
  <c r="S146" i="39"/>
  <c r="T146" i="39" s="1"/>
  <c r="U146" i="39" s="1"/>
  <c r="S15" i="39"/>
  <c r="T15" i="39" s="1"/>
  <c r="U15" i="39" s="1"/>
  <c r="S279" i="39"/>
  <c r="T279" i="39" s="1"/>
  <c r="U279" i="39" s="1"/>
  <c r="S9" i="39"/>
  <c r="T9" i="39" s="1"/>
  <c r="U9" i="39" s="1"/>
  <c r="S197" i="39"/>
  <c r="T197" i="39" s="1"/>
  <c r="U197" i="39" s="1"/>
  <c r="S92" i="39"/>
  <c r="T92" i="39" s="1"/>
  <c r="U92" i="39" s="1"/>
  <c r="S159" i="39"/>
  <c r="T159" i="39" s="1"/>
  <c r="U159" i="39" s="1"/>
  <c r="S66" i="39"/>
  <c r="T66" i="39" s="1"/>
  <c r="U66" i="39" s="1"/>
  <c r="S181" i="39"/>
  <c r="T181" i="39" s="1"/>
  <c r="U181" i="39" s="1"/>
  <c r="S311" i="39"/>
  <c r="T311" i="39" s="1"/>
  <c r="U311" i="39" s="1"/>
  <c r="S87" i="39"/>
  <c r="T87" i="39" s="1"/>
  <c r="U87" i="39" s="1"/>
  <c r="S232" i="39"/>
  <c r="T232" i="39" s="1"/>
  <c r="U232" i="39" s="1"/>
  <c r="S165" i="39"/>
  <c r="T165" i="39" s="1"/>
  <c r="U165" i="39" s="1"/>
  <c r="S81" i="39"/>
  <c r="T81" i="39" s="1"/>
  <c r="U81" i="39" s="1"/>
  <c r="S103" i="39"/>
  <c r="T103" i="39" s="1"/>
  <c r="U103" i="39" s="1"/>
  <c r="S283" i="39"/>
  <c r="T283" i="39" s="1"/>
  <c r="U283" i="39" s="1"/>
  <c r="S223" i="39"/>
  <c r="T223" i="39" s="1"/>
  <c r="U223" i="39" s="1"/>
  <c r="S177" i="39"/>
  <c r="T177" i="39" s="1"/>
  <c r="U177" i="39" s="1"/>
  <c r="S294" i="39"/>
  <c r="T294" i="39" s="1"/>
  <c r="U294" i="39" s="1"/>
  <c r="S69" i="39"/>
  <c r="T69" i="39" s="1"/>
  <c r="U69" i="39" s="1"/>
  <c r="S70" i="39"/>
  <c r="T70" i="39" s="1"/>
  <c r="U70" i="39" s="1"/>
  <c r="S105" i="39"/>
  <c r="T105" i="39" s="1"/>
  <c r="U105" i="39" s="1"/>
  <c r="S192" i="39"/>
  <c r="T192" i="39" s="1"/>
  <c r="U192" i="39" s="1"/>
  <c r="S104" i="39"/>
  <c r="T104" i="39" s="1"/>
  <c r="U104" i="39" s="1"/>
  <c r="S91" i="39"/>
  <c r="T91" i="39" s="1"/>
  <c r="U91" i="39" s="1"/>
  <c r="S67" i="39"/>
  <c r="T67" i="39" s="1"/>
  <c r="U67" i="39" s="1"/>
  <c r="S183" i="39"/>
  <c r="T183" i="39" s="1"/>
  <c r="U183" i="39" s="1"/>
  <c r="S166" i="39"/>
  <c r="T166" i="39" s="1"/>
  <c r="U166" i="39" s="1"/>
  <c r="S124" i="39"/>
  <c r="T124" i="39" s="1"/>
  <c r="U124" i="39" s="1"/>
  <c r="S96" i="39"/>
  <c r="T96" i="39" s="1"/>
  <c r="U96" i="39" s="1"/>
  <c r="S214" i="39"/>
  <c r="T214" i="39" s="1"/>
  <c r="U214" i="39" s="1"/>
  <c r="S190" i="39"/>
  <c r="T190" i="39" s="1"/>
  <c r="U190" i="39" s="1"/>
  <c r="S276" i="39"/>
  <c r="T276" i="39" s="1"/>
  <c r="U276" i="39" s="1"/>
  <c r="S244" i="39"/>
  <c r="T244" i="39" s="1"/>
  <c r="U244" i="39" s="1"/>
  <c r="S203" i="39"/>
  <c r="T203" i="39" s="1"/>
  <c r="U203" i="39" s="1"/>
  <c r="S247" i="39"/>
  <c r="T247" i="39" s="1"/>
  <c r="U247" i="39" s="1"/>
  <c r="S13" i="39"/>
  <c r="T13" i="39" s="1"/>
  <c r="U13" i="39" s="1"/>
  <c r="S16" i="39"/>
  <c r="T16" i="39" s="1"/>
  <c r="U16" i="39" s="1"/>
  <c r="S40" i="39"/>
  <c r="T40" i="39" s="1"/>
  <c r="U40" i="39" s="1"/>
  <c r="S235" i="39"/>
  <c r="T235" i="39" s="1"/>
  <c r="U235" i="39" s="1"/>
  <c r="S265" i="39"/>
  <c r="T265" i="39" s="1"/>
  <c r="U265" i="39" s="1"/>
  <c r="S239" i="39"/>
  <c r="T239" i="39" s="1"/>
  <c r="U239" i="39" s="1"/>
  <c r="S230" i="39"/>
  <c r="T230" i="39" s="1"/>
  <c r="U230" i="39" s="1"/>
  <c r="S61" i="39"/>
  <c r="T61" i="39" s="1"/>
  <c r="U61" i="39" s="1"/>
  <c r="S287" i="39"/>
  <c r="T287" i="39" s="1"/>
  <c r="U287" i="39" s="1"/>
  <c r="S296" i="39"/>
  <c r="T296" i="39" s="1"/>
  <c r="U296" i="39" s="1"/>
  <c r="S273" i="39"/>
  <c r="T273" i="39" s="1"/>
  <c r="U273" i="39" s="1"/>
  <c r="S252" i="39"/>
  <c r="T252" i="39" s="1"/>
  <c r="U252" i="39" s="1"/>
  <c r="S28" i="39"/>
  <c r="T28" i="39" s="1"/>
  <c r="U28" i="39" s="1"/>
  <c r="S185" i="39"/>
  <c r="T185" i="39" s="1"/>
  <c r="U185" i="39" s="1"/>
  <c r="S99" i="39"/>
  <c r="T99" i="39" s="1"/>
  <c r="U99" i="39" s="1"/>
  <c r="S196" i="39"/>
  <c r="T196" i="39" s="1"/>
  <c r="U196" i="39" s="1"/>
  <c r="S161" i="39"/>
  <c r="T161" i="39" s="1"/>
  <c r="U161" i="39" s="1"/>
  <c r="S233" i="39"/>
  <c r="T233" i="39" s="1"/>
  <c r="U233" i="39" s="1"/>
  <c r="S305" i="39"/>
  <c r="T305" i="39" s="1"/>
  <c r="U305" i="39" s="1"/>
  <c r="S145" i="39"/>
  <c r="T145" i="39" s="1"/>
  <c r="U145" i="39" s="1"/>
  <c r="S84" i="39"/>
  <c r="T84" i="39" s="1"/>
  <c r="U84" i="39" s="1"/>
  <c r="S176" i="39"/>
  <c r="T176" i="39" s="1"/>
  <c r="U176" i="39" s="1"/>
  <c r="S186" i="39"/>
  <c r="T186" i="39" s="1"/>
  <c r="U186" i="39" s="1"/>
  <c r="S97" i="39"/>
  <c r="T97" i="39" s="1"/>
  <c r="U97" i="39" s="1"/>
  <c r="S178" i="39"/>
  <c r="T178" i="39" s="1"/>
  <c r="U178" i="39" s="1"/>
  <c r="S182" i="39"/>
  <c r="T182" i="39" s="1"/>
  <c r="U182" i="39" s="1"/>
  <c r="S225" i="39"/>
  <c r="T225" i="39" s="1"/>
  <c r="U225" i="39" s="1"/>
  <c r="S271" i="39"/>
  <c r="T271" i="39" s="1"/>
  <c r="U271" i="39" s="1"/>
  <c r="S248" i="39"/>
  <c r="T248" i="39" s="1"/>
  <c r="U248" i="39" s="1"/>
  <c r="S179" i="39"/>
  <c r="T179" i="39" s="1"/>
  <c r="U179" i="39" s="1"/>
  <c r="S191" i="39"/>
  <c r="T191" i="39" s="1"/>
  <c r="U191" i="39" s="1"/>
  <c r="S237" i="39"/>
  <c r="T237" i="39" s="1"/>
  <c r="U237" i="39" s="1"/>
  <c r="S194" i="39"/>
  <c r="T194" i="39" s="1"/>
  <c r="U194" i="39" s="1"/>
  <c r="S72" i="39"/>
  <c r="T72" i="39" s="1"/>
  <c r="U72" i="39" s="1"/>
  <c r="S245" i="39"/>
  <c r="T245" i="39" s="1"/>
  <c r="U245" i="39" s="1"/>
  <c r="S208" i="39"/>
  <c r="T208" i="39" s="1"/>
  <c r="U208" i="39" s="1"/>
  <c r="S140" i="39"/>
  <c r="T140" i="39" s="1"/>
  <c r="U140" i="39" s="1"/>
  <c r="S207" i="39"/>
  <c r="T207" i="39" s="1"/>
  <c r="U207" i="39" s="1"/>
  <c r="S215" i="39"/>
  <c r="T215" i="39" s="1"/>
  <c r="U215" i="39" s="1"/>
  <c r="S85" i="39"/>
  <c r="T85" i="39" s="1"/>
  <c r="U85" i="39" s="1"/>
  <c r="S210" i="39"/>
  <c r="T210" i="39" s="1"/>
  <c r="U210" i="39" s="1"/>
  <c r="S251" i="39"/>
  <c r="T251" i="39" s="1"/>
  <c r="U251" i="39" s="1"/>
  <c r="S312" i="39"/>
  <c r="T312" i="39" s="1"/>
  <c r="U312" i="39" s="1"/>
  <c r="S78" i="39"/>
  <c r="T78" i="39" s="1"/>
  <c r="U78" i="39" s="1"/>
  <c r="S238" i="39"/>
  <c r="T238" i="39" s="1"/>
  <c r="U238" i="39" s="1"/>
  <c r="S173" i="39"/>
  <c r="T173" i="39" s="1"/>
  <c r="U173" i="39" s="1"/>
  <c r="S309" i="39"/>
  <c r="T309" i="39" s="1"/>
  <c r="U309" i="39" s="1"/>
  <c r="S98" i="39"/>
  <c r="T98" i="39" s="1"/>
  <c r="U98" i="39" s="1"/>
  <c r="S304" i="39"/>
  <c r="T304" i="39" s="1"/>
  <c r="U304" i="39" s="1"/>
  <c r="S163" i="39"/>
  <c r="T163" i="39" s="1"/>
  <c r="U163" i="39" s="1"/>
  <c r="S189" i="39"/>
  <c r="T189" i="39" s="1"/>
  <c r="U189" i="39" s="1"/>
  <c r="S263" i="39"/>
  <c r="T263" i="39" s="1"/>
  <c r="U263" i="39" s="1"/>
  <c r="S204" i="39"/>
  <c r="T204" i="39" s="1"/>
  <c r="U204" i="39" s="1"/>
  <c r="S53" i="39"/>
  <c r="T53" i="39" s="1"/>
  <c r="U53" i="39" s="1"/>
  <c r="S45" i="39"/>
  <c r="T45" i="39" s="1"/>
  <c r="U45" i="39" s="1"/>
  <c r="S306" i="39"/>
  <c r="T306" i="39" s="1"/>
  <c r="U306" i="39" s="1"/>
  <c r="S64" i="39"/>
  <c r="T64" i="39" s="1"/>
  <c r="U64" i="39" s="1"/>
  <c r="S275" i="39"/>
  <c r="T275" i="39" s="1"/>
  <c r="U275" i="39" s="1"/>
  <c r="S21" i="39"/>
  <c r="T21" i="39" s="1"/>
  <c r="U21" i="39" s="1"/>
  <c r="S33" i="39"/>
  <c r="T33" i="39" s="1"/>
  <c r="U33" i="39" s="1"/>
  <c r="S59" i="39"/>
  <c r="T59" i="39" s="1"/>
  <c r="U59" i="39" s="1"/>
  <c r="S52" i="39"/>
  <c r="T52" i="39" s="1"/>
  <c r="U52" i="39" s="1"/>
  <c r="S256" i="39"/>
  <c r="T256" i="39" s="1"/>
  <c r="U256" i="39" s="1"/>
  <c r="S90" i="39"/>
  <c r="T90" i="39" s="1"/>
  <c r="U90" i="39" s="1"/>
  <c r="S281" i="39"/>
  <c r="T281" i="39" s="1"/>
  <c r="U281" i="39" s="1"/>
  <c r="S32" i="39"/>
  <c r="T32" i="39" s="1"/>
  <c r="U32" i="39" s="1"/>
  <c r="S114" i="39"/>
  <c r="T114" i="39" s="1"/>
  <c r="U114" i="39" s="1"/>
  <c r="S120" i="39"/>
  <c r="T120" i="39" s="1"/>
  <c r="U120" i="39" s="1"/>
  <c r="S148" i="39"/>
  <c r="T148" i="39" s="1"/>
  <c r="U148" i="39" s="1"/>
  <c r="S60" i="39"/>
  <c r="T60" i="39" s="1"/>
  <c r="U60" i="39" s="1"/>
  <c r="S236" i="39"/>
  <c r="T236" i="39" s="1"/>
  <c r="U236" i="39" s="1"/>
  <c r="S257" i="39"/>
  <c r="T257" i="39" s="1"/>
  <c r="U257" i="39" s="1"/>
  <c r="S7" i="39"/>
  <c r="T7" i="39" s="1"/>
  <c r="U7" i="39" s="1"/>
  <c r="S116" i="39"/>
  <c r="T116" i="39" s="1"/>
  <c r="U116" i="39" s="1"/>
  <c r="S150" i="39"/>
  <c r="T150" i="39" s="1"/>
  <c r="U150" i="39" s="1"/>
  <c r="S46" i="39"/>
  <c r="T46" i="39" s="1"/>
  <c r="U46" i="39" s="1"/>
  <c r="S47" i="39"/>
  <c r="T47" i="39" s="1"/>
  <c r="U47" i="39" s="1"/>
  <c r="S164" i="39"/>
  <c r="T164" i="39" s="1"/>
  <c r="U164" i="39" s="1"/>
  <c r="S19" i="39"/>
  <c r="T19" i="39" s="1"/>
  <c r="U19" i="39" s="1"/>
  <c r="S20" i="39"/>
  <c r="T20" i="39" s="1"/>
  <c r="U20" i="39" s="1"/>
  <c r="S25" i="39"/>
  <c r="T25" i="39" s="1"/>
  <c r="U25" i="39" s="1"/>
  <c r="S73" i="39"/>
  <c r="T73" i="39" s="1"/>
  <c r="U73" i="39" s="1"/>
  <c r="S152" i="39"/>
  <c r="T152" i="39" s="1"/>
  <c r="U152" i="39" s="1"/>
  <c r="S54" i="39"/>
  <c r="T54" i="39" s="1"/>
  <c r="U54" i="39" s="1"/>
  <c r="S44" i="39"/>
  <c r="T44" i="39" s="1"/>
  <c r="U44" i="39" s="1"/>
  <c r="S262" i="39"/>
  <c r="T262" i="39" s="1"/>
  <c r="U262" i="39" s="1"/>
  <c r="S227" i="39"/>
  <c r="T227" i="39" s="1"/>
  <c r="U227" i="39" s="1"/>
  <c r="S174" i="39"/>
  <c r="T174" i="39" s="1"/>
  <c r="U174" i="39" s="1"/>
  <c r="S24" i="39"/>
  <c r="T24" i="39" s="1"/>
  <c r="U24" i="39" s="1"/>
  <c r="S307" i="39"/>
  <c r="T307" i="39" s="1"/>
  <c r="U307" i="39" s="1"/>
  <c r="S22" i="39"/>
  <c r="T22" i="39" s="1"/>
  <c r="U22" i="39" s="1"/>
  <c r="S302" i="39"/>
  <c r="T302" i="39" s="1"/>
  <c r="U302" i="39" s="1"/>
  <c r="S202" i="39"/>
  <c r="T202" i="39" s="1"/>
  <c r="U202" i="39" s="1"/>
  <c r="S50" i="39"/>
  <c r="T50" i="39" s="1"/>
  <c r="U50" i="39" s="1"/>
  <c r="S63" i="39"/>
  <c r="T63" i="39" s="1"/>
  <c r="U63" i="39" s="1"/>
  <c r="S299" i="39"/>
  <c r="T299" i="39" s="1"/>
  <c r="U299" i="39" s="1"/>
  <c r="S108" i="39"/>
  <c r="T108" i="39" s="1"/>
  <c r="U108" i="39" s="1"/>
  <c r="S112" i="39"/>
  <c r="T112" i="39" s="1"/>
  <c r="U112" i="39" s="1"/>
  <c r="S160" i="39"/>
  <c r="T160" i="39" s="1"/>
  <c r="U160" i="39" s="1"/>
  <c r="S254" i="39"/>
  <c r="T254" i="39" s="1"/>
  <c r="U254" i="39" s="1"/>
  <c r="S135" i="39"/>
  <c r="T135" i="39" s="1"/>
  <c r="U135" i="39" s="1"/>
  <c r="S167" i="39"/>
  <c r="T167" i="39" s="1"/>
  <c r="U167" i="39" s="1"/>
  <c r="S95" i="39"/>
  <c r="T95" i="39" s="1"/>
  <c r="U95" i="39" s="1"/>
  <c r="S93" i="39"/>
  <c r="T93" i="39" s="1"/>
  <c r="U93" i="39" s="1"/>
  <c r="S267" i="39"/>
  <c r="T267" i="39" s="1"/>
  <c r="U267" i="39" s="1"/>
  <c r="S29" i="39"/>
  <c r="T29" i="39" s="1"/>
  <c r="U29" i="39" s="1"/>
  <c r="S6" i="39"/>
  <c r="T6" i="39" s="1"/>
  <c r="U6" i="39" s="1"/>
  <c r="S125" i="39"/>
  <c r="T125" i="39" s="1"/>
  <c r="U125" i="39" s="1"/>
  <c r="S246" i="39"/>
  <c r="T246" i="39" s="1"/>
  <c r="U246" i="39" s="1"/>
  <c r="S76" i="39"/>
  <c r="T76" i="39" s="1"/>
  <c r="U76" i="39" s="1"/>
  <c r="S171" i="39"/>
  <c r="T171" i="39" s="1"/>
  <c r="U171" i="39" s="1"/>
  <c r="S142" i="39"/>
  <c r="T142" i="39" s="1"/>
  <c r="U142" i="39" s="1"/>
  <c r="S27" i="39"/>
  <c r="T27" i="39" s="1"/>
  <c r="U27" i="39" s="1"/>
  <c r="S154" i="39"/>
  <c r="T154" i="39" s="1"/>
  <c r="U154" i="39" s="1"/>
  <c r="S121" i="39"/>
  <c r="T121" i="39" s="1"/>
  <c r="U121" i="39" s="1"/>
  <c r="S109" i="39"/>
  <c r="T109" i="39" s="1"/>
  <c r="U109" i="39" s="1"/>
  <c r="S231" i="39"/>
  <c r="T231" i="39" s="1"/>
  <c r="U231" i="39" s="1"/>
  <c r="S80" i="39"/>
  <c r="T80" i="39" s="1"/>
  <c r="U80" i="39" s="1"/>
  <c r="S129" i="39"/>
  <c r="T129" i="39" s="1"/>
  <c r="U129" i="39" s="1"/>
  <c r="S288" i="39"/>
  <c r="T288" i="39" s="1"/>
  <c r="U288" i="39" s="1"/>
  <c r="S8" i="39"/>
  <c r="T8" i="39" s="1"/>
  <c r="U8" i="39" s="1"/>
  <c r="S315" i="39"/>
  <c r="T315" i="39" s="1"/>
  <c r="U315" i="39" s="1"/>
  <c r="S221" i="39"/>
  <c r="T221" i="39" s="1"/>
  <c r="U221" i="39" s="1"/>
  <c r="S314" i="39"/>
  <c r="T314" i="39" s="1"/>
  <c r="U314" i="39" s="1"/>
  <c r="S158" i="39"/>
  <c r="T158" i="39" s="1"/>
  <c r="U158" i="39" s="1"/>
  <c r="S23" i="39"/>
  <c r="T23" i="39" s="1"/>
  <c r="U23" i="39" s="1"/>
  <c r="S285" i="39"/>
  <c r="T285" i="39" s="1"/>
  <c r="U285" i="39" s="1"/>
  <c r="S55" i="39"/>
  <c r="T55" i="39" s="1"/>
  <c r="U55" i="39" s="1"/>
  <c r="S241" i="39"/>
  <c r="T241" i="39" s="1"/>
  <c r="U241" i="39" s="1"/>
  <c r="S136" i="39"/>
  <c r="T136" i="39" s="1"/>
  <c r="U136" i="39" s="1"/>
  <c r="S180" i="39"/>
  <c r="T180" i="39" s="1"/>
  <c r="U180" i="39" s="1"/>
  <c r="S119" i="39"/>
  <c r="T119" i="39" s="1"/>
  <c r="U119" i="39" s="1"/>
  <c r="S36" i="39"/>
  <c r="T36" i="39" s="1"/>
  <c r="U36" i="39" s="1"/>
  <c r="S168" i="39"/>
  <c r="T168" i="39" s="1"/>
  <c r="U168" i="39" s="1"/>
  <c r="S199" i="39"/>
  <c r="T199" i="39" s="1"/>
  <c r="U199" i="39" s="1"/>
  <c r="S220" i="39"/>
  <c r="T220" i="39" s="1"/>
  <c r="U220" i="39" s="1"/>
  <c r="S234" i="39"/>
  <c r="T234" i="39" s="1"/>
  <c r="U234" i="39" s="1"/>
  <c r="S209" i="39"/>
  <c r="T209" i="39" s="1"/>
  <c r="U209" i="39" s="1"/>
  <c r="S278" i="39"/>
  <c r="T278" i="39" s="1"/>
  <c r="U278" i="39" s="1"/>
  <c r="S5" i="39"/>
  <c r="T5" i="39" s="1"/>
  <c r="U5" i="39" s="1"/>
  <c r="S39" i="39"/>
  <c r="T39" i="39" s="1"/>
  <c r="U39" i="39" s="1"/>
  <c r="S68" i="39"/>
  <c r="T68" i="39" s="1"/>
  <c r="U68" i="39" s="1"/>
  <c r="S222" i="39"/>
  <c r="T222" i="39" s="1"/>
  <c r="U222" i="39" s="1"/>
  <c r="S113" i="39"/>
  <c r="T113" i="39" s="1"/>
  <c r="U113" i="39" s="1"/>
  <c r="S12" i="39"/>
  <c r="T12" i="39" s="1"/>
  <c r="U12" i="39" s="1"/>
  <c r="S172" i="39"/>
  <c r="T172" i="39" s="1"/>
  <c r="U172" i="39" s="1"/>
  <c r="S243" i="39"/>
  <c r="T243" i="39" s="1"/>
  <c r="U243" i="39" s="1"/>
  <c r="S48" i="39"/>
  <c r="T48" i="39" s="1"/>
  <c r="U48" i="39" s="1"/>
  <c r="S38" i="39"/>
  <c r="T38" i="39" s="1"/>
  <c r="U38" i="39" s="1"/>
  <c r="S242" i="39"/>
  <c r="T242" i="39" s="1"/>
  <c r="U242" i="39" s="1"/>
  <c r="S143" i="39"/>
  <c r="T143" i="39" s="1"/>
  <c r="U143" i="39" s="1"/>
  <c r="S249" i="39"/>
  <c r="T249" i="39" s="1"/>
  <c r="U249" i="39" s="1"/>
  <c r="S42" i="39"/>
  <c r="T42" i="39" s="1"/>
  <c r="U42" i="39" s="1"/>
  <c r="S216" i="39"/>
  <c r="T216" i="39" s="1"/>
  <c r="U216" i="39" s="1"/>
  <c r="S198" i="39"/>
  <c r="T198" i="39" s="1"/>
  <c r="U198" i="39" s="1"/>
  <c r="S41" i="39"/>
  <c r="T41" i="39" s="1"/>
  <c r="U41" i="39" s="1"/>
  <c r="S272" i="39"/>
  <c r="T272" i="39" s="1"/>
  <c r="U272" i="39" s="1"/>
  <c r="S187" i="39"/>
  <c r="T187" i="39" s="1"/>
  <c r="U187" i="39" s="1"/>
  <c r="S188" i="39"/>
  <c r="T188" i="39" s="1"/>
  <c r="U188" i="39" s="1"/>
  <c r="S57" i="39"/>
  <c r="T57" i="39" s="1"/>
  <c r="U57" i="39" s="1"/>
  <c r="S107" i="39"/>
  <c r="T107" i="39" s="1"/>
  <c r="U107" i="39" s="1"/>
  <c r="S217" i="39"/>
  <c r="T217" i="39" s="1"/>
  <c r="U217" i="39" s="1"/>
  <c r="S293" i="39"/>
  <c r="T293" i="39" s="1"/>
  <c r="U293" i="39" s="1"/>
  <c r="S149" i="39"/>
  <c r="T149" i="39" s="1"/>
  <c r="U149" i="39" s="1"/>
  <c r="S133" i="39"/>
  <c r="T133" i="39" s="1"/>
  <c r="U133" i="39" s="1"/>
  <c r="S184" i="39"/>
  <c r="T184" i="39" s="1"/>
  <c r="U184" i="39" s="1"/>
  <c r="S308" i="39"/>
  <c r="T308" i="39" s="1"/>
  <c r="U308" i="39" s="1"/>
  <c r="S259" i="39"/>
  <c r="T259" i="39" s="1"/>
  <c r="U259" i="39" s="1"/>
  <c r="S255" i="39"/>
  <c r="T255" i="39" s="1"/>
  <c r="U255" i="39" s="1"/>
  <c r="S139" i="39"/>
  <c r="T139" i="39" s="1"/>
  <c r="U139" i="39" s="1"/>
  <c r="S117" i="39"/>
  <c r="T117" i="39" s="1"/>
  <c r="U117" i="39" s="1"/>
  <c r="S10" i="39"/>
  <c r="T10" i="39" s="1"/>
  <c r="U10" i="39" s="1"/>
  <c r="S175" i="39"/>
  <c r="T175" i="39" s="1"/>
  <c r="U175" i="39" s="1"/>
  <c r="S147" i="39"/>
  <c r="T147" i="39" s="1"/>
  <c r="U147" i="39" s="1"/>
  <c r="S277" i="39"/>
  <c r="T277" i="39" s="1"/>
  <c r="U277" i="39" s="1"/>
  <c r="S224" i="39"/>
  <c r="T224" i="39" s="1"/>
  <c r="U224" i="39" s="1"/>
  <c r="S65" i="39"/>
  <c r="T65" i="39" s="1"/>
  <c r="U65" i="39" s="1"/>
  <c r="S74" i="39"/>
  <c r="T74" i="39" s="1"/>
  <c r="U74" i="39" s="1"/>
  <c r="S101" i="39"/>
  <c r="T101" i="39" s="1"/>
  <c r="U101" i="39" s="1"/>
  <c r="S228" i="39"/>
  <c r="T228" i="39" s="1"/>
  <c r="U228" i="39" s="1"/>
  <c r="S106" i="39"/>
  <c r="T106" i="39" s="1"/>
  <c r="U106" i="39" s="1"/>
  <c r="S134" i="39"/>
  <c r="T134" i="39" s="1"/>
  <c r="U134" i="39" s="1"/>
  <c r="S86" i="39"/>
  <c r="T86" i="39" s="1"/>
  <c r="U86" i="39" s="1"/>
  <c r="S122" i="39"/>
  <c r="T122" i="39" s="1"/>
  <c r="U122" i="39" s="1"/>
  <c r="S128" i="39"/>
  <c r="T128" i="39" s="1"/>
  <c r="U128" i="39" s="1"/>
  <c r="S253" i="39"/>
  <c r="T253" i="39" s="1"/>
  <c r="U253" i="39" s="1"/>
  <c r="S295" i="39"/>
  <c r="T295" i="39" s="1"/>
  <c r="U295" i="39" s="1"/>
  <c r="S75" i="39"/>
  <c r="T75" i="39" s="1"/>
  <c r="U75" i="39" s="1"/>
  <c r="S62" i="39"/>
  <c r="T62" i="39" s="1"/>
  <c r="U62" i="39" s="1"/>
  <c r="S291" i="39"/>
  <c r="T291" i="39" s="1"/>
  <c r="U291" i="39" s="1"/>
  <c r="S110" i="39"/>
  <c r="T110" i="39" s="1"/>
  <c r="U110" i="39" s="1"/>
  <c r="S200" i="39"/>
  <c r="T200" i="39" s="1"/>
  <c r="U200" i="39" s="1"/>
  <c r="S17" i="39"/>
  <c r="T17" i="39" s="1"/>
  <c r="U17" i="39" s="1"/>
  <c r="S37" i="39"/>
  <c r="T37" i="39" s="1"/>
  <c r="U37" i="39" s="1"/>
  <c r="S43" i="39"/>
  <c r="T43" i="39" s="1"/>
  <c r="U43" i="39" s="1"/>
  <c r="S289" i="39"/>
  <c r="T289" i="39" s="1"/>
  <c r="U289" i="39" s="1"/>
  <c r="S274" i="39"/>
  <c r="T274" i="39" s="1"/>
  <c r="U274" i="39" s="1"/>
  <c r="S195" i="39"/>
  <c r="T195" i="39" s="1"/>
  <c r="U195" i="39" s="1"/>
  <c r="S292" i="39"/>
  <c r="T292" i="39" s="1"/>
  <c r="U292" i="39" s="1"/>
  <c r="S144" i="39"/>
  <c r="T144" i="39" s="1"/>
  <c r="U144" i="39" s="1"/>
  <c r="S138" i="39"/>
  <c r="T138" i="39" s="1"/>
  <c r="U138" i="39" s="1"/>
  <c r="S162" i="39"/>
  <c r="T162" i="39" s="1"/>
  <c r="U162" i="39" s="1"/>
  <c r="S118" i="39"/>
  <c r="T118" i="39" s="1"/>
  <c r="U118" i="39" s="1"/>
  <c r="S284" i="39"/>
  <c r="T284" i="39" s="1"/>
  <c r="U284" i="39" s="1"/>
  <c r="S226" i="39"/>
  <c r="T226" i="39" s="1"/>
  <c r="U226" i="39" s="1"/>
  <c r="S313" i="39"/>
  <c r="T313" i="39" s="1"/>
  <c r="U313" i="39" s="1"/>
  <c r="S213" i="39"/>
  <c r="T213" i="39" s="1"/>
  <c r="U213" i="39" s="1"/>
  <c r="S94" i="39"/>
  <c r="T94" i="39" s="1"/>
  <c r="U94" i="39" s="1"/>
  <c r="S77" i="39"/>
  <c r="T77" i="39" s="1"/>
  <c r="U77" i="39" s="1"/>
  <c r="S89" i="39"/>
  <c r="T89" i="39" s="1"/>
  <c r="U89" i="39" s="1"/>
  <c r="S201" i="39"/>
  <c r="T201" i="39" s="1"/>
  <c r="U201" i="39" s="1"/>
  <c r="S126" i="39"/>
  <c r="T126" i="39" s="1"/>
  <c r="U126" i="39" s="1"/>
  <c r="S30" i="39"/>
  <c r="T30" i="39" s="1"/>
  <c r="U30" i="39" s="1"/>
  <c r="S71" i="39"/>
  <c r="T71" i="39" s="1"/>
  <c r="U71" i="39" s="1"/>
  <c r="S58" i="39"/>
  <c r="T58" i="39" s="1"/>
  <c r="U58" i="39" s="1"/>
  <c r="S79" i="39"/>
  <c r="T79" i="39" s="1"/>
  <c r="U79" i="39" s="1"/>
  <c r="S310" i="39"/>
  <c r="T310" i="39" s="1"/>
  <c r="U310" i="39" s="1"/>
  <c r="S132" i="39"/>
  <c r="T132" i="39" s="1"/>
  <c r="U132" i="39" s="1"/>
  <c r="S11" i="39"/>
  <c r="T11" i="39" s="1"/>
  <c r="U11" i="39" s="1"/>
  <c r="S270" i="39"/>
  <c r="T270" i="39" s="1"/>
  <c r="U270" i="39" s="1"/>
  <c r="S300" i="39"/>
  <c r="T300" i="39" s="1"/>
  <c r="U300" i="39" s="1"/>
  <c r="S82" i="39"/>
  <c r="T82" i="39" s="1"/>
  <c r="U82" i="39" s="1"/>
  <c r="S26" i="39"/>
  <c r="T26" i="39" s="1"/>
  <c r="U26" i="39" s="1"/>
  <c r="S157" i="39"/>
  <c r="T157" i="39" s="1"/>
  <c r="U157" i="39" s="1"/>
  <c r="S115" i="39"/>
  <c r="T115" i="39" s="1"/>
  <c r="U115" i="39" s="1"/>
  <c r="S264" i="39"/>
  <c r="T264" i="39" s="1"/>
  <c r="U264" i="39" s="1"/>
  <c r="S205" i="39"/>
  <c r="T205" i="39" s="1"/>
  <c r="U205" i="39" s="1"/>
  <c r="S137" i="39"/>
  <c r="T137" i="39" s="1"/>
  <c r="U137" i="39" s="1"/>
  <c r="S155" i="39"/>
  <c r="T155" i="39" s="1"/>
  <c r="U155" i="39" s="1"/>
  <c r="S260" i="39"/>
  <c r="T260" i="39" s="1"/>
  <c r="U260" i="39" s="1"/>
  <c r="S49" i="39"/>
  <c r="T49" i="39" s="1"/>
  <c r="U49" i="39" s="1"/>
  <c r="S102" i="39"/>
  <c r="T102" i="39" s="1"/>
  <c r="U102" i="39" s="1"/>
  <c r="S269" i="39"/>
  <c r="T269" i="39" s="1"/>
  <c r="U269" i="39" s="1"/>
  <c r="S206" i="39"/>
  <c r="T206" i="39" s="1"/>
  <c r="U206" i="39" s="1"/>
  <c r="S151" i="39"/>
  <c r="T151" i="39" s="1"/>
  <c r="U151" i="39" s="1"/>
  <c r="S219" i="39"/>
  <c r="T219" i="39" s="1"/>
  <c r="U219" i="39" s="1"/>
  <c r="S100" i="39"/>
  <c r="T100" i="39" s="1"/>
  <c r="U100" i="39" s="1"/>
  <c r="S83" i="39"/>
  <c r="T83" i="39" s="1"/>
  <c r="U83" i="39" s="1"/>
  <c r="S153" i="39"/>
  <c r="T153" i="39" s="1"/>
  <c r="U153" i="39" s="1"/>
  <c r="S282" i="39"/>
  <c r="T282" i="39" s="1"/>
  <c r="U282" i="39" s="1"/>
  <c r="S14" i="39"/>
  <c r="T14" i="39" s="1"/>
  <c r="U14" i="39" s="1"/>
  <c r="S258" i="39"/>
  <c r="T258" i="39" s="1"/>
  <c r="U258" i="39" s="1"/>
  <c r="S111" i="39"/>
  <c r="T111" i="39" s="1"/>
  <c r="U111" i="39" s="1"/>
  <c r="S212" i="39"/>
  <c r="T212" i="39" s="1"/>
  <c r="U212" i="39" s="1"/>
  <c r="S51" i="39"/>
  <c r="T51" i="39" s="1"/>
  <c r="U51" i="39" s="1"/>
  <c r="S261" i="39"/>
  <c r="T261" i="39" s="1"/>
  <c r="U261" i="39" s="1"/>
  <c r="S240" i="39"/>
  <c r="T240" i="39" s="1"/>
  <c r="U240" i="39" s="1"/>
  <c r="S18" i="39"/>
  <c r="T18" i="39" s="1"/>
  <c r="U18" i="39" s="1"/>
  <c r="S130" i="39"/>
  <c r="T130" i="39" s="1"/>
  <c r="U130" i="39" s="1"/>
  <c r="S218" i="39"/>
  <c r="T218" i="39" s="1"/>
  <c r="U218" i="39" s="1"/>
  <c r="S169" i="39"/>
  <c r="T169" i="39" s="1"/>
  <c r="U169" i="39" s="1"/>
  <c r="S268" i="39"/>
  <c r="T268" i="39" s="1"/>
  <c r="U268" i="39" s="1"/>
  <c r="S88" i="39"/>
  <c r="T88" i="39" s="1"/>
  <c r="U88" i="39" s="1"/>
  <c r="S35" i="39"/>
  <c r="T35" i="39" s="1"/>
  <c r="U35" i="39" s="1"/>
  <c r="S34" i="39"/>
  <c r="T34" i="39" s="1"/>
  <c r="U34" i="39" s="1"/>
  <c r="S286" i="39"/>
  <c r="T286" i="39" s="1"/>
  <c r="U286" i="39" s="1"/>
  <c r="S123" i="39"/>
  <c r="T123" i="39" s="1"/>
  <c r="U123" i="39" s="1"/>
  <c r="S229" i="39"/>
  <c r="T229" i="39" s="1"/>
  <c r="U229" i="39" s="1"/>
  <c r="S193" i="39"/>
  <c r="T193" i="39" s="1"/>
  <c r="U193" i="39" s="1"/>
  <c r="S298" i="39"/>
  <c r="T298" i="39" s="1"/>
  <c r="U298" i="39" s="1"/>
  <c r="S127" i="39"/>
  <c r="T127" i="39" s="1"/>
  <c r="U127" i="39" s="1"/>
  <c r="S131" i="39"/>
  <c r="T131" i="39" s="1"/>
  <c r="U131" i="39" s="1"/>
  <c r="S141" i="39"/>
  <c r="T141" i="39" s="1"/>
  <c r="U141" i="39" s="1"/>
  <c r="S280" i="39"/>
  <c r="T280" i="39" s="1"/>
  <c r="U280" i="39" s="1"/>
  <c r="S156" i="39"/>
  <c r="T156" i="39" s="1"/>
  <c r="U156" i="39" s="1"/>
  <c r="S303" i="39"/>
  <c r="T303" i="39" s="1"/>
  <c r="U303" i="39" s="1"/>
  <c r="S170" i="39"/>
  <c r="T170" i="39" s="1"/>
  <c r="U170" i="39" s="1"/>
  <c r="S56" i="39"/>
  <c r="T56" i="39" s="1"/>
  <c r="U56" i="39" s="1"/>
  <c r="S31" i="39"/>
  <c r="T31" i="39" s="1"/>
  <c r="U31" i="39" s="1"/>
  <c r="S211" i="39"/>
  <c r="T211" i="39" s="1"/>
  <c r="U211" i="39" s="1"/>
  <c r="S266" i="39"/>
  <c r="T266" i="39" s="1"/>
  <c r="U266" i="39" s="1"/>
  <c r="S301" i="39"/>
  <c r="T301" i="39" s="1"/>
  <c r="U301" i="39" s="1"/>
  <c r="S297" i="39"/>
  <c r="T297" i="39" s="1"/>
  <c r="U297" i="39" s="1"/>
  <c r="S4" i="39"/>
  <c r="S103" i="38"/>
  <c r="T103" i="38" s="1"/>
  <c r="U103" i="38" s="1"/>
  <c r="S39" i="38"/>
  <c r="T39" i="38" s="1"/>
  <c r="U39" i="38" s="1"/>
  <c r="S162" i="38"/>
  <c r="T162" i="38" s="1"/>
  <c r="U162" i="38" s="1"/>
  <c r="S299" i="38"/>
  <c r="T299" i="38" s="1"/>
  <c r="U299" i="38" s="1"/>
  <c r="S305" i="38"/>
  <c r="T305" i="38" s="1"/>
  <c r="U305" i="38" s="1"/>
  <c r="S297" i="38"/>
  <c r="T297" i="38" s="1"/>
  <c r="U297" i="38" s="1"/>
  <c r="S30" i="38"/>
  <c r="T30" i="38" s="1"/>
  <c r="U30" i="38" s="1"/>
  <c r="S205" i="38"/>
  <c r="T205" i="38" s="1"/>
  <c r="U205" i="38" s="1"/>
  <c r="S265" i="38"/>
  <c r="T265" i="38" s="1"/>
  <c r="U265" i="38" s="1"/>
  <c r="S217" i="38"/>
  <c r="T217" i="38" s="1"/>
  <c r="U217" i="38" s="1"/>
  <c r="S95" i="38"/>
  <c r="T95" i="38" s="1"/>
  <c r="U95" i="38" s="1"/>
  <c r="S204" i="38"/>
  <c r="T204" i="38" s="1"/>
  <c r="U204" i="38" s="1"/>
  <c r="S33" i="38"/>
  <c r="T33" i="38" s="1"/>
  <c r="U33" i="38" s="1"/>
  <c r="S206" i="38"/>
  <c r="T206" i="38" s="1"/>
  <c r="U206" i="38" s="1"/>
  <c r="S172" i="38"/>
  <c r="T172" i="38" s="1"/>
  <c r="U172" i="38" s="1"/>
  <c r="S228" i="38"/>
  <c r="T228" i="38" s="1"/>
  <c r="U228" i="38" s="1"/>
  <c r="S84" i="38"/>
  <c r="T84" i="38" s="1"/>
  <c r="U84" i="38" s="1"/>
  <c r="S111" i="38"/>
  <c r="T111" i="38" s="1"/>
  <c r="U111" i="38" s="1"/>
  <c r="S88" i="38"/>
  <c r="T88" i="38" s="1"/>
  <c r="U88" i="38" s="1"/>
  <c r="S304" i="38"/>
  <c r="T304" i="38" s="1"/>
  <c r="U304" i="38" s="1"/>
  <c r="S133" i="38"/>
  <c r="T133" i="38" s="1"/>
  <c r="U133" i="38" s="1"/>
  <c r="S216" i="38"/>
  <c r="T216" i="38" s="1"/>
  <c r="U216" i="38" s="1"/>
  <c r="S169" i="38"/>
  <c r="T169" i="38" s="1"/>
  <c r="U169" i="38" s="1"/>
  <c r="S10" i="38"/>
  <c r="T10" i="38" s="1"/>
  <c r="U10" i="38" s="1"/>
  <c r="S196" i="38"/>
  <c r="T196" i="38" s="1"/>
  <c r="U196" i="38" s="1"/>
  <c r="S164" i="38"/>
  <c r="T164" i="38" s="1"/>
  <c r="U164" i="38" s="1"/>
  <c r="S312" i="38"/>
  <c r="T312" i="38" s="1"/>
  <c r="U312" i="38" s="1"/>
  <c r="S243" i="38"/>
  <c r="T243" i="38" s="1"/>
  <c r="U243" i="38" s="1"/>
  <c r="S64" i="38"/>
  <c r="T64" i="38" s="1"/>
  <c r="U64" i="38" s="1"/>
  <c r="S23" i="38"/>
  <c r="T23" i="38" s="1"/>
  <c r="U23" i="38" s="1"/>
  <c r="S194" i="38"/>
  <c r="T194" i="38" s="1"/>
  <c r="U194" i="38" s="1"/>
  <c r="S128" i="38"/>
  <c r="T128" i="38" s="1"/>
  <c r="U128" i="38" s="1"/>
  <c r="S40" i="38"/>
  <c r="T40" i="38" s="1"/>
  <c r="U40" i="38" s="1"/>
  <c r="S168" i="38"/>
  <c r="T168" i="38" s="1"/>
  <c r="U168" i="38" s="1"/>
  <c r="S12" i="38"/>
  <c r="T12" i="38" s="1"/>
  <c r="U12" i="38" s="1"/>
  <c r="S8" i="38"/>
  <c r="T8" i="38" s="1"/>
  <c r="U8" i="38" s="1"/>
  <c r="S161" i="38"/>
  <c r="T161" i="38" s="1"/>
  <c r="U161" i="38" s="1"/>
  <c r="S75" i="38"/>
  <c r="T75" i="38" s="1"/>
  <c r="U75" i="38" s="1"/>
  <c r="S142" i="38"/>
  <c r="T142" i="38" s="1"/>
  <c r="U142" i="38" s="1"/>
  <c r="S288" i="38"/>
  <c r="T288" i="38" s="1"/>
  <c r="U288" i="38" s="1"/>
  <c r="S215" i="38"/>
  <c r="T215" i="38" s="1"/>
  <c r="U215" i="38" s="1"/>
  <c r="S85" i="38"/>
  <c r="T85" i="38" s="1"/>
  <c r="U85" i="38" s="1"/>
  <c r="S58" i="38"/>
  <c r="T58" i="38" s="1"/>
  <c r="U58" i="38" s="1"/>
  <c r="S193" i="38"/>
  <c r="T193" i="38" s="1"/>
  <c r="U193" i="38" s="1"/>
  <c r="S174" i="38"/>
  <c r="T174" i="38" s="1"/>
  <c r="U174" i="38" s="1"/>
  <c r="S27" i="38"/>
  <c r="T27" i="38" s="1"/>
  <c r="U27" i="38" s="1"/>
  <c r="S280" i="38"/>
  <c r="T280" i="38" s="1"/>
  <c r="U280" i="38" s="1"/>
  <c r="S221" i="38"/>
  <c r="T221" i="38" s="1"/>
  <c r="U221" i="38" s="1"/>
  <c r="S239" i="38"/>
  <c r="T239" i="38" s="1"/>
  <c r="U239" i="38" s="1"/>
  <c r="S98" i="38"/>
  <c r="T98" i="38" s="1"/>
  <c r="U98" i="38" s="1"/>
  <c r="S42" i="38"/>
  <c r="T42" i="38" s="1"/>
  <c r="U42" i="38" s="1"/>
  <c r="S200" i="38"/>
  <c r="T200" i="38" s="1"/>
  <c r="U200" i="38" s="1"/>
  <c r="S257" i="38"/>
  <c r="T257" i="38" s="1"/>
  <c r="U257" i="38" s="1"/>
  <c r="S147" i="38"/>
  <c r="T147" i="38" s="1"/>
  <c r="U147" i="38" s="1"/>
  <c r="S269" i="38"/>
  <c r="T269" i="38" s="1"/>
  <c r="U269" i="38" s="1"/>
  <c r="S113" i="38"/>
  <c r="T113" i="38" s="1"/>
  <c r="U113" i="38" s="1"/>
  <c r="S114" i="38"/>
  <c r="T114" i="38" s="1"/>
  <c r="U114" i="38" s="1"/>
  <c r="S127" i="38"/>
  <c r="T127" i="38" s="1"/>
  <c r="U127" i="38" s="1"/>
  <c r="S152" i="38"/>
  <c r="T152" i="38" s="1"/>
  <c r="U152" i="38" s="1"/>
  <c r="S286" i="38"/>
  <c r="T286" i="38" s="1"/>
  <c r="U286" i="38" s="1"/>
  <c r="S292" i="38"/>
  <c r="T292" i="38" s="1"/>
  <c r="U292" i="38" s="1"/>
  <c r="S159" i="38"/>
  <c r="T159" i="38" s="1"/>
  <c r="U159" i="38" s="1"/>
  <c r="S214" i="38"/>
  <c r="T214" i="38" s="1"/>
  <c r="U214" i="38" s="1"/>
  <c r="S38" i="38"/>
  <c r="T38" i="38" s="1"/>
  <c r="U38" i="38" s="1"/>
  <c r="S266" i="38"/>
  <c r="T266" i="38" s="1"/>
  <c r="U266" i="38" s="1"/>
  <c r="S123" i="38"/>
  <c r="T123" i="38" s="1"/>
  <c r="U123" i="38" s="1"/>
  <c r="S34" i="38"/>
  <c r="T34" i="38" s="1"/>
  <c r="U34" i="38" s="1"/>
  <c r="S52" i="38"/>
  <c r="T52" i="38" s="1"/>
  <c r="U52" i="38" s="1"/>
  <c r="S7" i="38"/>
  <c r="T7" i="38" s="1"/>
  <c r="U7" i="38" s="1"/>
  <c r="S69" i="38"/>
  <c r="T69" i="38" s="1"/>
  <c r="U69" i="38" s="1"/>
  <c r="S43" i="38"/>
  <c r="T43" i="38" s="1"/>
  <c r="U43" i="38" s="1"/>
  <c r="S218" i="38"/>
  <c r="T218" i="38" s="1"/>
  <c r="U218" i="38" s="1"/>
  <c r="S116" i="38"/>
  <c r="T116" i="38" s="1"/>
  <c r="U116" i="38" s="1"/>
  <c r="S284" i="38"/>
  <c r="T284" i="38" s="1"/>
  <c r="U284" i="38" s="1"/>
  <c r="S285" i="38"/>
  <c r="T285" i="38" s="1"/>
  <c r="U285" i="38" s="1"/>
  <c r="S277" i="38"/>
  <c r="T277" i="38" s="1"/>
  <c r="U277" i="38" s="1"/>
  <c r="S80" i="38"/>
  <c r="T80" i="38" s="1"/>
  <c r="U80" i="38" s="1"/>
  <c r="S303" i="38"/>
  <c r="T303" i="38" s="1"/>
  <c r="U303" i="38" s="1"/>
  <c r="S118" i="38"/>
  <c r="T118" i="38" s="1"/>
  <c r="U118" i="38" s="1"/>
  <c r="S212" i="38"/>
  <c r="T212" i="38" s="1"/>
  <c r="U212" i="38" s="1"/>
  <c r="S136" i="38"/>
  <c r="T136" i="38" s="1"/>
  <c r="U136" i="38" s="1"/>
  <c r="S314" i="38"/>
  <c r="T314" i="38" s="1"/>
  <c r="U314" i="38" s="1"/>
  <c r="S203" i="38"/>
  <c r="T203" i="38" s="1"/>
  <c r="U203" i="38" s="1"/>
  <c r="S310" i="38"/>
  <c r="T310" i="38" s="1"/>
  <c r="U310" i="38" s="1"/>
  <c r="S225" i="38"/>
  <c r="T225" i="38" s="1"/>
  <c r="U225" i="38" s="1"/>
  <c r="S245" i="38"/>
  <c r="T245" i="38" s="1"/>
  <c r="U245" i="38" s="1"/>
  <c r="S256" i="38"/>
  <c r="T256" i="38" s="1"/>
  <c r="U256" i="38" s="1"/>
  <c r="S155" i="38"/>
  <c r="T155" i="38" s="1"/>
  <c r="U155" i="38" s="1"/>
  <c r="S223" i="38"/>
  <c r="T223" i="38" s="1"/>
  <c r="U223" i="38" s="1"/>
  <c r="S226" i="38"/>
  <c r="T226" i="38" s="1"/>
  <c r="U226" i="38" s="1"/>
  <c r="S249" i="38"/>
  <c r="T249" i="38" s="1"/>
  <c r="U249" i="38" s="1"/>
  <c r="S148" i="38"/>
  <c r="T148" i="38" s="1"/>
  <c r="U148" i="38" s="1"/>
  <c r="S235" i="38"/>
  <c r="T235" i="38" s="1"/>
  <c r="U235" i="38" s="1"/>
  <c r="S183" i="38"/>
  <c r="T183" i="38" s="1"/>
  <c r="U183" i="38" s="1"/>
  <c r="S126" i="38"/>
  <c r="T126" i="38" s="1"/>
  <c r="U126" i="38" s="1"/>
  <c r="S177" i="38"/>
  <c r="T177" i="38" s="1"/>
  <c r="U177" i="38" s="1"/>
  <c r="S309" i="38"/>
  <c r="T309" i="38" s="1"/>
  <c r="U309" i="38" s="1"/>
  <c r="S115" i="38"/>
  <c r="T115" i="38" s="1"/>
  <c r="U115" i="38" s="1"/>
  <c r="S160" i="38"/>
  <c r="T160" i="38" s="1"/>
  <c r="U160" i="38" s="1"/>
  <c r="S208" i="38"/>
  <c r="T208" i="38" s="1"/>
  <c r="U208" i="38" s="1"/>
  <c r="S63" i="38"/>
  <c r="T63" i="38" s="1"/>
  <c r="U63" i="38" s="1"/>
  <c r="S106" i="38"/>
  <c r="T106" i="38" s="1"/>
  <c r="U106" i="38" s="1"/>
  <c r="S207" i="38"/>
  <c r="T207" i="38" s="1"/>
  <c r="U207" i="38" s="1"/>
  <c r="S125" i="38"/>
  <c r="T125" i="38" s="1"/>
  <c r="U125" i="38" s="1"/>
  <c r="S140" i="38"/>
  <c r="T140" i="38" s="1"/>
  <c r="U140" i="38" s="1"/>
  <c r="S57" i="38"/>
  <c r="T57" i="38" s="1"/>
  <c r="U57" i="38" s="1"/>
  <c r="S181" i="38"/>
  <c r="T181" i="38" s="1"/>
  <c r="U181" i="38" s="1"/>
  <c r="S112" i="38"/>
  <c r="T112" i="38" s="1"/>
  <c r="U112" i="38" s="1"/>
  <c r="S289" i="38"/>
  <c r="T289" i="38" s="1"/>
  <c r="U289" i="38" s="1"/>
  <c r="S163" i="38"/>
  <c r="T163" i="38" s="1"/>
  <c r="U163" i="38" s="1"/>
  <c r="S267" i="38"/>
  <c r="T267" i="38" s="1"/>
  <c r="U267" i="38" s="1"/>
  <c r="S37" i="38"/>
  <c r="T37" i="38" s="1"/>
  <c r="U37" i="38" s="1"/>
  <c r="S191" i="38"/>
  <c r="T191" i="38" s="1"/>
  <c r="U191" i="38" s="1"/>
  <c r="S48" i="38"/>
  <c r="T48" i="38" s="1"/>
  <c r="U48" i="38" s="1"/>
  <c r="S108" i="38"/>
  <c r="T108" i="38" s="1"/>
  <c r="U108" i="38" s="1"/>
  <c r="S195" i="38"/>
  <c r="T195" i="38" s="1"/>
  <c r="U195" i="38" s="1"/>
  <c r="S240" i="38"/>
  <c r="T240" i="38" s="1"/>
  <c r="U240" i="38" s="1"/>
  <c r="S132" i="38"/>
  <c r="T132" i="38" s="1"/>
  <c r="U132" i="38" s="1"/>
  <c r="S307" i="38"/>
  <c r="T307" i="38" s="1"/>
  <c r="U307" i="38" s="1"/>
  <c r="S188" i="38"/>
  <c r="T188" i="38" s="1"/>
  <c r="U188" i="38" s="1"/>
  <c r="S82" i="38"/>
  <c r="T82" i="38" s="1"/>
  <c r="U82" i="38" s="1"/>
  <c r="S233" i="38"/>
  <c r="T233" i="38" s="1"/>
  <c r="U233" i="38" s="1"/>
  <c r="S199" i="38"/>
  <c r="T199" i="38" s="1"/>
  <c r="U199" i="38" s="1"/>
  <c r="S308" i="38"/>
  <c r="T308" i="38" s="1"/>
  <c r="U308" i="38" s="1"/>
  <c r="S202" i="38"/>
  <c r="T202" i="38" s="1"/>
  <c r="U202" i="38" s="1"/>
  <c r="S130" i="38"/>
  <c r="T130" i="38" s="1"/>
  <c r="U130" i="38" s="1"/>
  <c r="S19" i="38"/>
  <c r="T19" i="38" s="1"/>
  <c r="U19" i="38" s="1"/>
  <c r="S74" i="38"/>
  <c r="T74" i="38" s="1"/>
  <c r="U74" i="38" s="1"/>
  <c r="S54" i="38"/>
  <c r="T54" i="38" s="1"/>
  <c r="U54" i="38" s="1"/>
  <c r="S15" i="38"/>
  <c r="T15" i="38" s="1"/>
  <c r="U15" i="38" s="1"/>
  <c r="S13" i="38"/>
  <c r="T13" i="38" s="1"/>
  <c r="U13" i="38" s="1"/>
  <c r="S274" i="38"/>
  <c r="T274" i="38" s="1"/>
  <c r="U274" i="38" s="1"/>
  <c r="S55" i="38"/>
  <c r="T55" i="38" s="1"/>
  <c r="U55" i="38" s="1"/>
  <c r="S62" i="38"/>
  <c r="T62" i="38" s="1"/>
  <c r="U62" i="38" s="1"/>
  <c r="S129" i="38"/>
  <c r="T129" i="38" s="1"/>
  <c r="U129" i="38" s="1"/>
  <c r="S182" i="38"/>
  <c r="T182" i="38" s="1"/>
  <c r="U182" i="38" s="1"/>
  <c r="S73" i="38"/>
  <c r="T73" i="38" s="1"/>
  <c r="U73" i="38" s="1"/>
  <c r="S124" i="38"/>
  <c r="T124" i="38" s="1"/>
  <c r="U124" i="38" s="1"/>
  <c r="S36" i="38"/>
  <c r="T36" i="38" s="1"/>
  <c r="U36" i="38" s="1"/>
  <c r="S90" i="38"/>
  <c r="T90" i="38" s="1"/>
  <c r="U90" i="38" s="1"/>
  <c r="S268" i="38"/>
  <c r="T268" i="38" s="1"/>
  <c r="U268" i="38" s="1"/>
  <c r="S79" i="38"/>
  <c r="T79" i="38" s="1"/>
  <c r="U79" i="38" s="1"/>
  <c r="S25" i="38"/>
  <c r="T25" i="38" s="1"/>
  <c r="U25" i="38" s="1"/>
  <c r="S16" i="38"/>
  <c r="T16" i="38" s="1"/>
  <c r="U16" i="38" s="1"/>
  <c r="S271" i="38"/>
  <c r="T271" i="38" s="1"/>
  <c r="U271" i="38" s="1"/>
  <c r="S145" i="38"/>
  <c r="T145" i="38" s="1"/>
  <c r="U145" i="38" s="1"/>
  <c r="S276" i="38"/>
  <c r="T276" i="38" s="1"/>
  <c r="U276" i="38" s="1"/>
  <c r="S32" i="38"/>
  <c r="T32" i="38" s="1"/>
  <c r="U32" i="38" s="1"/>
  <c r="S247" i="38"/>
  <c r="T247" i="38" s="1"/>
  <c r="U247" i="38" s="1"/>
  <c r="S187" i="38"/>
  <c r="T187" i="38" s="1"/>
  <c r="U187" i="38" s="1"/>
  <c r="S241" i="38"/>
  <c r="T241" i="38" s="1"/>
  <c r="U241" i="38" s="1"/>
  <c r="S49" i="38"/>
  <c r="T49" i="38" s="1"/>
  <c r="U49" i="38" s="1"/>
  <c r="S131" i="38"/>
  <c r="T131" i="38" s="1"/>
  <c r="U131" i="38" s="1"/>
  <c r="S281" i="38"/>
  <c r="T281" i="38" s="1"/>
  <c r="U281" i="38" s="1"/>
  <c r="S171" i="38"/>
  <c r="T171" i="38" s="1"/>
  <c r="U171" i="38" s="1"/>
  <c r="S35" i="38"/>
  <c r="T35" i="38" s="1"/>
  <c r="U35" i="38" s="1"/>
  <c r="S31" i="38"/>
  <c r="T31" i="38" s="1"/>
  <c r="U31" i="38" s="1"/>
  <c r="S110" i="38"/>
  <c r="T110" i="38" s="1"/>
  <c r="U110" i="38" s="1"/>
  <c r="S173" i="38"/>
  <c r="T173" i="38" s="1"/>
  <c r="U173" i="38" s="1"/>
  <c r="S146" i="38"/>
  <c r="T146" i="38" s="1"/>
  <c r="U146" i="38" s="1"/>
  <c r="S26" i="38"/>
  <c r="T26" i="38" s="1"/>
  <c r="U26" i="38" s="1"/>
  <c r="S264" i="38"/>
  <c r="T264" i="38" s="1"/>
  <c r="U264" i="38" s="1"/>
  <c r="S44" i="38"/>
  <c r="T44" i="38" s="1"/>
  <c r="U44" i="38" s="1"/>
  <c r="S121" i="38"/>
  <c r="T121" i="38" s="1"/>
  <c r="U121" i="38" s="1"/>
  <c r="S176" i="38"/>
  <c r="T176" i="38" s="1"/>
  <c r="U176" i="38" s="1"/>
  <c r="S21" i="38"/>
  <c r="T21" i="38" s="1"/>
  <c r="U21" i="38" s="1"/>
  <c r="S166" i="38"/>
  <c r="T166" i="38" s="1"/>
  <c r="U166" i="38" s="1"/>
  <c r="S313" i="38"/>
  <c r="T313" i="38" s="1"/>
  <c r="U313" i="38" s="1"/>
  <c r="S28" i="38"/>
  <c r="T28" i="38" s="1"/>
  <c r="U28" i="38" s="1"/>
  <c r="S150" i="38"/>
  <c r="T150" i="38" s="1"/>
  <c r="U150" i="38" s="1"/>
  <c r="S156" i="38"/>
  <c r="T156" i="38" s="1"/>
  <c r="U156" i="38" s="1"/>
  <c r="S232" i="38"/>
  <c r="T232" i="38" s="1"/>
  <c r="U232" i="38" s="1"/>
  <c r="S143" i="38"/>
  <c r="T143" i="38" s="1"/>
  <c r="U143" i="38" s="1"/>
  <c r="S278" i="38"/>
  <c r="T278" i="38" s="1"/>
  <c r="U278" i="38" s="1"/>
  <c r="S117" i="38"/>
  <c r="T117" i="38" s="1"/>
  <c r="U117" i="38" s="1"/>
  <c r="S83" i="38"/>
  <c r="T83" i="38" s="1"/>
  <c r="U83" i="38" s="1"/>
  <c r="S296" i="38"/>
  <c r="T296" i="38" s="1"/>
  <c r="U296" i="38" s="1"/>
  <c r="S178" i="38"/>
  <c r="T178" i="38" s="1"/>
  <c r="U178" i="38" s="1"/>
  <c r="S120" i="38"/>
  <c r="T120" i="38" s="1"/>
  <c r="U120" i="38" s="1"/>
  <c r="S242" i="38"/>
  <c r="T242" i="38" s="1"/>
  <c r="U242" i="38" s="1"/>
  <c r="S238" i="38"/>
  <c r="T238" i="38" s="1"/>
  <c r="U238" i="38" s="1"/>
  <c r="S122" i="38"/>
  <c r="T122" i="38" s="1"/>
  <c r="U122" i="38" s="1"/>
  <c r="S201" i="38"/>
  <c r="T201" i="38" s="1"/>
  <c r="U201" i="38" s="1"/>
  <c r="S86" i="38"/>
  <c r="T86" i="38" s="1"/>
  <c r="U86" i="38" s="1"/>
  <c r="S246" i="38"/>
  <c r="T246" i="38" s="1"/>
  <c r="U246" i="38" s="1"/>
  <c r="S263" i="38"/>
  <c r="T263" i="38" s="1"/>
  <c r="U263" i="38" s="1"/>
  <c r="S273" i="38"/>
  <c r="T273" i="38" s="1"/>
  <c r="U273" i="38" s="1"/>
  <c r="S91" i="38"/>
  <c r="T91" i="38" s="1"/>
  <c r="U91" i="38" s="1"/>
  <c r="S252" i="38"/>
  <c r="T252" i="38" s="1"/>
  <c r="U252" i="38" s="1"/>
  <c r="S282" i="38"/>
  <c r="T282" i="38" s="1"/>
  <c r="U282" i="38" s="1"/>
  <c r="S14" i="38"/>
  <c r="T14" i="38" s="1"/>
  <c r="U14" i="38" s="1"/>
  <c r="S104" i="38"/>
  <c r="T104" i="38" s="1"/>
  <c r="U104" i="38" s="1"/>
  <c r="S93" i="38"/>
  <c r="T93" i="38" s="1"/>
  <c r="U93" i="38" s="1"/>
  <c r="S151" i="38"/>
  <c r="T151" i="38" s="1"/>
  <c r="U151" i="38" s="1"/>
  <c r="S197" i="38"/>
  <c r="T197" i="38" s="1"/>
  <c r="U197" i="38" s="1"/>
  <c r="S94" i="38"/>
  <c r="T94" i="38" s="1"/>
  <c r="U94" i="38" s="1"/>
  <c r="S234" i="38"/>
  <c r="T234" i="38" s="1"/>
  <c r="U234" i="38" s="1"/>
  <c r="S295" i="38"/>
  <c r="T295" i="38" s="1"/>
  <c r="U295" i="38" s="1"/>
  <c r="S230" i="38"/>
  <c r="T230" i="38" s="1"/>
  <c r="U230" i="38" s="1"/>
  <c r="S72" i="38"/>
  <c r="T72" i="38" s="1"/>
  <c r="U72" i="38" s="1"/>
  <c r="S65" i="38"/>
  <c r="T65" i="38" s="1"/>
  <c r="U65" i="38" s="1"/>
  <c r="S158" i="38"/>
  <c r="T158" i="38" s="1"/>
  <c r="U158" i="38" s="1"/>
  <c r="S100" i="38"/>
  <c r="T100" i="38" s="1"/>
  <c r="U100" i="38" s="1"/>
  <c r="S67" i="38"/>
  <c r="T67" i="38" s="1"/>
  <c r="U67" i="38" s="1"/>
  <c r="S56" i="38"/>
  <c r="T56" i="38" s="1"/>
  <c r="U56" i="38" s="1"/>
  <c r="S41" i="38"/>
  <c r="T41" i="38" s="1"/>
  <c r="U41" i="38" s="1"/>
  <c r="S283" i="38"/>
  <c r="T283" i="38" s="1"/>
  <c r="U283" i="38" s="1"/>
  <c r="S138" i="38"/>
  <c r="T138" i="38" s="1"/>
  <c r="U138" i="38" s="1"/>
  <c r="S198" i="38"/>
  <c r="T198" i="38" s="1"/>
  <c r="U198" i="38" s="1"/>
  <c r="S192" i="38"/>
  <c r="T192" i="38" s="1"/>
  <c r="U192" i="38" s="1"/>
  <c r="S81" i="38"/>
  <c r="T81" i="38" s="1"/>
  <c r="U81" i="38" s="1"/>
  <c r="S89" i="38"/>
  <c r="T89" i="38" s="1"/>
  <c r="U89" i="38" s="1"/>
  <c r="S244" i="38"/>
  <c r="T244" i="38" s="1"/>
  <c r="U244" i="38" s="1"/>
  <c r="S291" i="38"/>
  <c r="T291" i="38" s="1"/>
  <c r="U291" i="38" s="1"/>
  <c r="S101" i="38"/>
  <c r="T101" i="38" s="1"/>
  <c r="U101" i="38" s="1"/>
  <c r="S294" i="38"/>
  <c r="T294" i="38" s="1"/>
  <c r="U294" i="38" s="1"/>
  <c r="S105" i="38"/>
  <c r="T105" i="38" s="1"/>
  <c r="U105" i="38" s="1"/>
  <c r="S251" i="38"/>
  <c r="T251" i="38" s="1"/>
  <c r="U251" i="38" s="1"/>
  <c r="S224" i="38"/>
  <c r="T224" i="38" s="1"/>
  <c r="U224" i="38" s="1"/>
  <c r="S261" i="38"/>
  <c r="T261" i="38" s="1"/>
  <c r="U261" i="38" s="1"/>
  <c r="S6" i="38"/>
  <c r="T6" i="38" s="1"/>
  <c r="U6" i="38" s="1"/>
  <c r="S153" i="38"/>
  <c r="T153" i="38" s="1"/>
  <c r="U153" i="38" s="1"/>
  <c r="S189" i="38"/>
  <c r="T189" i="38" s="1"/>
  <c r="U189" i="38" s="1"/>
  <c r="S157" i="38"/>
  <c r="T157" i="38" s="1"/>
  <c r="U157" i="38" s="1"/>
  <c r="S139" i="38"/>
  <c r="T139" i="38" s="1"/>
  <c r="U139" i="38" s="1"/>
  <c r="S222" i="38"/>
  <c r="T222" i="38" s="1"/>
  <c r="U222" i="38" s="1"/>
  <c r="S60" i="38"/>
  <c r="T60" i="38" s="1"/>
  <c r="U60" i="38" s="1"/>
  <c r="S179" i="38"/>
  <c r="T179" i="38" s="1"/>
  <c r="U179" i="38" s="1"/>
  <c r="S262" i="38"/>
  <c r="T262" i="38" s="1"/>
  <c r="U262" i="38" s="1"/>
  <c r="S185" i="38"/>
  <c r="T185" i="38" s="1"/>
  <c r="U185" i="38" s="1"/>
  <c r="S315" i="38"/>
  <c r="T315" i="38" s="1"/>
  <c r="U315" i="38" s="1"/>
  <c r="S109" i="38"/>
  <c r="T109" i="38" s="1"/>
  <c r="U109" i="38" s="1"/>
  <c r="S227" i="38"/>
  <c r="T227" i="38" s="1"/>
  <c r="U227" i="38" s="1"/>
  <c r="S298" i="38"/>
  <c r="T298" i="38" s="1"/>
  <c r="U298" i="38" s="1"/>
  <c r="S92" i="38"/>
  <c r="T92" i="38" s="1"/>
  <c r="U92" i="38" s="1"/>
  <c r="S258" i="38"/>
  <c r="T258" i="38" s="1"/>
  <c r="U258" i="38" s="1"/>
  <c r="S50" i="38"/>
  <c r="T50" i="38" s="1"/>
  <c r="U50" i="38" s="1"/>
  <c r="S137" i="38"/>
  <c r="T137" i="38" s="1"/>
  <c r="U137" i="38" s="1"/>
  <c r="S96" i="38"/>
  <c r="T96" i="38" s="1"/>
  <c r="U96" i="38" s="1"/>
  <c r="S213" i="38"/>
  <c r="T213" i="38" s="1"/>
  <c r="U213" i="38" s="1"/>
  <c r="S71" i="38"/>
  <c r="T71" i="38" s="1"/>
  <c r="U71" i="38" s="1"/>
  <c r="S287" i="38"/>
  <c r="T287" i="38" s="1"/>
  <c r="U287" i="38" s="1"/>
  <c r="S66" i="38"/>
  <c r="T66" i="38" s="1"/>
  <c r="U66" i="38" s="1"/>
  <c r="S144" i="38"/>
  <c r="T144" i="38" s="1"/>
  <c r="U144" i="38" s="1"/>
  <c r="S99" i="38"/>
  <c r="T99" i="38" s="1"/>
  <c r="U99" i="38" s="1"/>
  <c r="S68" i="38"/>
  <c r="T68" i="38" s="1"/>
  <c r="U68" i="38" s="1"/>
  <c r="S102" i="38"/>
  <c r="T102" i="38" s="1"/>
  <c r="U102" i="38" s="1"/>
  <c r="S272" i="38"/>
  <c r="T272" i="38" s="1"/>
  <c r="U272" i="38" s="1"/>
  <c r="S22" i="38"/>
  <c r="T22" i="38" s="1"/>
  <c r="U22" i="38" s="1"/>
  <c r="S311" i="38"/>
  <c r="T311" i="38" s="1"/>
  <c r="U311" i="38" s="1"/>
  <c r="S170" i="38"/>
  <c r="T170" i="38" s="1"/>
  <c r="U170" i="38" s="1"/>
  <c r="S210" i="38"/>
  <c r="T210" i="38" s="1"/>
  <c r="U210" i="38" s="1"/>
  <c r="S46" i="38"/>
  <c r="T46" i="38" s="1"/>
  <c r="U46" i="38" s="1"/>
  <c r="S254" i="38"/>
  <c r="T254" i="38" s="1"/>
  <c r="U254" i="38" s="1"/>
  <c r="S5" i="38"/>
  <c r="T5" i="38" s="1"/>
  <c r="U5" i="38" s="1"/>
  <c r="S59" i="38"/>
  <c r="T59" i="38" s="1"/>
  <c r="U59" i="38" s="1"/>
  <c r="S11" i="38"/>
  <c r="T11" i="38" s="1"/>
  <c r="U11" i="38" s="1"/>
  <c r="S165" i="38"/>
  <c r="T165" i="38" s="1"/>
  <c r="U165" i="38" s="1"/>
  <c r="S250" i="38"/>
  <c r="T250" i="38" s="1"/>
  <c r="U250" i="38" s="1"/>
  <c r="S18" i="38"/>
  <c r="T18" i="38" s="1"/>
  <c r="U18" i="38" s="1"/>
  <c r="S231" i="38"/>
  <c r="T231" i="38" s="1"/>
  <c r="U231" i="38" s="1"/>
  <c r="S175" i="38"/>
  <c r="T175" i="38" s="1"/>
  <c r="U175" i="38" s="1"/>
  <c r="S77" i="38"/>
  <c r="T77" i="38" s="1"/>
  <c r="U77" i="38" s="1"/>
  <c r="S87" i="38"/>
  <c r="T87" i="38" s="1"/>
  <c r="U87" i="38" s="1"/>
  <c r="S20" i="38"/>
  <c r="T20" i="38" s="1"/>
  <c r="U20" i="38" s="1"/>
  <c r="S53" i="38"/>
  <c r="T53" i="38" s="1"/>
  <c r="U53" i="38" s="1"/>
  <c r="S51" i="38"/>
  <c r="T51" i="38" s="1"/>
  <c r="U51" i="38" s="1"/>
  <c r="S220" i="38"/>
  <c r="T220" i="38" s="1"/>
  <c r="U220" i="38" s="1"/>
  <c r="S275" i="38"/>
  <c r="T275" i="38" s="1"/>
  <c r="U275" i="38" s="1"/>
  <c r="S209" i="38"/>
  <c r="T209" i="38" s="1"/>
  <c r="U209" i="38" s="1"/>
  <c r="S211" i="38"/>
  <c r="T211" i="38" s="1"/>
  <c r="U211" i="38" s="1"/>
  <c r="S154" i="38"/>
  <c r="T154" i="38" s="1"/>
  <c r="U154" i="38" s="1"/>
  <c r="S229" i="38"/>
  <c r="T229" i="38" s="1"/>
  <c r="U229" i="38" s="1"/>
  <c r="S24" i="38"/>
  <c r="T24" i="38" s="1"/>
  <c r="U24" i="38" s="1"/>
  <c r="S135" i="38"/>
  <c r="T135" i="38" s="1"/>
  <c r="U135" i="38" s="1"/>
  <c r="S186" i="38"/>
  <c r="T186" i="38" s="1"/>
  <c r="U186" i="38" s="1"/>
  <c r="S78" i="38"/>
  <c r="T78" i="38" s="1"/>
  <c r="U78" i="38" s="1"/>
  <c r="S302" i="38"/>
  <c r="T302" i="38" s="1"/>
  <c r="U302" i="38" s="1"/>
  <c r="S237" i="38"/>
  <c r="T237" i="38" s="1"/>
  <c r="U237" i="38" s="1"/>
  <c r="S141" i="38"/>
  <c r="T141" i="38" s="1"/>
  <c r="U141" i="38" s="1"/>
  <c r="S119" i="38"/>
  <c r="T119" i="38" s="1"/>
  <c r="U119" i="38" s="1"/>
  <c r="S180" i="38"/>
  <c r="T180" i="38" s="1"/>
  <c r="U180" i="38" s="1"/>
  <c r="S107" i="38"/>
  <c r="T107" i="38" s="1"/>
  <c r="U107" i="38" s="1"/>
  <c r="S219" i="38"/>
  <c r="T219" i="38" s="1"/>
  <c r="U219" i="38" s="1"/>
  <c r="S260" i="38"/>
  <c r="T260" i="38" s="1"/>
  <c r="U260" i="38" s="1"/>
  <c r="S76" i="38"/>
  <c r="T76" i="38" s="1"/>
  <c r="U76" i="38" s="1"/>
  <c r="S190" i="38"/>
  <c r="T190" i="38" s="1"/>
  <c r="U190" i="38" s="1"/>
  <c r="S253" i="38"/>
  <c r="T253" i="38" s="1"/>
  <c r="U253" i="38" s="1"/>
  <c r="S236" i="38"/>
  <c r="T236" i="38" s="1"/>
  <c r="U236" i="38" s="1"/>
  <c r="S167" i="38"/>
  <c r="T167" i="38" s="1"/>
  <c r="U167" i="38" s="1"/>
  <c r="S279" i="38"/>
  <c r="T279" i="38" s="1"/>
  <c r="U279" i="38" s="1"/>
  <c r="S290" i="38"/>
  <c r="T290" i="38" s="1"/>
  <c r="U290" i="38" s="1"/>
  <c r="S97" i="38"/>
  <c r="T97" i="38" s="1"/>
  <c r="U97" i="38" s="1"/>
  <c r="S45" i="38"/>
  <c r="T45" i="38" s="1"/>
  <c r="U45" i="38" s="1"/>
  <c r="S293" i="38"/>
  <c r="T293" i="38" s="1"/>
  <c r="U293" i="38" s="1"/>
  <c r="S47" i="38"/>
  <c r="T47" i="38" s="1"/>
  <c r="U47" i="38" s="1"/>
  <c r="S134" i="38"/>
  <c r="T134" i="38" s="1"/>
  <c r="U134" i="38" s="1"/>
  <c r="S70" i="38"/>
  <c r="T70" i="38" s="1"/>
  <c r="U70" i="38" s="1"/>
  <c r="S9" i="38"/>
  <c r="T9" i="38" s="1"/>
  <c r="U9" i="38" s="1"/>
  <c r="S149" i="38"/>
  <c r="T149" i="38" s="1"/>
  <c r="U149" i="38" s="1"/>
  <c r="S61" i="38"/>
  <c r="T61" i="38" s="1"/>
  <c r="U61" i="38" s="1"/>
  <c r="S259" i="38"/>
  <c r="T259" i="38" s="1"/>
  <c r="U259" i="38" s="1"/>
  <c r="S184" i="38"/>
  <c r="T184" i="38" s="1"/>
  <c r="U184" i="38" s="1"/>
  <c r="S17" i="38"/>
  <c r="T17" i="38" s="1"/>
  <c r="U17" i="38" s="1"/>
  <c r="S29" i="38"/>
  <c r="T29" i="38" s="1"/>
  <c r="U29" i="38" s="1"/>
  <c r="S255" i="38"/>
  <c r="T255" i="38" s="1"/>
  <c r="U255" i="38" s="1"/>
  <c r="S270" i="38"/>
  <c r="T270" i="38" s="1"/>
  <c r="U270" i="38" s="1"/>
  <c r="S306" i="38"/>
  <c r="T306" i="38" s="1"/>
  <c r="U306" i="38" s="1"/>
  <c r="S301" i="38"/>
  <c r="T301" i="38" s="1"/>
  <c r="U301" i="38" s="1"/>
  <c r="S248" i="38"/>
  <c r="T248" i="38" s="1"/>
  <c r="U248" i="38" s="1"/>
  <c r="S300" i="38"/>
  <c r="T300" i="38" s="1"/>
  <c r="U300" i="38" s="1"/>
  <c r="S74" i="37"/>
  <c r="T74" i="37" s="1"/>
  <c r="U74" i="37" s="1"/>
  <c r="S306" i="37"/>
  <c r="T306" i="37" s="1"/>
  <c r="U306" i="37" s="1"/>
  <c r="S224" i="37"/>
  <c r="T224" i="37" s="1"/>
  <c r="U224" i="37" s="1"/>
  <c r="S85" i="37"/>
  <c r="T85" i="37" s="1"/>
  <c r="U85" i="37" s="1"/>
  <c r="S275" i="37"/>
  <c r="T275" i="37" s="1"/>
  <c r="U275" i="37" s="1"/>
  <c r="S169" i="37"/>
  <c r="T169" i="37" s="1"/>
  <c r="U169" i="37" s="1"/>
  <c r="S29" i="37"/>
  <c r="T29" i="37" s="1"/>
  <c r="U29" i="37" s="1"/>
  <c r="S190" i="37"/>
  <c r="T190" i="37" s="1"/>
  <c r="U190" i="37" s="1"/>
  <c r="S59" i="37"/>
  <c r="T59" i="37" s="1"/>
  <c r="U59" i="37" s="1"/>
  <c r="S312" i="37"/>
  <c r="T312" i="37" s="1"/>
  <c r="U312" i="37" s="1"/>
  <c r="S127" i="37"/>
  <c r="T127" i="37" s="1"/>
  <c r="U127" i="37" s="1"/>
  <c r="S20" i="37"/>
  <c r="T20" i="37" s="1"/>
  <c r="U20" i="37" s="1"/>
  <c r="S132" i="37"/>
  <c r="T132" i="37" s="1"/>
  <c r="U132" i="37" s="1"/>
  <c r="S130" i="37"/>
  <c r="T130" i="37" s="1"/>
  <c r="U130" i="37" s="1"/>
  <c r="S241" i="37"/>
  <c r="T241" i="37" s="1"/>
  <c r="U241" i="37" s="1"/>
  <c r="S49" i="37"/>
  <c r="T49" i="37" s="1"/>
  <c r="U49" i="37" s="1"/>
  <c r="S276" i="37"/>
  <c r="T276" i="37" s="1"/>
  <c r="U276" i="37" s="1"/>
  <c r="S136" i="37"/>
  <c r="T136" i="37" s="1"/>
  <c r="U136" i="37" s="1"/>
  <c r="S181" i="37"/>
  <c r="T181" i="37" s="1"/>
  <c r="U181" i="37" s="1"/>
  <c r="S129" i="37"/>
  <c r="T129" i="37" s="1"/>
  <c r="U129" i="37" s="1"/>
  <c r="S178" i="37"/>
  <c r="T178" i="37" s="1"/>
  <c r="U178" i="37" s="1"/>
  <c r="S141" i="37"/>
  <c r="T141" i="37" s="1"/>
  <c r="U141" i="37" s="1"/>
  <c r="S12" i="37"/>
  <c r="T12" i="37" s="1"/>
  <c r="U12" i="37" s="1"/>
  <c r="S177" i="37"/>
  <c r="T177" i="37" s="1"/>
  <c r="U177" i="37" s="1"/>
  <c r="S305" i="37"/>
  <c r="T305" i="37" s="1"/>
  <c r="U305" i="37" s="1"/>
  <c r="S294" i="37"/>
  <c r="T294" i="37" s="1"/>
  <c r="U294" i="37" s="1"/>
  <c r="S164" i="37"/>
  <c r="T164" i="37" s="1"/>
  <c r="U164" i="37" s="1"/>
  <c r="S35" i="37"/>
  <c r="T35" i="37" s="1"/>
  <c r="U35" i="37" s="1"/>
  <c r="S152" i="37"/>
  <c r="T152" i="37" s="1"/>
  <c r="U152" i="37" s="1"/>
  <c r="S218" i="37"/>
  <c r="T218" i="37" s="1"/>
  <c r="U218" i="37" s="1"/>
  <c r="S144" i="37"/>
  <c r="T144" i="37" s="1"/>
  <c r="U144" i="37" s="1"/>
  <c r="S118" i="37"/>
  <c r="T118" i="37" s="1"/>
  <c r="U118" i="37" s="1"/>
  <c r="S161" i="37"/>
  <c r="T161" i="37" s="1"/>
  <c r="U161" i="37" s="1"/>
  <c r="S106" i="37"/>
  <c r="T106" i="37" s="1"/>
  <c r="U106" i="37" s="1"/>
  <c r="S281" i="37"/>
  <c r="T281" i="37" s="1"/>
  <c r="U281" i="37" s="1"/>
  <c r="S134" i="37"/>
  <c r="T134" i="37" s="1"/>
  <c r="U134" i="37" s="1"/>
  <c r="S75" i="37"/>
  <c r="T75" i="37" s="1"/>
  <c r="U75" i="37" s="1"/>
  <c r="S304" i="37"/>
  <c r="T304" i="37" s="1"/>
  <c r="U304" i="37" s="1"/>
  <c r="S259" i="37"/>
  <c r="T259" i="37" s="1"/>
  <c r="U259" i="37" s="1"/>
  <c r="S42" i="37"/>
  <c r="T42" i="37" s="1"/>
  <c r="U42" i="37" s="1"/>
  <c r="S71" i="37"/>
  <c r="T71" i="37" s="1"/>
  <c r="U71" i="37" s="1"/>
  <c r="S228" i="37"/>
  <c r="T228" i="37" s="1"/>
  <c r="U228" i="37" s="1"/>
  <c r="S33" i="37"/>
  <c r="T33" i="37" s="1"/>
  <c r="U33" i="37" s="1"/>
  <c r="S73" i="37"/>
  <c r="T73" i="37" s="1"/>
  <c r="U73" i="37" s="1"/>
  <c r="S215" i="37"/>
  <c r="T215" i="37" s="1"/>
  <c r="U215" i="37" s="1"/>
  <c r="S297" i="37"/>
  <c r="T297" i="37" s="1"/>
  <c r="U297" i="37" s="1"/>
  <c r="S153" i="37"/>
  <c r="T153" i="37" s="1"/>
  <c r="U153" i="37" s="1"/>
  <c r="S264" i="37"/>
  <c r="T264" i="37" s="1"/>
  <c r="U264" i="37" s="1"/>
  <c r="S165" i="37"/>
  <c r="T165" i="37" s="1"/>
  <c r="U165" i="37" s="1"/>
  <c r="S188" i="37"/>
  <c r="T188" i="37" s="1"/>
  <c r="U188" i="37" s="1"/>
  <c r="S174" i="37"/>
  <c r="T174" i="37" s="1"/>
  <c r="U174" i="37" s="1"/>
  <c r="S125" i="37"/>
  <c r="T125" i="37" s="1"/>
  <c r="U125" i="37" s="1"/>
  <c r="S221" i="37"/>
  <c r="T221" i="37" s="1"/>
  <c r="U221" i="37" s="1"/>
  <c r="S70" i="37"/>
  <c r="T70" i="37" s="1"/>
  <c r="U70" i="37" s="1"/>
  <c r="S105" i="37"/>
  <c r="T105" i="37" s="1"/>
  <c r="U105" i="37" s="1"/>
  <c r="S91" i="37"/>
  <c r="T91" i="37" s="1"/>
  <c r="U91" i="37" s="1"/>
  <c r="S247" i="37"/>
  <c r="T247" i="37" s="1"/>
  <c r="U247" i="37" s="1"/>
  <c r="S289" i="37"/>
  <c r="T289" i="37" s="1"/>
  <c r="U289" i="37" s="1"/>
  <c r="S219" i="37"/>
  <c r="T219" i="37" s="1"/>
  <c r="U219" i="37" s="1"/>
  <c r="S6" i="37"/>
  <c r="T6" i="37" s="1"/>
  <c r="U6" i="37" s="1"/>
  <c r="S269" i="37"/>
  <c r="T269" i="37" s="1"/>
  <c r="U269" i="37" s="1"/>
  <c r="S24" i="37"/>
  <c r="T24" i="37" s="1"/>
  <c r="U24" i="37" s="1"/>
  <c r="S96" i="37"/>
  <c r="T96" i="37" s="1"/>
  <c r="U96" i="37" s="1"/>
  <c r="S51" i="37"/>
  <c r="T51" i="37" s="1"/>
  <c r="U51" i="37" s="1"/>
  <c r="S162" i="37"/>
  <c r="T162" i="37" s="1"/>
  <c r="U162" i="37" s="1"/>
  <c r="S256" i="37"/>
  <c r="T256" i="37" s="1"/>
  <c r="U256" i="37" s="1"/>
  <c r="S285" i="37"/>
  <c r="T285" i="37" s="1"/>
  <c r="U285" i="37" s="1"/>
  <c r="S184" i="37"/>
  <c r="T184" i="37" s="1"/>
  <c r="U184" i="37" s="1"/>
  <c r="S148" i="37"/>
  <c r="T148" i="37" s="1"/>
  <c r="U148" i="37" s="1"/>
  <c r="S115" i="37"/>
  <c r="T115" i="37" s="1"/>
  <c r="U115" i="37" s="1"/>
  <c r="S160" i="37"/>
  <c r="T160" i="37" s="1"/>
  <c r="U160" i="37" s="1"/>
  <c r="S61" i="37"/>
  <c r="T61" i="37" s="1"/>
  <c r="U61" i="37" s="1"/>
  <c r="S94" i="37"/>
  <c r="T94" i="37" s="1"/>
  <c r="U94" i="37" s="1"/>
  <c r="S254" i="37"/>
  <c r="T254" i="37" s="1"/>
  <c r="U254" i="37" s="1"/>
  <c r="S13" i="37"/>
  <c r="T13" i="37" s="1"/>
  <c r="U13" i="37" s="1"/>
  <c r="S194" i="37"/>
  <c r="T194" i="37" s="1"/>
  <c r="U194" i="37" s="1"/>
  <c r="S155" i="37"/>
  <c r="T155" i="37" s="1"/>
  <c r="U155" i="37" s="1"/>
  <c r="S308" i="37"/>
  <c r="T308" i="37" s="1"/>
  <c r="U308" i="37" s="1"/>
  <c r="S237" i="37"/>
  <c r="T237" i="37" s="1"/>
  <c r="U237" i="37" s="1"/>
  <c r="S310" i="37"/>
  <c r="T310" i="37" s="1"/>
  <c r="U310" i="37" s="1"/>
  <c r="S226" i="37"/>
  <c r="T226" i="37" s="1"/>
  <c r="U226" i="37" s="1"/>
  <c r="S139" i="37"/>
  <c r="T139" i="37" s="1"/>
  <c r="U139" i="37" s="1"/>
  <c r="S242" i="37"/>
  <c r="T242" i="37" s="1"/>
  <c r="U242" i="37" s="1"/>
  <c r="S186" i="37"/>
  <c r="T186" i="37" s="1"/>
  <c r="U186" i="37" s="1"/>
  <c r="S175" i="37"/>
  <c r="T175" i="37" s="1"/>
  <c r="U175" i="37" s="1"/>
  <c r="S47" i="37"/>
  <c r="T47" i="37" s="1"/>
  <c r="U47" i="37" s="1"/>
  <c r="S157" i="37"/>
  <c r="T157" i="37" s="1"/>
  <c r="U157" i="37" s="1"/>
  <c r="S300" i="37"/>
  <c r="T300" i="37" s="1"/>
  <c r="U300" i="37" s="1"/>
  <c r="S114" i="37"/>
  <c r="T114" i="37" s="1"/>
  <c r="U114" i="37" s="1"/>
  <c r="S154" i="37"/>
  <c r="T154" i="37" s="1"/>
  <c r="U154" i="37" s="1"/>
  <c r="S32" i="37"/>
  <c r="T32" i="37" s="1"/>
  <c r="U32" i="37" s="1"/>
  <c r="S193" i="37"/>
  <c r="T193" i="37" s="1"/>
  <c r="U193" i="37" s="1"/>
  <c r="S252" i="37"/>
  <c r="T252" i="37" s="1"/>
  <c r="U252" i="37" s="1"/>
  <c r="S98" i="37"/>
  <c r="T98" i="37" s="1"/>
  <c r="U98" i="37" s="1"/>
  <c r="S62" i="37"/>
  <c r="T62" i="37" s="1"/>
  <c r="U62" i="37" s="1"/>
  <c r="S196" i="37"/>
  <c r="T196" i="37" s="1"/>
  <c r="U196" i="37" s="1"/>
  <c r="S112" i="37"/>
  <c r="T112" i="37" s="1"/>
  <c r="U112" i="37" s="1"/>
  <c r="S307" i="37"/>
  <c r="T307" i="37" s="1"/>
  <c r="U307" i="37" s="1"/>
  <c r="S117" i="37"/>
  <c r="T117" i="37" s="1"/>
  <c r="U117" i="37" s="1"/>
  <c r="S189" i="37"/>
  <c r="T189" i="37" s="1"/>
  <c r="U189" i="37" s="1"/>
  <c r="S111" i="37"/>
  <c r="T111" i="37" s="1"/>
  <c r="U111" i="37" s="1"/>
  <c r="S216" i="37"/>
  <c r="T216" i="37" s="1"/>
  <c r="U216" i="37" s="1"/>
  <c r="S235" i="37"/>
  <c r="T235" i="37" s="1"/>
  <c r="U235" i="37" s="1"/>
  <c r="S243" i="37"/>
  <c r="T243" i="37" s="1"/>
  <c r="U243" i="37" s="1"/>
  <c r="S30" i="37"/>
  <c r="T30" i="37" s="1"/>
  <c r="U30" i="37" s="1"/>
  <c r="S102" i="37"/>
  <c r="T102" i="37" s="1"/>
  <c r="U102" i="37" s="1"/>
  <c r="S271" i="37"/>
  <c r="T271" i="37" s="1"/>
  <c r="U271" i="37" s="1"/>
  <c r="S119" i="37"/>
  <c r="T119" i="37" s="1"/>
  <c r="U119" i="37" s="1"/>
  <c r="S249" i="37"/>
  <c r="T249" i="37" s="1"/>
  <c r="U249" i="37" s="1"/>
  <c r="S238" i="37"/>
  <c r="T238" i="37" s="1"/>
  <c r="U238" i="37" s="1"/>
  <c r="S173" i="37"/>
  <c r="T173" i="37" s="1"/>
  <c r="U173" i="37" s="1"/>
  <c r="S245" i="37"/>
  <c r="T245" i="37" s="1"/>
  <c r="U245" i="37" s="1"/>
  <c r="S8" i="37"/>
  <c r="T8" i="37" s="1"/>
  <c r="U8" i="37" s="1"/>
  <c r="S46" i="37"/>
  <c r="T46" i="37" s="1"/>
  <c r="U46" i="37" s="1"/>
  <c r="S163" i="37"/>
  <c r="T163" i="37" s="1"/>
  <c r="U163" i="37" s="1"/>
  <c r="S296" i="37"/>
  <c r="T296" i="37" s="1"/>
  <c r="U296" i="37" s="1"/>
  <c r="S222" i="37"/>
  <c r="T222" i="37" s="1"/>
  <c r="U222" i="37" s="1"/>
  <c r="S314" i="37"/>
  <c r="T314" i="37" s="1"/>
  <c r="U314" i="37" s="1"/>
  <c r="S122" i="37"/>
  <c r="T122" i="37" s="1"/>
  <c r="U122" i="37" s="1"/>
  <c r="S282" i="37"/>
  <c r="T282" i="37" s="1"/>
  <c r="U282" i="37" s="1"/>
  <c r="S110" i="37"/>
  <c r="T110" i="37" s="1"/>
  <c r="U110" i="37" s="1"/>
  <c r="S55" i="37"/>
  <c r="T55" i="37" s="1"/>
  <c r="U55" i="37" s="1"/>
  <c r="S257" i="37"/>
  <c r="T257" i="37" s="1"/>
  <c r="U257" i="37" s="1"/>
  <c r="S11" i="37"/>
  <c r="T11" i="37" s="1"/>
  <c r="U11" i="37" s="1"/>
  <c r="S121" i="37"/>
  <c r="T121" i="37" s="1"/>
  <c r="U121" i="37" s="1"/>
  <c r="S210" i="37"/>
  <c r="T210" i="37" s="1"/>
  <c r="U210" i="37" s="1"/>
  <c r="S90" i="37"/>
  <c r="T90" i="37" s="1"/>
  <c r="U90" i="37" s="1"/>
  <c r="S204" i="37"/>
  <c r="T204" i="37" s="1"/>
  <c r="U204" i="37" s="1"/>
  <c r="S146" i="37"/>
  <c r="T146" i="37" s="1"/>
  <c r="U146" i="37" s="1"/>
  <c r="S22" i="37"/>
  <c r="T22" i="37" s="1"/>
  <c r="U22" i="37" s="1"/>
  <c r="S265" i="37"/>
  <c r="T265" i="37" s="1"/>
  <c r="U265" i="37" s="1"/>
  <c r="S84" i="37"/>
  <c r="T84" i="37" s="1"/>
  <c r="U84" i="37" s="1"/>
  <c r="S126" i="37"/>
  <c r="T126" i="37" s="1"/>
  <c r="U126" i="37" s="1"/>
  <c r="S262" i="37"/>
  <c r="T262" i="37" s="1"/>
  <c r="U262" i="37" s="1"/>
  <c r="S9" i="37"/>
  <c r="T9" i="37" s="1"/>
  <c r="U9" i="37" s="1"/>
  <c r="S149" i="37"/>
  <c r="T149" i="37" s="1"/>
  <c r="U149" i="37" s="1"/>
  <c r="S240" i="37"/>
  <c r="T240" i="37" s="1"/>
  <c r="U240" i="37" s="1"/>
  <c r="S93" i="37"/>
  <c r="T93" i="37" s="1"/>
  <c r="U93" i="37" s="1"/>
  <c r="S251" i="37"/>
  <c r="T251" i="37" s="1"/>
  <c r="U251" i="37" s="1"/>
  <c r="S151" i="37"/>
  <c r="T151" i="37" s="1"/>
  <c r="U151" i="37" s="1"/>
  <c r="S176" i="37"/>
  <c r="T176" i="37" s="1"/>
  <c r="U176" i="37" s="1"/>
  <c r="S227" i="37"/>
  <c r="T227" i="37" s="1"/>
  <c r="U227" i="37" s="1"/>
  <c r="S109" i="37"/>
  <c r="T109" i="37" s="1"/>
  <c r="U109" i="37" s="1"/>
  <c r="S44" i="37"/>
  <c r="T44" i="37" s="1"/>
  <c r="U44" i="37" s="1"/>
  <c r="S137" i="37"/>
  <c r="T137" i="37" s="1"/>
  <c r="U137" i="37" s="1"/>
  <c r="S65" i="37"/>
  <c r="T65" i="37" s="1"/>
  <c r="U65" i="37" s="1"/>
  <c r="S45" i="37"/>
  <c r="T45" i="37" s="1"/>
  <c r="U45" i="37" s="1"/>
  <c r="S7" i="37"/>
  <c r="T7" i="37" s="1"/>
  <c r="U7" i="37" s="1"/>
  <c r="S232" i="37"/>
  <c r="T232" i="37" s="1"/>
  <c r="U232" i="37" s="1"/>
  <c r="S78" i="37"/>
  <c r="T78" i="37" s="1"/>
  <c r="U78" i="37" s="1"/>
  <c r="S239" i="37"/>
  <c r="T239" i="37" s="1"/>
  <c r="U239" i="37" s="1"/>
  <c r="S138" i="37"/>
  <c r="T138" i="37" s="1"/>
  <c r="U138" i="37" s="1"/>
  <c r="S214" i="37"/>
  <c r="T214" i="37" s="1"/>
  <c r="U214" i="37" s="1"/>
  <c r="S270" i="37"/>
  <c r="T270" i="37" s="1"/>
  <c r="U270" i="37" s="1"/>
  <c r="S302" i="37"/>
  <c r="T302" i="37" s="1"/>
  <c r="U302" i="37" s="1"/>
  <c r="S212" i="37"/>
  <c r="T212" i="37" s="1"/>
  <c r="U212" i="37" s="1"/>
  <c r="S211" i="37"/>
  <c r="T211" i="37" s="1"/>
  <c r="U211" i="37" s="1"/>
  <c r="S278" i="37"/>
  <c r="T278" i="37" s="1"/>
  <c r="U278" i="37" s="1"/>
  <c r="S206" i="37"/>
  <c r="T206" i="37" s="1"/>
  <c r="U206" i="37" s="1"/>
  <c r="S56" i="37"/>
  <c r="T56" i="37" s="1"/>
  <c r="U56" i="37" s="1"/>
  <c r="S19" i="37"/>
  <c r="T19" i="37" s="1"/>
  <c r="U19" i="37" s="1"/>
  <c r="S156" i="37"/>
  <c r="T156" i="37" s="1"/>
  <c r="U156" i="37" s="1"/>
  <c r="S104" i="37"/>
  <c r="T104" i="37" s="1"/>
  <c r="U104" i="37" s="1"/>
  <c r="S217" i="37"/>
  <c r="T217" i="37" s="1"/>
  <c r="U217" i="37" s="1"/>
  <c r="S50" i="37"/>
  <c r="T50" i="37" s="1"/>
  <c r="U50" i="37" s="1"/>
  <c r="S283" i="37"/>
  <c r="T283" i="37" s="1"/>
  <c r="U283" i="37" s="1"/>
  <c r="S170" i="37"/>
  <c r="T170" i="37" s="1"/>
  <c r="U170" i="37" s="1"/>
  <c r="S301" i="37"/>
  <c r="T301" i="37" s="1"/>
  <c r="U301" i="37" s="1"/>
  <c r="S99" i="37"/>
  <c r="T99" i="37" s="1"/>
  <c r="U99" i="37" s="1"/>
  <c r="S34" i="37"/>
  <c r="T34" i="37" s="1"/>
  <c r="U34" i="37" s="1"/>
  <c r="S279" i="37"/>
  <c r="T279" i="37" s="1"/>
  <c r="U279" i="37" s="1"/>
  <c r="S145" i="37"/>
  <c r="T145" i="37" s="1"/>
  <c r="U145" i="37" s="1"/>
  <c r="S233" i="37"/>
  <c r="T233" i="37" s="1"/>
  <c r="U233" i="37" s="1"/>
  <c r="S266" i="37"/>
  <c r="T266" i="37" s="1"/>
  <c r="U266" i="37" s="1"/>
  <c r="S48" i="37"/>
  <c r="T48" i="37" s="1"/>
  <c r="U48" i="37" s="1"/>
  <c r="S182" i="37"/>
  <c r="T182" i="37" s="1"/>
  <c r="U182" i="37" s="1"/>
  <c r="S180" i="37"/>
  <c r="T180" i="37" s="1"/>
  <c r="U180" i="37" s="1"/>
  <c r="S72" i="37"/>
  <c r="T72" i="37" s="1"/>
  <c r="U72" i="37" s="1"/>
  <c r="S5" i="37"/>
  <c r="T5" i="37" s="1"/>
  <c r="U5" i="37" s="1"/>
  <c r="S95" i="37"/>
  <c r="T95" i="37" s="1"/>
  <c r="U95" i="37" s="1"/>
  <c r="S168" i="37"/>
  <c r="T168" i="37" s="1"/>
  <c r="U168" i="37" s="1"/>
  <c r="S113" i="37"/>
  <c r="T113" i="37" s="1"/>
  <c r="U113" i="37" s="1"/>
  <c r="S260" i="37"/>
  <c r="T260" i="37" s="1"/>
  <c r="U260" i="37" s="1"/>
  <c r="S293" i="37"/>
  <c r="T293" i="37" s="1"/>
  <c r="U293" i="37" s="1"/>
  <c r="S143" i="37"/>
  <c r="T143" i="37" s="1"/>
  <c r="U143" i="37" s="1"/>
  <c r="S54" i="37"/>
  <c r="T54" i="37" s="1"/>
  <c r="U54" i="37" s="1"/>
  <c r="S167" i="37"/>
  <c r="T167" i="37" s="1"/>
  <c r="U167" i="37" s="1"/>
  <c r="S273" i="37"/>
  <c r="T273" i="37" s="1"/>
  <c r="U273" i="37" s="1"/>
  <c r="S88" i="37"/>
  <c r="T88" i="37" s="1"/>
  <c r="U88" i="37" s="1"/>
  <c r="S76" i="37"/>
  <c r="T76" i="37" s="1"/>
  <c r="U76" i="37" s="1"/>
  <c r="S131" i="37"/>
  <c r="T131" i="37" s="1"/>
  <c r="U131" i="37" s="1"/>
  <c r="S123" i="37"/>
  <c r="T123" i="37" s="1"/>
  <c r="U123" i="37" s="1"/>
  <c r="S116" i="37"/>
  <c r="T116" i="37" s="1"/>
  <c r="U116" i="37" s="1"/>
  <c r="S52" i="37"/>
  <c r="T52" i="37" s="1"/>
  <c r="U52" i="37" s="1"/>
  <c r="S315" i="37"/>
  <c r="T315" i="37" s="1"/>
  <c r="U315" i="37" s="1"/>
  <c r="S37" i="37"/>
  <c r="T37" i="37" s="1"/>
  <c r="U37" i="37" s="1"/>
  <c r="S171" i="37"/>
  <c r="T171" i="37" s="1"/>
  <c r="U171" i="37" s="1"/>
  <c r="S284" i="37"/>
  <c r="T284" i="37" s="1"/>
  <c r="U284" i="37" s="1"/>
  <c r="S18" i="37"/>
  <c r="T18" i="37" s="1"/>
  <c r="U18" i="37" s="1"/>
  <c r="S290" i="37"/>
  <c r="T290" i="37" s="1"/>
  <c r="U290" i="37" s="1"/>
  <c r="S292" i="37"/>
  <c r="T292" i="37" s="1"/>
  <c r="U292" i="37" s="1"/>
  <c r="S83" i="37"/>
  <c r="T83" i="37" s="1"/>
  <c r="U83" i="37" s="1"/>
  <c r="S100" i="37"/>
  <c r="T100" i="37" s="1"/>
  <c r="U100" i="37" s="1"/>
  <c r="S205" i="37"/>
  <c r="T205" i="37" s="1"/>
  <c r="U205" i="37" s="1"/>
  <c r="S280" i="37"/>
  <c r="T280" i="37" s="1"/>
  <c r="U280" i="37" s="1"/>
  <c r="S299" i="37"/>
  <c r="T299" i="37" s="1"/>
  <c r="U299" i="37" s="1"/>
  <c r="S40" i="37"/>
  <c r="T40" i="37" s="1"/>
  <c r="U40" i="37" s="1"/>
  <c r="S158" i="37"/>
  <c r="T158" i="37" s="1"/>
  <c r="U158" i="37" s="1"/>
  <c r="S147" i="37"/>
  <c r="T147" i="37" s="1"/>
  <c r="U147" i="37" s="1"/>
  <c r="S195" i="37"/>
  <c r="T195" i="37" s="1"/>
  <c r="U195" i="37" s="1"/>
  <c r="S25" i="37"/>
  <c r="T25" i="37" s="1"/>
  <c r="U25" i="37" s="1"/>
  <c r="S23" i="37"/>
  <c r="T23" i="37" s="1"/>
  <c r="U23" i="37" s="1"/>
  <c r="S150" i="37"/>
  <c r="T150" i="37" s="1"/>
  <c r="U150" i="37" s="1"/>
  <c r="S60" i="37"/>
  <c r="T60" i="37" s="1"/>
  <c r="U60" i="37" s="1"/>
  <c r="S277" i="37"/>
  <c r="T277" i="37" s="1"/>
  <c r="U277" i="37" s="1"/>
  <c r="S38" i="37"/>
  <c r="T38" i="37" s="1"/>
  <c r="U38" i="37" s="1"/>
  <c r="S26" i="37"/>
  <c r="T26" i="37" s="1"/>
  <c r="U26" i="37" s="1"/>
  <c r="S223" i="37"/>
  <c r="T223" i="37" s="1"/>
  <c r="U223" i="37" s="1"/>
  <c r="S140" i="37"/>
  <c r="T140" i="37" s="1"/>
  <c r="U140" i="37" s="1"/>
  <c r="S303" i="37"/>
  <c r="T303" i="37" s="1"/>
  <c r="U303" i="37" s="1"/>
  <c r="S79" i="37"/>
  <c r="T79" i="37" s="1"/>
  <c r="U79" i="37" s="1"/>
  <c r="S67" i="37"/>
  <c r="T67" i="37" s="1"/>
  <c r="U67" i="37" s="1"/>
  <c r="S66" i="37"/>
  <c r="T66" i="37" s="1"/>
  <c r="U66" i="37" s="1"/>
  <c r="S41" i="37"/>
  <c r="T41" i="37" s="1"/>
  <c r="U41" i="37" s="1"/>
  <c r="S202" i="37"/>
  <c r="T202" i="37" s="1"/>
  <c r="U202" i="37" s="1"/>
  <c r="S309" i="37"/>
  <c r="T309" i="37" s="1"/>
  <c r="U309" i="37" s="1"/>
  <c r="S92" i="37"/>
  <c r="T92" i="37" s="1"/>
  <c r="U92" i="37" s="1"/>
  <c r="S268" i="37"/>
  <c r="T268" i="37" s="1"/>
  <c r="U268" i="37" s="1"/>
  <c r="S255" i="37"/>
  <c r="T255" i="37" s="1"/>
  <c r="U255" i="37" s="1"/>
  <c r="S261" i="37"/>
  <c r="T261" i="37" s="1"/>
  <c r="U261" i="37" s="1"/>
  <c r="S101" i="37"/>
  <c r="T101" i="37" s="1"/>
  <c r="U101" i="37" s="1"/>
  <c r="S198" i="37"/>
  <c r="T198" i="37" s="1"/>
  <c r="U198" i="37" s="1"/>
  <c r="S80" i="37"/>
  <c r="T80" i="37" s="1"/>
  <c r="U80" i="37" s="1"/>
  <c r="S258" i="37"/>
  <c r="T258" i="37" s="1"/>
  <c r="U258" i="37" s="1"/>
  <c r="S53" i="37"/>
  <c r="T53" i="37" s="1"/>
  <c r="U53" i="37" s="1"/>
  <c r="S77" i="37"/>
  <c r="T77" i="37" s="1"/>
  <c r="U77" i="37" s="1"/>
  <c r="S36" i="37"/>
  <c r="T36" i="37" s="1"/>
  <c r="U36" i="37" s="1"/>
  <c r="S191" i="37"/>
  <c r="T191" i="37" s="1"/>
  <c r="U191" i="37" s="1"/>
  <c r="S135" i="37"/>
  <c r="T135" i="37" s="1"/>
  <c r="U135" i="37" s="1"/>
  <c r="S200" i="37"/>
  <c r="T200" i="37" s="1"/>
  <c r="U200" i="37" s="1"/>
  <c r="S64" i="37"/>
  <c r="T64" i="37" s="1"/>
  <c r="U64" i="37" s="1"/>
  <c r="S82" i="37"/>
  <c r="T82" i="37" s="1"/>
  <c r="U82" i="37" s="1"/>
  <c r="S246" i="37"/>
  <c r="T246" i="37" s="1"/>
  <c r="U246" i="37" s="1"/>
  <c r="S229" i="37"/>
  <c r="T229" i="37" s="1"/>
  <c r="U229" i="37" s="1"/>
  <c r="S179" i="37"/>
  <c r="T179" i="37" s="1"/>
  <c r="U179" i="37" s="1"/>
  <c r="S15" i="37"/>
  <c r="T15" i="37" s="1"/>
  <c r="U15" i="37" s="1"/>
  <c r="S244" i="37"/>
  <c r="T244" i="37" s="1"/>
  <c r="U244" i="37" s="1"/>
  <c r="S250" i="37"/>
  <c r="T250" i="37" s="1"/>
  <c r="U250" i="37" s="1"/>
  <c r="S63" i="37"/>
  <c r="T63" i="37" s="1"/>
  <c r="U63" i="37" s="1"/>
  <c r="S31" i="37"/>
  <c r="T31" i="37" s="1"/>
  <c r="U31" i="37" s="1"/>
  <c r="S201" i="37"/>
  <c r="T201" i="37" s="1"/>
  <c r="U201" i="37" s="1"/>
  <c r="S213" i="37"/>
  <c r="T213" i="37" s="1"/>
  <c r="U213" i="37" s="1"/>
  <c r="S253" i="37"/>
  <c r="T253" i="37" s="1"/>
  <c r="U253" i="37" s="1"/>
  <c r="S27" i="37"/>
  <c r="T27" i="37" s="1"/>
  <c r="U27" i="37" s="1"/>
  <c r="S313" i="37"/>
  <c r="T313" i="37" s="1"/>
  <c r="U313" i="37" s="1"/>
  <c r="S248" i="37"/>
  <c r="T248" i="37" s="1"/>
  <c r="U248" i="37" s="1"/>
  <c r="S197" i="37"/>
  <c r="T197" i="37" s="1"/>
  <c r="U197" i="37" s="1"/>
  <c r="S87" i="37"/>
  <c r="T87" i="37" s="1"/>
  <c r="U87" i="37" s="1"/>
  <c r="S21" i="37"/>
  <c r="T21" i="37" s="1"/>
  <c r="U21" i="37" s="1"/>
  <c r="S185" i="37"/>
  <c r="T185" i="37" s="1"/>
  <c r="U185" i="37" s="1"/>
  <c r="S295" i="37"/>
  <c r="T295" i="37" s="1"/>
  <c r="U295" i="37" s="1"/>
  <c r="S274" i="37"/>
  <c r="T274" i="37" s="1"/>
  <c r="U274" i="37" s="1"/>
  <c r="S81" i="37"/>
  <c r="T81" i="37" s="1"/>
  <c r="U81" i="37" s="1"/>
  <c r="S128" i="37"/>
  <c r="T128" i="37" s="1"/>
  <c r="U128" i="37" s="1"/>
  <c r="S220" i="37"/>
  <c r="T220" i="37" s="1"/>
  <c r="U220" i="37" s="1"/>
  <c r="S10" i="37"/>
  <c r="T10" i="37" s="1"/>
  <c r="U10" i="37" s="1"/>
  <c r="S142" i="37"/>
  <c r="T142" i="37" s="1"/>
  <c r="U142" i="37" s="1"/>
  <c r="S286" i="37"/>
  <c r="T286" i="37" s="1"/>
  <c r="U286" i="37" s="1"/>
  <c r="S208" i="37"/>
  <c r="T208" i="37" s="1"/>
  <c r="U208" i="37" s="1"/>
  <c r="S103" i="37"/>
  <c r="T103" i="37" s="1"/>
  <c r="U103" i="37" s="1"/>
  <c r="S58" i="37"/>
  <c r="T58" i="37" s="1"/>
  <c r="U58" i="37" s="1"/>
  <c r="S187" i="37"/>
  <c r="T187" i="37" s="1"/>
  <c r="U187" i="37" s="1"/>
  <c r="S28" i="37"/>
  <c r="T28" i="37" s="1"/>
  <c r="U28" i="37" s="1"/>
  <c r="S263" i="37"/>
  <c r="T263" i="37" s="1"/>
  <c r="U263" i="37" s="1"/>
  <c r="S311" i="37"/>
  <c r="T311" i="37" s="1"/>
  <c r="U311" i="37" s="1"/>
  <c r="S89" i="37"/>
  <c r="T89" i="37" s="1"/>
  <c r="U89" i="37" s="1"/>
  <c r="S272" i="37"/>
  <c r="T272" i="37" s="1"/>
  <c r="U272" i="37" s="1"/>
  <c r="S39" i="37"/>
  <c r="T39" i="37" s="1"/>
  <c r="U39" i="37" s="1"/>
  <c r="S287" i="37"/>
  <c r="T287" i="37" s="1"/>
  <c r="U287" i="37" s="1"/>
  <c r="S298" i="37"/>
  <c r="T298" i="37" s="1"/>
  <c r="U298" i="37" s="1"/>
  <c r="S86" i="37"/>
  <c r="T86" i="37" s="1"/>
  <c r="U86" i="37" s="1"/>
  <c r="S203" i="37"/>
  <c r="T203" i="37" s="1"/>
  <c r="U203" i="37" s="1"/>
  <c r="S97" i="37"/>
  <c r="T97" i="37" s="1"/>
  <c r="U97" i="37" s="1"/>
  <c r="S291" i="37"/>
  <c r="T291" i="37" s="1"/>
  <c r="U291" i="37" s="1"/>
  <c r="S230" i="37"/>
  <c r="T230" i="37" s="1"/>
  <c r="U230" i="37" s="1"/>
  <c r="S225" i="37"/>
  <c r="T225" i="37" s="1"/>
  <c r="U225" i="37" s="1"/>
  <c r="S133" i="37"/>
  <c r="T133" i="37" s="1"/>
  <c r="U133" i="37" s="1"/>
  <c r="S120" i="37"/>
  <c r="T120" i="37" s="1"/>
  <c r="U120" i="37" s="1"/>
  <c r="S236" i="37"/>
  <c r="T236" i="37" s="1"/>
  <c r="U236" i="37" s="1"/>
  <c r="S172" i="37"/>
  <c r="T172" i="37" s="1"/>
  <c r="U172" i="37" s="1"/>
  <c r="S108" i="37"/>
  <c r="T108" i="37" s="1"/>
  <c r="U108" i="37" s="1"/>
  <c r="S183" i="37"/>
  <c r="T183" i="37" s="1"/>
  <c r="U183" i="37" s="1"/>
  <c r="S69" i="37"/>
  <c r="T69" i="37" s="1"/>
  <c r="U69" i="37" s="1"/>
  <c r="S267" i="37"/>
  <c r="T267" i="37" s="1"/>
  <c r="U267" i="37" s="1"/>
  <c r="S209" i="37"/>
  <c r="T209" i="37" s="1"/>
  <c r="U209" i="37" s="1"/>
  <c r="S43" i="37"/>
  <c r="T43" i="37" s="1"/>
  <c r="U43" i="37" s="1"/>
  <c r="S199" i="37"/>
  <c r="T199" i="37" s="1"/>
  <c r="U199" i="37" s="1"/>
  <c r="S14" i="37"/>
  <c r="T14" i="37" s="1"/>
  <c r="U14" i="37" s="1"/>
  <c r="S124" i="37"/>
  <c r="T124" i="37" s="1"/>
  <c r="U124" i="37" s="1"/>
  <c r="S68" i="37"/>
  <c r="T68" i="37" s="1"/>
  <c r="U68" i="37" s="1"/>
  <c r="S57" i="37"/>
  <c r="T57" i="37" s="1"/>
  <c r="U57" i="37" s="1"/>
  <c r="S16" i="37"/>
  <c r="T16" i="37" s="1"/>
  <c r="U16" i="37" s="1"/>
  <c r="S207" i="37"/>
  <c r="T207" i="37" s="1"/>
  <c r="U207" i="37" s="1"/>
  <c r="S288" i="37"/>
  <c r="T288" i="37" s="1"/>
  <c r="U288" i="37" s="1"/>
  <c r="S159" i="37"/>
  <c r="T159" i="37" s="1"/>
  <c r="U159" i="37" s="1"/>
  <c r="S231" i="37"/>
  <c r="T231" i="37" s="1"/>
  <c r="U231" i="37" s="1"/>
  <c r="S107" i="37"/>
  <c r="T107" i="37" s="1"/>
  <c r="U107" i="37" s="1"/>
  <c r="S166" i="37"/>
  <c r="T166" i="37" s="1"/>
  <c r="U166" i="37" s="1"/>
  <c r="S234" i="37"/>
  <c r="T234" i="37" s="1"/>
  <c r="U234" i="37" s="1"/>
  <c r="S192" i="37"/>
  <c r="T192" i="37" s="1"/>
  <c r="U192" i="37" s="1"/>
  <c r="S17" i="37"/>
  <c r="T17" i="37" s="1"/>
  <c r="U17" i="37" s="1"/>
  <c r="V210" i="36"/>
  <c r="V37" i="36"/>
  <c r="V287" i="36"/>
  <c r="V44" i="36"/>
  <c r="V115" i="36"/>
  <c r="V61" i="36"/>
  <c r="V118" i="36"/>
  <c r="V298" i="36"/>
  <c r="V233" i="36"/>
  <c r="V194" i="36"/>
  <c r="V222" i="36"/>
  <c r="V138" i="36"/>
  <c r="V244" i="36"/>
  <c r="V111" i="36"/>
  <c r="V132" i="36"/>
  <c r="V75" i="36"/>
  <c r="V285" i="36"/>
  <c r="V34" i="36"/>
  <c r="V65" i="36"/>
  <c r="V71" i="36"/>
  <c r="V187" i="36"/>
  <c r="V262" i="36"/>
  <c r="V175" i="36"/>
  <c r="V278" i="36"/>
  <c r="V205" i="36"/>
  <c r="V184" i="36"/>
  <c r="V112" i="36"/>
  <c r="V148" i="36"/>
  <c r="V313" i="36"/>
  <c r="V40" i="36"/>
  <c r="V247" i="36"/>
  <c r="V209" i="36"/>
  <c r="V245" i="36"/>
  <c r="V29" i="36"/>
  <c r="V271" i="36"/>
  <c r="V246" i="36"/>
  <c r="V235" i="36"/>
  <c r="V10" i="36"/>
  <c r="V250" i="36"/>
  <c r="V223" i="36"/>
  <c r="V136" i="36"/>
  <c r="V185" i="36"/>
  <c r="V117" i="36"/>
  <c r="V147" i="36"/>
  <c r="V58" i="36"/>
  <c r="V261" i="36"/>
  <c r="V239" i="36"/>
  <c r="V114" i="36"/>
  <c r="V252" i="36"/>
  <c r="V127" i="36"/>
  <c r="V277" i="36"/>
  <c r="V218" i="36"/>
  <c r="V164" i="36"/>
  <c r="V163" i="36"/>
  <c r="V150" i="36"/>
  <c r="V88" i="36"/>
  <c r="V230" i="36"/>
  <c r="V99" i="36"/>
  <c r="V228" i="36"/>
  <c r="V214" i="36"/>
  <c r="V67" i="36"/>
  <c r="V295" i="36"/>
  <c r="V292" i="36"/>
  <c r="V7" i="36"/>
  <c r="V6" i="36"/>
  <c r="V182" i="36"/>
  <c r="V62" i="36"/>
  <c r="V55" i="36"/>
  <c r="V301" i="36"/>
  <c r="V72" i="36"/>
  <c r="V70" i="36"/>
  <c r="V15" i="36"/>
  <c r="V145" i="36"/>
  <c r="V52" i="36"/>
  <c r="V265" i="36"/>
  <c r="V171" i="36"/>
  <c r="V304" i="36"/>
  <c r="V123" i="36"/>
  <c r="V119" i="36"/>
  <c r="V135" i="36"/>
  <c r="V19" i="36"/>
  <c r="V305" i="36"/>
  <c r="V213" i="36"/>
  <c r="V124" i="36"/>
  <c r="V154" i="36"/>
  <c r="V26" i="36"/>
  <c r="V139" i="36"/>
  <c r="V170" i="36"/>
  <c r="V20" i="36"/>
  <c r="V93" i="36"/>
  <c r="V66" i="36"/>
  <c r="V105" i="36"/>
  <c r="V42" i="36"/>
  <c r="V232" i="36"/>
  <c r="V56" i="36"/>
  <c r="V286" i="36"/>
  <c r="V81" i="36"/>
  <c r="V291" i="36"/>
  <c r="V238" i="36"/>
  <c r="V183" i="36"/>
  <c r="V236" i="36"/>
  <c r="V85" i="36"/>
  <c r="V248" i="36"/>
  <c r="V258" i="36"/>
  <c r="V276" i="36"/>
  <c r="V129" i="36"/>
  <c r="V289" i="36"/>
  <c r="V14" i="36"/>
  <c r="V299" i="36"/>
  <c r="V116" i="36"/>
  <c r="V179" i="36"/>
  <c r="V176" i="36"/>
  <c r="V181" i="36"/>
  <c r="V25" i="36"/>
  <c r="V217" i="36"/>
  <c r="V162" i="36"/>
  <c r="V311" i="36"/>
  <c r="V297" i="36"/>
  <c r="V110" i="36"/>
  <c r="V186" i="36"/>
  <c r="V280" i="36"/>
  <c r="V288" i="36"/>
  <c r="V159" i="36"/>
  <c r="V315" i="36"/>
  <c r="V82" i="36"/>
  <c r="V242" i="36"/>
  <c r="V95" i="36"/>
  <c r="V264" i="36"/>
  <c r="V151" i="36"/>
  <c r="V84" i="36"/>
  <c r="V251" i="36"/>
  <c r="V69" i="36"/>
  <c r="V219" i="36"/>
  <c r="V293" i="36"/>
  <c r="V144" i="36"/>
  <c r="V234" i="36"/>
  <c r="V253" i="36"/>
  <c r="V257" i="36"/>
  <c r="V28" i="36"/>
  <c r="V49" i="36"/>
  <c r="V60" i="36"/>
  <c r="V32" i="36"/>
  <c r="V268" i="36"/>
  <c r="V192" i="36"/>
  <c r="V172" i="36"/>
  <c r="V122" i="36"/>
  <c r="V13" i="36"/>
  <c r="V12" i="36"/>
  <c r="V224" i="36"/>
  <c r="V30" i="36"/>
  <c r="V307" i="36"/>
  <c r="V100" i="36"/>
  <c r="V24" i="36"/>
  <c r="V27" i="36"/>
  <c r="V74" i="36"/>
  <c r="V226" i="36"/>
  <c r="V220" i="36"/>
  <c r="V22" i="36"/>
  <c r="V23" i="36"/>
  <c r="V47" i="36"/>
  <c r="V57" i="36"/>
  <c r="V149" i="36"/>
  <c r="V263" i="36"/>
  <c r="V211" i="36"/>
  <c r="V152" i="36"/>
  <c r="V189" i="36"/>
  <c r="V36" i="36"/>
  <c r="V279" i="36"/>
  <c r="V5" i="36"/>
  <c r="V168" i="36"/>
  <c r="V98" i="36"/>
  <c r="V243" i="36"/>
  <c r="V63" i="36"/>
  <c r="V91" i="36"/>
  <c r="V193" i="36"/>
  <c r="V35" i="36"/>
  <c r="V314" i="36"/>
  <c r="V121" i="36"/>
  <c r="V231" i="36"/>
  <c r="V103" i="36"/>
  <c r="V240" i="36"/>
  <c r="V161" i="36"/>
  <c r="V269" i="36"/>
  <c r="V50" i="36"/>
  <c r="V94" i="36"/>
  <c r="V46" i="36"/>
  <c r="V169" i="36"/>
  <c r="V134" i="36"/>
  <c r="V267" i="36"/>
  <c r="V17" i="36"/>
  <c r="V165" i="36"/>
  <c r="V83" i="36"/>
  <c r="V216" i="36"/>
  <c r="V227" i="36"/>
  <c r="V296" i="36"/>
  <c r="V140" i="36"/>
  <c r="V256" i="36"/>
  <c r="V294" i="36"/>
  <c r="V113" i="36"/>
  <c r="V215" i="36"/>
  <c r="V259" i="36"/>
  <c r="V157" i="36"/>
  <c r="V64" i="36"/>
  <c r="V302" i="36"/>
  <c r="V21" i="36"/>
  <c r="V86" i="36"/>
  <c r="V96" i="36"/>
  <c r="V77" i="36"/>
  <c r="V104" i="36"/>
  <c r="V54" i="36"/>
  <c r="V156" i="36"/>
  <c r="V270" i="36"/>
  <c r="V208" i="36"/>
  <c r="V237" i="36"/>
  <c r="V195" i="36"/>
  <c r="V260" i="36"/>
  <c r="V198" i="36"/>
  <c r="V229" i="36"/>
  <c r="V281" i="36"/>
  <c r="V31" i="36"/>
  <c r="V80" i="36"/>
  <c r="V177" i="36"/>
  <c r="V11" i="36"/>
  <c r="V87" i="36"/>
  <c r="V266" i="36"/>
  <c r="V126" i="36"/>
  <c r="V38" i="36"/>
  <c r="V78" i="36"/>
  <c r="V133" i="36"/>
  <c r="V131" i="36"/>
  <c r="V310" i="36"/>
  <c r="V197" i="36"/>
  <c r="V212" i="36"/>
  <c r="V33" i="36"/>
  <c r="V284" i="36"/>
  <c r="V158" i="36"/>
  <c r="V203" i="36"/>
  <c r="V107" i="36"/>
  <c r="V221" i="36"/>
  <c r="V225" i="36"/>
  <c r="V16" i="36"/>
  <c r="V202" i="36"/>
  <c r="V290" i="36"/>
  <c r="V199" i="36"/>
  <c r="V306" i="36"/>
  <c r="V249" i="36"/>
  <c r="V108" i="36"/>
  <c r="V174" i="36"/>
  <c r="V274" i="36"/>
  <c r="V51" i="36"/>
  <c r="V79" i="36"/>
  <c r="V283" i="36"/>
  <c r="V45" i="36"/>
  <c r="V309" i="36"/>
  <c r="V308" i="36"/>
  <c r="V141" i="36"/>
  <c r="V196" i="36"/>
  <c r="V89" i="36"/>
  <c r="V48" i="36"/>
  <c r="V90" i="36"/>
  <c r="V53" i="36"/>
  <c r="V92" i="36"/>
  <c r="V137" i="36"/>
  <c r="V125" i="36"/>
  <c r="V200" i="36"/>
  <c r="V204" i="36"/>
  <c r="V201" i="36"/>
  <c r="V206" i="36"/>
  <c r="V254" i="36"/>
  <c r="V43" i="36"/>
  <c r="V166" i="36"/>
  <c r="V160" i="36"/>
  <c r="V303" i="36"/>
  <c r="V41" i="36"/>
  <c r="V275" i="36"/>
  <c r="V106" i="36"/>
  <c r="V273" i="36"/>
  <c r="V120" i="36"/>
  <c r="V102" i="36"/>
  <c r="V190" i="36"/>
  <c r="V130" i="36"/>
  <c r="V8" i="36"/>
  <c r="V73" i="36"/>
  <c r="V142" i="36"/>
  <c r="V282" i="36"/>
  <c r="V59" i="36"/>
  <c r="V109" i="36"/>
  <c r="U4" i="36"/>
  <c r="U3" i="36" s="1" a="1"/>
  <c r="U3" i="36" s="1"/>
  <c r="V255" i="36"/>
  <c r="V312" i="36"/>
  <c r="V188" i="36"/>
  <c r="V207" i="36"/>
  <c r="V9" i="36"/>
  <c r="V101" i="36"/>
  <c r="V39" i="36"/>
  <c r="V178" i="36"/>
  <c r="V155" i="36"/>
  <c r="V191" i="36"/>
  <c r="V68" i="36"/>
  <c r="V18" i="36"/>
  <c r="V143" i="36"/>
  <c r="V300" i="36"/>
  <c r="V76" i="36"/>
  <c r="V128" i="36"/>
  <c r="V173" i="36"/>
  <c r="V180" i="36"/>
  <c r="V146" i="36"/>
  <c r="V241" i="36"/>
  <c r="V272" i="36"/>
  <c r="V167" i="36"/>
  <c r="V97" i="36"/>
  <c r="V153" i="36"/>
  <c r="S3" i="39" l="1" a="1"/>
  <c r="S3" i="39" s="1"/>
  <c r="S3" i="38" a="1"/>
  <c r="S3" i="38" s="1"/>
  <c r="S3" i="37" a="1"/>
  <c r="S3" i="37" s="1"/>
  <c r="T4" i="38"/>
  <c r="T3" i="38" s="1" a="1"/>
  <c r="T3" i="38" s="1"/>
  <c r="T4" i="37"/>
  <c r="T3" i="37" s="1" a="1"/>
  <c r="T3" i="37" s="1"/>
  <c r="V31" i="39"/>
  <c r="V127" i="39"/>
  <c r="V88" i="39"/>
  <c r="V51" i="39"/>
  <c r="V100" i="39"/>
  <c r="V155" i="39"/>
  <c r="V300" i="39"/>
  <c r="V30" i="39"/>
  <c r="V226" i="39"/>
  <c r="V274" i="39"/>
  <c r="V62" i="39"/>
  <c r="V106" i="39"/>
  <c r="V175" i="39"/>
  <c r="V133" i="39"/>
  <c r="V187" i="39"/>
  <c r="V242" i="39"/>
  <c r="V68" i="39"/>
  <c r="V168" i="39"/>
  <c r="V23" i="39"/>
  <c r="V80" i="39"/>
  <c r="V171" i="39"/>
  <c r="V95" i="39"/>
  <c r="V63" i="39"/>
  <c r="V227" i="39"/>
  <c r="V20" i="39"/>
  <c r="V257" i="39"/>
  <c r="V90" i="39"/>
  <c r="V306" i="39"/>
  <c r="V98" i="39"/>
  <c r="V85" i="39"/>
  <c r="V194" i="39"/>
  <c r="V178" i="39"/>
  <c r="V161" i="39"/>
  <c r="V296" i="39"/>
  <c r="V16" i="39"/>
  <c r="V96" i="39"/>
  <c r="V105" i="39"/>
  <c r="V81" i="39"/>
  <c r="V92" i="39"/>
  <c r="V56" i="39"/>
  <c r="V298" i="39"/>
  <c r="V268" i="39"/>
  <c r="V212" i="39"/>
  <c r="V219" i="39"/>
  <c r="V137" i="39"/>
  <c r="V270" i="39"/>
  <c r="V126" i="39"/>
  <c r="V284" i="39"/>
  <c r="V289" i="39"/>
  <c r="V75" i="39"/>
  <c r="V228" i="39"/>
  <c r="V10" i="39"/>
  <c r="V149" i="39"/>
  <c r="V272" i="39"/>
  <c r="V38" i="39"/>
  <c r="V39" i="39"/>
  <c r="V36" i="39"/>
  <c r="V158" i="39"/>
  <c r="V231" i="39"/>
  <c r="V76" i="39"/>
  <c r="V167" i="39"/>
  <c r="V50" i="39"/>
  <c r="V262" i="39"/>
  <c r="V19" i="39"/>
  <c r="V236" i="39"/>
  <c r="V256" i="39"/>
  <c r="V45" i="39"/>
  <c r="V309" i="39"/>
  <c r="V215" i="39"/>
  <c r="V237" i="39"/>
  <c r="V97" i="39"/>
  <c r="V196" i="39"/>
  <c r="V287" i="39"/>
  <c r="V13" i="39"/>
  <c r="V124" i="39"/>
  <c r="V70" i="39"/>
  <c r="V165" i="39"/>
  <c r="V197" i="39"/>
  <c r="T4" i="39"/>
  <c r="T3" i="39" s="1" a="1"/>
  <c r="T3" i="39" s="1"/>
  <c r="V218" i="39"/>
  <c r="V132" i="39"/>
  <c r="V253" i="39"/>
  <c r="V243" i="39"/>
  <c r="V109" i="39"/>
  <c r="V47" i="39"/>
  <c r="V238" i="39"/>
  <c r="V279" i="39"/>
  <c r="V297" i="39"/>
  <c r="V156" i="39"/>
  <c r="V123" i="39"/>
  <c r="V130" i="39"/>
  <c r="V14" i="39"/>
  <c r="V269" i="39"/>
  <c r="V115" i="39"/>
  <c r="V310" i="39"/>
  <c r="V77" i="39"/>
  <c r="V138" i="39"/>
  <c r="V17" i="39"/>
  <c r="V128" i="39"/>
  <c r="V65" i="39"/>
  <c r="V255" i="39"/>
  <c r="V107" i="39"/>
  <c r="V216" i="39"/>
  <c r="V172" i="39"/>
  <c r="V209" i="39"/>
  <c r="V136" i="39"/>
  <c r="V315" i="39"/>
  <c r="V121" i="39"/>
  <c r="V6" i="39"/>
  <c r="V160" i="39"/>
  <c r="V22" i="39"/>
  <c r="V152" i="39"/>
  <c r="V46" i="39"/>
  <c r="V120" i="39"/>
  <c r="V33" i="39"/>
  <c r="V263" i="39"/>
  <c r="V78" i="39"/>
  <c r="V208" i="39"/>
  <c r="V248" i="39"/>
  <c r="V84" i="39"/>
  <c r="V185" i="39"/>
  <c r="V239" i="39"/>
  <c r="V244" i="39"/>
  <c r="V67" i="39"/>
  <c r="V177" i="39"/>
  <c r="V311" i="39"/>
  <c r="V15" i="39"/>
  <c r="V193" i="39"/>
  <c r="V151" i="39"/>
  <c r="V201" i="39"/>
  <c r="V295" i="39"/>
  <c r="V293" i="39"/>
  <c r="V5" i="39"/>
  <c r="V135" i="39"/>
  <c r="V60" i="39"/>
  <c r="V53" i="39"/>
  <c r="V191" i="39"/>
  <c r="V247" i="39"/>
  <c r="V9" i="39"/>
  <c r="V303" i="39"/>
  <c r="V206" i="39"/>
  <c r="V162" i="39"/>
  <c r="V139" i="39"/>
  <c r="V278" i="39"/>
  <c r="V125" i="39"/>
  <c r="V54" i="39"/>
  <c r="V204" i="39"/>
  <c r="V179" i="39"/>
  <c r="V99" i="39"/>
  <c r="V294" i="39"/>
  <c r="V301" i="39"/>
  <c r="V280" i="39"/>
  <c r="V286" i="39"/>
  <c r="V18" i="39"/>
  <c r="V282" i="39"/>
  <c r="V102" i="39"/>
  <c r="V157" i="39"/>
  <c r="V79" i="39"/>
  <c r="V94" i="39"/>
  <c r="V144" i="39"/>
  <c r="V200" i="39"/>
  <c r="V122" i="39"/>
  <c r="V224" i="39"/>
  <c r="V259" i="39"/>
  <c r="V57" i="39"/>
  <c r="V42" i="39"/>
  <c r="V12" i="39"/>
  <c r="V234" i="39"/>
  <c r="V241" i="39"/>
  <c r="V8" i="39"/>
  <c r="V154" i="39"/>
  <c r="V29" i="39"/>
  <c r="V112" i="39"/>
  <c r="V307" i="39"/>
  <c r="V150" i="39"/>
  <c r="V114" i="39"/>
  <c r="V21" i="39"/>
  <c r="V189" i="39"/>
  <c r="V312" i="39"/>
  <c r="V245" i="39"/>
  <c r="V271" i="39"/>
  <c r="V145" i="39"/>
  <c r="V28" i="39"/>
  <c r="V265" i="39"/>
  <c r="V276" i="39"/>
  <c r="V91" i="39"/>
  <c r="V223" i="39"/>
  <c r="V181" i="39"/>
  <c r="V146" i="39"/>
  <c r="V170" i="39"/>
  <c r="V111" i="39"/>
  <c r="V11" i="39"/>
  <c r="V43" i="39"/>
  <c r="V101" i="39"/>
  <c r="V41" i="39"/>
  <c r="V119" i="39"/>
  <c r="V246" i="39"/>
  <c r="V44" i="39"/>
  <c r="V52" i="39"/>
  <c r="V207" i="39"/>
  <c r="V166" i="39"/>
  <c r="V69" i="39"/>
  <c r="V258" i="39"/>
  <c r="V89" i="39"/>
  <c r="V74" i="39"/>
  <c r="V198" i="39"/>
  <c r="V221" i="39"/>
  <c r="V302" i="39"/>
  <c r="V59" i="39"/>
  <c r="V140" i="39"/>
  <c r="V203" i="39"/>
  <c r="V87" i="39"/>
  <c r="V266" i="39"/>
  <c r="V141" i="39"/>
  <c r="V34" i="39"/>
  <c r="V240" i="39"/>
  <c r="V153" i="39"/>
  <c r="V49" i="39"/>
  <c r="V26" i="39"/>
  <c r="V58" i="39"/>
  <c r="V213" i="39"/>
  <c r="V292" i="39"/>
  <c r="V110" i="39"/>
  <c r="V86" i="39"/>
  <c r="V277" i="39"/>
  <c r="V308" i="39"/>
  <c r="V249" i="39"/>
  <c r="V113" i="39"/>
  <c r="V220" i="39"/>
  <c r="V55" i="39"/>
  <c r="V288" i="39"/>
  <c r="V27" i="39"/>
  <c r="V267" i="39"/>
  <c r="V108" i="39"/>
  <c r="V24" i="39"/>
  <c r="V73" i="39"/>
  <c r="V116" i="39"/>
  <c r="V32" i="39"/>
  <c r="V275" i="39"/>
  <c r="V163" i="39"/>
  <c r="V251" i="39"/>
  <c r="V72" i="39"/>
  <c r="V225" i="39"/>
  <c r="V305" i="39"/>
  <c r="V252" i="39"/>
  <c r="V235" i="39"/>
  <c r="V190" i="39"/>
  <c r="V104" i="39"/>
  <c r="V283" i="39"/>
  <c r="V66" i="39"/>
  <c r="V250" i="39"/>
  <c r="V169" i="39"/>
  <c r="V205" i="39"/>
  <c r="V118" i="39"/>
  <c r="V117" i="39"/>
  <c r="V48" i="39"/>
  <c r="V314" i="39"/>
  <c r="V202" i="39"/>
  <c r="V164" i="39"/>
  <c r="V173" i="39"/>
  <c r="V186" i="39"/>
  <c r="V61" i="39"/>
  <c r="V232" i="39"/>
  <c r="V229" i="39"/>
  <c r="V264" i="39"/>
  <c r="V37" i="39"/>
  <c r="V217" i="39"/>
  <c r="V180" i="39"/>
  <c r="V254" i="39"/>
  <c r="V148" i="39"/>
  <c r="V176" i="39"/>
  <c r="V230" i="39"/>
  <c r="V183" i="39"/>
  <c r="V211" i="39"/>
  <c r="V131" i="39"/>
  <c r="V35" i="39"/>
  <c r="V261" i="39"/>
  <c r="V83" i="39"/>
  <c r="V260" i="39"/>
  <c r="V82" i="39"/>
  <c r="V71" i="39"/>
  <c r="V313" i="39"/>
  <c r="V195" i="39"/>
  <c r="V291" i="39"/>
  <c r="V134" i="39"/>
  <c r="V147" i="39"/>
  <c r="V184" i="39"/>
  <c r="V188" i="39"/>
  <c r="V143" i="39"/>
  <c r="V222" i="39"/>
  <c r="V199" i="39"/>
  <c r="V285" i="39"/>
  <c r="V129" i="39"/>
  <c r="V142" i="39"/>
  <c r="V93" i="39"/>
  <c r="V299" i="39"/>
  <c r="V174" i="39"/>
  <c r="V25" i="39"/>
  <c r="V7" i="39"/>
  <c r="V281" i="39"/>
  <c r="V64" i="39"/>
  <c r="V304" i="39"/>
  <c r="V210" i="39"/>
  <c r="V182" i="39"/>
  <c r="V233" i="39"/>
  <c r="V273" i="39"/>
  <c r="V40" i="39"/>
  <c r="V214" i="39"/>
  <c r="V192" i="39"/>
  <c r="V103" i="39"/>
  <c r="V159" i="39"/>
  <c r="V290" i="39"/>
  <c r="V236" i="38"/>
  <c r="V311" i="38"/>
  <c r="V224" i="38"/>
  <c r="V252" i="38"/>
  <c r="V31" i="38"/>
  <c r="V62" i="38"/>
  <c r="V245" i="38"/>
  <c r="V23" i="38"/>
  <c r="V253" i="38"/>
  <c r="V87" i="38"/>
  <c r="V287" i="38"/>
  <c r="V251" i="38"/>
  <c r="V94" i="38"/>
  <c r="V242" i="38"/>
  <c r="V35" i="38"/>
  <c r="V55" i="38"/>
  <c r="V235" i="38"/>
  <c r="V7" i="38"/>
  <c r="V257" i="38"/>
  <c r="V161" i="38"/>
  <c r="V33" i="38"/>
  <c r="V300" i="38"/>
  <c r="V184" i="38"/>
  <c r="V293" i="38"/>
  <c r="V190" i="38"/>
  <c r="V237" i="38"/>
  <c r="V211" i="38"/>
  <c r="V77" i="38"/>
  <c r="V59" i="38"/>
  <c r="V272" i="38"/>
  <c r="V71" i="38"/>
  <c r="V227" i="38"/>
  <c r="V139" i="38"/>
  <c r="V105" i="38"/>
  <c r="V198" i="38"/>
  <c r="V158" i="38"/>
  <c r="V197" i="38"/>
  <c r="V273" i="38"/>
  <c r="V120" i="38"/>
  <c r="V156" i="38"/>
  <c r="V44" i="38"/>
  <c r="V171" i="38"/>
  <c r="V276" i="38"/>
  <c r="V90" i="38"/>
  <c r="V274" i="38"/>
  <c r="V308" i="38"/>
  <c r="V195" i="38"/>
  <c r="V112" i="38"/>
  <c r="V208" i="38"/>
  <c r="V148" i="38"/>
  <c r="V310" i="38"/>
  <c r="V277" i="38"/>
  <c r="V52" i="38"/>
  <c r="V286" i="38"/>
  <c r="V200" i="38"/>
  <c r="V193" i="38"/>
  <c r="V8" i="38"/>
  <c r="V243" i="38"/>
  <c r="V304" i="38"/>
  <c r="V204" i="38"/>
  <c r="V299" i="38"/>
  <c r="V29" i="38"/>
  <c r="V119" i="38"/>
  <c r="V92" i="38"/>
  <c r="V67" i="38"/>
  <c r="V143" i="38"/>
  <c r="V79" i="38"/>
  <c r="V132" i="38"/>
  <c r="V183" i="38"/>
  <c r="V159" i="38"/>
  <c r="V147" i="38"/>
  <c r="V206" i="38"/>
  <c r="V17" i="38"/>
  <c r="V154" i="38"/>
  <c r="V22" i="38"/>
  <c r="V222" i="38"/>
  <c r="V100" i="38"/>
  <c r="V232" i="38"/>
  <c r="V32" i="38"/>
  <c r="V289" i="38"/>
  <c r="V63" i="38"/>
  <c r="V80" i="38"/>
  <c r="V292" i="38"/>
  <c r="V174" i="38"/>
  <c r="V64" i="38"/>
  <c r="V305" i="38"/>
  <c r="V248" i="38"/>
  <c r="V259" i="38"/>
  <c r="V45" i="38"/>
  <c r="V76" i="38"/>
  <c r="V302" i="38"/>
  <c r="V209" i="38"/>
  <c r="V5" i="38"/>
  <c r="V102" i="38"/>
  <c r="V213" i="38"/>
  <c r="V109" i="38"/>
  <c r="V157" i="38"/>
  <c r="V294" i="38"/>
  <c r="V138" i="38"/>
  <c r="V151" i="38"/>
  <c r="V263" i="38"/>
  <c r="V178" i="38"/>
  <c r="V150" i="38"/>
  <c r="V264" i="38"/>
  <c r="V281" i="38"/>
  <c r="V145" i="38"/>
  <c r="V36" i="38"/>
  <c r="V13" i="38"/>
  <c r="V199" i="38"/>
  <c r="V108" i="38"/>
  <c r="V181" i="38"/>
  <c r="V160" i="38"/>
  <c r="V249" i="38"/>
  <c r="V203" i="38"/>
  <c r="V285" i="38"/>
  <c r="V34" i="38"/>
  <c r="V152" i="38"/>
  <c r="V42" i="38"/>
  <c r="V58" i="38"/>
  <c r="V12" i="38"/>
  <c r="V312" i="38"/>
  <c r="V88" i="38"/>
  <c r="V95" i="38"/>
  <c r="V162" i="38"/>
  <c r="V20" i="38"/>
  <c r="V297" i="38"/>
  <c r="V301" i="38"/>
  <c r="V61" i="38"/>
  <c r="V97" i="38"/>
  <c r="V260" i="38"/>
  <c r="V78" i="38"/>
  <c r="V275" i="38"/>
  <c r="V175" i="38"/>
  <c r="V254" i="38"/>
  <c r="V68" i="38"/>
  <c r="V96" i="38"/>
  <c r="V315" i="38"/>
  <c r="V189" i="38"/>
  <c r="V101" i="38"/>
  <c r="V283" i="38"/>
  <c r="V65" i="38"/>
  <c r="V93" i="38"/>
  <c r="V246" i="38"/>
  <c r="V296" i="38"/>
  <c r="V28" i="38"/>
  <c r="V26" i="38"/>
  <c r="V131" i="38"/>
  <c r="V271" i="38"/>
  <c r="V124" i="38"/>
  <c r="V15" i="38"/>
  <c r="V233" i="38"/>
  <c r="V48" i="38"/>
  <c r="V57" i="38"/>
  <c r="V115" i="38"/>
  <c r="V226" i="38"/>
  <c r="V314" i="38"/>
  <c r="V284" i="38"/>
  <c r="V123" i="38"/>
  <c r="V127" i="38"/>
  <c r="V98" i="38"/>
  <c r="V85" i="38"/>
  <c r="V168" i="38"/>
  <c r="V164" i="38"/>
  <c r="V111" i="38"/>
  <c r="V217" i="38"/>
  <c r="V39" i="38"/>
  <c r="V134" i="38"/>
  <c r="V165" i="38"/>
  <c r="V60" i="38"/>
  <c r="V234" i="38"/>
  <c r="V176" i="38"/>
  <c r="V163" i="38"/>
  <c r="V303" i="38"/>
  <c r="V75" i="38"/>
  <c r="V47" i="38"/>
  <c r="V141" i="38"/>
  <c r="V11" i="38"/>
  <c r="V298" i="38"/>
  <c r="V192" i="38"/>
  <c r="V91" i="38"/>
  <c r="V121" i="38"/>
  <c r="V268" i="38"/>
  <c r="V240" i="38"/>
  <c r="V225" i="38"/>
  <c r="V133" i="38"/>
  <c r="V306" i="38"/>
  <c r="V149" i="38"/>
  <c r="V290" i="38"/>
  <c r="V219" i="38"/>
  <c r="V186" i="38"/>
  <c r="V220" i="38"/>
  <c r="V231" i="38"/>
  <c r="V46" i="38"/>
  <c r="V99" i="38"/>
  <c r="V137" i="38"/>
  <c r="V185" i="38"/>
  <c r="V153" i="38"/>
  <c r="V291" i="38"/>
  <c r="V72" i="38"/>
  <c r="V104" i="38"/>
  <c r="V86" i="38"/>
  <c r="V83" i="38"/>
  <c r="V313" i="38"/>
  <c r="V146" i="38"/>
  <c r="V49" i="38"/>
  <c r="V16" i="38"/>
  <c r="V73" i="38"/>
  <c r="V54" i="38"/>
  <c r="V82" i="38"/>
  <c r="V191" i="38"/>
  <c r="V140" i="38"/>
  <c r="V309" i="38"/>
  <c r="V223" i="38"/>
  <c r="V136" i="38"/>
  <c r="V116" i="38"/>
  <c r="V266" i="38"/>
  <c r="V114" i="38"/>
  <c r="V239" i="38"/>
  <c r="V215" i="38"/>
  <c r="V40" i="38"/>
  <c r="V196" i="38"/>
  <c r="V84" i="38"/>
  <c r="V265" i="38"/>
  <c r="V103" i="38"/>
  <c r="V270" i="38"/>
  <c r="V9" i="38"/>
  <c r="V279" i="38"/>
  <c r="V107" i="38"/>
  <c r="V135" i="38"/>
  <c r="V51" i="38"/>
  <c r="V18" i="38"/>
  <c r="V210" i="38"/>
  <c r="V144" i="38"/>
  <c r="V50" i="38"/>
  <c r="V262" i="38"/>
  <c r="V6" i="38"/>
  <c r="V244" i="38"/>
  <c r="V41" i="38"/>
  <c r="V230" i="38"/>
  <c r="V14" i="38"/>
  <c r="V201" i="38"/>
  <c r="V117" i="38"/>
  <c r="V166" i="38"/>
  <c r="V173" i="38"/>
  <c r="V241" i="38"/>
  <c r="V25" i="38"/>
  <c r="V182" i="38"/>
  <c r="V74" i="38"/>
  <c r="V188" i="38"/>
  <c r="V37" i="38"/>
  <c r="V125" i="38"/>
  <c r="V177" i="38"/>
  <c r="V155" i="38"/>
  <c r="V212" i="38"/>
  <c r="V218" i="38"/>
  <c r="V38" i="38"/>
  <c r="V113" i="38"/>
  <c r="V221" i="38"/>
  <c r="V288" i="38"/>
  <c r="V128" i="38"/>
  <c r="V10" i="38"/>
  <c r="V228" i="38"/>
  <c r="V205" i="38"/>
  <c r="V229" i="38"/>
  <c r="V66" i="38"/>
  <c r="V81" i="38"/>
  <c r="V238" i="38"/>
  <c r="V247" i="38"/>
  <c r="V130" i="38"/>
  <c r="V106" i="38"/>
  <c r="V69" i="38"/>
  <c r="V27" i="38"/>
  <c r="V216" i="38"/>
  <c r="V202" i="38"/>
  <c r="V255" i="38"/>
  <c r="V70" i="38"/>
  <c r="V167" i="38"/>
  <c r="V180" i="38"/>
  <c r="V24" i="38"/>
  <c r="V53" i="38"/>
  <c r="V250" i="38"/>
  <c r="V170" i="38"/>
  <c r="V258" i="38"/>
  <c r="V179" i="38"/>
  <c r="V261" i="38"/>
  <c r="V89" i="38"/>
  <c r="V56" i="38"/>
  <c r="V295" i="38"/>
  <c r="V282" i="38"/>
  <c r="V122" i="38"/>
  <c r="V278" i="38"/>
  <c r="V21" i="38"/>
  <c r="V110" i="38"/>
  <c r="V187" i="38"/>
  <c r="V129" i="38"/>
  <c r="V19" i="38"/>
  <c r="V307" i="38"/>
  <c r="V267" i="38"/>
  <c r="V207" i="38"/>
  <c r="V126" i="38"/>
  <c r="V256" i="38"/>
  <c r="V118" i="38"/>
  <c r="V43" i="38"/>
  <c r="V214" i="38"/>
  <c r="V269" i="38"/>
  <c r="V280" i="38"/>
  <c r="V142" i="38"/>
  <c r="V194" i="38"/>
  <c r="V169" i="38"/>
  <c r="V172" i="38"/>
  <c r="V30" i="38"/>
  <c r="V82" i="37"/>
  <c r="V195" i="37"/>
  <c r="V34" i="37"/>
  <c r="V7" i="37"/>
  <c r="V11" i="37"/>
  <c r="V189" i="37"/>
  <c r="V308" i="37"/>
  <c r="V70" i="37"/>
  <c r="V130" i="37"/>
  <c r="V43" i="37"/>
  <c r="V197" i="37"/>
  <c r="V26" i="37"/>
  <c r="V143" i="37"/>
  <c r="V302" i="37"/>
  <c r="V265" i="37"/>
  <c r="V271" i="37"/>
  <c r="V252" i="37"/>
  <c r="V155" i="37"/>
  <c r="V221" i="37"/>
  <c r="V75" i="37"/>
  <c r="V275" i="37"/>
  <c r="V17" i="37"/>
  <c r="V207" i="37"/>
  <c r="V209" i="37"/>
  <c r="V120" i="37"/>
  <c r="V298" i="37"/>
  <c r="V187" i="37"/>
  <c r="V128" i="37"/>
  <c r="V248" i="37"/>
  <c r="V250" i="37"/>
  <c r="V200" i="37"/>
  <c r="V198" i="37"/>
  <c r="V41" i="37"/>
  <c r="V38" i="37"/>
  <c r="V158" i="37"/>
  <c r="V290" i="37"/>
  <c r="V123" i="37"/>
  <c r="V293" i="37"/>
  <c r="V182" i="37"/>
  <c r="V301" i="37"/>
  <c r="V156" i="37"/>
  <c r="V270" i="37"/>
  <c r="V65" i="37"/>
  <c r="V93" i="37"/>
  <c r="V22" i="37"/>
  <c r="V55" i="37"/>
  <c r="V46" i="37"/>
  <c r="V102" i="37"/>
  <c r="V193" i="37"/>
  <c r="V186" i="37"/>
  <c r="V194" i="37"/>
  <c r="V184" i="37"/>
  <c r="V6" i="37"/>
  <c r="V125" i="37"/>
  <c r="V73" i="37"/>
  <c r="V134" i="37"/>
  <c r="V35" i="37"/>
  <c r="V129" i="37"/>
  <c r="V20" i="37"/>
  <c r="V85" i="37"/>
  <c r="V263" i="37"/>
  <c r="V304" i="37"/>
  <c r="V28" i="37"/>
  <c r="V64" i="37"/>
  <c r="V147" i="37"/>
  <c r="V180" i="37"/>
  <c r="V45" i="37"/>
  <c r="V152" i="37"/>
  <c r="V192" i="37"/>
  <c r="V16" i="37"/>
  <c r="V267" i="37"/>
  <c r="V133" i="37"/>
  <c r="V287" i="37"/>
  <c r="V58" i="37"/>
  <c r="V81" i="37"/>
  <c r="V313" i="37"/>
  <c r="V244" i="37"/>
  <c r="V135" i="37"/>
  <c r="V101" i="37"/>
  <c r="V66" i="37"/>
  <c r="V277" i="37"/>
  <c r="V40" i="37"/>
  <c r="V18" i="37"/>
  <c r="V131" i="37"/>
  <c r="V260" i="37"/>
  <c r="V48" i="37"/>
  <c r="V170" i="37"/>
  <c r="V19" i="37"/>
  <c r="V214" i="37"/>
  <c r="V137" i="37"/>
  <c r="V240" i="37"/>
  <c r="V146" i="37"/>
  <c r="V110" i="37"/>
  <c r="V8" i="37"/>
  <c r="V30" i="37"/>
  <c r="V307" i="37"/>
  <c r="V32" i="37"/>
  <c r="V242" i="37"/>
  <c r="V13" i="37"/>
  <c r="V285" i="37"/>
  <c r="V219" i="37"/>
  <c r="V174" i="37"/>
  <c r="V33" i="37"/>
  <c r="V281" i="37"/>
  <c r="V164" i="37"/>
  <c r="V181" i="37"/>
  <c r="V127" i="37"/>
  <c r="V224" i="37"/>
  <c r="V203" i="37"/>
  <c r="V258" i="37"/>
  <c r="V52" i="37"/>
  <c r="V151" i="37"/>
  <c r="V218" i="37"/>
  <c r="V288" i="37"/>
  <c r="V220" i="37"/>
  <c r="V80" i="37"/>
  <c r="V292" i="37"/>
  <c r="V99" i="37"/>
  <c r="V257" i="37"/>
  <c r="V178" i="37"/>
  <c r="V234" i="37"/>
  <c r="V57" i="37"/>
  <c r="V69" i="37"/>
  <c r="V225" i="37"/>
  <c r="V39" i="37"/>
  <c r="V103" i="37"/>
  <c r="V274" i="37"/>
  <c r="V27" i="37"/>
  <c r="V15" i="37"/>
  <c r="V191" i="37"/>
  <c r="V261" i="37"/>
  <c r="V67" i="37"/>
  <c r="V60" i="37"/>
  <c r="V299" i="37"/>
  <c r="V284" i="37"/>
  <c r="V76" i="37"/>
  <c r="V113" i="37"/>
  <c r="V266" i="37"/>
  <c r="V283" i="37"/>
  <c r="V56" i="37"/>
  <c r="V138" i="37"/>
  <c r="V44" i="37"/>
  <c r="V149" i="37"/>
  <c r="V204" i="37"/>
  <c r="V282" i="37"/>
  <c r="V245" i="37"/>
  <c r="V243" i="37"/>
  <c r="V112" i="37"/>
  <c r="V154" i="37"/>
  <c r="V139" i="37"/>
  <c r="V254" i="37"/>
  <c r="V256" i="37"/>
  <c r="V289" i="37"/>
  <c r="V188" i="37"/>
  <c r="V228" i="37"/>
  <c r="V106" i="37"/>
  <c r="V294" i="37"/>
  <c r="V136" i="37"/>
  <c r="V312" i="37"/>
  <c r="V306" i="37"/>
  <c r="V159" i="37"/>
  <c r="V87" i="37"/>
  <c r="V223" i="37"/>
  <c r="V72" i="37"/>
  <c r="V212" i="37"/>
  <c r="V84" i="37"/>
  <c r="V119" i="37"/>
  <c r="V47" i="37"/>
  <c r="V24" i="37"/>
  <c r="V169" i="37"/>
  <c r="V236" i="37"/>
  <c r="V63" i="37"/>
  <c r="V202" i="37"/>
  <c r="V116" i="37"/>
  <c r="V104" i="37"/>
  <c r="V251" i="37"/>
  <c r="V163" i="37"/>
  <c r="V117" i="37"/>
  <c r="V175" i="37"/>
  <c r="V148" i="37"/>
  <c r="V215" i="37"/>
  <c r="V132" i="37"/>
  <c r="V166" i="37"/>
  <c r="V68" i="37"/>
  <c r="V183" i="37"/>
  <c r="V230" i="37"/>
  <c r="V272" i="37"/>
  <c r="V208" i="37"/>
  <c r="V295" i="37"/>
  <c r="V253" i="37"/>
  <c r="V179" i="37"/>
  <c r="V36" i="37"/>
  <c r="V255" i="37"/>
  <c r="V79" i="37"/>
  <c r="V150" i="37"/>
  <c r="V280" i="37"/>
  <c r="V171" i="37"/>
  <c r="V88" i="37"/>
  <c r="V168" i="37"/>
  <c r="V233" i="37"/>
  <c r="V206" i="37"/>
  <c r="V239" i="37"/>
  <c r="V109" i="37"/>
  <c r="V9" i="37"/>
  <c r="V90" i="37"/>
  <c r="V122" i="37"/>
  <c r="V173" i="37"/>
  <c r="V235" i="37"/>
  <c r="V114" i="37"/>
  <c r="V226" i="37"/>
  <c r="V94" i="37"/>
  <c r="V162" i="37"/>
  <c r="V247" i="37"/>
  <c r="V165" i="37"/>
  <c r="V71" i="37"/>
  <c r="V161" i="37"/>
  <c r="V305" i="37"/>
  <c r="V276" i="37"/>
  <c r="V59" i="37"/>
  <c r="V74" i="37"/>
  <c r="V10" i="37"/>
  <c r="V309" i="37"/>
  <c r="V54" i="37"/>
  <c r="V296" i="37"/>
  <c r="V98" i="37"/>
  <c r="V115" i="37"/>
  <c r="V141" i="37"/>
  <c r="V86" i="37"/>
  <c r="V269" i="37"/>
  <c r="V107" i="37"/>
  <c r="V124" i="37"/>
  <c r="V108" i="37"/>
  <c r="V291" i="37"/>
  <c r="V89" i="37"/>
  <c r="V286" i="37"/>
  <c r="V185" i="37"/>
  <c r="V213" i="37"/>
  <c r="V229" i="37"/>
  <c r="V77" i="37"/>
  <c r="V268" i="37"/>
  <c r="V303" i="37"/>
  <c r="V23" i="37"/>
  <c r="V205" i="37"/>
  <c r="V37" i="37"/>
  <c r="V273" i="37"/>
  <c r="V95" i="37"/>
  <c r="V145" i="37"/>
  <c r="V50" i="37"/>
  <c r="V278" i="37"/>
  <c r="V78" i="37"/>
  <c r="V227" i="37"/>
  <c r="V262" i="37"/>
  <c r="V210" i="37"/>
  <c r="V314" i="37"/>
  <c r="V238" i="37"/>
  <c r="V216" i="37"/>
  <c r="V196" i="37"/>
  <c r="V300" i="37"/>
  <c r="V310" i="37"/>
  <c r="V61" i="37"/>
  <c r="V51" i="37"/>
  <c r="V91" i="37"/>
  <c r="V264" i="37"/>
  <c r="V42" i="37"/>
  <c r="V118" i="37"/>
  <c r="V177" i="37"/>
  <c r="V49" i="37"/>
  <c r="V190" i="37"/>
  <c r="V199" i="37"/>
  <c r="V31" i="37"/>
  <c r="V83" i="37"/>
  <c r="V297" i="37"/>
  <c r="V231" i="37"/>
  <c r="V14" i="37"/>
  <c r="V172" i="37"/>
  <c r="V97" i="37"/>
  <c r="V311" i="37"/>
  <c r="V142" i="37"/>
  <c r="V21" i="37"/>
  <c r="V201" i="37"/>
  <c r="V246" i="37"/>
  <c r="V53" i="37"/>
  <c r="V92" i="37"/>
  <c r="V140" i="37"/>
  <c r="V25" i="37"/>
  <c r="V100" i="37"/>
  <c r="V315" i="37"/>
  <c r="V167" i="37"/>
  <c r="V5" i="37"/>
  <c r="V279" i="37"/>
  <c r="V217" i="37"/>
  <c r="V211" i="37"/>
  <c r="V232" i="37"/>
  <c r="V176" i="37"/>
  <c r="V126" i="37"/>
  <c r="V121" i="37"/>
  <c r="V222" i="37"/>
  <c r="V249" i="37"/>
  <c r="V111" i="37"/>
  <c r="V62" i="37"/>
  <c r="V157" i="37"/>
  <c r="V237" i="37"/>
  <c r="V160" i="37"/>
  <c r="V96" i="37"/>
  <c r="V105" i="37"/>
  <c r="V153" i="37"/>
  <c r="V259" i="37"/>
  <c r="V144" i="37"/>
  <c r="V12" i="37"/>
  <c r="V241" i="37"/>
  <c r="V29" i="37"/>
  <c r="V4" i="36"/>
  <c r="V3" i="36" s="1" a="1"/>
  <c r="V3" i="36" s="1"/>
  <c r="U4" i="38" l="1"/>
  <c r="U3" i="38" s="1" a="1"/>
  <c r="U3" i="38" s="1"/>
  <c r="U4" i="37"/>
  <c r="U3" i="37" s="1" a="1"/>
  <c r="U3" i="37" s="1"/>
  <c r="U4" i="39"/>
  <c r="U3" i="39" s="1" a="1"/>
  <c r="U3" i="39" s="1"/>
  <c r="W316" i="36" l="1"/>
  <c r="X316" i="36" s="1"/>
  <c r="W317" i="36"/>
  <c r="X317" i="36" s="1"/>
  <c r="V4" i="38"/>
  <c r="V3" i="38" s="1" a="1"/>
  <c r="V3" i="38" s="1"/>
  <c r="V4" i="37"/>
  <c r="V3" i="37" s="1" a="1"/>
  <c r="V3" i="37" s="1"/>
  <c r="V4" i="39"/>
  <c r="V3" i="39" s="1" a="1"/>
  <c r="V3" i="39" s="1"/>
  <c r="W18" i="36"/>
  <c r="X18" i="36" s="1"/>
  <c r="E18" i="19" s="1"/>
  <c r="W306" i="36"/>
  <c r="X306" i="36" s="1"/>
  <c r="E309" i="19" s="1"/>
  <c r="W161" i="36"/>
  <c r="X161" i="36" s="1"/>
  <c r="E162" i="19" s="1"/>
  <c r="W110" i="36"/>
  <c r="X110" i="36" s="1"/>
  <c r="E111" i="19" s="1"/>
  <c r="W213" i="36"/>
  <c r="X213" i="36" s="1"/>
  <c r="E215" i="19" s="1"/>
  <c r="W209" i="36"/>
  <c r="X209" i="36" s="1"/>
  <c r="E211" i="19" s="1"/>
  <c r="W45" i="36"/>
  <c r="X45" i="36" s="1"/>
  <c r="E45" i="19" s="1"/>
  <c r="W46" i="36"/>
  <c r="X46" i="36" s="1"/>
  <c r="E46" i="19" s="1"/>
  <c r="W159" i="36"/>
  <c r="X159" i="36" s="1"/>
  <c r="E160" i="19" s="1"/>
  <c r="W75" i="36"/>
  <c r="X75" i="36" s="1"/>
  <c r="E75" i="19" s="1"/>
  <c r="W206" i="36"/>
  <c r="X206" i="36" s="1"/>
  <c r="E208" i="19" s="1"/>
  <c r="W215" i="36"/>
  <c r="X215" i="36" s="1"/>
  <c r="E217" i="19" s="1"/>
  <c r="W22" i="36"/>
  <c r="X22" i="36" s="1"/>
  <c r="E22" i="19" s="1"/>
  <c r="W288" i="36"/>
  <c r="X288" i="36" s="1"/>
  <c r="E291" i="19" s="1"/>
  <c r="W52" i="36"/>
  <c r="X52" i="36" s="1"/>
  <c r="E52" i="19" s="1"/>
  <c r="W188" i="36"/>
  <c r="X188" i="36" s="1"/>
  <c r="E189" i="19" s="1"/>
  <c r="W31" i="36"/>
  <c r="X31" i="36" s="1"/>
  <c r="E31" i="19" s="1"/>
  <c r="W232" i="36"/>
  <c r="X232" i="36" s="1"/>
  <c r="E235" i="19" s="1"/>
  <c r="W247" i="36"/>
  <c r="X247" i="36" s="1"/>
  <c r="E250" i="19" s="1"/>
  <c r="W109" i="36"/>
  <c r="X109" i="36" s="1"/>
  <c r="E110" i="19" s="1"/>
  <c r="W41" i="36"/>
  <c r="X41" i="36" s="1"/>
  <c r="E41" i="19" s="1"/>
  <c r="W19" i="36"/>
  <c r="X19" i="36" s="1"/>
  <c r="E19" i="19" s="1"/>
  <c r="W40" i="36"/>
  <c r="X40" i="36" s="1"/>
  <c r="E40" i="19" s="1"/>
  <c r="W59" i="36"/>
  <c r="X59" i="36" s="1"/>
  <c r="E59" i="19" s="1"/>
  <c r="W310" i="36"/>
  <c r="X310" i="36" s="1"/>
  <c r="E313" i="19" s="1"/>
  <c r="W50" i="36"/>
  <c r="X50" i="36" s="1"/>
  <c r="E50" i="19" s="1"/>
  <c r="W253" i="36"/>
  <c r="X253" i="36" s="1"/>
  <c r="E256" i="19" s="1"/>
  <c r="W81" i="36"/>
  <c r="X81" i="36" s="1"/>
  <c r="E81" i="19" s="1"/>
  <c r="W111" i="36"/>
  <c r="X111" i="36" s="1"/>
  <c r="E112" i="19" s="1"/>
  <c r="W43" i="36"/>
  <c r="X43" i="36" s="1"/>
  <c r="E43" i="19" s="1"/>
  <c r="W86" i="36"/>
  <c r="X86" i="36" s="1"/>
  <c r="E86" i="19" s="1"/>
  <c r="W226" i="36"/>
  <c r="X226" i="36" s="1"/>
  <c r="E228" i="19" s="1"/>
  <c r="W258" i="36"/>
  <c r="X258" i="36" s="1"/>
  <c r="E261" i="19" s="1"/>
  <c r="W147" i="36"/>
  <c r="X147" i="36" s="1"/>
  <c r="E148" i="19" s="1"/>
  <c r="W210" i="36"/>
  <c r="X210" i="36" s="1"/>
  <c r="E212" i="19" s="1"/>
  <c r="W177" i="36"/>
  <c r="X177" i="36" s="1"/>
  <c r="E178" i="19" s="1"/>
  <c r="W49" i="36"/>
  <c r="X49" i="36" s="1"/>
  <c r="E49" i="19" s="1"/>
  <c r="W55" i="36"/>
  <c r="X55" i="36" s="1"/>
  <c r="E55" i="19" s="1"/>
  <c r="W123" i="36"/>
  <c r="X123" i="36" s="1"/>
  <c r="E124" i="19" s="1"/>
  <c r="W207" i="36"/>
  <c r="X207" i="36" s="1"/>
  <c r="E209" i="19" s="1"/>
  <c r="W212" i="36"/>
  <c r="X212" i="36" s="1"/>
  <c r="E214" i="19" s="1"/>
  <c r="W121" i="36"/>
  <c r="X121" i="36" s="1"/>
  <c r="E122" i="19" s="1"/>
  <c r="W217" i="36"/>
  <c r="X217" i="36" s="1"/>
  <c r="E219" i="19" s="1"/>
  <c r="W265" i="36"/>
  <c r="X265" i="36" s="1"/>
  <c r="E268" i="19" s="1"/>
  <c r="W148" i="36"/>
  <c r="X148" i="36" s="1"/>
  <c r="E149" i="19" s="1"/>
  <c r="W16" i="36"/>
  <c r="X16" i="36" s="1"/>
  <c r="E16" i="19" s="1"/>
  <c r="W98" i="36"/>
  <c r="X98" i="36" s="1"/>
  <c r="E98" i="19" s="1"/>
  <c r="W289" i="36"/>
  <c r="X289" i="36" s="1"/>
  <c r="E292" i="19" s="1"/>
  <c r="W298" i="36"/>
  <c r="X298" i="36" s="1"/>
  <c r="E301" i="19" s="1"/>
  <c r="W90" i="36"/>
  <c r="X90" i="36" s="1"/>
  <c r="E90" i="19" s="1"/>
  <c r="W216" i="36"/>
  <c r="X216" i="36" s="1"/>
  <c r="E218" i="19" s="1"/>
  <c r="W27" i="36"/>
  <c r="X27" i="36" s="1"/>
  <c r="E27" i="19" s="1"/>
  <c r="W25" i="36"/>
  <c r="X25" i="36" s="1"/>
  <c r="E25" i="19" s="1"/>
  <c r="W295" i="36"/>
  <c r="X295" i="36" s="1"/>
  <c r="E298" i="19" s="1"/>
  <c r="W312" i="36"/>
  <c r="X312" i="36" s="1"/>
  <c r="E315" i="19" s="1"/>
  <c r="W260" i="36"/>
  <c r="X260" i="36" s="1"/>
  <c r="E263" i="19" s="1"/>
  <c r="W305" i="36"/>
  <c r="X305" i="36" s="1"/>
  <c r="E308" i="19" s="1"/>
  <c r="W112" i="36"/>
  <c r="X112" i="36" s="1"/>
  <c r="E113" i="19" s="1"/>
  <c r="W102" i="36"/>
  <c r="X102" i="36" s="1"/>
  <c r="E102" i="19" s="1"/>
  <c r="W201" i="36"/>
  <c r="X201" i="36" s="1"/>
  <c r="E203" i="19" s="1"/>
  <c r="W152" i="36"/>
  <c r="X152" i="36" s="1"/>
  <c r="E153" i="19" s="1"/>
  <c r="W67" i="36"/>
  <c r="X67" i="36" s="1"/>
  <c r="E67" i="19" s="1"/>
  <c r="W184" i="36"/>
  <c r="X184" i="36" s="1"/>
  <c r="E185" i="19" s="1"/>
  <c r="W120" i="36"/>
  <c r="X120" i="36" s="1"/>
  <c r="E121" i="19" s="1"/>
  <c r="W38" i="36"/>
  <c r="X38" i="36" s="1"/>
  <c r="E38" i="19" s="1"/>
  <c r="W103" i="36"/>
  <c r="X103" i="36" s="1"/>
  <c r="E103" i="19" s="1"/>
  <c r="W151" i="36"/>
  <c r="X151" i="36" s="1"/>
  <c r="E152" i="19" s="1"/>
  <c r="W20" i="36"/>
  <c r="X20" i="36" s="1"/>
  <c r="E20" i="19" s="1"/>
  <c r="W61" i="36"/>
  <c r="X61" i="36" s="1"/>
  <c r="E61" i="19" s="1"/>
  <c r="W92" i="36"/>
  <c r="X92" i="36" s="1"/>
  <c r="E92" i="19" s="1"/>
  <c r="W157" i="36"/>
  <c r="X157" i="36" s="1"/>
  <c r="E158" i="19" s="1"/>
  <c r="W100" i="36"/>
  <c r="X100" i="36" s="1"/>
  <c r="E100" i="19" s="1"/>
  <c r="W183" i="36"/>
  <c r="X183" i="36" s="1"/>
  <c r="E184" i="19" s="1"/>
  <c r="W136" i="36"/>
  <c r="X136" i="36" s="1"/>
  <c r="E137" i="19" s="1"/>
  <c r="W153" i="36"/>
  <c r="X153" i="36" s="1"/>
  <c r="E154" i="19" s="1"/>
  <c r="W237" i="36"/>
  <c r="X237" i="36" s="1"/>
  <c r="E240" i="19" s="1"/>
  <c r="W234" i="36"/>
  <c r="X234" i="36" s="1"/>
  <c r="E237" i="19" s="1"/>
  <c r="W214" i="36"/>
  <c r="X214" i="36" s="1"/>
  <c r="E216" i="19" s="1"/>
  <c r="W83" i="36"/>
  <c r="X83" i="36" s="1"/>
  <c r="E83" i="19" s="1"/>
  <c r="W233" i="36"/>
  <c r="X233" i="36" s="1"/>
  <c r="E236" i="19" s="1"/>
  <c r="W246" i="36"/>
  <c r="X246" i="36" s="1"/>
  <c r="E249" i="19" s="1"/>
  <c r="W196" i="36"/>
  <c r="X196" i="36" s="1"/>
  <c r="E198" i="19" s="1"/>
  <c r="W278" i="36"/>
  <c r="X278" i="36" s="1"/>
  <c r="E281" i="19" s="1"/>
  <c r="W287" i="36"/>
  <c r="X287" i="36" s="1"/>
  <c r="E290" i="19" s="1"/>
  <c r="W167" i="36"/>
  <c r="X167" i="36" s="1"/>
  <c r="E168" i="19" s="1"/>
  <c r="W108" i="36"/>
  <c r="X108" i="36" s="1"/>
  <c r="E109" i="19" s="1"/>
  <c r="W10" i="36"/>
  <c r="X10" i="36" s="1"/>
  <c r="E10" i="19" s="1"/>
  <c r="W218" i="36"/>
  <c r="X218" i="36" s="1"/>
  <c r="E220" i="19" s="1"/>
  <c r="W303" i="36"/>
  <c r="X303" i="36" s="1"/>
  <c r="E306" i="19" s="1"/>
  <c r="W142" i="36"/>
  <c r="X142" i="36" s="1"/>
  <c r="E143" i="19" s="1"/>
  <c r="W133" i="36"/>
  <c r="X133" i="36" s="1"/>
  <c r="E134" i="19" s="1"/>
  <c r="W179" i="36"/>
  <c r="X179" i="36" s="1"/>
  <c r="E180" i="19" s="1"/>
  <c r="W70" i="36"/>
  <c r="X70" i="36" s="1"/>
  <c r="E70" i="19" s="1"/>
  <c r="W71" i="36"/>
  <c r="X71" i="36" s="1"/>
  <c r="E71" i="19" s="1"/>
  <c r="W203" i="36"/>
  <c r="X203" i="36" s="1"/>
  <c r="E205" i="19" s="1"/>
  <c r="W263" i="36"/>
  <c r="X263" i="36" s="1"/>
  <c r="E266" i="19" s="1"/>
  <c r="W119" i="36"/>
  <c r="X119" i="36" s="1"/>
  <c r="E120" i="19" s="1"/>
  <c r="W180" i="36"/>
  <c r="X180" i="36" s="1"/>
  <c r="E181" i="19" s="1"/>
  <c r="W174" i="36"/>
  <c r="X174" i="36" s="1"/>
  <c r="E175" i="19" s="1"/>
  <c r="W267" i="36"/>
  <c r="X267" i="36" s="1"/>
  <c r="E270" i="19" s="1"/>
  <c r="W30" i="36"/>
  <c r="X30" i="36" s="1"/>
  <c r="E30" i="19" s="1"/>
  <c r="W129" i="36"/>
  <c r="X129" i="36" s="1"/>
  <c r="E130" i="19" s="1"/>
  <c r="W99" i="36"/>
  <c r="X99" i="36" s="1"/>
  <c r="E99" i="19" s="1"/>
  <c r="W275" i="36"/>
  <c r="X275" i="36" s="1"/>
  <c r="E278" i="19" s="1"/>
  <c r="W140" i="36"/>
  <c r="X140" i="36" s="1"/>
  <c r="E141" i="19" s="1"/>
  <c r="W72" i="36"/>
  <c r="X72" i="36" s="1"/>
  <c r="E72" i="19" s="1"/>
  <c r="W132" i="36"/>
  <c r="X132" i="36" s="1"/>
  <c r="E133" i="19" s="1"/>
  <c r="W141" i="36"/>
  <c r="X141" i="36" s="1"/>
  <c r="E142" i="19" s="1"/>
  <c r="W290" i="36"/>
  <c r="X290" i="36" s="1"/>
  <c r="E293" i="19" s="1"/>
  <c r="W220" i="36"/>
  <c r="X220" i="36" s="1"/>
  <c r="E222" i="19" s="1"/>
  <c r="W230" i="36"/>
  <c r="X230" i="36" s="1"/>
  <c r="E233" i="19" s="1"/>
  <c r="W262" i="36"/>
  <c r="X262" i="36" s="1"/>
  <c r="E265" i="19" s="1"/>
  <c r="W166" i="36"/>
  <c r="X166" i="36" s="1"/>
  <c r="E167" i="19" s="1"/>
  <c r="W281" i="36"/>
  <c r="X281" i="36" s="1"/>
  <c r="E284" i="19" s="1"/>
  <c r="W35" i="36"/>
  <c r="X35" i="36" s="1"/>
  <c r="E35" i="19" s="1"/>
  <c r="W82" i="36"/>
  <c r="X82" i="36" s="1"/>
  <c r="E82" i="19" s="1"/>
  <c r="W154" i="36"/>
  <c r="X154" i="36" s="1"/>
  <c r="E155" i="19" s="1"/>
  <c r="W37" i="36"/>
  <c r="X37" i="36" s="1"/>
  <c r="E37" i="19" s="1"/>
  <c r="W89" i="36"/>
  <c r="X89" i="36" s="1"/>
  <c r="E89" i="19" s="1"/>
  <c r="W296" i="36"/>
  <c r="X296" i="36" s="1"/>
  <c r="E299" i="19" s="1"/>
  <c r="W12" i="36"/>
  <c r="X12" i="36" s="1"/>
  <c r="E12" i="19" s="1"/>
  <c r="W286" i="36"/>
  <c r="X286" i="36" s="1"/>
  <c r="E289" i="19" s="1"/>
  <c r="W235" i="36"/>
  <c r="X235" i="36" s="1"/>
  <c r="E238" i="19" s="1"/>
  <c r="W128" i="36"/>
  <c r="X128" i="36" s="1"/>
  <c r="E129" i="19" s="1"/>
  <c r="W54" i="36"/>
  <c r="X54" i="36" s="1"/>
  <c r="E54" i="19" s="1"/>
  <c r="W315" i="36"/>
  <c r="X315" i="36" s="1"/>
  <c r="E195" i="19" s="1"/>
  <c r="W88" i="36"/>
  <c r="X88" i="36" s="1"/>
  <c r="E88" i="19" s="1"/>
  <c r="W285" i="36"/>
  <c r="X285" i="36" s="1"/>
  <c r="E288" i="19" s="1"/>
  <c r="W65" i="36"/>
  <c r="X65" i="36" s="1"/>
  <c r="E65" i="19" s="1"/>
  <c r="W6" i="36"/>
  <c r="X6" i="36" s="1"/>
  <c r="E6" i="19" s="1"/>
  <c r="W162" i="36"/>
  <c r="X162" i="36" s="1"/>
  <c r="E163" i="19" s="1"/>
  <c r="W107" i="36"/>
  <c r="X107" i="36" s="1"/>
  <c r="E108" i="19" s="1"/>
  <c r="W274" i="36"/>
  <c r="X274" i="36" s="1"/>
  <c r="E277" i="19" s="1"/>
  <c r="W242" i="36"/>
  <c r="X242" i="36" s="1"/>
  <c r="E245" i="19" s="1"/>
  <c r="W64" i="36"/>
  <c r="X64" i="36" s="1"/>
  <c r="E64" i="19" s="1"/>
  <c r="W60" i="36"/>
  <c r="X60" i="36" s="1"/>
  <c r="E60" i="19" s="1"/>
  <c r="W47" i="36"/>
  <c r="X47" i="36" s="1"/>
  <c r="E47" i="19" s="1"/>
  <c r="W131" i="36"/>
  <c r="X131" i="36" s="1"/>
  <c r="E132" i="19" s="1"/>
  <c r="W249" i="36"/>
  <c r="X249" i="36" s="1"/>
  <c r="E252" i="19" s="1"/>
  <c r="W190" i="36"/>
  <c r="X190" i="36" s="1"/>
  <c r="E191" i="19" s="1"/>
  <c r="W266" i="36"/>
  <c r="X266" i="36" s="1"/>
  <c r="E269" i="19" s="1"/>
  <c r="W36" i="36"/>
  <c r="X36" i="36" s="1"/>
  <c r="E36" i="19" s="1"/>
  <c r="W248" i="36"/>
  <c r="X248" i="36" s="1"/>
  <c r="E251" i="19" s="1"/>
  <c r="W62" i="36"/>
  <c r="X62" i="36" s="1"/>
  <c r="E62" i="19" s="1"/>
  <c r="W138" i="36"/>
  <c r="X138" i="36" s="1"/>
  <c r="E139" i="19" s="1"/>
  <c r="W80" i="36"/>
  <c r="X80" i="36" s="1"/>
  <c r="E80" i="19" s="1"/>
  <c r="W23" i="36"/>
  <c r="X23" i="36" s="1"/>
  <c r="E23" i="19" s="1"/>
  <c r="W228" i="36"/>
  <c r="X228" i="36" s="1"/>
  <c r="E231" i="19" s="1"/>
  <c r="W300" i="36"/>
  <c r="X300" i="36" s="1"/>
  <c r="E303" i="19" s="1"/>
  <c r="W225" i="36"/>
  <c r="X225" i="36" s="1"/>
  <c r="E227" i="19" s="1"/>
  <c r="W240" i="36"/>
  <c r="X240" i="36" s="1"/>
  <c r="E243" i="19" s="1"/>
  <c r="W32" i="36"/>
  <c r="X32" i="36" s="1"/>
  <c r="E32" i="19" s="1"/>
  <c r="W85" i="36"/>
  <c r="X85" i="36" s="1"/>
  <c r="E85" i="19" s="1"/>
  <c r="W163" i="36"/>
  <c r="X163" i="36" s="1"/>
  <c r="E164" i="19" s="1"/>
  <c r="W125" i="36"/>
  <c r="X125" i="36" s="1"/>
  <c r="E126" i="19" s="1"/>
  <c r="W94" i="36"/>
  <c r="X94" i="36" s="1"/>
  <c r="E94" i="19" s="1"/>
  <c r="W182" i="36"/>
  <c r="X182" i="36" s="1"/>
  <c r="E183" i="19" s="1"/>
  <c r="W222" i="36"/>
  <c r="X222" i="36" s="1"/>
  <c r="E224" i="19" s="1"/>
  <c r="W199" i="36"/>
  <c r="X199" i="36" s="1"/>
  <c r="E201" i="19" s="1"/>
  <c r="W221" i="36"/>
  <c r="X221" i="36" s="1"/>
  <c r="E223" i="19" s="1"/>
  <c r="W24" i="36"/>
  <c r="X24" i="36" s="1"/>
  <c r="E24" i="19" s="1"/>
  <c r="W164" i="36"/>
  <c r="X164" i="36" s="1"/>
  <c r="E165" i="19" s="1"/>
  <c r="W34" i="36"/>
  <c r="X34" i="36" s="1"/>
  <c r="E34" i="19" s="1"/>
  <c r="W137" i="36"/>
  <c r="X137" i="36" s="1"/>
  <c r="E138" i="19" s="1"/>
  <c r="W195" i="36"/>
  <c r="X195" i="36" s="1"/>
  <c r="E197" i="19" s="1"/>
  <c r="W63" i="36"/>
  <c r="X63" i="36" s="1"/>
  <c r="E63" i="19" s="1"/>
  <c r="W280" i="36"/>
  <c r="X280" i="36" s="1"/>
  <c r="E283" i="19" s="1"/>
  <c r="W304" i="36"/>
  <c r="X304" i="36" s="1"/>
  <c r="E307" i="19" s="1"/>
  <c r="W241" i="36"/>
  <c r="X241" i="36" s="1"/>
  <c r="E244" i="19" s="1"/>
  <c r="W309" i="36"/>
  <c r="X309" i="36" s="1"/>
  <c r="E312" i="19" s="1"/>
  <c r="W165" i="36"/>
  <c r="X165" i="36" s="1"/>
  <c r="E166" i="19" s="1"/>
  <c r="W192" i="36"/>
  <c r="X192" i="36" s="1"/>
  <c r="E193" i="19" s="1"/>
  <c r="W170" i="36"/>
  <c r="X170" i="36" s="1"/>
  <c r="E171" i="19" s="1"/>
  <c r="W313" i="36"/>
  <c r="X313" i="36" s="1"/>
  <c r="E316" i="19" s="1"/>
  <c r="W178" i="36"/>
  <c r="X178" i="36" s="1"/>
  <c r="E179" i="19" s="1"/>
  <c r="W294" i="36"/>
  <c r="X294" i="36" s="1"/>
  <c r="E297" i="19" s="1"/>
  <c r="W186" i="36"/>
  <c r="X186" i="36" s="1"/>
  <c r="E187" i="19" s="1"/>
  <c r="W114" i="36"/>
  <c r="X114" i="36" s="1"/>
  <c r="E115" i="19" s="1"/>
  <c r="W202" i="36"/>
  <c r="X202" i="36" s="1"/>
  <c r="E204" i="19" s="1"/>
  <c r="W26" i="36"/>
  <c r="X26" i="36" s="1"/>
  <c r="E26" i="19" s="1"/>
  <c r="W130" i="36"/>
  <c r="X130" i="36" s="1"/>
  <c r="E131" i="19" s="1"/>
  <c r="W7" i="36"/>
  <c r="X7" i="36" s="1"/>
  <c r="E7" i="19" s="1"/>
  <c r="W171" i="36"/>
  <c r="X171" i="36" s="1"/>
  <c r="E172" i="19" s="1"/>
  <c r="W17" i="36"/>
  <c r="X17" i="36" s="1"/>
  <c r="E17" i="19" s="1"/>
  <c r="W160" i="36"/>
  <c r="X160" i="36" s="1"/>
  <c r="E161" i="19" s="1"/>
  <c r="W271" i="36"/>
  <c r="X271" i="36" s="1"/>
  <c r="E274" i="19" s="1"/>
  <c r="W29" i="36"/>
  <c r="X29" i="36" s="1"/>
  <c r="E29" i="19" s="1"/>
  <c r="W236" i="36"/>
  <c r="X236" i="36" s="1"/>
  <c r="E239" i="19" s="1"/>
  <c r="W176" i="36"/>
  <c r="X176" i="36" s="1"/>
  <c r="E177" i="19" s="1"/>
  <c r="W15" i="36"/>
  <c r="X15" i="36" s="1"/>
  <c r="E15" i="19" s="1"/>
  <c r="W146" i="36"/>
  <c r="X146" i="36" s="1"/>
  <c r="E147" i="19" s="1"/>
  <c r="W104" i="36"/>
  <c r="X104" i="36" s="1"/>
  <c r="E104" i="19" s="1"/>
  <c r="W74" i="36"/>
  <c r="X74" i="36" s="1"/>
  <c r="E74" i="19" s="1"/>
  <c r="W238" i="36"/>
  <c r="X238" i="36" s="1"/>
  <c r="E241" i="19" s="1"/>
  <c r="W292" i="36"/>
  <c r="X292" i="36" s="1"/>
  <c r="E295" i="19" s="1"/>
  <c r="W44" i="36"/>
  <c r="X44" i="36" s="1"/>
  <c r="E44" i="19" s="1"/>
  <c r="W198" i="36"/>
  <c r="X198" i="36" s="1"/>
  <c r="E200" i="19" s="1"/>
  <c r="W307" i="36"/>
  <c r="X307" i="36" s="1"/>
  <c r="E310" i="19" s="1"/>
  <c r="W150" i="36"/>
  <c r="X150" i="36" s="1"/>
  <c r="E151" i="19" s="1"/>
  <c r="W191" i="36"/>
  <c r="X191" i="36" s="1"/>
  <c r="E192" i="19" s="1"/>
  <c r="W197" i="36"/>
  <c r="X197" i="36" s="1"/>
  <c r="E199" i="19" s="1"/>
  <c r="W91" i="36"/>
  <c r="X91" i="36" s="1"/>
  <c r="E91" i="19" s="1"/>
  <c r="W257" i="36"/>
  <c r="X257" i="36" s="1"/>
  <c r="E260" i="19" s="1"/>
  <c r="W291" i="36"/>
  <c r="X291" i="36" s="1"/>
  <c r="E294" i="19" s="1"/>
  <c r="W261" i="36"/>
  <c r="X261" i="36" s="1"/>
  <c r="E264" i="19" s="1"/>
  <c r="W283" i="36"/>
  <c r="X283" i="36" s="1"/>
  <c r="E286" i="19" s="1"/>
  <c r="W314" i="36"/>
  <c r="X314" i="36" s="1"/>
  <c r="E317" i="19" s="1"/>
  <c r="W127" i="36"/>
  <c r="X127" i="36" s="1"/>
  <c r="E128" i="19" s="1"/>
  <c r="W118" i="36"/>
  <c r="X118" i="36" s="1"/>
  <c r="E119" i="19" s="1"/>
  <c r="W143" i="36"/>
  <c r="X143" i="36" s="1"/>
  <c r="E144" i="19" s="1"/>
  <c r="W284" i="36"/>
  <c r="X284" i="36" s="1"/>
  <c r="E287" i="19" s="1"/>
  <c r="W172" i="36"/>
  <c r="X172" i="36" s="1"/>
  <c r="E173" i="19" s="1"/>
  <c r="W252" i="36"/>
  <c r="X252" i="36" s="1"/>
  <c r="E255" i="19" s="1"/>
  <c r="W194" i="36"/>
  <c r="X194" i="36" s="1"/>
  <c r="E196" i="19" s="1"/>
  <c r="W48" i="36"/>
  <c r="X48" i="36" s="1"/>
  <c r="E48" i="19" s="1"/>
  <c r="W156" i="36"/>
  <c r="X156" i="36" s="1"/>
  <c r="E157" i="19" s="1"/>
  <c r="W5" i="36"/>
  <c r="X5" i="36" s="1"/>
  <c r="E5" i="19" s="1"/>
  <c r="W181" i="36"/>
  <c r="X181" i="36" s="1"/>
  <c r="E182" i="19" s="1"/>
  <c r="W145" i="36"/>
  <c r="X145" i="36" s="1"/>
  <c r="E146" i="19" s="1"/>
  <c r="W51" i="36"/>
  <c r="X51" i="36" s="1"/>
  <c r="E51" i="19" s="1"/>
  <c r="W269" i="36"/>
  <c r="X269" i="36" s="1"/>
  <c r="E272" i="19" s="1"/>
  <c r="W69" i="36"/>
  <c r="X69" i="36" s="1"/>
  <c r="E69" i="19" s="1"/>
  <c r="W124" i="36"/>
  <c r="X124" i="36" s="1"/>
  <c r="E125" i="19" s="1"/>
  <c r="W187" i="36"/>
  <c r="X187" i="36" s="1"/>
  <c r="E188" i="19" s="1"/>
  <c r="W204" i="36"/>
  <c r="X204" i="36" s="1"/>
  <c r="E206" i="19" s="1"/>
  <c r="W169" i="36"/>
  <c r="X169" i="36" s="1"/>
  <c r="E170" i="19" s="1"/>
  <c r="W14" i="36"/>
  <c r="X14" i="36" s="1"/>
  <c r="E14" i="19" s="1"/>
  <c r="W245" i="36"/>
  <c r="X245" i="36" s="1"/>
  <c r="E248" i="19" s="1"/>
  <c r="W297" i="36"/>
  <c r="X297" i="36" s="1"/>
  <c r="E300" i="19" s="1"/>
  <c r="W276" i="36"/>
  <c r="X276" i="36" s="1"/>
  <c r="E279" i="19" s="1"/>
  <c r="W193" i="36"/>
  <c r="X193" i="36" s="1"/>
  <c r="E194" i="19" s="1"/>
  <c r="W279" i="36"/>
  <c r="X279" i="36" s="1"/>
  <c r="E282" i="19" s="1"/>
  <c r="W28" i="36"/>
  <c r="X28" i="36" s="1"/>
  <c r="E28" i="19" s="1"/>
  <c r="W95" i="36"/>
  <c r="X95" i="36" s="1"/>
  <c r="E95" i="19" s="1"/>
  <c r="W116" i="36"/>
  <c r="X116" i="36" s="1"/>
  <c r="E117" i="19" s="1"/>
  <c r="W255" i="36"/>
  <c r="X255" i="36" s="1"/>
  <c r="E258" i="19" s="1"/>
  <c r="W229" i="36"/>
  <c r="X229" i="36" s="1"/>
  <c r="E232" i="19" s="1"/>
  <c r="W211" i="36"/>
  <c r="X211" i="36" s="1"/>
  <c r="E213" i="19" s="1"/>
  <c r="W68" i="36"/>
  <c r="X68" i="36" s="1"/>
  <c r="E68" i="19" s="1"/>
  <c r="W254" i="36"/>
  <c r="X254" i="36" s="1"/>
  <c r="E257" i="19" s="1"/>
  <c r="W21" i="36"/>
  <c r="X21" i="36" s="1"/>
  <c r="E21" i="19" s="1"/>
  <c r="W13" i="36"/>
  <c r="X13" i="36" s="1"/>
  <c r="E13" i="19" s="1"/>
  <c r="W56" i="36"/>
  <c r="X56" i="36" s="1"/>
  <c r="E56" i="19" s="1"/>
  <c r="W239" i="36"/>
  <c r="X239" i="36" s="1"/>
  <c r="E242" i="19" s="1"/>
  <c r="W106" i="36"/>
  <c r="X106" i="36" s="1"/>
  <c r="E107" i="19" s="1"/>
  <c r="W208" i="36"/>
  <c r="X208" i="36" s="1"/>
  <c r="E210" i="19" s="1"/>
  <c r="W144" i="36"/>
  <c r="X144" i="36" s="1"/>
  <c r="E145" i="19" s="1"/>
  <c r="W277" i="36"/>
  <c r="X277" i="36" s="1"/>
  <c r="E280" i="19" s="1"/>
  <c r="W101" i="36"/>
  <c r="X101" i="36" s="1"/>
  <c r="E101" i="19" s="1"/>
  <c r="W270" i="36"/>
  <c r="X270" i="36" s="1"/>
  <c r="E273" i="19" s="1"/>
  <c r="W168" i="36"/>
  <c r="X168" i="36" s="1"/>
  <c r="E169" i="19" s="1"/>
  <c r="W293" i="36"/>
  <c r="X293" i="36" s="1"/>
  <c r="E296" i="19" s="1"/>
  <c r="W93" i="36"/>
  <c r="X93" i="36" s="1"/>
  <c r="E93" i="19" s="1"/>
  <c r="W175" i="36"/>
  <c r="X175" i="36" s="1"/>
  <c r="E176" i="19" s="1"/>
  <c r="W158" i="36"/>
  <c r="X158" i="36" s="1"/>
  <c r="E159" i="19" s="1"/>
  <c r="W122" i="36"/>
  <c r="X122" i="36" s="1"/>
  <c r="E123" i="19" s="1"/>
  <c r="W97" i="36"/>
  <c r="X97" i="36" s="1"/>
  <c r="E97" i="19" s="1"/>
  <c r="W155" i="36"/>
  <c r="X155" i="36" s="1"/>
  <c r="E156" i="19" s="1"/>
  <c r="W11" i="36"/>
  <c r="X11" i="36" s="1"/>
  <c r="E11" i="19" s="1"/>
  <c r="W219" i="36"/>
  <c r="X219" i="36" s="1"/>
  <c r="E221" i="19" s="1"/>
  <c r="W58" i="36"/>
  <c r="X58" i="36" s="1"/>
  <c r="E58" i="19" s="1"/>
  <c r="W272" i="36"/>
  <c r="X272" i="36" s="1"/>
  <c r="E275" i="19" s="1"/>
  <c r="W308" i="36"/>
  <c r="X308" i="36" s="1"/>
  <c r="E311" i="19" s="1"/>
  <c r="W113" i="36"/>
  <c r="X113" i="36" s="1"/>
  <c r="E114" i="19" s="1"/>
  <c r="W57" i="36"/>
  <c r="X57" i="36" s="1"/>
  <c r="E57" i="19" s="1"/>
  <c r="W299" i="36"/>
  <c r="X299" i="36" s="1"/>
  <c r="E302" i="19" s="1"/>
  <c r="W301" i="36"/>
  <c r="X301" i="36" s="1"/>
  <c r="E304" i="19" s="1"/>
  <c r="W282" i="36"/>
  <c r="X282" i="36" s="1"/>
  <c r="E285" i="19" s="1"/>
  <c r="W33" i="36"/>
  <c r="X33" i="36" s="1"/>
  <c r="E33" i="19" s="1"/>
  <c r="W231" i="36"/>
  <c r="X231" i="36" s="1"/>
  <c r="E234" i="19" s="1"/>
  <c r="W264" i="36"/>
  <c r="X264" i="36" s="1"/>
  <c r="E267" i="19" s="1"/>
  <c r="W135" i="36"/>
  <c r="X135" i="36" s="1"/>
  <c r="E136" i="19" s="1"/>
  <c r="W243" i="36"/>
  <c r="X243" i="36" s="1"/>
  <c r="E246" i="19" s="1"/>
  <c r="W105" i="36"/>
  <c r="X105" i="36" s="1"/>
  <c r="E105" i="19" s="1"/>
  <c r="W205" i="36"/>
  <c r="X205" i="36" s="1"/>
  <c r="E207" i="19" s="1"/>
  <c r="W173" i="36"/>
  <c r="X173" i="36" s="1"/>
  <c r="E174" i="19" s="1"/>
  <c r="W139" i="36"/>
  <c r="X139" i="36" s="1"/>
  <c r="E140" i="19" s="1"/>
  <c r="W227" i="36"/>
  <c r="X227" i="36" s="1"/>
  <c r="E229" i="19" s="1"/>
  <c r="W302" i="36"/>
  <c r="X302" i="36" s="1"/>
  <c r="E305" i="19" s="1"/>
  <c r="W87" i="36"/>
  <c r="X87" i="36" s="1"/>
  <c r="E87" i="19" s="1"/>
  <c r="W8" i="36"/>
  <c r="X8" i="36" s="1"/>
  <c r="E8" i="19" s="1"/>
  <c r="W42" i="36"/>
  <c r="X42" i="36" s="1"/>
  <c r="E42" i="19" s="1"/>
  <c r="W134" i="36"/>
  <c r="X134" i="36" s="1"/>
  <c r="E135" i="19" s="1"/>
  <c r="W273" i="36"/>
  <c r="X273" i="36" s="1"/>
  <c r="E276" i="19" s="1"/>
  <c r="W115" i="36"/>
  <c r="X115" i="36" s="1"/>
  <c r="E116" i="19" s="1"/>
  <c r="W39" i="36"/>
  <c r="X39" i="36" s="1"/>
  <c r="E39" i="19" s="1"/>
  <c r="W200" i="36"/>
  <c r="X200" i="36" s="1"/>
  <c r="E202" i="19" s="1"/>
  <c r="W259" i="36"/>
  <c r="X259" i="36" s="1"/>
  <c r="E262" i="19" s="1"/>
  <c r="W268" i="36"/>
  <c r="X268" i="36" s="1"/>
  <c r="E271" i="19" s="1"/>
  <c r="W66" i="36"/>
  <c r="X66" i="36" s="1"/>
  <c r="E66" i="19" s="1"/>
  <c r="W223" i="36"/>
  <c r="X223" i="36" s="1"/>
  <c r="E225" i="19" s="1"/>
  <c r="W53" i="36"/>
  <c r="X53" i="36" s="1"/>
  <c r="E53" i="19" s="1"/>
  <c r="W256" i="36"/>
  <c r="X256" i="36" s="1"/>
  <c r="E259" i="19" s="1"/>
  <c r="W251" i="36"/>
  <c r="X251" i="36" s="1"/>
  <c r="E254" i="19" s="1"/>
  <c r="W117" i="36"/>
  <c r="X117" i="36" s="1"/>
  <c r="E118" i="19" s="1"/>
  <c r="W73" i="36"/>
  <c r="X73" i="36" s="1"/>
  <c r="E73" i="19" s="1"/>
  <c r="W77" i="36"/>
  <c r="X77" i="36" s="1"/>
  <c r="E77" i="19" s="1"/>
  <c r="W189" i="36"/>
  <c r="X189" i="36" s="1"/>
  <c r="E190" i="19" s="1"/>
  <c r="W84" i="36"/>
  <c r="X84" i="36" s="1"/>
  <c r="E84" i="19" s="1"/>
  <c r="W78" i="36"/>
  <c r="X78" i="36" s="1"/>
  <c r="E78" i="19" s="1"/>
  <c r="W250" i="36"/>
  <c r="X250" i="36" s="1"/>
  <c r="E253" i="19" s="1"/>
  <c r="W76" i="36"/>
  <c r="X76" i="36" s="1"/>
  <c r="E76" i="19" s="1"/>
  <c r="W9" i="36"/>
  <c r="X9" i="36" s="1"/>
  <c r="E9" i="19" s="1"/>
  <c r="W96" i="36"/>
  <c r="X96" i="36" s="1"/>
  <c r="E96" i="19" s="1"/>
  <c r="W311" i="36"/>
  <c r="X311" i="36" s="1"/>
  <c r="E314" i="19" s="1"/>
  <c r="W185" i="36"/>
  <c r="X185" i="36" s="1"/>
  <c r="E186" i="19" s="1"/>
  <c r="W79" i="36"/>
  <c r="X79" i="36" s="1"/>
  <c r="E79" i="19" s="1"/>
  <c r="W224" i="36"/>
  <c r="X224" i="36" s="1"/>
  <c r="E226" i="19" s="1"/>
  <c r="W126" i="36"/>
  <c r="X126" i="36" s="1"/>
  <c r="E127" i="19" s="1"/>
  <c r="W244" i="36"/>
  <c r="X244" i="36" s="1"/>
  <c r="E247" i="19" s="1"/>
  <c r="W149" i="36"/>
  <c r="X149" i="36" s="1"/>
  <c r="E150" i="19" s="1"/>
  <c r="W4" i="36"/>
  <c r="W3" i="36" l="1" a="1"/>
  <c r="W3" i="36" s="1"/>
  <c r="Y317" i="36"/>
  <c r="E230" i="19"/>
  <c r="Y316" i="36"/>
  <c r="E106" i="19"/>
  <c r="W316" i="37"/>
  <c r="X316" i="37" s="1"/>
  <c r="W317" i="37"/>
  <c r="X317" i="37" s="1"/>
  <c r="W317" i="38"/>
  <c r="X317" i="38" s="1"/>
  <c r="W316" i="38"/>
  <c r="X316" i="38" s="1"/>
  <c r="W316" i="39"/>
  <c r="X316" i="39" s="1"/>
  <c r="W317" i="39"/>
  <c r="X317" i="39" s="1"/>
  <c r="W4" i="37"/>
  <c r="Y79" i="36"/>
  <c r="Y293" i="36"/>
  <c r="Y105" i="36"/>
  <c r="Y116" i="36"/>
  <c r="Y44" i="36"/>
  <c r="Y182" i="36"/>
  <c r="Y54" i="36"/>
  <c r="Y70" i="36"/>
  <c r="Y295" i="36"/>
  <c r="Y16" i="36"/>
  <c r="Y43" i="36"/>
  <c r="Y87" i="36"/>
  <c r="Y135" i="36"/>
  <c r="Y113" i="36"/>
  <c r="Y101" i="36"/>
  <c r="Y21" i="36"/>
  <c r="Y28" i="36"/>
  <c r="Y204" i="36"/>
  <c r="Y181" i="36"/>
  <c r="Y143" i="36"/>
  <c r="Y91" i="36"/>
  <c r="Y238" i="36"/>
  <c r="Y29" i="36"/>
  <c r="Y202" i="36"/>
  <c r="Y165" i="36"/>
  <c r="Y34" i="36"/>
  <c r="Y125" i="36"/>
  <c r="Y23" i="36"/>
  <c r="Y249" i="36"/>
  <c r="Y162" i="36"/>
  <c r="Y235" i="36"/>
  <c r="Y35" i="36"/>
  <c r="Y132" i="36"/>
  <c r="Y174" i="36"/>
  <c r="Y287" i="36"/>
  <c r="Y237" i="36"/>
  <c r="Y20" i="36"/>
  <c r="Y201" i="36"/>
  <c r="Y27" i="36"/>
  <c r="Y265" i="36"/>
  <c r="Y177" i="36"/>
  <c r="Y81" i="36"/>
  <c r="Y41" i="36"/>
  <c r="Y22" i="36"/>
  <c r="Y213" i="36"/>
  <c r="Y149" i="36"/>
  <c r="Y9" i="36"/>
  <c r="Y117" i="36"/>
  <c r="Y200" i="36"/>
  <c r="Y302" i="36"/>
  <c r="Y264" i="36"/>
  <c r="Y308" i="36"/>
  <c r="Y122" i="36"/>
  <c r="Y277" i="36"/>
  <c r="Y254" i="36"/>
  <c r="Y279" i="36"/>
  <c r="Y187" i="36"/>
  <c r="Y5" i="36"/>
  <c r="Y118" i="36"/>
  <c r="Y197" i="36"/>
  <c r="Y74" i="36"/>
  <c r="Y271" i="36"/>
  <c r="Y114" i="36"/>
  <c r="Y309" i="36"/>
  <c r="Y164" i="36"/>
  <c r="Y163" i="36"/>
  <c r="Y80" i="36"/>
  <c r="Y131" i="36"/>
  <c r="Y6" i="36"/>
  <c r="Y286" i="36"/>
  <c r="Y281" i="36"/>
  <c r="Y72" i="36"/>
  <c r="Y180" i="36"/>
  <c r="Y133" i="36"/>
  <c r="Y278" i="36"/>
  <c r="Y153" i="36"/>
  <c r="Y151" i="36"/>
  <c r="Y102" i="36"/>
  <c r="Y216" i="36"/>
  <c r="Y217" i="36"/>
  <c r="Y210" i="36"/>
  <c r="Y253" i="36"/>
  <c r="Y109" i="36"/>
  <c r="Y215" i="36"/>
  <c r="Y110" i="36"/>
  <c r="Y223" i="36"/>
  <c r="Y185" i="36"/>
  <c r="Y299" i="36"/>
  <c r="Y14" i="36"/>
  <c r="Y176" i="36"/>
  <c r="Y300" i="36"/>
  <c r="Y290" i="36"/>
  <c r="Y92" i="36"/>
  <c r="Y19" i="36"/>
  <c r="Y96" i="36"/>
  <c r="Y251" i="36"/>
  <c r="Y272" i="36"/>
  <c r="Y144" i="36"/>
  <c r="Y68" i="36"/>
  <c r="Y193" i="36"/>
  <c r="Y124" i="36"/>
  <c r="Y156" i="36"/>
  <c r="Y127" i="36"/>
  <c r="Y191" i="36"/>
  <c r="Y104" i="36"/>
  <c r="Y160" i="36"/>
  <c r="Y186" i="36"/>
  <c r="Y241" i="36"/>
  <c r="Y24" i="36"/>
  <c r="Y85" i="36"/>
  <c r="Y138" i="36"/>
  <c r="Y47" i="36"/>
  <c r="Y65" i="36"/>
  <c r="Y12" i="36"/>
  <c r="Y166" i="36"/>
  <c r="Y140" i="36"/>
  <c r="Y119" i="36"/>
  <c r="Y142" i="36"/>
  <c r="Y196" i="36"/>
  <c r="Y136" i="36"/>
  <c r="Y103" i="36"/>
  <c r="Y112" i="36"/>
  <c r="Y90" i="36"/>
  <c r="Y121" i="36"/>
  <c r="Y147" i="36"/>
  <c r="Y50" i="36"/>
  <c r="Y247" i="36"/>
  <c r="Y206" i="36"/>
  <c r="Y161" i="36"/>
  <c r="Y205" i="36"/>
  <c r="Y42" i="36"/>
  <c r="Y56" i="36"/>
  <c r="Y291" i="36"/>
  <c r="Y195" i="36"/>
  <c r="Y154" i="36"/>
  <c r="Y214" i="36"/>
  <c r="Y52" i="36"/>
  <c r="Y73" i="36"/>
  <c r="Y244" i="36"/>
  <c r="Y39" i="36"/>
  <c r="Y231" i="36"/>
  <c r="Y126" i="36"/>
  <c r="Y256" i="36"/>
  <c r="Y139" i="36"/>
  <c r="Y58" i="36"/>
  <c r="Y211" i="36"/>
  <c r="Y69" i="36"/>
  <c r="Y314" i="36"/>
  <c r="Y150" i="36"/>
  <c r="Y17" i="36"/>
  <c r="Y294" i="36"/>
  <c r="Y304" i="36"/>
  <c r="Y221" i="36"/>
  <c r="Y32" i="36"/>
  <c r="Y62" i="36"/>
  <c r="Y60" i="36"/>
  <c r="Y285" i="36"/>
  <c r="Y296" i="36"/>
  <c r="Y262" i="36"/>
  <c r="Y275" i="36"/>
  <c r="Y263" i="36"/>
  <c r="Y303" i="36"/>
  <c r="Y246" i="36"/>
  <c r="Y183" i="36"/>
  <c r="Y38" i="36"/>
  <c r="Y305" i="36"/>
  <c r="Y298" i="36"/>
  <c r="Y212" i="36"/>
  <c r="Y258" i="36"/>
  <c r="Y310" i="36"/>
  <c r="Y232" i="36"/>
  <c r="Y75" i="36"/>
  <c r="Y306" i="36"/>
  <c r="Y134" i="36"/>
  <c r="Y189" i="36"/>
  <c r="Y155" i="36"/>
  <c r="Y130" i="36"/>
  <c r="Y266" i="36"/>
  <c r="Y30" i="36"/>
  <c r="Y67" i="36"/>
  <c r="Y55" i="36"/>
  <c r="Y311" i="36"/>
  <c r="Y259" i="36"/>
  <c r="Y76" i="36"/>
  <c r="Y227" i="36"/>
  <c r="Y158" i="36"/>
  <c r="Y250" i="36"/>
  <c r="Y115" i="36"/>
  <c r="Y33" i="36"/>
  <c r="Y175" i="36"/>
  <c r="Y208" i="36"/>
  <c r="Y276" i="36"/>
  <c r="Y48" i="36"/>
  <c r="Y224" i="36"/>
  <c r="Y78" i="36"/>
  <c r="Y53" i="36"/>
  <c r="Y273" i="36"/>
  <c r="Y173" i="36"/>
  <c r="Y282" i="36"/>
  <c r="Y219" i="36"/>
  <c r="Y93" i="36"/>
  <c r="Y106" i="36"/>
  <c r="Y229" i="36"/>
  <c r="Y297" i="36"/>
  <c r="Y269" i="36"/>
  <c r="Y194" i="36"/>
  <c r="Y283" i="36"/>
  <c r="Y307" i="36"/>
  <c r="Y146" i="36"/>
  <c r="Y171" i="36"/>
  <c r="Y178" i="36"/>
  <c r="Y280" i="36"/>
  <c r="Y199" i="36"/>
  <c r="Y240" i="36"/>
  <c r="Y248" i="36"/>
  <c r="Y64" i="36"/>
  <c r="Y88" i="36"/>
  <c r="Y89" i="36"/>
  <c r="Y230" i="36"/>
  <c r="Y99" i="36"/>
  <c r="Y203" i="36"/>
  <c r="Y218" i="36"/>
  <c r="Y233" i="36"/>
  <c r="Y100" i="36"/>
  <c r="Y120" i="36"/>
  <c r="Y260" i="36"/>
  <c r="Y289" i="36"/>
  <c r="Y207" i="36"/>
  <c r="Y226" i="36"/>
  <c r="Y59" i="36"/>
  <c r="Y31" i="36"/>
  <c r="Y159" i="36"/>
  <c r="Y18" i="36"/>
  <c r="Y84" i="36"/>
  <c r="Y11" i="36"/>
  <c r="Y239" i="36"/>
  <c r="Y255" i="36"/>
  <c r="Y245" i="36"/>
  <c r="Y51" i="36"/>
  <c r="Y252" i="36"/>
  <c r="Y261" i="36"/>
  <c r="Y198" i="36"/>
  <c r="Y15" i="36"/>
  <c r="Y7" i="36"/>
  <c r="Y313" i="36"/>
  <c r="Y63" i="36"/>
  <c r="Y222" i="36"/>
  <c r="Y225" i="36"/>
  <c r="Y36" i="36"/>
  <c r="Y242" i="36"/>
  <c r="Y315" i="36"/>
  <c r="Y37" i="36"/>
  <c r="Y220" i="36"/>
  <c r="Y129" i="36"/>
  <c r="Y71" i="36"/>
  <c r="Y10" i="36"/>
  <c r="Y83" i="36"/>
  <c r="Y157" i="36"/>
  <c r="Y184" i="36"/>
  <c r="Y312" i="36"/>
  <c r="Y98" i="36"/>
  <c r="Y123" i="36"/>
  <c r="Y86" i="36"/>
  <c r="Y40" i="36"/>
  <c r="Y188" i="36"/>
  <c r="Y46" i="36"/>
  <c r="Y301" i="36"/>
  <c r="Y66" i="36"/>
  <c r="Y168" i="36"/>
  <c r="Y172" i="36"/>
  <c r="Y170" i="36"/>
  <c r="Y274" i="36"/>
  <c r="Y108" i="36"/>
  <c r="Y45" i="36"/>
  <c r="Y77" i="36"/>
  <c r="Y268" i="36"/>
  <c r="Y8" i="36"/>
  <c r="Y243" i="36"/>
  <c r="Y57" i="36"/>
  <c r="Y97" i="36"/>
  <c r="Y270" i="36"/>
  <c r="Y13" i="36"/>
  <c r="Y95" i="36"/>
  <c r="Y169" i="36"/>
  <c r="Y145" i="36"/>
  <c r="Y284" i="36"/>
  <c r="Y257" i="36"/>
  <c r="Y292" i="36"/>
  <c r="Y236" i="36"/>
  <c r="Y26" i="36"/>
  <c r="Y192" i="36"/>
  <c r="Y137" i="36"/>
  <c r="Y94" i="36"/>
  <c r="Y228" i="36"/>
  <c r="Y190" i="36"/>
  <c r="Y107" i="36"/>
  <c r="Y128" i="36"/>
  <c r="Y82" i="36"/>
  <c r="Y141" i="36"/>
  <c r="Y267" i="36"/>
  <c r="Y179" i="36"/>
  <c r="Y167" i="36"/>
  <c r="Y234" i="36"/>
  <c r="Y61" i="36"/>
  <c r="Y152" i="36"/>
  <c r="Y25" i="36"/>
  <c r="Y148" i="36"/>
  <c r="Y49" i="36"/>
  <c r="Y111" i="36"/>
  <c r="Y288" i="36"/>
  <c r="Y209" i="36"/>
  <c r="W269" i="38"/>
  <c r="X269" i="38" s="1"/>
  <c r="G272" i="19" s="1"/>
  <c r="W278" i="38"/>
  <c r="X278" i="38" s="1"/>
  <c r="G281" i="19" s="1"/>
  <c r="W201" i="38"/>
  <c r="X201" i="38" s="1"/>
  <c r="G203" i="19" s="1"/>
  <c r="W115" i="38"/>
  <c r="X115" i="38" s="1"/>
  <c r="G116" i="19" s="1"/>
  <c r="W259" i="38"/>
  <c r="X259" i="38" s="1"/>
  <c r="G262" i="19" s="1"/>
  <c r="W161" i="38"/>
  <c r="X161" i="38" s="1"/>
  <c r="G162" i="19" s="1"/>
  <c r="W241" i="38"/>
  <c r="X241" i="38" s="1"/>
  <c r="G244" i="19" s="1"/>
  <c r="W186" i="38"/>
  <c r="X186" i="38" s="1"/>
  <c r="G187" i="19" s="1"/>
  <c r="W26" i="38"/>
  <c r="X26" i="38" s="1"/>
  <c r="G26" i="19" s="1"/>
  <c r="W174" i="38"/>
  <c r="X174" i="38" s="1"/>
  <c r="G175" i="19" s="1"/>
  <c r="W158" i="38"/>
  <c r="X158" i="38" s="1"/>
  <c r="G159" i="19" s="1"/>
  <c r="W20" i="38"/>
  <c r="X20" i="38" s="1"/>
  <c r="G20" i="19" s="1"/>
  <c r="W102" i="38"/>
  <c r="X102" i="38" s="1"/>
  <c r="G102" i="19" s="1"/>
  <c r="W257" i="38"/>
  <c r="X257" i="38" s="1"/>
  <c r="G260" i="19" s="1"/>
  <c r="W182" i="38"/>
  <c r="X182" i="38" s="1"/>
  <c r="G183" i="19" s="1"/>
  <c r="W185" i="38"/>
  <c r="X185" i="38" s="1"/>
  <c r="G186" i="19" s="1"/>
  <c r="W96" i="38"/>
  <c r="X96" i="38" s="1"/>
  <c r="G96" i="19" s="1"/>
  <c r="W154" i="38"/>
  <c r="X154" i="38" s="1"/>
  <c r="G155" i="19" s="1"/>
  <c r="W272" i="38"/>
  <c r="X272" i="38" s="1"/>
  <c r="G275" i="19" s="1"/>
  <c r="W19" i="38"/>
  <c r="X19" i="38" s="1"/>
  <c r="G19" i="19" s="1"/>
  <c r="W262" i="38"/>
  <c r="X262" i="38" s="1"/>
  <c r="G265" i="19" s="1"/>
  <c r="W141" i="38"/>
  <c r="X141" i="38" s="1"/>
  <c r="G142" i="19" s="1"/>
  <c r="W157" i="38"/>
  <c r="X157" i="38" s="1"/>
  <c r="G158" i="19" s="1"/>
  <c r="W300" i="38"/>
  <c r="X300" i="38" s="1"/>
  <c r="G303" i="19" s="1"/>
  <c r="W219" i="38"/>
  <c r="X219" i="38" s="1"/>
  <c r="G221" i="19" s="1"/>
  <c r="W71" i="38"/>
  <c r="X71" i="38" s="1"/>
  <c r="G71" i="19" s="1"/>
  <c r="W217" i="38"/>
  <c r="X217" i="38" s="1"/>
  <c r="G219" i="19" s="1"/>
  <c r="W295" i="38"/>
  <c r="X295" i="38" s="1"/>
  <c r="G298" i="19" s="1"/>
  <c r="W239" i="38"/>
  <c r="X239" i="38" s="1"/>
  <c r="G242" i="19" s="1"/>
  <c r="W47" i="38"/>
  <c r="X47" i="38" s="1"/>
  <c r="G47" i="19" s="1"/>
  <c r="W58" i="38"/>
  <c r="X58" i="38" s="1"/>
  <c r="G58" i="19" s="1"/>
  <c r="W100" i="38"/>
  <c r="X100" i="38" s="1"/>
  <c r="G100" i="19" s="1"/>
  <c r="W94" i="38"/>
  <c r="X94" i="38" s="1"/>
  <c r="G94" i="19" s="1"/>
  <c r="W104" i="38"/>
  <c r="X104" i="38" s="1"/>
  <c r="G104" i="19" s="1"/>
  <c r="W200" i="38"/>
  <c r="X200" i="38" s="1"/>
  <c r="G202" i="19" s="1"/>
  <c r="W54" i="38"/>
  <c r="X54" i="38" s="1"/>
  <c r="G54" i="19" s="1"/>
  <c r="W142" i="38"/>
  <c r="X142" i="38" s="1"/>
  <c r="G143" i="19" s="1"/>
  <c r="W50" i="38"/>
  <c r="X50" i="38" s="1"/>
  <c r="G50" i="19" s="1"/>
  <c r="W164" i="38"/>
  <c r="X164" i="38" s="1"/>
  <c r="G165" i="19" s="1"/>
  <c r="W183" i="38"/>
  <c r="X183" i="38" s="1"/>
  <c r="G184" i="19" s="1"/>
  <c r="W95" i="38"/>
  <c r="X95" i="38" s="1"/>
  <c r="G95" i="19" s="1"/>
  <c r="W145" i="38"/>
  <c r="X145" i="38" s="1"/>
  <c r="G146" i="19" s="1"/>
  <c r="W97" i="38"/>
  <c r="X97" i="38" s="1"/>
  <c r="G97" i="19" s="1"/>
  <c r="W187" i="38"/>
  <c r="X187" i="38" s="1"/>
  <c r="G188" i="19" s="1"/>
  <c r="W56" i="38"/>
  <c r="X56" i="38" s="1"/>
  <c r="G56" i="19" s="1"/>
  <c r="W144" i="38"/>
  <c r="X144" i="38" s="1"/>
  <c r="G145" i="19" s="1"/>
  <c r="W93" i="38"/>
  <c r="X93" i="38" s="1"/>
  <c r="G93" i="19" s="1"/>
  <c r="W204" i="38"/>
  <c r="X204" i="38" s="1"/>
  <c r="G206" i="19" s="1"/>
  <c r="W252" i="38"/>
  <c r="X252" i="38" s="1"/>
  <c r="G255" i="19" s="1"/>
  <c r="W244" i="38"/>
  <c r="X244" i="38" s="1"/>
  <c r="G247" i="19" s="1"/>
  <c r="W306" i="38"/>
  <c r="X306" i="38" s="1"/>
  <c r="G309" i="19" s="1"/>
  <c r="W189" i="38"/>
  <c r="X189" i="38" s="1"/>
  <c r="G190" i="19" s="1"/>
  <c r="W289" i="38"/>
  <c r="X289" i="38" s="1"/>
  <c r="G292" i="19" s="1"/>
  <c r="W55" i="38"/>
  <c r="X55" i="38" s="1"/>
  <c r="G55" i="19" s="1"/>
  <c r="W32" i="38"/>
  <c r="X32" i="38" s="1"/>
  <c r="G32" i="19" s="1"/>
  <c r="W248" i="38"/>
  <c r="X248" i="38" s="1"/>
  <c r="G251" i="19" s="1"/>
  <c r="W35" i="38"/>
  <c r="X35" i="38" s="1"/>
  <c r="G35" i="19" s="1"/>
  <c r="W166" i="38"/>
  <c r="X166" i="38" s="1"/>
  <c r="G167" i="19" s="1"/>
  <c r="W91" i="38"/>
  <c r="X91" i="38" s="1"/>
  <c r="G91" i="19" s="1"/>
  <c r="W275" i="38"/>
  <c r="X275" i="38" s="1"/>
  <c r="G278" i="19" s="1"/>
  <c r="W159" i="38"/>
  <c r="X159" i="38" s="1"/>
  <c r="G160" i="19" s="1"/>
  <c r="W7" i="38"/>
  <c r="X7" i="38" s="1"/>
  <c r="G7" i="19" s="1"/>
  <c r="W110" i="38"/>
  <c r="X110" i="38" s="1"/>
  <c r="G111" i="19" s="1"/>
  <c r="W18" i="38"/>
  <c r="X18" i="38" s="1"/>
  <c r="G18" i="19" s="1"/>
  <c r="W98" i="38"/>
  <c r="X98" i="38" s="1"/>
  <c r="G98" i="19" s="1"/>
  <c r="W5" i="38"/>
  <c r="X5" i="38" s="1"/>
  <c r="G5" i="19" s="1"/>
  <c r="W62" i="38"/>
  <c r="X62" i="38" s="1"/>
  <c r="G62" i="19" s="1"/>
  <c r="W11" i="38"/>
  <c r="X11" i="38" s="1"/>
  <c r="G11" i="19" s="1"/>
  <c r="W211" i="38"/>
  <c r="X211" i="38" s="1"/>
  <c r="G213" i="19" s="1"/>
  <c r="W312" i="38"/>
  <c r="X312" i="38" s="1"/>
  <c r="G315" i="19" s="1"/>
  <c r="W130" i="38"/>
  <c r="X130" i="38" s="1"/>
  <c r="G131" i="19" s="1"/>
  <c r="W191" i="38"/>
  <c r="X191" i="38" s="1"/>
  <c r="G192" i="19" s="1"/>
  <c r="W127" i="38"/>
  <c r="X127" i="38" s="1"/>
  <c r="G128" i="19" s="1"/>
  <c r="W285" i="38"/>
  <c r="X285" i="38" s="1"/>
  <c r="G288" i="19" s="1"/>
  <c r="W67" i="38"/>
  <c r="X67" i="38" s="1"/>
  <c r="G67" i="19" s="1"/>
  <c r="W253" i="38"/>
  <c r="X253" i="38" s="1"/>
  <c r="G256" i="19" s="1"/>
  <c r="W46" i="38"/>
  <c r="X46" i="38" s="1"/>
  <c r="G46" i="19" s="1"/>
  <c r="W184" i="38"/>
  <c r="X184" i="38" s="1"/>
  <c r="G185" i="19" s="1"/>
  <c r="W133" i="38"/>
  <c r="X133" i="38" s="1"/>
  <c r="G134" i="19" s="1"/>
  <c r="W179" i="38"/>
  <c r="X179" i="38" s="1"/>
  <c r="G180" i="19" s="1"/>
  <c r="W51" i="38"/>
  <c r="X51" i="38" s="1"/>
  <c r="G51" i="19" s="1"/>
  <c r="W131" i="38"/>
  <c r="X131" i="38" s="1"/>
  <c r="G132" i="19" s="1"/>
  <c r="W52" i="38"/>
  <c r="X52" i="38" s="1"/>
  <c r="G52" i="19" s="1"/>
  <c r="W167" i="38"/>
  <c r="X167" i="38" s="1"/>
  <c r="G168" i="19" s="1"/>
  <c r="W227" i="38"/>
  <c r="X227" i="38" s="1"/>
  <c r="G229" i="19" s="1"/>
  <c r="W153" i="38"/>
  <c r="X153" i="38" s="1"/>
  <c r="G154" i="19" s="1"/>
  <c r="W48" i="38"/>
  <c r="X48" i="38" s="1"/>
  <c r="G48" i="19" s="1"/>
  <c r="W151" i="38"/>
  <c r="X151" i="38" s="1"/>
  <c r="G152" i="19" s="1"/>
  <c r="W34" i="38"/>
  <c r="X34" i="38" s="1"/>
  <c r="G34" i="19" s="1"/>
  <c r="W207" i="38"/>
  <c r="X207" i="38" s="1"/>
  <c r="G209" i="19" s="1"/>
  <c r="W45" i="38"/>
  <c r="X45" i="38" s="1"/>
  <c r="G45" i="19" s="1"/>
  <c r="W255" i="38"/>
  <c r="X255" i="38" s="1"/>
  <c r="G258" i="19" s="1"/>
  <c r="W70" i="38"/>
  <c r="X70" i="38" s="1"/>
  <c r="G70" i="19" s="1"/>
  <c r="W270" i="38"/>
  <c r="X270" i="38" s="1"/>
  <c r="G273" i="19" s="1"/>
  <c r="W297" i="38"/>
  <c r="X297" i="38" s="1"/>
  <c r="G300" i="19" s="1"/>
  <c r="W193" i="38"/>
  <c r="X193" i="38" s="1"/>
  <c r="G194" i="19" s="1"/>
  <c r="W172" i="38"/>
  <c r="X172" i="38" s="1"/>
  <c r="G173" i="19" s="1"/>
  <c r="W135" i="38"/>
  <c r="X135" i="38" s="1"/>
  <c r="G136" i="19" s="1"/>
  <c r="W268" i="38"/>
  <c r="X268" i="38" s="1"/>
  <c r="G271" i="19" s="1"/>
  <c r="W254" i="38"/>
  <c r="X254" i="38" s="1"/>
  <c r="G257" i="19" s="1"/>
  <c r="W222" i="38"/>
  <c r="X222" i="38" s="1"/>
  <c r="G224" i="19" s="1"/>
  <c r="W251" i="38"/>
  <c r="X251" i="38" s="1"/>
  <c r="G254" i="19" s="1"/>
  <c r="W304" i="38"/>
  <c r="X304" i="38" s="1"/>
  <c r="G307" i="19" s="1"/>
  <c r="W22" i="38"/>
  <c r="X22" i="38" s="1"/>
  <c r="G22" i="19" s="1"/>
  <c r="W224" i="38"/>
  <c r="X224" i="38" s="1"/>
  <c r="G226" i="19" s="1"/>
  <c r="W230" i="38"/>
  <c r="X230" i="38" s="1"/>
  <c r="G233" i="19" s="1"/>
  <c r="W163" i="38"/>
  <c r="X163" i="38" s="1"/>
  <c r="G164" i="19" s="1"/>
  <c r="W162" i="38"/>
  <c r="X162" i="38" s="1"/>
  <c r="G163" i="19" s="1"/>
  <c r="W143" i="38"/>
  <c r="X143" i="38" s="1"/>
  <c r="G144" i="19" s="1"/>
  <c r="W242" i="38"/>
  <c r="X242" i="38" s="1"/>
  <c r="G245" i="19" s="1"/>
  <c r="W261" i="38"/>
  <c r="X261" i="38" s="1"/>
  <c r="G264" i="19" s="1"/>
  <c r="W279" i="38"/>
  <c r="X279" i="38" s="1"/>
  <c r="G282" i="19" s="1"/>
  <c r="W314" i="38"/>
  <c r="X314" i="38" s="1"/>
  <c r="G317" i="19" s="1"/>
  <c r="W76" i="38"/>
  <c r="X76" i="38" s="1"/>
  <c r="G76" i="19" s="1"/>
  <c r="W256" i="38"/>
  <c r="X256" i="38" s="1"/>
  <c r="G259" i="19" s="1"/>
  <c r="W284" i="38"/>
  <c r="X284" i="38" s="1"/>
  <c r="G287" i="19" s="1"/>
  <c r="W122" i="38"/>
  <c r="X122" i="38" s="1"/>
  <c r="G123" i="19" s="1"/>
  <c r="W281" i="38"/>
  <c r="X281" i="38" s="1"/>
  <c r="G284" i="19" s="1"/>
  <c r="W66" i="38"/>
  <c r="X66" i="38" s="1"/>
  <c r="G66" i="19" s="1"/>
  <c r="W83" i="38"/>
  <c r="X83" i="38" s="1"/>
  <c r="G83" i="19" s="1"/>
  <c r="W226" i="38"/>
  <c r="X226" i="38" s="1"/>
  <c r="G228" i="19" s="1"/>
  <c r="W36" i="38"/>
  <c r="X36" i="38" s="1"/>
  <c r="G36" i="19" s="1"/>
  <c r="W299" i="38"/>
  <c r="X299" i="38" s="1"/>
  <c r="G302" i="19" s="1"/>
  <c r="W31" i="38"/>
  <c r="X31" i="38" s="1"/>
  <c r="G31" i="19" s="1"/>
  <c r="W121" i="38"/>
  <c r="X121" i="38" s="1"/>
  <c r="G122" i="19" s="1"/>
  <c r="W57" i="38"/>
  <c r="X57" i="38" s="1"/>
  <c r="G57" i="19" s="1"/>
  <c r="W250" i="38"/>
  <c r="X250" i="38" s="1"/>
  <c r="G253" i="19" s="1"/>
  <c r="W84" i="38"/>
  <c r="X84" i="38" s="1"/>
  <c r="G84" i="19" s="1"/>
  <c r="W101" i="38"/>
  <c r="X101" i="38" s="1"/>
  <c r="G101" i="19" s="1"/>
  <c r="W44" i="38"/>
  <c r="X44" i="38" s="1"/>
  <c r="G44" i="19" s="1"/>
  <c r="W175" i="38"/>
  <c r="X175" i="38" s="1"/>
  <c r="G176" i="19" s="1"/>
  <c r="W99" i="38"/>
  <c r="X99" i="38" s="1"/>
  <c r="G99" i="19" s="1"/>
  <c r="W310" i="38"/>
  <c r="X310" i="38" s="1"/>
  <c r="G313" i="19" s="1"/>
  <c r="W194" i="38"/>
  <c r="X194" i="38" s="1"/>
  <c r="G196" i="19" s="1"/>
  <c r="W148" i="38"/>
  <c r="X148" i="38" s="1"/>
  <c r="G149" i="19" s="1"/>
  <c r="W25" i="38"/>
  <c r="X25" i="38" s="1"/>
  <c r="G25" i="19" s="1"/>
  <c r="W274" i="38"/>
  <c r="X274" i="38" s="1"/>
  <c r="G277" i="19" s="1"/>
  <c r="W192" i="38"/>
  <c r="X192" i="38" s="1"/>
  <c r="G193" i="19" s="1"/>
  <c r="W33" i="38"/>
  <c r="X33" i="38" s="1"/>
  <c r="G33" i="19" s="1"/>
  <c r="W309" i="38"/>
  <c r="X309" i="38" s="1"/>
  <c r="G312" i="19" s="1"/>
  <c r="W247" i="38"/>
  <c r="X247" i="38" s="1"/>
  <c r="G250" i="19" s="1"/>
  <c r="W196" i="38"/>
  <c r="X196" i="38" s="1"/>
  <c r="G198" i="19" s="1"/>
  <c r="W88" i="38"/>
  <c r="X88" i="38" s="1"/>
  <c r="G88" i="19" s="1"/>
  <c r="W277" i="38"/>
  <c r="X277" i="38" s="1"/>
  <c r="G280" i="19" s="1"/>
  <c r="W280" i="38"/>
  <c r="X280" i="38" s="1"/>
  <c r="G283" i="19" s="1"/>
  <c r="W114" i="38"/>
  <c r="X114" i="38" s="1"/>
  <c r="G115" i="19" s="1"/>
  <c r="W298" i="38"/>
  <c r="X298" i="38" s="1"/>
  <c r="G301" i="19" s="1"/>
  <c r="W260" i="38"/>
  <c r="X260" i="38" s="1"/>
  <c r="G263" i="19" s="1"/>
  <c r="W206" i="38"/>
  <c r="X206" i="38" s="1"/>
  <c r="G208" i="19" s="1"/>
  <c r="W23" i="38"/>
  <c r="X23" i="38" s="1"/>
  <c r="G23" i="19" s="1"/>
  <c r="W120" i="38"/>
  <c r="X120" i="38" s="1"/>
  <c r="G121" i="19" s="1"/>
  <c r="W147" i="38"/>
  <c r="X147" i="38" s="1"/>
  <c r="G148" i="19" s="1"/>
  <c r="W282" i="38"/>
  <c r="X282" i="38" s="1"/>
  <c r="G285" i="19" s="1"/>
  <c r="W265" i="38"/>
  <c r="X265" i="38" s="1"/>
  <c r="G268" i="19" s="1"/>
  <c r="W165" i="38"/>
  <c r="X165" i="38" s="1"/>
  <c r="G166" i="19" s="1"/>
  <c r="W12" i="38"/>
  <c r="X12" i="38" s="1"/>
  <c r="G12" i="19" s="1"/>
  <c r="W29" i="38"/>
  <c r="X29" i="38" s="1"/>
  <c r="G29" i="19" s="1"/>
  <c r="W87" i="38"/>
  <c r="X87" i="38" s="1"/>
  <c r="G87" i="19" s="1"/>
  <c r="W170" i="38"/>
  <c r="X170" i="38" s="1"/>
  <c r="G171" i="19" s="1"/>
  <c r="W73" i="38"/>
  <c r="X73" i="38" s="1"/>
  <c r="G73" i="19" s="1"/>
  <c r="W271" i="38"/>
  <c r="X271" i="38" s="1"/>
  <c r="G274" i="19" s="1"/>
  <c r="W305" i="38"/>
  <c r="X305" i="38" s="1"/>
  <c r="G308" i="19" s="1"/>
  <c r="W89" i="38"/>
  <c r="X89" i="38" s="1"/>
  <c r="G89" i="19" s="1"/>
  <c r="W28" i="38"/>
  <c r="X28" i="38" s="1"/>
  <c r="G28" i="19" s="1"/>
  <c r="W24" i="38"/>
  <c r="X24" i="38" s="1"/>
  <c r="G24" i="19" s="1"/>
  <c r="W287" i="38"/>
  <c r="X287" i="38" s="1"/>
  <c r="G290" i="19" s="1"/>
  <c r="W228" i="38"/>
  <c r="X228" i="38" s="1"/>
  <c r="G231" i="19" s="1"/>
  <c r="W233" i="38"/>
  <c r="X233" i="38" s="1"/>
  <c r="G236" i="19" s="1"/>
  <c r="W8" i="38"/>
  <c r="X8" i="38" s="1"/>
  <c r="G8" i="19" s="1"/>
  <c r="W236" i="38"/>
  <c r="X236" i="38" s="1"/>
  <c r="G239" i="19" s="1"/>
  <c r="W85" i="38"/>
  <c r="X85" i="38" s="1"/>
  <c r="G85" i="19" s="1"/>
  <c r="W294" i="38"/>
  <c r="X294" i="38" s="1"/>
  <c r="G297" i="19" s="1"/>
  <c r="W229" i="38"/>
  <c r="X229" i="38" s="1"/>
  <c r="G232" i="19" s="1"/>
  <c r="W86" i="38"/>
  <c r="X86" i="38" s="1"/>
  <c r="G86" i="19" s="1"/>
  <c r="W203" i="38"/>
  <c r="X203" i="38" s="1"/>
  <c r="G205" i="19" s="1"/>
  <c r="W156" i="38"/>
  <c r="X156" i="38" s="1"/>
  <c r="G157" i="19" s="1"/>
  <c r="W258" i="38"/>
  <c r="X258" i="38" s="1"/>
  <c r="G261" i="19" s="1"/>
  <c r="W223" i="38"/>
  <c r="X223" i="38" s="1"/>
  <c r="G225" i="19" s="1"/>
  <c r="W234" i="38"/>
  <c r="X234" i="38" s="1"/>
  <c r="G237" i="19" s="1"/>
  <c r="W42" i="38"/>
  <c r="X42" i="38" s="1"/>
  <c r="G42" i="19" s="1"/>
  <c r="W132" i="38"/>
  <c r="X132" i="38" s="1"/>
  <c r="G133" i="19" s="1"/>
  <c r="W177" i="38"/>
  <c r="X177" i="38" s="1"/>
  <c r="G178" i="19" s="1"/>
  <c r="W69" i="38"/>
  <c r="X69" i="38" s="1"/>
  <c r="G69" i="19" s="1"/>
  <c r="W79" i="38"/>
  <c r="X79" i="38" s="1"/>
  <c r="G79" i="19" s="1"/>
  <c r="W180" i="38"/>
  <c r="X180" i="38" s="1"/>
  <c r="G181" i="19" s="1"/>
  <c r="W215" i="38"/>
  <c r="X215" i="38" s="1"/>
  <c r="G217" i="19" s="1"/>
  <c r="W111" i="38"/>
  <c r="X111" i="38" s="1"/>
  <c r="G112" i="19" s="1"/>
  <c r="W13" i="38"/>
  <c r="X13" i="38" s="1"/>
  <c r="G13" i="19" s="1"/>
  <c r="W286" i="38"/>
  <c r="X286" i="38" s="1"/>
  <c r="G289" i="19" s="1"/>
  <c r="W311" i="38"/>
  <c r="X311" i="38" s="1"/>
  <c r="G314" i="19" s="1"/>
  <c r="W202" i="38"/>
  <c r="X202" i="38" s="1"/>
  <c r="G204" i="19" s="1"/>
  <c r="W72" i="38"/>
  <c r="X72" i="38" s="1"/>
  <c r="G72" i="19" s="1"/>
  <c r="W61" i="38"/>
  <c r="X61" i="38" s="1"/>
  <c r="G61" i="19" s="1"/>
  <c r="W243" i="38"/>
  <c r="X243" i="38" s="1"/>
  <c r="G246" i="19" s="1"/>
  <c r="W128" i="38"/>
  <c r="X128" i="38" s="1"/>
  <c r="G129" i="19" s="1"/>
  <c r="W315" i="38"/>
  <c r="X315" i="38" s="1"/>
  <c r="G195" i="19" s="1"/>
  <c r="W238" i="38"/>
  <c r="X238" i="38" s="1"/>
  <c r="G241" i="19" s="1"/>
  <c r="W43" i="38"/>
  <c r="X43" i="38" s="1"/>
  <c r="G43" i="19" s="1"/>
  <c r="W212" i="38"/>
  <c r="X212" i="38" s="1"/>
  <c r="G214" i="19" s="1"/>
  <c r="W137" i="38"/>
  <c r="X137" i="38" s="1"/>
  <c r="G138" i="19" s="1"/>
  <c r="W246" i="38"/>
  <c r="X246" i="38" s="1"/>
  <c r="G249" i="19" s="1"/>
  <c r="W208" i="38"/>
  <c r="X208" i="38" s="1"/>
  <c r="G210" i="19" s="1"/>
  <c r="W169" i="38"/>
  <c r="X169" i="38" s="1"/>
  <c r="G170" i="19" s="1"/>
  <c r="W65" i="38"/>
  <c r="X65" i="38" s="1"/>
  <c r="G65" i="19" s="1"/>
  <c r="W263" i="38"/>
  <c r="X263" i="38" s="1"/>
  <c r="G266" i="19" s="1"/>
  <c r="W216" i="38"/>
  <c r="X216" i="38" s="1"/>
  <c r="G218" i="19" s="1"/>
  <c r="W16" i="38"/>
  <c r="X16" i="38" s="1"/>
  <c r="G16" i="19" s="1"/>
  <c r="W181" i="38"/>
  <c r="X181" i="38" s="1"/>
  <c r="G182" i="19" s="1"/>
  <c r="W59" i="38"/>
  <c r="X59" i="38" s="1"/>
  <c r="G59" i="19" s="1"/>
  <c r="W118" i="38"/>
  <c r="X118" i="38" s="1"/>
  <c r="G119" i="19" s="1"/>
  <c r="W82" i="38"/>
  <c r="X82" i="38" s="1"/>
  <c r="G82" i="19" s="1"/>
  <c r="W168" i="38"/>
  <c r="X168" i="38" s="1"/>
  <c r="G169" i="19" s="1"/>
  <c r="W108" i="38"/>
  <c r="X108" i="38" s="1"/>
  <c r="G109" i="19" s="1"/>
  <c r="W92" i="38"/>
  <c r="X92" i="38" s="1"/>
  <c r="G92" i="19" s="1"/>
  <c r="W107" i="38"/>
  <c r="X107" i="38" s="1"/>
  <c r="G108" i="19" s="1"/>
  <c r="W116" i="38"/>
  <c r="X116" i="38" s="1"/>
  <c r="G117" i="19" s="1"/>
  <c r="W171" i="38"/>
  <c r="X171" i="38" s="1"/>
  <c r="G172" i="19" s="1"/>
  <c r="W231" i="38"/>
  <c r="X231" i="38" s="1"/>
  <c r="G234" i="19" s="1"/>
  <c r="W249" i="38"/>
  <c r="X249" i="38" s="1"/>
  <c r="G252" i="19" s="1"/>
  <c r="W68" i="38"/>
  <c r="X68" i="38" s="1"/>
  <c r="G68" i="19" s="1"/>
  <c r="W292" i="38"/>
  <c r="X292" i="38" s="1"/>
  <c r="G295" i="19" s="1"/>
  <c r="W267" i="38"/>
  <c r="X267" i="38" s="1"/>
  <c r="G270" i="19" s="1"/>
  <c r="W155" i="38"/>
  <c r="X155" i="38" s="1"/>
  <c r="G156" i="19" s="1"/>
  <c r="W75" i="38"/>
  <c r="X75" i="38" s="1"/>
  <c r="G75" i="19" s="1"/>
  <c r="W178" i="38"/>
  <c r="X178" i="38" s="1"/>
  <c r="G179" i="19" s="1"/>
  <c r="W77" i="38"/>
  <c r="X77" i="38" s="1"/>
  <c r="G77" i="19" s="1"/>
  <c r="W27" i="38"/>
  <c r="X27" i="38" s="1"/>
  <c r="G27" i="19" s="1"/>
  <c r="W49" i="38"/>
  <c r="X49" i="38" s="1"/>
  <c r="G49" i="19" s="1"/>
  <c r="W123" i="38"/>
  <c r="X123" i="38" s="1"/>
  <c r="G124" i="19" s="1"/>
  <c r="W138" i="38"/>
  <c r="X138" i="38" s="1"/>
  <c r="G139" i="19" s="1"/>
  <c r="W112" i="38"/>
  <c r="X112" i="38" s="1"/>
  <c r="G113" i="19" s="1"/>
  <c r="W303" i="38"/>
  <c r="X303" i="38" s="1"/>
  <c r="G306" i="19" s="1"/>
  <c r="W60" i="38"/>
  <c r="X60" i="38" s="1"/>
  <c r="G60" i="19" s="1"/>
  <c r="W276" i="38"/>
  <c r="X276" i="38" s="1"/>
  <c r="G279" i="19" s="1"/>
  <c r="W218" i="38"/>
  <c r="X218" i="38" s="1"/>
  <c r="G220" i="19" s="1"/>
  <c r="W140" i="38"/>
  <c r="X140" i="38" s="1"/>
  <c r="G141" i="19" s="1"/>
  <c r="W296" i="38"/>
  <c r="X296" i="38" s="1"/>
  <c r="G299" i="19" s="1"/>
  <c r="W80" i="38"/>
  <c r="X80" i="38" s="1"/>
  <c r="G80" i="19" s="1"/>
  <c r="W273" i="38"/>
  <c r="X273" i="38" s="1"/>
  <c r="G276" i="19" s="1"/>
  <c r="W214" i="38"/>
  <c r="X214" i="38" s="1"/>
  <c r="G216" i="19" s="1"/>
  <c r="W205" i="38"/>
  <c r="X205" i="38" s="1"/>
  <c r="G207" i="19" s="1"/>
  <c r="W290" i="38"/>
  <c r="X290" i="38" s="1"/>
  <c r="G293" i="19" s="1"/>
  <c r="W160" i="38"/>
  <c r="X160" i="38" s="1"/>
  <c r="G161" i="19" s="1"/>
  <c r="W308" i="38"/>
  <c r="X308" i="38" s="1"/>
  <c r="G311" i="19" s="1"/>
  <c r="W266" i="38"/>
  <c r="X266" i="38" s="1"/>
  <c r="G269" i="19" s="1"/>
  <c r="W119" i="38"/>
  <c r="X119" i="38" s="1"/>
  <c r="G120" i="19" s="1"/>
  <c r="W14" i="38"/>
  <c r="X14" i="38" s="1"/>
  <c r="G14" i="19" s="1"/>
  <c r="W129" i="38"/>
  <c r="X129" i="38" s="1"/>
  <c r="G130" i="19" s="1"/>
  <c r="W41" i="38"/>
  <c r="X41" i="38" s="1"/>
  <c r="G41" i="19" s="1"/>
  <c r="W149" i="38"/>
  <c r="X149" i="38" s="1"/>
  <c r="G150" i="19" s="1"/>
  <c r="W78" i="38"/>
  <c r="X78" i="38" s="1"/>
  <c r="G78" i="19" s="1"/>
  <c r="W64" i="38"/>
  <c r="X64" i="38" s="1"/>
  <c r="G64" i="19" s="1"/>
  <c r="W139" i="38"/>
  <c r="X139" i="38" s="1"/>
  <c r="G140" i="19" s="1"/>
  <c r="W6" i="38"/>
  <c r="X6" i="38" s="1"/>
  <c r="G6" i="19" s="1"/>
  <c r="W152" i="38"/>
  <c r="X152" i="38" s="1"/>
  <c r="G153" i="19" s="1"/>
  <c r="W74" i="38"/>
  <c r="X74" i="38" s="1"/>
  <c r="G74" i="19" s="1"/>
  <c r="W245" i="38"/>
  <c r="X245" i="38" s="1"/>
  <c r="G248" i="19" s="1"/>
  <c r="W37" i="38"/>
  <c r="X37" i="38" s="1"/>
  <c r="G37" i="19" s="1"/>
  <c r="W176" i="38"/>
  <c r="X176" i="38" s="1"/>
  <c r="G177" i="19" s="1"/>
  <c r="W109" i="38"/>
  <c r="X109" i="38" s="1"/>
  <c r="G110" i="19" s="1"/>
  <c r="W235" i="38"/>
  <c r="X235" i="38" s="1"/>
  <c r="G238" i="19" s="1"/>
  <c r="W197" i="38"/>
  <c r="X197" i="38" s="1"/>
  <c r="G199" i="19" s="1"/>
  <c r="W53" i="38"/>
  <c r="X53" i="38" s="1"/>
  <c r="G53" i="19" s="1"/>
  <c r="W38" i="38"/>
  <c r="X38" i="38" s="1"/>
  <c r="G38" i="19" s="1"/>
  <c r="W221" i="38"/>
  <c r="X221" i="38" s="1"/>
  <c r="G223" i="19" s="1"/>
  <c r="W188" i="38"/>
  <c r="X188" i="38" s="1"/>
  <c r="G189" i="19" s="1"/>
  <c r="W39" i="38"/>
  <c r="X39" i="38" s="1"/>
  <c r="G39" i="19" s="1"/>
  <c r="W209" i="38"/>
  <c r="X209" i="38" s="1"/>
  <c r="G211" i="19" s="1"/>
  <c r="W293" i="38"/>
  <c r="X293" i="38" s="1"/>
  <c r="G296" i="19" s="1"/>
  <c r="W10" i="38"/>
  <c r="X10" i="38" s="1"/>
  <c r="G10" i="19" s="1"/>
  <c r="W291" i="38"/>
  <c r="X291" i="38" s="1"/>
  <c r="G294" i="19" s="1"/>
  <c r="W15" i="38"/>
  <c r="X15" i="38" s="1"/>
  <c r="G15" i="19" s="1"/>
  <c r="W213" i="38"/>
  <c r="X213" i="38" s="1"/>
  <c r="G215" i="19" s="1"/>
  <c r="W90" i="38"/>
  <c r="X90" i="38" s="1"/>
  <c r="G90" i="19" s="1"/>
  <c r="W124" i="38"/>
  <c r="X124" i="38" s="1"/>
  <c r="G125" i="19" s="1"/>
  <c r="W199" i="38"/>
  <c r="X199" i="38" s="1"/>
  <c r="G201" i="19" s="1"/>
  <c r="W198" i="38"/>
  <c r="X198" i="38" s="1"/>
  <c r="G200" i="19" s="1"/>
  <c r="W125" i="38"/>
  <c r="X125" i="38" s="1"/>
  <c r="G126" i="19" s="1"/>
  <c r="W313" i="38"/>
  <c r="X313" i="38" s="1"/>
  <c r="G316" i="19" s="1"/>
  <c r="W283" i="38"/>
  <c r="X283" i="38" s="1"/>
  <c r="G286" i="19" s="1"/>
  <c r="W232" i="38"/>
  <c r="X232" i="38" s="1"/>
  <c r="G235" i="19" s="1"/>
  <c r="W105" i="38"/>
  <c r="X105" i="38" s="1"/>
  <c r="G105" i="19" s="1"/>
  <c r="W126" i="38"/>
  <c r="X126" i="38" s="1"/>
  <c r="G127" i="19" s="1"/>
  <c r="W288" i="38"/>
  <c r="X288" i="38" s="1"/>
  <c r="G291" i="19" s="1"/>
  <c r="W225" i="38"/>
  <c r="X225" i="38" s="1"/>
  <c r="G227" i="19" s="1"/>
  <c r="W264" i="38"/>
  <c r="X264" i="38" s="1"/>
  <c r="G267" i="19" s="1"/>
  <c r="W237" i="38"/>
  <c r="X237" i="38" s="1"/>
  <c r="G240" i="19" s="1"/>
  <c r="W146" i="38"/>
  <c r="X146" i="38" s="1"/>
  <c r="G147" i="19" s="1"/>
  <c r="W195" i="38"/>
  <c r="X195" i="38" s="1"/>
  <c r="G197" i="19" s="1"/>
  <c r="W210" i="38"/>
  <c r="X210" i="38" s="1"/>
  <c r="G212" i="19" s="1"/>
  <c r="W21" i="38"/>
  <c r="X21" i="38" s="1"/>
  <c r="G21" i="19" s="1"/>
  <c r="W9" i="38"/>
  <c r="X9" i="38" s="1"/>
  <c r="G9" i="19" s="1"/>
  <c r="W240" i="38"/>
  <c r="X240" i="38" s="1"/>
  <c r="G243" i="19" s="1"/>
  <c r="W301" i="38"/>
  <c r="X301" i="38" s="1"/>
  <c r="G304" i="19" s="1"/>
  <c r="W63" i="38"/>
  <c r="X63" i="38" s="1"/>
  <c r="G63" i="19" s="1"/>
  <c r="W190" i="38"/>
  <c r="X190" i="38" s="1"/>
  <c r="G191" i="19" s="1"/>
  <c r="W40" i="38"/>
  <c r="X40" i="38" s="1"/>
  <c r="G40" i="19" s="1"/>
  <c r="W302" i="38"/>
  <c r="X302" i="38" s="1"/>
  <c r="G305" i="19" s="1"/>
  <c r="W103" i="38"/>
  <c r="X103" i="38" s="1"/>
  <c r="G103" i="19" s="1"/>
  <c r="W30" i="38"/>
  <c r="X30" i="38" s="1"/>
  <c r="G30" i="19" s="1"/>
  <c r="W117" i="38"/>
  <c r="X117" i="38" s="1"/>
  <c r="G118" i="19" s="1"/>
  <c r="W134" i="38"/>
  <c r="X134" i="38" s="1"/>
  <c r="G135" i="19" s="1"/>
  <c r="W17" i="38"/>
  <c r="X17" i="38" s="1"/>
  <c r="G17" i="19" s="1"/>
  <c r="W136" i="38"/>
  <c r="X136" i="38" s="1"/>
  <c r="G137" i="19" s="1"/>
  <c r="W113" i="38"/>
  <c r="X113" i="38" s="1"/>
  <c r="G114" i="19" s="1"/>
  <c r="W81" i="38"/>
  <c r="X81" i="38" s="1"/>
  <c r="G81" i="19" s="1"/>
  <c r="W106" i="38"/>
  <c r="X106" i="38" s="1"/>
  <c r="G107" i="19" s="1"/>
  <c r="W173" i="38"/>
  <c r="X173" i="38" s="1"/>
  <c r="G174" i="19" s="1"/>
  <c r="W220" i="38"/>
  <c r="X220" i="38" s="1"/>
  <c r="G222" i="19" s="1"/>
  <c r="W307" i="38"/>
  <c r="X307" i="38" s="1"/>
  <c r="G310" i="19" s="1"/>
  <c r="W150" i="38"/>
  <c r="X150" i="38" s="1"/>
  <c r="G151" i="19" s="1"/>
  <c r="W4" i="38"/>
  <c r="W153" i="37"/>
  <c r="X153" i="37" s="1"/>
  <c r="F154" i="19" s="1"/>
  <c r="W135" i="37"/>
  <c r="X135" i="37" s="1"/>
  <c r="F136" i="19" s="1"/>
  <c r="W116" i="37"/>
  <c r="X116" i="37" s="1"/>
  <c r="F117" i="19" s="1"/>
  <c r="W129" i="37"/>
  <c r="X129" i="37" s="1"/>
  <c r="F130" i="19" s="1"/>
  <c r="W5" i="37"/>
  <c r="X5" i="37" s="1"/>
  <c r="F5" i="19" s="1"/>
  <c r="W89" i="37"/>
  <c r="X89" i="37" s="1"/>
  <c r="F89" i="19" s="1"/>
  <c r="W202" i="37"/>
  <c r="X202" i="37" s="1"/>
  <c r="F204" i="19" s="1"/>
  <c r="W214" i="37"/>
  <c r="X214" i="37" s="1"/>
  <c r="F216" i="19" s="1"/>
  <c r="W55" i="37"/>
  <c r="X55" i="37" s="1"/>
  <c r="F55" i="19" s="1"/>
  <c r="W124" i="37"/>
  <c r="X124" i="37" s="1"/>
  <c r="F125" i="19" s="1"/>
  <c r="W308" i="37"/>
  <c r="X308" i="37" s="1"/>
  <c r="F311" i="19" s="1"/>
  <c r="W25" i="37"/>
  <c r="X25" i="37" s="1"/>
  <c r="F25" i="19" s="1"/>
  <c r="W94" i="37"/>
  <c r="X94" i="37" s="1"/>
  <c r="F94" i="19" s="1"/>
  <c r="W289" i="37"/>
  <c r="X289" i="37" s="1"/>
  <c r="F292" i="19" s="1"/>
  <c r="W203" i="37"/>
  <c r="X203" i="37" s="1"/>
  <c r="F205" i="19" s="1"/>
  <c r="W250" i="37"/>
  <c r="X250" i="37" s="1"/>
  <c r="F253" i="19" s="1"/>
  <c r="W273" i="37"/>
  <c r="X273" i="37" s="1"/>
  <c r="F276" i="19" s="1"/>
  <c r="W306" i="37"/>
  <c r="X306" i="37" s="1"/>
  <c r="F309" i="19" s="1"/>
  <c r="W285" i="37"/>
  <c r="X285" i="37" s="1"/>
  <c r="F288" i="19" s="1"/>
  <c r="W85" i="37"/>
  <c r="X85" i="37" s="1"/>
  <c r="F85" i="19" s="1"/>
  <c r="W143" i="37"/>
  <c r="X143" i="37" s="1"/>
  <c r="F144" i="19" s="1"/>
  <c r="W226" i="37"/>
  <c r="X226" i="37" s="1"/>
  <c r="F228" i="19" s="1"/>
  <c r="W47" i="37"/>
  <c r="X47" i="37" s="1"/>
  <c r="F47" i="19" s="1"/>
  <c r="W281" i="37"/>
  <c r="X281" i="37" s="1"/>
  <c r="F284" i="19" s="1"/>
  <c r="W82" i="37"/>
  <c r="X82" i="37" s="1"/>
  <c r="F82" i="19" s="1"/>
  <c r="W174" i="37"/>
  <c r="X174" i="37" s="1"/>
  <c r="F175" i="19" s="1"/>
  <c r="W258" i="37"/>
  <c r="X258" i="37" s="1"/>
  <c r="F261" i="19" s="1"/>
  <c r="W111" i="37"/>
  <c r="X111" i="37" s="1"/>
  <c r="F112" i="19" s="1"/>
  <c r="W185" i="37"/>
  <c r="X185" i="37" s="1"/>
  <c r="F186" i="19" s="1"/>
  <c r="W272" i="37"/>
  <c r="X272" i="37" s="1"/>
  <c r="F275" i="19" s="1"/>
  <c r="W69" i="37"/>
  <c r="X69" i="37" s="1"/>
  <c r="F69" i="19" s="1"/>
  <c r="W194" i="37"/>
  <c r="X194" i="37" s="1"/>
  <c r="F196" i="19" s="1"/>
  <c r="W141" i="37"/>
  <c r="X141" i="37" s="1"/>
  <c r="F142" i="19" s="1"/>
  <c r="W34" i="37"/>
  <c r="X34" i="37" s="1"/>
  <c r="F34" i="19" s="1"/>
  <c r="W217" i="37"/>
  <c r="X217" i="37" s="1"/>
  <c r="F219" i="19" s="1"/>
  <c r="W114" i="37"/>
  <c r="X114" i="37" s="1"/>
  <c r="F115" i="19" s="1"/>
  <c r="W243" i="37"/>
  <c r="X243" i="37" s="1"/>
  <c r="F246" i="19" s="1"/>
  <c r="W240" i="37"/>
  <c r="X240" i="37" s="1"/>
  <c r="F243" i="19" s="1"/>
  <c r="W301" i="37"/>
  <c r="X301" i="37" s="1"/>
  <c r="F304" i="19" s="1"/>
  <c r="W58" i="37"/>
  <c r="X58" i="37" s="1"/>
  <c r="F58" i="19" s="1"/>
  <c r="W105" i="37"/>
  <c r="X105" i="37" s="1"/>
  <c r="F105" i="19" s="1"/>
  <c r="W64" i="37"/>
  <c r="X64" i="37" s="1"/>
  <c r="F64" i="19" s="1"/>
  <c r="W130" i="37"/>
  <c r="X130" i="37" s="1"/>
  <c r="F131" i="19" s="1"/>
  <c r="W179" i="37"/>
  <c r="X179" i="37" s="1"/>
  <c r="F180" i="19" s="1"/>
  <c r="W228" i="37"/>
  <c r="X228" i="37" s="1"/>
  <c r="F231" i="19" s="1"/>
  <c r="W176" i="37"/>
  <c r="X176" i="37" s="1"/>
  <c r="F177" i="19" s="1"/>
  <c r="W65" i="37"/>
  <c r="X65" i="37" s="1"/>
  <c r="F65" i="19" s="1"/>
  <c r="W266" i="37"/>
  <c r="X266" i="37" s="1"/>
  <c r="F269" i="19" s="1"/>
  <c r="W125" i="37"/>
  <c r="X125" i="37" s="1"/>
  <c r="F126" i="19" s="1"/>
  <c r="W311" i="37"/>
  <c r="X311" i="37" s="1"/>
  <c r="F314" i="19" s="1"/>
  <c r="W107" i="37"/>
  <c r="X107" i="37" s="1"/>
  <c r="F108" i="19" s="1"/>
  <c r="W212" i="37"/>
  <c r="X212" i="37" s="1"/>
  <c r="F214" i="19" s="1"/>
  <c r="W260" i="37"/>
  <c r="X260" i="37" s="1"/>
  <c r="F263" i="19" s="1"/>
  <c r="W38" i="37"/>
  <c r="X38" i="37" s="1"/>
  <c r="F38" i="19" s="1"/>
  <c r="W249" i="37"/>
  <c r="X249" i="37" s="1"/>
  <c r="F252" i="19" s="1"/>
  <c r="W246" i="37"/>
  <c r="X246" i="37" s="1"/>
  <c r="F249" i="19" s="1"/>
  <c r="W235" i="37"/>
  <c r="X235" i="37" s="1"/>
  <c r="F238" i="19" s="1"/>
  <c r="W154" i="37"/>
  <c r="X154" i="37" s="1"/>
  <c r="F155" i="19" s="1"/>
  <c r="W164" i="37"/>
  <c r="X164" i="37" s="1"/>
  <c r="F165" i="19" s="1"/>
  <c r="W298" i="37"/>
  <c r="X298" i="37" s="1"/>
  <c r="F301" i="19" s="1"/>
  <c r="W213" i="37"/>
  <c r="X213" i="37" s="1"/>
  <c r="F215" i="19" s="1"/>
  <c r="W106" i="37"/>
  <c r="X106" i="37" s="1"/>
  <c r="F107" i="19" s="1"/>
  <c r="W146" i="37"/>
  <c r="X146" i="37" s="1"/>
  <c r="F147" i="19" s="1"/>
  <c r="W184" i="37"/>
  <c r="X184" i="37" s="1"/>
  <c r="F185" i="19" s="1"/>
  <c r="W11" i="37"/>
  <c r="X11" i="37" s="1"/>
  <c r="F11" i="19" s="1"/>
  <c r="W109" i="37"/>
  <c r="X109" i="37" s="1"/>
  <c r="F110" i="19" s="1"/>
  <c r="W72" i="37"/>
  <c r="X72" i="37" s="1"/>
  <c r="F72" i="19" s="1"/>
  <c r="W307" i="37"/>
  <c r="X307" i="37" s="1"/>
  <c r="F310" i="19" s="1"/>
  <c r="W279" i="37"/>
  <c r="X279" i="37" s="1"/>
  <c r="F282" i="19" s="1"/>
  <c r="W16" i="37"/>
  <c r="X16" i="37" s="1"/>
  <c r="F16" i="19" s="1"/>
  <c r="W96" i="37"/>
  <c r="X96" i="37" s="1"/>
  <c r="F96" i="19" s="1"/>
  <c r="W315" i="37"/>
  <c r="X315" i="37" s="1"/>
  <c r="F195" i="19" s="1"/>
  <c r="W108" i="37"/>
  <c r="X108" i="37" s="1"/>
  <c r="F109" i="19" s="1"/>
  <c r="W104" i="37"/>
  <c r="X104" i="37" s="1"/>
  <c r="F104" i="19" s="1"/>
  <c r="W220" i="37"/>
  <c r="X220" i="37" s="1"/>
  <c r="F222" i="19" s="1"/>
  <c r="W271" i="37"/>
  <c r="X271" i="37" s="1"/>
  <c r="F274" i="19" s="1"/>
  <c r="W162" i="37"/>
  <c r="X162" i="37" s="1"/>
  <c r="F163" i="19" s="1"/>
  <c r="W53" i="37"/>
  <c r="X53" i="37" s="1"/>
  <c r="F53" i="19" s="1"/>
  <c r="W172" i="37"/>
  <c r="X172" i="37" s="1"/>
  <c r="F173" i="19" s="1"/>
  <c r="W239" i="37"/>
  <c r="X239" i="37" s="1"/>
  <c r="F242" i="19" s="1"/>
  <c r="W149" i="37"/>
  <c r="X149" i="37" s="1"/>
  <c r="F150" i="19" s="1"/>
  <c r="W170" i="37"/>
  <c r="X170" i="37" s="1"/>
  <c r="F171" i="19" s="1"/>
  <c r="W290" i="37"/>
  <c r="X290" i="37" s="1"/>
  <c r="F293" i="19" s="1"/>
  <c r="W232" i="37"/>
  <c r="X232" i="37" s="1"/>
  <c r="F235" i="19" s="1"/>
  <c r="W218" i="37"/>
  <c r="X218" i="37" s="1"/>
  <c r="F220" i="19" s="1"/>
  <c r="W309" i="37"/>
  <c r="X309" i="37" s="1"/>
  <c r="F312" i="19" s="1"/>
  <c r="W160" i="37"/>
  <c r="X160" i="37" s="1"/>
  <c r="F161" i="19" s="1"/>
  <c r="W126" i="37"/>
  <c r="X126" i="37" s="1"/>
  <c r="F127" i="19" s="1"/>
  <c r="W227" i="37"/>
  <c r="X227" i="37" s="1"/>
  <c r="F229" i="19" s="1"/>
  <c r="W187" i="37"/>
  <c r="X187" i="37" s="1"/>
  <c r="F188" i="19" s="1"/>
  <c r="W57" i="37"/>
  <c r="X57" i="37" s="1"/>
  <c r="F57" i="19" s="1"/>
  <c r="W158" i="37"/>
  <c r="X158" i="37" s="1"/>
  <c r="F159" i="19" s="1"/>
  <c r="W231" i="37"/>
  <c r="X231" i="37" s="1"/>
  <c r="F234" i="19" s="1"/>
  <c r="W54" i="37"/>
  <c r="X54" i="37" s="1"/>
  <c r="F54" i="19" s="1"/>
  <c r="W159" i="37"/>
  <c r="X159" i="37" s="1"/>
  <c r="F160" i="19" s="1"/>
  <c r="W277" i="37"/>
  <c r="X277" i="37" s="1"/>
  <c r="F280" i="19" s="1"/>
  <c r="W302" i="37"/>
  <c r="X302" i="37" s="1"/>
  <c r="F305" i="19" s="1"/>
  <c r="W88" i="37"/>
  <c r="X88" i="37" s="1"/>
  <c r="F88" i="19" s="1"/>
  <c r="W310" i="37"/>
  <c r="X310" i="37" s="1"/>
  <c r="F313" i="19" s="1"/>
  <c r="W199" i="37"/>
  <c r="X199" i="37" s="1"/>
  <c r="F201" i="19" s="1"/>
  <c r="W138" i="37"/>
  <c r="X138" i="37" s="1"/>
  <c r="F139" i="19" s="1"/>
  <c r="W32" i="37"/>
  <c r="X32" i="37" s="1"/>
  <c r="F32" i="19" s="1"/>
  <c r="W17" i="37"/>
  <c r="X17" i="37" s="1"/>
  <c r="F17" i="19" s="1"/>
  <c r="W98" i="37"/>
  <c r="X98" i="37" s="1"/>
  <c r="F98" i="19" s="1"/>
  <c r="W256" i="37"/>
  <c r="X256" i="37" s="1"/>
  <c r="F259" i="19" s="1"/>
  <c r="W19" i="37"/>
  <c r="X19" i="37" s="1"/>
  <c r="F19" i="19" s="1"/>
  <c r="W144" i="37"/>
  <c r="X144" i="37" s="1"/>
  <c r="F145" i="19" s="1"/>
  <c r="W118" i="37"/>
  <c r="X118" i="37" s="1"/>
  <c r="F119" i="19" s="1"/>
  <c r="W233" i="37"/>
  <c r="X233" i="37" s="1"/>
  <c r="F236" i="19" s="1"/>
  <c r="W112" i="37"/>
  <c r="X112" i="37" s="1"/>
  <c r="F113" i="19" s="1"/>
  <c r="W133" i="37"/>
  <c r="X133" i="37" s="1"/>
  <c r="F134" i="19" s="1"/>
  <c r="W14" i="37"/>
  <c r="X14" i="37" s="1"/>
  <c r="F14" i="19" s="1"/>
  <c r="W182" i="37"/>
  <c r="X182" i="37" s="1"/>
  <c r="F183" i="19" s="1"/>
  <c r="W62" i="37"/>
  <c r="X62" i="37" s="1"/>
  <c r="F62" i="19" s="1"/>
  <c r="W92" i="37"/>
  <c r="X92" i="37" s="1"/>
  <c r="F92" i="19" s="1"/>
  <c r="W86" i="37"/>
  <c r="X86" i="37" s="1"/>
  <c r="F86" i="19" s="1"/>
  <c r="W236" i="37"/>
  <c r="X236" i="37" s="1"/>
  <c r="F239" i="19" s="1"/>
  <c r="W52" i="37"/>
  <c r="X52" i="37" s="1"/>
  <c r="F52" i="19" s="1"/>
  <c r="W70" i="37"/>
  <c r="X70" i="37" s="1"/>
  <c r="F70" i="19" s="1"/>
  <c r="W79" i="37"/>
  <c r="X79" i="37" s="1"/>
  <c r="F79" i="19" s="1"/>
  <c r="W49" i="37"/>
  <c r="X49" i="37" s="1"/>
  <c r="F49" i="19" s="1"/>
  <c r="W83" i="37"/>
  <c r="X83" i="37" s="1"/>
  <c r="F83" i="19" s="1"/>
  <c r="W168" i="37"/>
  <c r="X168" i="37" s="1"/>
  <c r="F169" i="19" s="1"/>
  <c r="W284" i="37"/>
  <c r="X284" i="37" s="1"/>
  <c r="F287" i="19" s="1"/>
  <c r="W18" i="37"/>
  <c r="X18" i="37" s="1"/>
  <c r="F18" i="19" s="1"/>
  <c r="W198" i="37"/>
  <c r="X198" i="37" s="1"/>
  <c r="F200" i="19" s="1"/>
  <c r="W183" i="37"/>
  <c r="X183" i="37" s="1"/>
  <c r="F184" i="19" s="1"/>
  <c r="W193" i="37"/>
  <c r="X193" i="37" s="1"/>
  <c r="F194" i="19" s="1"/>
  <c r="W71" i="37"/>
  <c r="X71" i="37" s="1"/>
  <c r="F71" i="19" s="1"/>
  <c r="W210" i="37"/>
  <c r="X210" i="37" s="1"/>
  <c r="F212" i="19" s="1"/>
  <c r="W275" i="37"/>
  <c r="X275" i="37" s="1"/>
  <c r="F278" i="19" s="1"/>
  <c r="W224" i="37"/>
  <c r="X224" i="37" s="1"/>
  <c r="F226" i="19" s="1"/>
  <c r="W139" i="37"/>
  <c r="X139" i="37" s="1"/>
  <c r="F140" i="19" s="1"/>
  <c r="W274" i="37"/>
  <c r="X274" i="37" s="1"/>
  <c r="F277" i="19" s="1"/>
  <c r="W46" i="37"/>
  <c r="X46" i="37" s="1"/>
  <c r="F46" i="19" s="1"/>
  <c r="W93" i="37"/>
  <c r="X93" i="37" s="1"/>
  <c r="F93" i="19" s="1"/>
  <c r="W197" i="37"/>
  <c r="X197" i="37" s="1"/>
  <c r="F199" i="19" s="1"/>
  <c r="W288" i="37"/>
  <c r="X288" i="37" s="1"/>
  <c r="F291" i="19" s="1"/>
  <c r="W221" i="37"/>
  <c r="X221" i="37" s="1"/>
  <c r="F223" i="19" s="1"/>
  <c r="W91" i="37"/>
  <c r="X91" i="37" s="1"/>
  <c r="F91" i="19" s="1"/>
  <c r="W59" i="37"/>
  <c r="X59" i="37" s="1"/>
  <c r="F59" i="19" s="1"/>
  <c r="W282" i="37"/>
  <c r="X282" i="37" s="1"/>
  <c r="F285" i="19" s="1"/>
  <c r="W244" i="37"/>
  <c r="X244" i="37" s="1"/>
  <c r="F247" i="19" s="1"/>
  <c r="W189" i="37"/>
  <c r="X189" i="37" s="1"/>
  <c r="F190" i="19" s="1"/>
  <c r="W117" i="37"/>
  <c r="X117" i="37" s="1"/>
  <c r="F118" i="19" s="1"/>
  <c r="W132" i="37"/>
  <c r="X132" i="37" s="1"/>
  <c r="F133" i="19" s="1"/>
  <c r="W177" i="37"/>
  <c r="X177" i="37" s="1"/>
  <c r="F178" i="19" s="1"/>
  <c r="W255" i="37"/>
  <c r="X255" i="37" s="1"/>
  <c r="F258" i="19" s="1"/>
  <c r="W60" i="37"/>
  <c r="X60" i="37" s="1"/>
  <c r="F60" i="19" s="1"/>
  <c r="W287" i="37"/>
  <c r="X287" i="37" s="1"/>
  <c r="F290" i="19" s="1"/>
  <c r="W155" i="37"/>
  <c r="X155" i="37" s="1"/>
  <c r="F156" i="19" s="1"/>
  <c r="W276" i="37"/>
  <c r="X276" i="37" s="1"/>
  <c r="F279" i="19" s="1"/>
  <c r="W204" i="37"/>
  <c r="X204" i="37" s="1"/>
  <c r="F206" i="19" s="1"/>
  <c r="W131" i="37"/>
  <c r="X131" i="37" s="1"/>
  <c r="F132" i="19" s="1"/>
  <c r="W22" i="37"/>
  <c r="X22" i="37" s="1"/>
  <c r="F22" i="19" s="1"/>
  <c r="W211" i="37"/>
  <c r="X211" i="37" s="1"/>
  <c r="F213" i="19" s="1"/>
  <c r="W278" i="37"/>
  <c r="X278" i="37" s="1"/>
  <c r="F281" i="19" s="1"/>
  <c r="W280" i="37"/>
  <c r="X280" i="37" s="1"/>
  <c r="F283" i="19" s="1"/>
  <c r="W56" i="37"/>
  <c r="X56" i="37" s="1"/>
  <c r="F56" i="19" s="1"/>
  <c r="W134" i="37"/>
  <c r="X134" i="37" s="1"/>
  <c r="F135" i="19" s="1"/>
  <c r="W74" i="37"/>
  <c r="X74" i="37" s="1"/>
  <c r="F74" i="19" s="1"/>
  <c r="W207" i="37"/>
  <c r="X207" i="37" s="1"/>
  <c r="F209" i="19" s="1"/>
  <c r="W121" i="37"/>
  <c r="X121" i="37" s="1"/>
  <c r="F122" i="19" s="1"/>
  <c r="W21" i="37"/>
  <c r="X21" i="37" s="1"/>
  <c r="F21" i="19" s="1"/>
  <c r="W296" i="37"/>
  <c r="X296" i="37" s="1"/>
  <c r="F299" i="19" s="1"/>
  <c r="W223" i="37"/>
  <c r="X223" i="37" s="1"/>
  <c r="F225" i="19" s="1"/>
  <c r="W30" i="37"/>
  <c r="X30" i="37" s="1"/>
  <c r="F30" i="19" s="1"/>
  <c r="W7" i="37"/>
  <c r="X7" i="37" s="1"/>
  <c r="F7" i="19" s="1"/>
  <c r="W103" i="37"/>
  <c r="X103" i="37" s="1"/>
  <c r="F103" i="19" s="1"/>
  <c r="W161" i="37"/>
  <c r="X161" i="37" s="1"/>
  <c r="F162" i="19" s="1"/>
  <c r="W190" i="37"/>
  <c r="X190" i="37" s="1"/>
  <c r="F191" i="19" s="1"/>
  <c r="W150" i="37"/>
  <c r="X150" i="37" s="1"/>
  <c r="F151" i="19" s="1"/>
  <c r="W261" i="37"/>
  <c r="X261" i="37" s="1"/>
  <c r="F264" i="19" s="1"/>
  <c r="W101" i="37"/>
  <c r="X101" i="37" s="1"/>
  <c r="F101" i="19" s="1"/>
  <c r="W128" i="37"/>
  <c r="X128" i="37" s="1"/>
  <c r="F129" i="19" s="1"/>
  <c r="W110" i="37"/>
  <c r="X110" i="37" s="1"/>
  <c r="F111" i="19" s="1"/>
  <c r="W10" i="37"/>
  <c r="X10" i="37" s="1"/>
  <c r="F10" i="19" s="1"/>
  <c r="W206" i="37"/>
  <c r="X206" i="37" s="1"/>
  <c r="F208" i="19" s="1"/>
  <c r="W142" i="37"/>
  <c r="X142" i="37" s="1"/>
  <c r="F143" i="19" s="1"/>
  <c r="W242" i="37"/>
  <c r="X242" i="37" s="1"/>
  <c r="F245" i="19" s="1"/>
  <c r="W265" i="37"/>
  <c r="X265" i="37" s="1"/>
  <c r="F268" i="19" s="1"/>
  <c r="W300" i="37"/>
  <c r="X300" i="37" s="1"/>
  <c r="F303" i="19" s="1"/>
  <c r="W9" i="37"/>
  <c r="X9" i="37" s="1"/>
  <c r="F9" i="19" s="1"/>
  <c r="W113" i="37"/>
  <c r="X113" i="37" s="1"/>
  <c r="F114" i="19" s="1"/>
  <c r="W147" i="37"/>
  <c r="X147" i="37" s="1"/>
  <c r="F148" i="19" s="1"/>
  <c r="W195" i="37"/>
  <c r="X195" i="37" s="1"/>
  <c r="F197" i="19" s="1"/>
  <c r="W44" i="37"/>
  <c r="X44" i="37" s="1"/>
  <c r="F44" i="19" s="1"/>
  <c r="W87" i="37"/>
  <c r="X87" i="37" s="1"/>
  <c r="F87" i="19" s="1"/>
  <c r="W78" i="37"/>
  <c r="X78" i="37" s="1"/>
  <c r="F78" i="19" s="1"/>
  <c r="W215" i="37"/>
  <c r="X215" i="37" s="1"/>
  <c r="F217" i="19" s="1"/>
  <c r="W15" i="37"/>
  <c r="X15" i="37" s="1"/>
  <c r="F15" i="19" s="1"/>
  <c r="W192" i="37"/>
  <c r="X192" i="37" s="1"/>
  <c r="F193" i="19" s="1"/>
  <c r="W43" i="37"/>
  <c r="X43" i="37" s="1"/>
  <c r="F43" i="19" s="1"/>
  <c r="W165" i="37"/>
  <c r="X165" i="37" s="1"/>
  <c r="F166" i="19" s="1"/>
  <c r="W76" i="37"/>
  <c r="X76" i="37" s="1"/>
  <c r="F76" i="19" s="1"/>
  <c r="W66" i="37"/>
  <c r="X66" i="37" s="1"/>
  <c r="F66" i="19" s="1"/>
  <c r="W156" i="37"/>
  <c r="X156" i="37" s="1"/>
  <c r="F157" i="19" s="1"/>
  <c r="W201" i="37"/>
  <c r="X201" i="37" s="1"/>
  <c r="F203" i="19" s="1"/>
  <c r="W303" i="37"/>
  <c r="X303" i="37" s="1"/>
  <c r="F306" i="19" s="1"/>
  <c r="W36" i="37"/>
  <c r="X36" i="37" s="1"/>
  <c r="F36" i="19" s="1"/>
  <c r="W67" i="37"/>
  <c r="X67" i="37" s="1"/>
  <c r="F67" i="19" s="1"/>
  <c r="W123" i="37"/>
  <c r="X123" i="37" s="1"/>
  <c r="F124" i="19" s="1"/>
  <c r="W90" i="37"/>
  <c r="X90" i="37" s="1"/>
  <c r="F90" i="19" s="1"/>
  <c r="W241" i="37"/>
  <c r="X241" i="37" s="1"/>
  <c r="F244" i="19" s="1"/>
  <c r="W167" i="37"/>
  <c r="X167" i="37" s="1"/>
  <c r="F168" i="19" s="1"/>
  <c r="W42" i="37"/>
  <c r="X42" i="37" s="1"/>
  <c r="F42" i="19" s="1"/>
  <c r="W305" i="37"/>
  <c r="X305" i="37" s="1"/>
  <c r="F308" i="19" s="1"/>
  <c r="W312" i="37"/>
  <c r="X312" i="37" s="1"/>
  <c r="F315" i="19" s="1"/>
  <c r="W267" i="37"/>
  <c r="X267" i="37" s="1"/>
  <c r="F270" i="19" s="1"/>
  <c r="W181" i="37"/>
  <c r="X181" i="37" s="1"/>
  <c r="F182" i="19" s="1"/>
  <c r="W136" i="37"/>
  <c r="X136" i="37" s="1"/>
  <c r="F137" i="19" s="1"/>
  <c r="W61" i="37"/>
  <c r="X61" i="37" s="1"/>
  <c r="F61" i="19" s="1"/>
  <c r="W166" i="37"/>
  <c r="X166" i="37" s="1"/>
  <c r="F167" i="19" s="1"/>
  <c r="W257" i="37"/>
  <c r="X257" i="37" s="1"/>
  <c r="F260" i="19" s="1"/>
  <c r="W81" i="37"/>
  <c r="X81" i="37" s="1"/>
  <c r="F81" i="19" s="1"/>
  <c r="W209" i="37"/>
  <c r="X209" i="37" s="1"/>
  <c r="F211" i="19" s="1"/>
  <c r="W253" i="37"/>
  <c r="X253" i="37" s="1"/>
  <c r="F256" i="19" s="1"/>
  <c r="W200" i="37"/>
  <c r="X200" i="37" s="1"/>
  <c r="F202" i="19" s="1"/>
  <c r="W151" i="37"/>
  <c r="X151" i="37" s="1"/>
  <c r="F152" i="19" s="1"/>
  <c r="W245" i="37"/>
  <c r="X245" i="37" s="1"/>
  <c r="F248" i="19" s="1"/>
  <c r="W73" i="37"/>
  <c r="X73" i="37" s="1"/>
  <c r="F73" i="19" s="1"/>
  <c r="W13" i="37"/>
  <c r="X13" i="37" s="1"/>
  <c r="F13" i="19" s="1"/>
  <c r="W188" i="37"/>
  <c r="X188" i="37" s="1"/>
  <c r="F189" i="19" s="1"/>
  <c r="W238" i="37"/>
  <c r="X238" i="37" s="1"/>
  <c r="F241" i="19" s="1"/>
  <c r="W137" i="37"/>
  <c r="X137" i="37" s="1"/>
  <c r="F138" i="19" s="1"/>
  <c r="W157" i="37"/>
  <c r="X157" i="37" s="1"/>
  <c r="F158" i="19" s="1"/>
  <c r="W314" i="37"/>
  <c r="X314" i="37" s="1"/>
  <c r="F317" i="19" s="1"/>
  <c r="W171" i="37"/>
  <c r="X171" i="37" s="1"/>
  <c r="F172" i="19" s="1"/>
  <c r="W234" i="37"/>
  <c r="X234" i="37" s="1"/>
  <c r="F237" i="19" s="1"/>
  <c r="W35" i="37"/>
  <c r="X35" i="37" s="1"/>
  <c r="F35" i="19" s="1"/>
  <c r="W237" i="37"/>
  <c r="X237" i="37" s="1"/>
  <c r="F240" i="19" s="1"/>
  <c r="W8" i="37"/>
  <c r="X8" i="37" s="1"/>
  <c r="F8" i="19" s="1"/>
  <c r="W180" i="37"/>
  <c r="X180" i="37" s="1"/>
  <c r="F181" i="19" s="1"/>
  <c r="W229" i="37"/>
  <c r="X229" i="37" s="1"/>
  <c r="F232" i="19" s="1"/>
  <c r="W163" i="37"/>
  <c r="X163" i="37" s="1"/>
  <c r="F164" i="19" s="1"/>
  <c r="W39" i="37"/>
  <c r="X39" i="37" s="1"/>
  <c r="F39" i="19" s="1"/>
  <c r="W263" i="37"/>
  <c r="X263" i="37" s="1"/>
  <c r="F266" i="19" s="1"/>
  <c r="W51" i="37"/>
  <c r="X51" i="37" s="1"/>
  <c r="F51" i="19" s="1"/>
  <c r="W173" i="37"/>
  <c r="X173" i="37" s="1"/>
  <c r="F174" i="19" s="1"/>
  <c r="W225" i="37"/>
  <c r="X225" i="37" s="1"/>
  <c r="F227" i="19" s="1"/>
  <c r="W313" i="37"/>
  <c r="X313" i="37" s="1"/>
  <c r="F316" i="19" s="1"/>
  <c r="W41" i="37"/>
  <c r="X41" i="37" s="1"/>
  <c r="F41" i="19" s="1"/>
  <c r="W97" i="37"/>
  <c r="X97" i="37" s="1"/>
  <c r="F97" i="19" s="1"/>
  <c r="W291" i="37"/>
  <c r="X291" i="37" s="1"/>
  <c r="F294" i="19" s="1"/>
  <c r="W148" i="37"/>
  <c r="X148" i="37" s="1"/>
  <c r="F149" i="19" s="1"/>
  <c r="W27" i="37"/>
  <c r="X27" i="37" s="1"/>
  <c r="F27" i="19" s="1"/>
  <c r="W120" i="37"/>
  <c r="X120" i="37" s="1"/>
  <c r="F121" i="19" s="1"/>
  <c r="W230" i="37"/>
  <c r="X230" i="37" s="1"/>
  <c r="F233" i="19" s="1"/>
  <c r="W77" i="37"/>
  <c r="X77" i="37" s="1"/>
  <c r="F77" i="19" s="1"/>
  <c r="W140" i="37"/>
  <c r="X140" i="37" s="1"/>
  <c r="F141" i="19" s="1"/>
  <c r="W216" i="37"/>
  <c r="X216" i="37" s="1"/>
  <c r="F218" i="19" s="1"/>
  <c r="W247" i="37"/>
  <c r="X247" i="37" s="1"/>
  <c r="F250" i="19" s="1"/>
  <c r="W254" i="37"/>
  <c r="X254" i="37" s="1"/>
  <c r="F257" i="19" s="1"/>
  <c r="W45" i="37"/>
  <c r="X45" i="37" s="1"/>
  <c r="F45" i="19" s="1"/>
  <c r="W100" i="37"/>
  <c r="X100" i="37" s="1"/>
  <c r="F100" i="19" s="1"/>
  <c r="W40" i="37"/>
  <c r="X40" i="37" s="1"/>
  <c r="F40" i="19" s="1"/>
  <c r="W191" i="37"/>
  <c r="X191" i="37" s="1"/>
  <c r="F192" i="19" s="1"/>
  <c r="W262" i="37"/>
  <c r="X262" i="37" s="1"/>
  <c r="F265" i="19" s="1"/>
  <c r="W175" i="37"/>
  <c r="X175" i="37" s="1"/>
  <c r="F176" i="19" s="1"/>
  <c r="W127" i="37"/>
  <c r="X127" i="37" s="1"/>
  <c r="F128" i="19" s="1"/>
  <c r="W20" i="37"/>
  <c r="X20" i="37" s="1"/>
  <c r="F20" i="19" s="1"/>
  <c r="W75" i="37"/>
  <c r="X75" i="37" s="1"/>
  <c r="F75" i="19" s="1"/>
  <c r="W99" i="37"/>
  <c r="X99" i="37" s="1"/>
  <c r="F99" i="19" s="1"/>
  <c r="W293" i="37"/>
  <c r="X293" i="37" s="1"/>
  <c r="F296" i="19" s="1"/>
  <c r="W63" i="37"/>
  <c r="X63" i="37" s="1"/>
  <c r="F63" i="19" s="1"/>
  <c r="W268" i="37"/>
  <c r="X268" i="37" s="1"/>
  <c r="F271" i="19" s="1"/>
  <c r="W205" i="37"/>
  <c r="X205" i="37" s="1"/>
  <c r="F207" i="19" s="1"/>
  <c r="W299" i="37"/>
  <c r="X299" i="37" s="1"/>
  <c r="F302" i="19" s="1"/>
  <c r="W286" i="37"/>
  <c r="X286" i="37" s="1"/>
  <c r="F289" i="19" s="1"/>
  <c r="W48" i="37"/>
  <c r="X48" i="37" s="1"/>
  <c r="F48" i="19" s="1"/>
  <c r="W222" i="37"/>
  <c r="X222" i="37" s="1"/>
  <c r="F224" i="19" s="1"/>
  <c r="W95" i="37"/>
  <c r="X95" i="37" s="1"/>
  <c r="F95" i="19" s="1"/>
  <c r="W295" i="37"/>
  <c r="X295" i="37" s="1"/>
  <c r="F298" i="19" s="1"/>
  <c r="W219" i="37"/>
  <c r="X219" i="37" s="1"/>
  <c r="F221" i="19" s="1"/>
  <c r="W6" i="37"/>
  <c r="X6" i="37" s="1"/>
  <c r="F6" i="19" s="1"/>
  <c r="W31" i="37"/>
  <c r="X31" i="37" s="1"/>
  <c r="F31" i="19" s="1"/>
  <c r="W186" i="37"/>
  <c r="X186" i="37" s="1"/>
  <c r="F187" i="19" s="1"/>
  <c r="W12" i="37"/>
  <c r="X12" i="37" s="1"/>
  <c r="F12" i="19" s="1"/>
  <c r="W115" i="37"/>
  <c r="X115" i="37" s="1"/>
  <c r="F116" i="19" s="1"/>
  <c r="W24" i="37"/>
  <c r="X24" i="37" s="1"/>
  <c r="F24" i="19" s="1"/>
  <c r="W292" i="37"/>
  <c r="X292" i="37" s="1"/>
  <c r="F295" i="19" s="1"/>
  <c r="W270" i="37"/>
  <c r="X270" i="37" s="1"/>
  <c r="F273" i="19" s="1"/>
  <c r="W196" i="37"/>
  <c r="X196" i="37" s="1"/>
  <c r="F198" i="19" s="1"/>
  <c r="W208" i="37"/>
  <c r="X208" i="37" s="1"/>
  <c r="F210" i="19" s="1"/>
  <c r="W178" i="37"/>
  <c r="X178" i="37" s="1"/>
  <c r="F179" i="19" s="1"/>
  <c r="W152" i="37"/>
  <c r="X152" i="37" s="1"/>
  <c r="F153" i="19" s="1"/>
  <c r="W248" i="37"/>
  <c r="X248" i="37" s="1"/>
  <c r="F251" i="19" s="1"/>
  <c r="W297" i="37"/>
  <c r="X297" i="37" s="1"/>
  <c r="F300" i="19" s="1"/>
  <c r="W269" i="37"/>
  <c r="X269" i="37" s="1"/>
  <c r="F272" i="19" s="1"/>
  <c r="W251" i="37"/>
  <c r="X251" i="37" s="1"/>
  <c r="F254" i="19" s="1"/>
  <c r="W80" i="37"/>
  <c r="X80" i="37" s="1"/>
  <c r="F80" i="19" s="1"/>
  <c r="W252" i="37"/>
  <c r="X252" i="37" s="1"/>
  <c r="F255" i="19" s="1"/>
  <c r="W84" i="37"/>
  <c r="X84" i="37" s="1"/>
  <c r="F84" i="19" s="1"/>
  <c r="W169" i="37"/>
  <c r="X169" i="37" s="1"/>
  <c r="F170" i="19" s="1"/>
  <c r="W259" i="37"/>
  <c r="X259" i="37" s="1"/>
  <c r="F262" i="19" s="1"/>
  <c r="W37" i="37"/>
  <c r="X37" i="37" s="1"/>
  <c r="F37" i="19" s="1"/>
  <c r="W122" i="37"/>
  <c r="X122" i="37" s="1"/>
  <c r="F123" i="19" s="1"/>
  <c r="W283" i="37"/>
  <c r="X283" i="37" s="1"/>
  <c r="F286" i="19" s="1"/>
  <c r="W28" i="37"/>
  <c r="X28" i="37" s="1"/>
  <c r="F28" i="19" s="1"/>
  <c r="W264" i="37"/>
  <c r="X264" i="37" s="1"/>
  <c r="F267" i="19" s="1"/>
  <c r="W304" i="37"/>
  <c r="X304" i="37" s="1"/>
  <c r="F307" i="19" s="1"/>
  <c r="W29" i="37"/>
  <c r="X29" i="37" s="1"/>
  <c r="F29" i="19" s="1"/>
  <c r="W50" i="37"/>
  <c r="X50" i="37" s="1"/>
  <c r="F50" i="19" s="1"/>
  <c r="W119" i="37"/>
  <c r="X119" i="37" s="1"/>
  <c r="F120" i="19" s="1"/>
  <c r="W33" i="37"/>
  <c r="X33" i="37" s="1"/>
  <c r="F33" i="19" s="1"/>
  <c r="W102" i="37"/>
  <c r="X102" i="37" s="1"/>
  <c r="F102" i="19" s="1"/>
  <c r="W26" i="37"/>
  <c r="X26" i="37" s="1"/>
  <c r="F26" i="19" s="1"/>
  <c r="W23" i="37"/>
  <c r="X23" i="37" s="1"/>
  <c r="F23" i="19" s="1"/>
  <c r="W145" i="37"/>
  <c r="X145" i="37" s="1"/>
  <c r="F146" i="19" s="1"/>
  <c r="W294" i="37"/>
  <c r="X294" i="37" s="1"/>
  <c r="F297" i="19" s="1"/>
  <c r="W68" i="37"/>
  <c r="X68" i="37" s="1"/>
  <c r="F68" i="19" s="1"/>
  <c r="X4" i="36"/>
  <c r="W3" i="37" l="1" a="1"/>
  <c r="W3" i="37" s="1"/>
  <c r="Y317" i="39"/>
  <c r="H230" i="19"/>
  <c r="Y316" i="39"/>
  <c r="H106" i="19"/>
  <c r="Y316" i="38"/>
  <c r="G106" i="19"/>
  <c r="Y317" i="38"/>
  <c r="G230" i="19"/>
  <c r="Y317" i="37"/>
  <c r="F230" i="19"/>
  <c r="Y316" i="37"/>
  <c r="F106" i="19"/>
  <c r="X3" i="36" a="1"/>
  <c r="X3" i="36" s="1"/>
  <c r="E4" i="19"/>
  <c r="W3" i="38" a="1"/>
  <c r="W3" i="38" s="1"/>
  <c r="X4" i="37"/>
  <c r="W4" i="39"/>
  <c r="Y293" i="37"/>
  <c r="Y29" i="37"/>
  <c r="Y48" i="37"/>
  <c r="Y51" i="37"/>
  <c r="Y305" i="37"/>
  <c r="Y30" i="37"/>
  <c r="Y244" i="37"/>
  <c r="Y79" i="37"/>
  <c r="Y187" i="37"/>
  <c r="Y109" i="37"/>
  <c r="Y130" i="37"/>
  <c r="Y308" i="37"/>
  <c r="Y9" i="38"/>
  <c r="Y235" i="38"/>
  <c r="Y292" i="38"/>
  <c r="Y73" i="38"/>
  <c r="Y264" i="37"/>
  <c r="Y208" i="37"/>
  <c r="Y299" i="37"/>
  <c r="Y291" i="37"/>
  <c r="Y171" i="37"/>
  <c r="Y61" i="37"/>
  <c r="Y156" i="37"/>
  <c r="Y265" i="37"/>
  <c r="Y296" i="37"/>
  <c r="Y60" i="37"/>
  <c r="Y274" i="37"/>
  <c r="Y52" i="37"/>
  <c r="Y17" i="37"/>
  <c r="Y126" i="37"/>
  <c r="Y315" i="37"/>
  <c r="Y246" i="37"/>
  <c r="Y105" i="37"/>
  <c r="Y82" i="37"/>
  <c r="Y55" i="37"/>
  <c r="Y81" i="38"/>
  <c r="Y210" i="38"/>
  <c r="Y90" i="38"/>
  <c r="Y176" i="38"/>
  <c r="Y160" i="38"/>
  <c r="Y27" i="38"/>
  <c r="Y82" i="38"/>
  <c r="Y315" i="38"/>
  <c r="Y42" i="38"/>
  <c r="Y287" i="38"/>
  <c r="Y23" i="38"/>
  <c r="Y194" i="38"/>
  <c r="Y66" i="38"/>
  <c r="Y304" i="38"/>
  <c r="Y297" i="38"/>
  <c r="Y48" i="38"/>
  <c r="Y130" i="38"/>
  <c r="Y110" i="38"/>
  <c r="Y32" i="38"/>
  <c r="Y93" i="38"/>
  <c r="Y164" i="38"/>
  <c r="Y58" i="38"/>
  <c r="Y157" i="38"/>
  <c r="Y182" i="38"/>
  <c r="Y241" i="38"/>
  <c r="Y102" i="37"/>
  <c r="Y268" i="37"/>
  <c r="Y157" i="37"/>
  <c r="Y44" i="37"/>
  <c r="Y221" i="37"/>
  <c r="Y54" i="37"/>
  <c r="Y65" i="37"/>
  <c r="Y202" i="37"/>
  <c r="Y37" i="37"/>
  <c r="Y230" i="37"/>
  <c r="Y152" i="37"/>
  <c r="Y75" i="37"/>
  <c r="Y35" i="37"/>
  <c r="Y303" i="37"/>
  <c r="Y128" i="37"/>
  <c r="Y56" i="37"/>
  <c r="Y193" i="37"/>
  <c r="Y88" i="37"/>
  <c r="Y170" i="37"/>
  <c r="Y107" i="37"/>
  <c r="Y258" i="37"/>
  <c r="Y116" i="37"/>
  <c r="Y288" i="38"/>
  <c r="Y139" i="38"/>
  <c r="Y296" i="38"/>
  <c r="Y108" i="38"/>
  <c r="Y311" i="38"/>
  <c r="Y86" i="38"/>
  <c r="Y277" i="38"/>
  <c r="Y226" i="38"/>
  <c r="Y172" i="38"/>
  <c r="Y34" i="38"/>
  <c r="Y98" i="38"/>
  <c r="Y252" i="38"/>
  <c r="Y269" i="38"/>
  <c r="Y23" i="37"/>
  <c r="Y252" i="37"/>
  <c r="Y31" i="37"/>
  <c r="Y127" i="37"/>
  <c r="Y247" i="37"/>
  <c r="Y39" i="37"/>
  <c r="Y245" i="37"/>
  <c r="Y167" i="37"/>
  <c r="Y78" i="37"/>
  <c r="Y261" i="37"/>
  <c r="Y278" i="37"/>
  <c r="Y59" i="37"/>
  <c r="Y198" i="37"/>
  <c r="Y112" i="37"/>
  <c r="Y277" i="37"/>
  <c r="Y239" i="37"/>
  <c r="Y184" i="37"/>
  <c r="Y125" i="37"/>
  <c r="Y141" i="37"/>
  <c r="Y273" i="37"/>
  <c r="Y153" i="37"/>
  <c r="Y302" i="38"/>
  <c r="Y105" i="38"/>
  <c r="Y188" i="38"/>
  <c r="Y78" i="38"/>
  <c r="Y218" i="38"/>
  <c r="Y249" i="38"/>
  <c r="Y169" i="38"/>
  <c r="Y13" i="38"/>
  <c r="Y294" i="38"/>
  <c r="Y87" i="38"/>
  <c r="Y196" i="38"/>
  <c r="Y57" i="38"/>
  <c r="Y261" i="38"/>
  <c r="Y133" i="38"/>
  <c r="Y26" i="37"/>
  <c r="Y28" i="37"/>
  <c r="Y80" i="37"/>
  <c r="Y196" i="37"/>
  <c r="Y6" i="37"/>
  <c r="Y205" i="37"/>
  <c r="Y175" i="37"/>
  <c r="Y216" i="37"/>
  <c r="Y97" i="37"/>
  <c r="Y163" i="37"/>
  <c r="Y314" i="37"/>
  <c r="Y151" i="37"/>
  <c r="Y136" i="37"/>
  <c r="Y241" i="37"/>
  <c r="Y66" i="37"/>
  <c r="Y87" i="37"/>
  <c r="Y242" i="37"/>
  <c r="Y150" i="37"/>
  <c r="Y21" i="37"/>
  <c r="Y211" i="37"/>
  <c r="Y255" i="37"/>
  <c r="Y91" i="37"/>
  <c r="Y139" i="37"/>
  <c r="Y18" i="37"/>
  <c r="Y236" i="37"/>
  <c r="Y233" i="37"/>
  <c r="Y32" i="37"/>
  <c r="Y159" i="37"/>
  <c r="Y160" i="37"/>
  <c r="Y172" i="37"/>
  <c r="Y96" i="37"/>
  <c r="Y146" i="37"/>
  <c r="Y249" i="37"/>
  <c r="Y266" i="37"/>
  <c r="Y58" i="37"/>
  <c r="Y194" i="37"/>
  <c r="Y281" i="37"/>
  <c r="Y250" i="37"/>
  <c r="Y214" i="37"/>
  <c r="Y113" i="38"/>
  <c r="Y40" i="38"/>
  <c r="Y195" i="38"/>
  <c r="Y232" i="38"/>
  <c r="Y213" i="38"/>
  <c r="Y37" i="38"/>
  <c r="Y149" i="38"/>
  <c r="Y290" i="38"/>
  <c r="Y276" i="38"/>
  <c r="Y77" i="38"/>
  <c r="Y231" i="38"/>
  <c r="Y118" i="38"/>
  <c r="Y208" i="38"/>
  <c r="Y128" i="38"/>
  <c r="Y111" i="38"/>
  <c r="Y234" i="38"/>
  <c r="Y85" i="38"/>
  <c r="Y24" i="38"/>
  <c r="Y29" i="38"/>
  <c r="Y206" i="38"/>
  <c r="Y247" i="38"/>
  <c r="Y310" i="38"/>
  <c r="Y281" i="38"/>
  <c r="Y242" i="38"/>
  <c r="Y251" i="38"/>
  <c r="Y270" i="38"/>
  <c r="Y153" i="38"/>
  <c r="Y184" i="38"/>
  <c r="Y312" i="38"/>
  <c r="Y7" i="38"/>
  <c r="Y55" i="38"/>
  <c r="Y144" i="38"/>
  <c r="Y50" i="38"/>
  <c r="Y47" i="38"/>
  <c r="Y141" i="38"/>
  <c r="Y257" i="38"/>
  <c r="Y161" i="38"/>
  <c r="Y270" i="37"/>
  <c r="Y229" i="37"/>
  <c r="Y190" i="37"/>
  <c r="Y284" i="37"/>
  <c r="Y53" i="37"/>
  <c r="Y69" i="37"/>
  <c r="Y47" i="37"/>
  <c r="Y283" i="38"/>
  <c r="Y15" i="38"/>
  <c r="Y221" i="38"/>
  <c r="Y245" i="38"/>
  <c r="Y41" i="38"/>
  <c r="Y205" i="38"/>
  <c r="Y60" i="38"/>
  <c r="Y178" i="38"/>
  <c r="Y171" i="38"/>
  <c r="Y59" i="38"/>
  <c r="Y243" i="38"/>
  <c r="Y215" i="38"/>
  <c r="Y223" i="38"/>
  <c r="Y236" i="38"/>
  <c r="Y28" i="38"/>
  <c r="Y12" i="38"/>
  <c r="Y260" i="38"/>
  <c r="Y309" i="38"/>
  <c r="Y99" i="38"/>
  <c r="Y121" i="38"/>
  <c r="Y122" i="38"/>
  <c r="Y143" i="38"/>
  <c r="Y222" i="38"/>
  <c r="Y70" i="38"/>
  <c r="Y227" i="38"/>
  <c r="Y46" i="38"/>
  <c r="Y211" i="38"/>
  <c r="Y159" i="38"/>
  <c r="Y289" i="38"/>
  <c r="Y56" i="38"/>
  <c r="Y142" i="38"/>
  <c r="Y239" i="38"/>
  <c r="Y262" i="38"/>
  <c r="Y102" i="38"/>
  <c r="Y259" i="38"/>
  <c r="Y33" i="37"/>
  <c r="Y122" i="37"/>
  <c r="Y269" i="37"/>
  <c r="Y292" i="37"/>
  <c r="Y295" i="37"/>
  <c r="Y63" i="37"/>
  <c r="Y191" i="37"/>
  <c r="Y77" i="37"/>
  <c r="Y313" i="37"/>
  <c r="Y180" i="37"/>
  <c r="Y137" i="37"/>
  <c r="Y253" i="37"/>
  <c r="Y123" i="37"/>
  <c r="Y165" i="37"/>
  <c r="Y195" i="37"/>
  <c r="Y206" i="37"/>
  <c r="Y161" i="37"/>
  <c r="Y207" i="37"/>
  <c r="Y131" i="37"/>
  <c r="Y132" i="37"/>
  <c r="Y288" i="37"/>
  <c r="Y275" i="37"/>
  <c r="Y168" i="37"/>
  <c r="Y92" i="37"/>
  <c r="Y144" i="37"/>
  <c r="Y231" i="37"/>
  <c r="Y218" i="37"/>
  <c r="Y162" i="37"/>
  <c r="Y279" i="37"/>
  <c r="Y213" i="37"/>
  <c r="Y38" i="37"/>
  <c r="Y176" i="37"/>
  <c r="Y240" i="37"/>
  <c r="Y272" i="37"/>
  <c r="Y226" i="37"/>
  <c r="Y289" i="37"/>
  <c r="Y89" i="37"/>
  <c r="Y150" i="38"/>
  <c r="Y17" i="38"/>
  <c r="Y63" i="38"/>
  <c r="Y237" i="38"/>
  <c r="Y313" i="38"/>
  <c r="Y291" i="38"/>
  <c r="Y38" i="38"/>
  <c r="Y74" i="38"/>
  <c r="Y129" i="38"/>
  <c r="Y214" i="38"/>
  <c r="Y303" i="38"/>
  <c r="Y75" i="38"/>
  <c r="Y116" i="38"/>
  <c r="Y181" i="38"/>
  <c r="Y246" i="38"/>
  <c r="Y61" i="38"/>
  <c r="Y180" i="38"/>
  <c r="Y258" i="38"/>
  <c r="Y8" i="38"/>
  <c r="Y89" i="38"/>
  <c r="Y165" i="38"/>
  <c r="Y298" i="38"/>
  <c r="Y33" i="38"/>
  <c r="Y175" i="38"/>
  <c r="Y31" i="38"/>
  <c r="Y284" i="38"/>
  <c r="Y162" i="38"/>
  <c r="Y254" i="38"/>
  <c r="Y255" i="38"/>
  <c r="Y167" i="38"/>
  <c r="Y253" i="38"/>
  <c r="Y11" i="38"/>
  <c r="Y275" i="38"/>
  <c r="Y189" i="38"/>
  <c r="Y187" i="38"/>
  <c r="Y54" i="38"/>
  <c r="Y295" i="38"/>
  <c r="Y19" i="38"/>
  <c r="Y20" i="38"/>
  <c r="Y115" i="38"/>
  <c r="Y140" i="37"/>
  <c r="Y90" i="37"/>
  <c r="Y121" i="37"/>
  <c r="Y86" i="37"/>
  <c r="Y106" i="37"/>
  <c r="Y190" i="38"/>
  <c r="Y95" i="37"/>
  <c r="Y225" i="37"/>
  <c r="Y238" i="37"/>
  <c r="Y67" i="37"/>
  <c r="Y147" i="37"/>
  <c r="Y103" i="37"/>
  <c r="Y204" i="37"/>
  <c r="Y197" i="37"/>
  <c r="Y83" i="37"/>
  <c r="Y158" i="37"/>
  <c r="Y271" i="37"/>
  <c r="Y298" i="37"/>
  <c r="Y228" i="37"/>
  <c r="Y185" i="37"/>
  <c r="Y5" i="37"/>
  <c r="Y134" i="38"/>
  <c r="Y264" i="38"/>
  <c r="Y10" i="38"/>
  <c r="Y152" i="38"/>
  <c r="Y273" i="38"/>
  <c r="Y155" i="38"/>
  <c r="Y16" i="38"/>
  <c r="Y79" i="38"/>
  <c r="Y265" i="38"/>
  <c r="Y192" i="38"/>
  <c r="Y163" i="38"/>
  <c r="Y283" i="37"/>
  <c r="Y262" i="37"/>
  <c r="Y200" i="37"/>
  <c r="Y142" i="37"/>
  <c r="Y224" i="37"/>
  <c r="Y309" i="37"/>
  <c r="Y301" i="37"/>
  <c r="Y203" i="37"/>
  <c r="Y119" i="37"/>
  <c r="Y40" i="37"/>
  <c r="Y8" i="37"/>
  <c r="Y209" i="37"/>
  <c r="Y267" i="37"/>
  <c r="Y43" i="37"/>
  <c r="Y10" i="37"/>
  <c r="Y74" i="37"/>
  <c r="Y117" i="37"/>
  <c r="Y210" i="37"/>
  <c r="Y62" i="37"/>
  <c r="Y199" i="37"/>
  <c r="Y232" i="37"/>
  <c r="Y307" i="37"/>
  <c r="Y260" i="37"/>
  <c r="Y243" i="37"/>
  <c r="Y143" i="37"/>
  <c r="Y94" i="37"/>
  <c r="Y307" i="38"/>
  <c r="Y301" i="38"/>
  <c r="Y125" i="38"/>
  <c r="Y53" i="38"/>
  <c r="Y14" i="38"/>
  <c r="Y112" i="38"/>
  <c r="Y107" i="38"/>
  <c r="Y137" i="38"/>
  <c r="Y72" i="38"/>
  <c r="Y156" i="38"/>
  <c r="Y305" i="38"/>
  <c r="Y114" i="38"/>
  <c r="Y44" i="38"/>
  <c r="Y299" i="38"/>
  <c r="Y256" i="38"/>
  <c r="Y268" i="38"/>
  <c r="Y45" i="38"/>
  <c r="Y52" i="38"/>
  <c r="Y67" i="38"/>
  <c r="Y62" i="38"/>
  <c r="Y91" i="38"/>
  <c r="Y306" i="38"/>
  <c r="Y97" i="38"/>
  <c r="Y200" i="38"/>
  <c r="Y217" i="38"/>
  <c r="Y272" i="38"/>
  <c r="Y158" i="38"/>
  <c r="Y201" i="38"/>
  <c r="Y68" i="37"/>
  <c r="Y50" i="37"/>
  <c r="Y259" i="37"/>
  <c r="Y248" i="37"/>
  <c r="Y115" i="37"/>
  <c r="Y222" i="37"/>
  <c r="Y99" i="37"/>
  <c r="Y100" i="37"/>
  <c r="Y120" i="37"/>
  <c r="Y173" i="37"/>
  <c r="Y237" i="37"/>
  <c r="Y188" i="37"/>
  <c r="Y81" i="37"/>
  <c r="Y312" i="37"/>
  <c r="Y36" i="37"/>
  <c r="Y192" i="37"/>
  <c r="Y113" i="37"/>
  <c r="Y110" i="37"/>
  <c r="Y7" i="37"/>
  <c r="Y134" i="37"/>
  <c r="Y276" i="37"/>
  <c r="Y189" i="37"/>
  <c r="Y71" i="37"/>
  <c r="Y49" i="37"/>
  <c r="Y182" i="37"/>
  <c r="Y19" i="37"/>
  <c r="Y310" i="37"/>
  <c r="Y57" i="37"/>
  <c r="Y290" i="37"/>
  <c r="Y220" i="37"/>
  <c r="Y72" i="37"/>
  <c r="Y164" i="37"/>
  <c r="Y212" i="37"/>
  <c r="Y179" i="37"/>
  <c r="Y114" i="37"/>
  <c r="Y111" i="37"/>
  <c r="Y85" i="37"/>
  <c r="Y25" i="37"/>
  <c r="Y129" i="37"/>
  <c r="Y220" i="38"/>
  <c r="Y117" i="38"/>
  <c r="Y240" i="38"/>
  <c r="Y225" i="38"/>
  <c r="Y198" i="38"/>
  <c r="Y293" i="38"/>
  <c r="Y197" i="38"/>
  <c r="Y6" i="38"/>
  <c r="Y119" i="38"/>
  <c r="Y80" i="38"/>
  <c r="Y138" i="38"/>
  <c r="Y267" i="38"/>
  <c r="Y92" i="38"/>
  <c r="Y216" i="38"/>
  <c r="Y212" i="38"/>
  <c r="Y202" i="38"/>
  <c r="Y69" i="38"/>
  <c r="Y203" i="38"/>
  <c r="Y233" i="38"/>
  <c r="Y271" i="38"/>
  <c r="Y282" i="38"/>
  <c r="Y280" i="38"/>
  <c r="Y274" i="38"/>
  <c r="Y101" i="38"/>
  <c r="Y36" i="38"/>
  <c r="Y76" i="38"/>
  <c r="Y230" i="38"/>
  <c r="Y135" i="38"/>
  <c r="Y207" i="38"/>
  <c r="Y131" i="38"/>
  <c r="Y285" i="38"/>
  <c r="Y5" i="38"/>
  <c r="Y166" i="38"/>
  <c r="Y244" i="38"/>
  <c r="Y145" i="38"/>
  <c r="Y104" i="38"/>
  <c r="Y71" i="38"/>
  <c r="Y154" i="38"/>
  <c r="Y174" i="38"/>
  <c r="Y278" i="38"/>
  <c r="Y219" i="37"/>
  <c r="Y181" i="37"/>
  <c r="Y22" i="37"/>
  <c r="Y138" i="37"/>
  <c r="Y146" i="38"/>
  <c r="Y24" i="37"/>
  <c r="Y169" i="37"/>
  <c r="Y45" i="37"/>
  <c r="Y13" i="37"/>
  <c r="Y9" i="37"/>
  <c r="Y93" i="37"/>
  <c r="Y256" i="37"/>
  <c r="Y154" i="37"/>
  <c r="Y285" i="37"/>
  <c r="Y30" i="38"/>
  <c r="Y209" i="38"/>
  <c r="Y123" i="38"/>
  <c r="Y43" i="38"/>
  <c r="Y25" i="38"/>
  <c r="Y314" i="38"/>
  <c r="Y51" i="38"/>
  <c r="Y35" i="38"/>
  <c r="Y95" i="38"/>
  <c r="Y219" i="38"/>
  <c r="Y96" i="38"/>
  <c r="Y26" i="38"/>
  <c r="Y251" i="37"/>
  <c r="Y41" i="37"/>
  <c r="Y76" i="37"/>
  <c r="Y177" i="37"/>
  <c r="Y118" i="37"/>
  <c r="Y16" i="37"/>
  <c r="Y136" i="38"/>
  <c r="Y297" i="37"/>
  <c r="Y294" i="37"/>
  <c r="Y12" i="37"/>
  <c r="Y27" i="37"/>
  <c r="Y257" i="37"/>
  <c r="Y15" i="37"/>
  <c r="Y155" i="37"/>
  <c r="Y14" i="37"/>
  <c r="Y104" i="37"/>
  <c r="Y217" i="37"/>
  <c r="Y173" i="38"/>
  <c r="Y199" i="38"/>
  <c r="Y266" i="38"/>
  <c r="Y263" i="38"/>
  <c r="Y177" i="38"/>
  <c r="Y147" i="38"/>
  <c r="Y84" i="38"/>
  <c r="Y224" i="38"/>
  <c r="Y127" i="38"/>
  <c r="Y94" i="38"/>
  <c r="Y145" i="37"/>
  <c r="Y304" i="37"/>
  <c r="Y84" i="37"/>
  <c r="Y178" i="37"/>
  <c r="Y186" i="37"/>
  <c r="Y286" i="37"/>
  <c r="Y20" i="37"/>
  <c r="Y254" i="37"/>
  <c r="Y148" i="37"/>
  <c r="Y263" i="37"/>
  <c r="Y234" i="37"/>
  <c r="Y73" i="37"/>
  <c r="Y166" i="37"/>
  <c r="Y42" i="37"/>
  <c r="Y201" i="37"/>
  <c r="Y215" i="37"/>
  <c r="Y300" i="37"/>
  <c r="Y101" i="37"/>
  <c r="Y223" i="37"/>
  <c r="Y280" i="37"/>
  <c r="Y287" i="37"/>
  <c r="Y282" i="37"/>
  <c r="Y46" i="37"/>
  <c r="Y183" i="37"/>
  <c r="Y70" i="37"/>
  <c r="Y133" i="37"/>
  <c r="Y98" i="37"/>
  <c r="Y302" i="37"/>
  <c r="Y227" i="37"/>
  <c r="Y149" i="37"/>
  <c r="Y108" i="37"/>
  <c r="Y11" i="37"/>
  <c r="Y235" i="37"/>
  <c r="Y311" i="37"/>
  <c r="Y64" i="37"/>
  <c r="Y34" i="37"/>
  <c r="Y174" i="37"/>
  <c r="Y306" i="37"/>
  <c r="Y124" i="37"/>
  <c r="Y135" i="37"/>
  <c r="Y106" i="38"/>
  <c r="Y103" i="38"/>
  <c r="Y21" i="38"/>
  <c r="Y126" i="38"/>
  <c r="Y124" i="38"/>
  <c r="Y39" i="38"/>
  <c r="Y109" i="38"/>
  <c r="Y64" i="38"/>
  <c r="Y308" i="38"/>
  <c r="Y140" i="38"/>
  <c r="Y49" i="38"/>
  <c r="Y68" i="38"/>
  <c r="Y168" i="38"/>
  <c r="Y65" i="38"/>
  <c r="Y238" i="38"/>
  <c r="Y286" i="38"/>
  <c r="Y132" i="38"/>
  <c r="Y229" i="38"/>
  <c r="Y228" i="38"/>
  <c r="Y170" i="38"/>
  <c r="Y120" i="38"/>
  <c r="Y88" i="38"/>
  <c r="Y148" i="38"/>
  <c r="Y250" i="38"/>
  <c r="Y83" i="38"/>
  <c r="Y279" i="38"/>
  <c r="Y22" i="38"/>
  <c r="Y193" i="38"/>
  <c r="Y151" i="38"/>
  <c r="Y179" i="38"/>
  <c r="Y191" i="38"/>
  <c r="Y18" i="38"/>
  <c r="Y248" i="38"/>
  <c r="Y204" i="38"/>
  <c r="Y183" i="38"/>
  <c r="Y100" i="38"/>
  <c r="Y300" i="38"/>
  <c r="Y185" i="38"/>
  <c r="Y186" i="38"/>
  <c r="W159" i="39"/>
  <c r="X159" i="39" s="1"/>
  <c r="H160" i="19" s="1"/>
  <c r="W113" i="39"/>
  <c r="X113" i="39" s="1"/>
  <c r="H114" i="19" s="1"/>
  <c r="W12" i="39"/>
  <c r="X12" i="39" s="1"/>
  <c r="H12" i="19" s="1"/>
  <c r="W109" i="39"/>
  <c r="X109" i="39" s="1"/>
  <c r="H110" i="19" s="1"/>
  <c r="W56" i="39"/>
  <c r="X56" i="39" s="1"/>
  <c r="H56" i="19" s="1"/>
  <c r="W291" i="39"/>
  <c r="X291" i="39" s="1"/>
  <c r="H294" i="19" s="1"/>
  <c r="W27" i="39"/>
  <c r="X27" i="39" s="1"/>
  <c r="H27" i="19" s="1"/>
  <c r="W145" i="39"/>
  <c r="X145" i="39" s="1"/>
  <c r="H146" i="19" s="1"/>
  <c r="W84" i="39"/>
  <c r="X84" i="39" s="1"/>
  <c r="H84" i="19" s="1"/>
  <c r="W284" i="39"/>
  <c r="X284" i="39" s="1"/>
  <c r="H287" i="19" s="1"/>
  <c r="W7" i="39"/>
  <c r="X7" i="39" s="1"/>
  <c r="H7" i="19" s="1"/>
  <c r="W8" i="39"/>
  <c r="X8" i="39" s="1"/>
  <c r="H8" i="19" s="1"/>
  <c r="W22" i="39"/>
  <c r="X22" i="39" s="1"/>
  <c r="H22" i="19" s="1"/>
  <c r="W16" i="39"/>
  <c r="X16" i="39" s="1"/>
  <c r="H16" i="19" s="1"/>
  <c r="W232" i="39"/>
  <c r="X232" i="39" s="1"/>
  <c r="H235" i="19" s="1"/>
  <c r="W97" i="39"/>
  <c r="X97" i="39" s="1"/>
  <c r="H97" i="19" s="1"/>
  <c r="W313" i="39"/>
  <c r="X313" i="39" s="1"/>
  <c r="H316" i="19" s="1"/>
  <c r="W26" i="39"/>
  <c r="X26" i="39" s="1"/>
  <c r="H26" i="19" s="1"/>
  <c r="W57" i="39"/>
  <c r="X57" i="39" s="1"/>
  <c r="H57" i="19" s="1"/>
  <c r="W160" i="39"/>
  <c r="X160" i="39" s="1"/>
  <c r="H161" i="19" s="1"/>
  <c r="W50" i="39"/>
  <c r="X50" i="39" s="1"/>
  <c r="H50" i="19" s="1"/>
  <c r="W176" i="39"/>
  <c r="X176" i="39" s="1"/>
  <c r="H177" i="19" s="1"/>
  <c r="W281" i="39"/>
  <c r="X281" i="39" s="1"/>
  <c r="H284" i="19" s="1"/>
  <c r="W59" i="39"/>
  <c r="X59" i="39" s="1"/>
  <c r="H59" i="19" s="1"/>
  <c r="W224" i="39"/>
  <c r="X224" i="39" s="1"/>
  <c r="H226" i="19" s="1"/>
  <c r="W218" i="39"/>
  <c r="X218" i="39" s="1"/>
  <c r="H220" i="19" s="1"/>
  <c r="W178" i="39"/>
  <c r="X178" i="39" s="1"/>
  <c r="H179" i="19" s="1"/>
  <c r="W180" i="39"/>
  <c r="X180" i="39" s="1"/>
  <c r="H181" i="19" s="1"/>
  <c r="W277" i="39"/>
  <c r="X277" i="39" s="1"/>
  <c r="H280" i="19" s="1"/>
  <c r="W94" i="39"/>
  <c r="X94" i="39" s="1"/>
  <c r="H94" i="19" s="1"/>
  <c r="W152" i="39"/>
  <c r="X152" i="39" s="1"/>
  <c r="H153" i="19" s="1"/>
  <c r="W96" i="39"/>
  <c r="X96" i="39" s="1"/>
  <c r="H96" i="19" s="1"/>
  <c r="W260" i="39"/>
  <c r="X260" i="39" s="1"/>
  <c r="H263" i="19" s="1"/>
  <c r="W42" i="39"/>
  <c r="X42" i="39" s="1"/>
  <c r="H42" i="19" s="1"/>
  <c r="W216" i="39"/>
  <c r="X216" i="39" s="1"/>
  <c r="H218" i="19" s="1"/>
  <c r="W194" i="39"/>
  <c r="X194" i="39" s="1"/>
  <c r="H196" i="19" s="1"/>
  <c r="W225" i="39"/>
  <c r="X225" i="39" s="1"/>
  <c r="H227" i="19" s="1"/>
  <c r="W184" i="39"/>
  <c r="X184" i="39" s="1"/>
  <c r="H185" i="19" s="1"/>
  <c r="W37" i="39"/>
  <c r="X37" i="39" s="1"/>
  <c r="H37" i="19" s="1"/>
  <c r="W34" i="39"/>
  <c r="X34" i="39" s="1"/>
  <c r="H34" i="19" s="1"/>
  <c r="W200" i="39"/>
  <c r="X200" i="39" s="1"/>
  <c r="H202" i="19" s="1"/>
  <c r="W136" i="39"/>
  <c r="X136" i="39" s="1"/>
  <c r="H137" i="19" s="1"/>
  <c r="W158" i="39"/>
  <c r="X158" i="39" s="1"/>
  <c r="H159" i="19" s="1"/>
  <c r="W250" i="39"/>
  <c r="X250" i="39" s="1"/>
  <c r="H253" i="19" s="1"/>
  <c r="W211" i="39"/>
  <c r="X211" i="39" s="1"/>
  <c r="H213" i="19" s="1"/>
  <c r="W119" i="39"/>
  <c r="X119" i="39" s="1"/>
  <c r="H120" i="19" s="1"/>
  <c r="W75" i="39"/>
  <c r="X75" i="39" s="1"/>
  <c r="H75" i="19" s="1"/>
  <c r="W164" i="39"/>
  <c r="X164" i="39" s="1"/>
  <c r="H165" i="19" s="1"/>
  <c r="W290" i="39"/>
  <c r="X290" i="39" s="1"/>
  <c r="H293" i="19" s="1"/>
  <c r="W264" i="39"/>
  <c r="X264" i="39" s="1"/>
  <c r="H267" i="19" s="1"/>
  <c r="W41" i="39"/>
  <c r="X41" i="39" s="1"/>
  <c r="H41" i="19" s="1"/>
  <c r="W78" i="39"/>
  <c r="X78" i="39" s="1"/>
  <c r="H78" i="19" s="1"/>
  <c r="W167" i="39"/>
  <c r="X167" i="39" s="1"/>
  <c r="H168" i="19" s="1"/>
  <c r="W100" i="39"/>
  <c r="X100" i="39" s="1"/>
  <c r="H100" i="19" s="1"/>
  <c r="W315" i="39"/>
  <c r="X315" i="39" s="1"/>
  <c r="H195" i="19" s="1"/>
  <c r="W134" i="39"/>
  <c r="X134" i="39" s="1"/>
  <c r="H135" i="19" s="1"/>
  <c r="W292" i="39"/>
  <c r="X292" i="39" s="1"/>
  <c r="H295" i="19" s="1"/>
  <c r="W102" i="39"/>
  <c r="X102" i="39" s="1"/>
  <c r="H102" i="19" s="1"/>
  <c r="W185" i="39"/>
  <c r="X185" i="39" s="1"/>
  <c r="H186" i="19" s="1"/>
  <c r="W289" i="39"/>
  <c r="X289" i="39" s="1"/>
  <c r="H292" i="19" s="1"/>
  <c r="W155" i="39"/>
  <c r="X155" i="39" s="1"/>
  <c r="H156" i="19" s="1"/>
  <c r="W68" i="39"/>
  <c r="X68" i="39" s="1"/>
  <c r="H68" i="19" s="1"/>
  <c r="W188" i="39"/>
  <c r="X188" i="39" s="1"/>
  <c r="H189" i="19" s="1"/>
  <c r="W74" i="39"/>
  <c r="X74" i="39" s="1"/>
  <c r="H74" i="19" s="1"/>
  <c r="W301" i="39"/>
  <c r="X301" i="39" s="1"/>
  <c r="H304" i="19" s="1"/>
  <c r="W70" i="39"/>
  <c r="X70" i="39" s="1"/>
  <c r="H70" i="19" s="1"/>
  <c r="W227" i="39"/>
  <c r="X227" i="39" s="1"/>
  <c r="H229" i="19" s="1"/>
  <c r="W229" i="39"/>
  <c r="X229" i="39" s="1"/>
  <c r="H232" i="19" s="1"/>
  <c r="W213" i="39"/>
  <c r="X213" i="39" s="1"/>
  <c r="H215" i="19" s="1"/>
  <c r="W282" i="39"/>
  <c r="X282" i="39" s="1"/>
  <c r="H285" i="19" s="1"/>
  <c r="W121" i="39"/>
  <c r="X121" i="39" s="1"/>
  <c r="H122" i="19" s="1"/>
  <c r="W306" i="39"/>
  <c r="X306" i="39" s="1"/>
  <c r="H309" i="19" s="1"/>
  <c r="W217" i="39"/>
  <c r="X217" i="39" s="1"/>
  <c r="H219" i="19" s="1"/>
  <c r="W79" i="39"/>
  <c r="X79" i="39" s="1"/>
  <c r="H79" i="19" s="1"/>
  <c r="W310" i="39"/>
  <c r="X310" i="39" s="1"/>
  <c r="H313" i="19" s="1"/>
  <c r="W90" i="39"/>
  <c r="X90" i="39" s="1"/>
  <c r="H90" i="19" s="1"/>
  <c r="W249" i="39"/>
  <c r="X249" i="39" s="1"/>
  <c r="H252" i="19" s="1"/>
  <c r="W246" i="39"/>
  <c r="X246" i="39" s="1"/>
  <c r="H249" i="19" s="1"/>
  <c r="W61" i="39"/>
  <c r="X61" i="39" s="1"/>
  <c r="H61" i="19" s="1"/>
  <c r="W203" i="39"/>
  <c r="X203" i="39" s="1"/>
  <c r="H205" i="19" s="1"/>
  <c r="W157" i="39"/>
  <c r="X157" i="39" s="1"/>
  <c r="H158" i="19" s="1"/>
  <c r="W107" i="39"/>
  <c r="X107" i="39" s="1"/>
  <c r="H108" i="19" s="1"/>
  <c r="W268" i="39"/>
  <c r="X268" i="39" s="1"/>
  <c r="H271" i="19" s="1"/>
  <c r="W24" i="39"/>
  <c r="X24" i="39" s="1"/>
  <c r="H24" i="19" s="1"/>
  <c r="W126" i="39"/>
  <c r="X126" i="39" s="1"/>
  <c r="H127" i="19" s="1"/>
  <c r="W148" i="39"/>
  <c r="X148" i="39" s="1"/>
  <c r="H149" i="19" s="1"/>
  <c r="W11" i="39"/>
  <c r="X11" i="39" s="1"/>
  <c r="H11" i="19" s="1"/>
  <c r="W201" i="39"/>
  <c r="X201" i="39" s="1"/>
  <c r="H203" i="19" s="1"/>
  <c r="W270" i="39"/>
  <c r="X270" i="39" s="1"/>
  <c r="H273" i="19" s="1"/>
  <c r="W275" i="39"/>
  <c r="X275" i="39" s="1"/>
  <c r="H278" i="19" s="1"/>
  <c r="W214" i="39"/>
  <c r="X214" i="39" s="1"/>
  <c r="H216" i="19" s="1"/>
  <c r="W186" i="39"/>
  <c r="X186" i="39" s="1"/>
  <c r="H187" i="19" s="1"/>
  <c r="W111" i="39"/>
  <c r="X111" i="39" s="1"/>
  <c r="H112" i="19" s="1"/>
  <c r="W209" i="39"/>
  <c r="X209" i="39" s="1"/>
  <c r="H211" i="19" s="1"/>
  <c r="W36" i="39"/>
  <c r="X36" i="39" s="1"/>
  <c r="H36" i="19" s="1"/>
  <c r="W31" i="39"/>
  <c r="X31" i="39" s="1"/>
  <c r="H31" i="19" s="1"/>
  <c r="W243" i="39"/>
  <c r="X243" i="39" s="1"/>
  <c r="H246" i="19" s="1"/>
  <c r="W261" i="39"/>
  <c r="X261" i="39" s="1"/>
  <c r="H264" i="19" s="1"/>
  <c r="W49" i="39"/>
  <c r="X49" i="39" s="1"/>
  <c r="H49" i="19" s="1"/>
  <c r="W280" i="39"/>
  <c r="X280" i="39" s="1"/>
  <c r="H283" i="19" s="1"/>
  <c r="W46" i="39"/>
  <c r="X46" i="39" s="1"/>
  <c r="H46" i="19" s="1"/>
  <c r="W137" i="39"/>
  <c r="X137" i="39" s="1"/>
  <c r="H138" i="19" s="1"/>
  <c r="W219" i="39"/>
  <c r="X219" i="39" s="1"/>
  <c r="H221" i="19" s="1"/>
  <c r="W73" i="39"/>
  <c r="X73" i="39" s="1"/>
  <c r="H73" i="19" s="1"/>
  <c r="W10" i="39"/>
  <c r="X10" i="39" s="1"/>
  <c r="H10" i="19" s="1"/>
  <c r="W244" i="39"/>
  <c r="X244" i="39" s="1"/>
  <c r="H247" i="19" s="1"/>
  <c r="W142" i="39"/>
  <c r="X142" i="39" s="1"/>
  <c r="H143" i="19" s="1"/>
  <c r="W256" i="39"/>
  <c r="X256" i="39" s="1"/>
  <c r="H259" i="19" s="1"/>
  <c r="W147" i="39"/>
  <c r="X147" i="39" s="1"/>
  <c r="H148" i="19" s="1"/>
  <c r="W125" i="39"/>
  <c r="X125" i="39" s="1"/>
  <c r="H126" i="19" s="1"/>
  <c r="W212" i="39"/>
  <c r="X212" i="39" s="1"/>
  <c r="H214" i="19" s="1"/>
  <c r="W171" i="39"/>
  <c r="X171" i="39" s="1"/>
  <c r="H172" i="19" s="1"/>
  <c r="W131" i="39"/>
  <c r="X131" i="39" s="1"/>
  <c r="H132" i="19" s="1"/>
  <c r="W5" i="39"/>
  <c r="X5" i="39" s="1"/>
  <c r="H5" i="19" s="1"/>
  <c r="W272" i="39"/>
  <c r="X272" i="39" s="1"/>
  <c r="H275" i="19" s="1"/>
  <c r="W165" i="39"/>
  <c r="X165" i="39" s="1"/>
  <c r="H166" i="19" s="1"/>
  <c r="W150" i="39"/>
  <c r="X150" i="39" s="1"/>
  <c r="H151" i="19" s="1"/>
  <c r="W82" i="39"/>
  <c r="X82" i="39" s="1"/>
  <c r="H82" i="19" s="1"/>
  <c r="W166" i="39"/>
  <c r="X166" i="39" s="1"/>
  <c r="H167" i="19" s="1"/>
  <c r="W139" i="39"/>
  <c r="X139" i="39" s="1"/>
  <c r="H140" i="19" s="1"/>
  <c r="W196" i="39"/>
  <c r="X196" i="39" s="1"/>
  <c r="H198" i="19" s="1"/>
  <c r="W242" i="39"/>
  <c r="X242" i="39" s="1"/>
  <c r="H245" i="19" s="1"/>
  <c r="W173" i="39"/>
  <c r="X173" i="39" s="1"/>
  <c r="H174" i="19" s="1"/>
  <c r="W153" i="39"/>
  <c r="X153" i="39" s="1"/>
  <c r="H154" i="19" s="1"/>
  <c r="W204" i="39"/>
  <c r="X204" i="39" s="1"/>
  <c r="H206" i="19" s="1"/>
  <c r="W65" i="39"/>
  <c r="X65" i="39" s="1"/>
  <c r="H65" i="19" s="1"/>
  <c r="W80" i="39"/>
  <c r="X80" i="39" s="1"/>
  <c r="H80" i="19" s="1"/>
  <c r="W117" i="39"/>
  <c r="X117" i="39" s="1"/>
  <c r="H118" i="19" s="1"/>
  <c r="W54" i="39"/>
  <c r="X54" i="39" s="1"/>
  <c r="H54" i="19" s="1"/>
  <c r="W279" i="39"/>
  <c r="X279" i="39" s="1"/>
  <c r="H282" i="19" s="1"/>
  <c r="W63" i="39"/>
  <c r="X63" i="39" s="1"/>
  <c r="H63" i="19" s="1"/>
  <c r="W302" i="39"/>
  <c r="X302" i="39" s="1"/>
  <c r="H305" i="19" s="1"/>
  <c r="W192" i="39"/>
  <c r="X192" i="39" s="1"/>
  <c r="H193" i="19" s="1"/>
  <c r="W202" i="39"/>
  <c r="X202" i="39" s="1"/>
  <c r="H204" i="19" s="1"/>
  <c r="W258" i="39"/>
  <c r="X258" i="39" s="1"/>
  <c r="H261" i="19" s="1"/>
  <c r="W286" i="39"/>
  <c r="X286" i="39" s="1"/>
  <c r="H289" i="19" s="1"/>
  <c r="W115" i="39"/>
  <c r="X115" i="39" s="1"/>
  <c r="H116" i="19" s="1"/>
  <c r="W81" i="39"/>
  <c r="X81" i="39" s="1"/>
  <c r="H81" i="19" s="1"/>
  <c r="W58" i="39"/>
  <c r="X58" i="39" s="1"/>
  <c r="H58" i="19" s="1"/>
  <c r="W187" i="39"/>
  <c r="X187" i="39" s="1"/>
  <c r="H188" i="19" s="1"/>
  <c r="W72" i="39"/>
  <c r="X72" i="39" s="1"/>
  <c r="H72" i="19" s="1"/>
  <c r="W181" i="39"/>
  <c r="X181" i="39" s="1"/>
  <c r="H182" i="19" s="1"/>
  <c r="W239" i="39"/>
  <c r="X239" i="39" s="1"/>
  <c r="H242" i="19" s="1"/>
  <c r="W296" i="39"/>
  <c r="X296" i="39" s="1"/>
  <c r="H299" i="19" s="1"/>
  <c r="W86" i="39"/>
  <c r="X86" i="39" s="1"/>
  <c r="H86" i="19" s="1"/>
  <c r="W182" i="39"/>
  <c r="X182" i="39" s="1"/>
  <c r="H183" i="19" s="1"/>
  <c r="W314" i="39"/>
  <c r="X314" i="39" s="1"/>
  <c r="H317" i="19" s="1"/>
  <c r="W28" i="39"/>
  <c r="X28" i="39" s="1"/>
  <c r="H28" i="19" s="1"/>
  <c r="W255" i="39"/>
  <c r="X255" i="39" s="1"/>
  <c r="H258" i="19" s="1"/>
  <c r="W298" i="39"/>
  <c r="X298" i="39" s="1"/>
  <c r="H301" i="19" s="1"/>
  <c r="W199" i="39"/>
  <c r="X199" i="39" s="1"/>
  <c r="H201" i="19" s="1"/>
  <c r="W262" i="39"/>
  <c r="X262" i="39" s="1"/>
  <c r="H265" i="19" s="1"/>
  <c r="W183" i="39"/>
  <c r="X183" i="39" s="1"/>
  <c r="H184" i="19" s="1"/>
  <c r="W141" i="39"/>
  <c r="X141" i="39" s="1"/>
  <c r="H142" i="19" s="1"/>
  <c r="W179" i="39"/>
  <c r="X179" i="39" s="1"/>
  <c r="H180" i="19" s="1"/>
  <c r="W6" i="39"/>
  <c r="X6" i="39" s="1"/>
  <c r="H6" i="19" s="1"/>
  <c r="W105" i="39"/>
  <c r="X105" i="39" s="1"/>
  <c r="H105" i="19" s="1"/>
  <c r="W285" i="39"/>
  <c r="X285" i="39" s="1"/>
  <c r="H288" i="19" s="1"/>
  <c r="W228" i="39"/>
  <c r="X228" i="39" s="1"/>
  <c r="H231" i="19" s="1"/>
  <c r="W120" i="39"/>
  <c r="X120" i="39" s="1"/>
  <c r="H121" i="19" s="1"/>
  <c r="W110" i="39"/>
  <c r="X110" i="39" s="1"/>
  <c r="H111" i="19" s="1"/>
  <c r="W71" i="39"/>
  <c r="X71" i="39" s="1"/>
  <c r="H71" i="19" s="1"/>
  <c r="W294" i="39"/>
  <c r="X294" i="39" s="1"/>
  <c r="H297" i="19" s="1"/>
  <c r="W236" i="39"/>
  <c r="X236" i="39" s="1"/>
  <c r="H239" i="19" s="1"/>
  <c r="W191" i="39"/>
  <c r="X191" i="39" s="1"/>
  <c r="H192" i="19" s="1"/>
  <c r="W69" i="39"/>
  <c r="X69" i="39" s="1"/>
  <c r="H69" i="19" s="1"/>
  <c r="W15" i="39"/>
  <c r="X15" i="39" s="1"/>
  <c r="H15" i="19" s="1"/>
  <c r="W151" i="39"/>
  <c r="X151" i="39" s="1"/>
  <c r="H152" i="19" s="1"/>
  <c r="W35" i="39"/>
  <c r="X35" i="39" s="1"/>
  <c r="H35" i="19" s="1"/>
  <c r="W44" i="39"/>
  <c r="X44" i="39" s="1"/>
  <c r="H44" i="19" s="1"/>
  <c r="W293" i="39"/>
  <c r="X293" i="39" s="1"/>
  <c r="H296" i="19" s="1"/>
  <c r="W309" i="39"/>
  <c r="X309" i="39" s="1"/>
  <c r="H312" i="19" s="1"/>
  <c r="W40" i="39"/>
  <c r="X40" i="39" s="1"/>
  <c r="H40" i="19" s="1"/>
  <c r="W48" i="39"/>
  <c r="X48" i="39" s="1"/>
  <c r="H48" i="19" s="1"/>
  <c r="W266" i="39"/>
  <c r="X266" i="39" s="1"/>
  <c r="H269" i="19" s="1"/>
  <c r="W9" i="39"/>
  <c r="X9" i="39" s="1"/>
  <c r="H9" i="19" s="1"/>
  <c r="W77" i="39"/>
  <c r="X77" i="39" s="1"/>
  <c r="H77" i="19" s="1"/>
  <c r="W106" i="39"/>
  <c r="X106" i="39" s="1"/>
  <c r="H107" i="19" s="1"/>
  <c r="W288" i="39"/>
  <c r="X288" i="39" s="1"/>
  <c r="H291" i="19" s="1"/>
  <c r="W247" i="39"/>
  <c r="X247" i="39" s="1"/>
  <c r="H250" i="19" s="1"/>
  <c r="W45" i="39"/>
  <c r="X45" i="39" s="1"/>
  <c r="H45" i="19" s="1"/>
  <c r="W62" i="39"/>
  <c r="X62" i="39" s="1"/>
  <c r="H62" i="19" s="1"/>
  <c r="W307" i="39"/>
  <c r="X307" i="39" s="1"/>
  <c r="H310" i="19" s="1"/>
  <c r="W233" i="39"/>
  <c r="X233" i="39" s="1"/>
  <c r="H236" i="19" s="1"/>
  <c r="W118" i="39"/>
  <c r="X118" i="39" s="1"/>
  <c r="H119" i="19" s="1"/>
  <c r="W207" i="39"/>
  <c r="X207" i="39" s="1"/>
  <c r="H209" i="19" s="1"/>
  <c r="W206" i="39"/>
  <c r="X206" i="39" s="1"/>
  <c r="H208" i="19" s="1"/>
  <c r="W253" i="39"/>
  <c r="X253" i="39" s="1"/>
  <c r="H256" i="19" s="1"/>
  <c r="W168" i="39"/>
  <c r="X168" i="39" s="1"/>
  <c r="H169" i="19" s="1"/>
  <c r="W276" i="39"/>
  <c r="X276" i="39" s="1"/>
  <c r="H279" i="19" s="1"/>
  <c r="W210" i="39"/>
  <c r="X210" i="39" s="1"/>
  <c r="H212" i="19" s="1"/>
  <c r="W32" i="39"/>
  <c r="X32" i="39" s="1"/>
  <c r="H32" i="19" s="1"/>
  <c r="W112" i="39"/>
  <c r="X112" i="39" s="1"/>
  <c r="H113" i="19" s="1"/>
  <c r="W17" i="39"/>
  <c r="X17" i="39" s="1"/>
  <c r="H17" i="19" s="1"/>
  <c r="W85" i="39"/>
  <c r="X85" i="39" s="1"/>
  <c r="H85" i="19" s="1"/>
  <c r="W21" i="39"/>
  <c r="X21" i="39" s="1"/>
  <c r="H21" i="19" s="1"/>
  <c r="W64" i="39"/>
  <c r="X64" i="39" s="1"/>
  <c r="H64" i="19" s="1"/>
  <c r="W283" i="39"/>
  <c r="X283" i="39" s="1"/>
  <c r="H286" i="19" s="1"/>
  <c r="W29" i="39"/>
  <c r="X29" i="39" s="1"/>
  <c r="H29" i="19" s="1"/>
  <c r="W138" i="39"/>
  <c r="X138" i="39" s="1"/>
  <c r="H139" i="19" s="1"/>
  <c r="W161" i="39"/>
  <c r="X161" i="39" s="1"/>
  <c r="H162" i="19" s="1"/>
  <c r="W190" i="39"/>
  <c r="X190" i="39" s="1"/>
  <c r="H191" i="19" s="1"/>
  <c r="W92" i="39"/>
  <c r="X92" i="39" s="1"/>
  <c r="H92" i="19" s="1"/>
  <c r="W205" i="39"/>
  <c r="X205" i="39" s="1"/>
  <c r="H207" i="19" s="1"/>
  <c r="W198" i="39"/>
  <c r="X198" i="39" s="1"/>
  <c r="H200" i="19" s="1"/>
  <c r="W278" i="39"/>
  <c r="X278" i="39" s="1"/>
  <c r="H281" i="19" s="1"/>
  <c r="W132" i="39"/>
  <c r="X132" i="39" s="1"/>
  <c r="H133" i="19" s="1"/>
  <c r="W175" i="39"/>
  <c r="X175" i="39" s="1"/>
  <c r="H176" i="19" s="1"/>
  <c r="W14" i="39"/>
  <c r="X14" i="39" s="1"/>
  <c r="H14" i="19" s="1"/>
  <c r="W140" i="39"/>
  <c r="X140" i="39" s="1"/>
  <c r="H141" i="19" s="1"/>
  <c r="W230" i="39"/>
  <c r="X230" i="39" s="1"/>
  <c r="H233" i="19" s="1"/>
  <c r="W189" i="39"/>
  <c r="X189" i="39" s="1"/>
  <c r="H190" i="19" s="1"/>
  <c r="W263" i="39"/>
  <c r="X263" i="39" s="1"/>
  <c r="H266" i="19" s="1"/>
  <c r="W19" i="39"/>
  <c r="X19" i="39" s="1"/>
  <c r="H19" i="19" s="1"/>
  <c r="W104" i="39"/>
  <c r="X104" i="39" s="1"/>
  <c r="H104" i="19" s="1"/>
  <c r="W101" i="39"/>
  <c r="X101" i="39" s="1"/>
  <c r="H101" i="19" s="1"/>
  <c r="W60" i="39"/>
  <c r="X60" i="39" s="1"/>
  <c r="H60" i="19" s="1"/>
  <c r="W297" i="39"/>
  <c r="X297" i="39" s="1"/>
  <c r="H300" i="19" s="1"/>
  <c r="W30" i="39"/>
  <c r="X30" i="39" s="1"/>
  <c r="H30" i="19" s="1"/>
  <c r="W240" i="39"/>
  <c r="X240" i="39" s="1"/>
  <c r="H243" i="19" s="1"/>
  <c r="W135" i="39"/>
  <c r="X135" i="39" s="1"/>
  <c r="H136" i="19" s="1"/>
  <c r="W231" i="39"/>
  <c r="X231" i="39" s="1"/>
  <c r="H234" i="19" s="1"/>
  <c r="W300" i="39"/>
  <c r="X300" i="39" s="1"/>
  <c r="H303" i="19" s="1"/>
  <c r="W18" i="39"/>
  <c r="X18" i="39" s="1"/>
  <c r="H18" i="19" s="1"/>
  <c r="W304" i="39"/>
  <c r="X304" i="39" s="1"/>
  <c r="H307" i="19" s="1"/>
  <c r="W66" i="39"/>
  <c r="X66" i="39" s="1"/>
  <c r="H66" i="19" s="1"/>
  <c r="W265" i="39"/>
  <c r="X265" i="39" s="1"/>
  <c r="H268" i="19" s="1"/>
  <c r="W311" i="39"/>
  <c r="X311" i="39" s="1"/>
  <c r="H314" i="19" s="1"/>
  <c r="W197" i="39"/>
  <c r="X197" i="39" s="1"/>
  <c r="H199" i="19" s="1"/>
  <c r="W133" i="39"/>
  <c r="X133" i="39" s="1"/>
  <c r="H134" i="19" s="1"/>
  <c r="W122" i="39"/>
  <c r="X122" i="39" s="1"/>
  <c r="H123" i="19" s="1"/>
  <c r="W89" i="39"/>
  <c r="X89" i="39" s="1"/>
  <c r="H89" i="19" s="1"/>
  <c r="W55" i="39"/>
  <c r="X55" i="39" s="1"/>
  <c r="H55" i="19" s="1"/>
  <c r="W241" i="39"/>
  <c r="X241" i="39" s="1"/>
  <c r="H244" i="19" s="1"/>
  <c r="W123" i="39"/>
  <c r="X123" i="39" s="1"/>
  <c r="H124" i="19" s="1"/>
  <c r="W257" i="39"/>
  <c r="X257" i="39" s="1"/>
  <c r="H260" i="19" s="1"/>
  <c r="W130" i="39"/>
  <c r="X130" i="39" s="1"/>
  <c r="H131" i="19" s="1"/>
  <c r="W129" i="39"/>
  <c r="X129" i="39" s="1"/>
  <c r="H130" i="19" s="1"/>
  <c r="W252" i="39"/>
  <c r="X252" i="39" s="1"/>
  <c r="H255" i="19" s="1"/>
  <c r="W234" i="39"/>
  <c r="X234" i="39" s="1"/>
  <c r="H237" i="19" s="1"/>
  <c r="W269" i="39"/>
  <c r="X269" i="39" s="1"/>
  <c r="H272" i="19" s="1"/>
  <c r="W98" i="39"/>
  <c r="X98" i="39" s="1"/>
  <c r="H98" i="19" s="1"/>
  <c r="W87" i="39"/>
  <c r="X87" i="39" s="1"/>
  <c r="H87" i="19" s="1"/>
  <c r="W103" i="39"/>
  <c r="X103" i="39" s="1"/>
  <c r="H103" i="19" s="1"/>
  <c r="W251" i="39"/>
  <c r="X251" i="39" s="1"/>
  <c r="H254" i="19" s="1"/>
  <c r="W52" i="39"/>
  <c r="X52" i="39" s="1"/>
  <c r="H52" i="19" s="1"/>
  <c r="W303" i="39"/>
  <c r="X303" i="39" s="1"/>
  <c r="H306" i="19" s="1"/>
  <c r="W287" i="39"/>
  <c r="X287" i="39" s="1"/>
  <c r="H290" i="19" s="1"/>
  <c r="W226" i="39"/>
  <c r="X226" i="39" s="1"/>
  <c r="H228" i="19" s="1"/>
  <c r="W154" i="39"/>
  <c r="X154" i="39" s="1"/>
  <c r="H155" i="19" s="1"/>
  <c r="W91" i="39"/>
  <c r="X91" i="39" s="1"/>
  <c r="H91" i="19" s="1"/>
  <c r="W23" i="39"/>
  <c r="X23" i="39" s="1"/>
  <c r="H23" i="19" s="1"/>
  <c r="W195" i="39"/>
  <c r="X195" i="39" s="1"/>
  <c r="H197" i="19" s="1"/>
  <c r="W108" i="39"/>
  <c r="X108" i="39" s="1"/>
  <c r="H109" i="19" s="1"/>
  <c r="W273" i="39"/>
  <c r="X273" i="39" s="1"/>
  <c r="H276" i="19" s="1"/>
  <c r="W274" i="39"/>
  <c r="X274" i="39" s="1"/>
  <c r="H277" i="19" s="1"/>
  <c r="W47" i="39"/>
  <c r="X47" i="39" s="1"/>
  <c r="H47" i="19" s="1"/>
  <c r="W312" i="39"/>
  <c r="X312" i="39" s="1"/>
  <c r="H315" i="19" s="1"/>
  <c r="W221" i="39"/>
  <c r="X221" i="39" s="1"/>
  <c r="H223" i="19" s="1"/>
  <c r="W254" i="39"/>
  <c r="X254" i="39" s="1"/>
  <c r="H257" i="19" s="1"/>
  <c r="W174" i="39"/>
  <c r="X174" i="39" s="1"/>
  <c r="H175" i="19" s="1"/>
  <c r="W149" i="39"/>
  <c r="X149" i="39" s="1"/>
  <c r="H150" i="19" s="1"/>
  <c r="W169" i="39"/>
  <c r="X169" i="39" s="1"/>
  <c r="H170" i="19" s="1"/>
  <c r="W172" i="39"/>
  <c r="X172" i="39" s="1"/>
  <c r="H173" i="19" s="1"/>
  <c r="W76" i="39"/>
  <c r="X76" i="39" s="1"/>
  <c r="H76" i="19" s="1"/>
  <c r="W299" i="39"/>
  <c r="X299" i="39" s="1"/>
  <c r="H302" i="19" s="1"/>
  <c r="W163" i="39"/>
  <c r="X163" i="39" s="1"/>
  <c r="H164" i="19" s="1"/>
  <c r="W170" i="39"/>
  <c r="X170" i="39" s="1"/>
  <c r="H171" i="19" s="1"/>
  <c r="W193" i="39"/>
  <c r="X193" i="39" s="1"/>
  <c r="H194" i="19" s="1"/>
  <c r="W39" i="39"/>
  <c r="X39" i="39" s="1"/>
  <c r="H39" i="19" s="1"/>
  <c r="W51" i="39"/>
  <c r="X51" i="39" s="1"/>
  <c r="H51" i="19" s="1"/>
  <c r="W43" i="39"/>
  <c r="X43" i="39" s="1"/>
  <c r="H43" i="19" s="1"/>
  <c r="W295" i="39"/>
  <c r="X295" i="39" s="1"/>
  <c r="H298" i="19" s="1"/>
  <c r="W38" i="39"/>
  <c r="X38" i="39" s="1"/>
  <c r="H38" i="19" s="1"/>
  <c r="W88" i="39"/>
  <c r="X88" i="39" s="1"/>
  <c r="H88" i="19" s="1"/>
  <c r="W248" i="39"/>
  <c r="X248" i="39" s="1"/>
  <c r="H251" i="19" s="1"/>
  <c r="W25" i="39"/>
  <c r="X25" i="39" s="1"/>
  <c r="H25" i="19" s="1"/>
  <c r="W235" i="39"/>
  <c r="X235" i="39" s="1"/>
  <c r="H238" i="19" s="1"/>
  <c r="W245" i="39"/>
  <c r="X245" i="39" s="1"/>
  <c r="H248" i="19" s="1"/>
  <c r="W208" i="39"/>
  <c r="X208" i="39" s="1"/>
  <c r="H210" i="19" s="1"/>
  <c r="W237" i="39"/>
  <c r="X237" i="39" s="1"/>
  <c r="H240" i="19" s="1"/>
  <c r="W127" i="39"/>
  <c r="X127" i="39" s="1"/>
  <c r="H128" i="19" s="1"/>
  <c r="W162" i="39"/>
  <c r="X162" i="39" s="1"/>
  <c r="H163" i="19" s="1"/>
  <c r="W222" i="39"/>
  <c r="X222" i="39" s="1"/>
  <c r="H224" i="19" s="1"/>
  <c r="W99" i="39"/>
  <c r="X99" i="39" s="1"/>
  <c r="H99" i="19" s="1"/>
  <c r="W238" i="39"/>
  <c r="X238" i="39" s="1"/>
  <c r="H241" i="19" s="1"/>
  <c r="W95" i="39"/>
  <c r="X95" i="39" s="1"/>
  <c r="H95" i="19" s="1"/>
  <c r="W124" i="39"/>
  <c r="X124" i="39" s="1"/>
  <c r="H125" i="19" s="1"/>
  <c r="W143" i="39"/>
  <c r="X143" i="39" s="1"/>
  <c r="H144" i="19" s="1"/>
  <c r="W220" i="39"/>
  <c r="X220" i="39" s="1"/>
  <c r="H222" i="19" s="1"/>
  <c r="W259" i="39"/>
  <c r="X259" i="39" s="1"/>
  <c r="H262" i="19" s="1"/>
  <c r="W156" i="39"/>
  <c r="X156" i="39" s="1"/>
  <c r="H157" i="19" s="1"/>
  <c r="W20" i="39"/>
  <c r="X20" i="39" s="1"/>
  <c r="H20" i="19" s="1"/>
  <c r="W271" i="39"/>
  <c r="X271" i="39" s="1"/>
  <c r="H274" i="19" s="1"/>
  <c r="W93" i="39"/>
  <c r="X93" i="39" s="1"/>
  <c r="H93" i="19" s="1"/>
  <c r="W116" i="39"/>
  <c r="X116" i="39" s="1"/>
  <c r="H117" i="19" s="1"/>
  <c r="W223" i="39"/>
  <c r="X223" i="39" s="1"/>
  <c r="H225" i="19" s="1"/>
  <c r="W53" i="39"/>
  <c r="X53" i="39" s="1"/>
  <c r="H53" i="19" s="1"/>
  <c r="W215" i="39"/>
  <c r="X215" i="39" s="1"/>
  <c r="H217" i="19" s="1"/>
  <c r="W305" i="39"/>
  <c r="X305" i="39" s="1"/>
  <c r="H308" i="19" s="1"/>
  <c r="W67" i="39"/>
  <c r="X67" i="39" s="1"/>
  <c r="H67" i="19" s="1"/>
  <c r="W146" i="39"/>
  <c r="X146" i="39" s="1"/>
  <c r="H147" i="19" s="1"/>
  <c r="W128" i="39"/>
  <c r="X128" i="39" s="1"/>
  <c r="H129" i="19" s="1"/>
  <c r="W114" i="39"/>
  <c r="X114" i="39" s="1"/>
  <c r="H115" i="19" s="1"/>
  <c r="W33" i="39"/>
  <c r="X33" i="39" s="1"/>
  <c r="H33" i="19" s="1"/>
  <c r="W13" i="39"/>
  <c r="X13" i="39" s="1"/>
  <c r="H13" i="19" s="1"/>
  <c r="W144" i="39"/>
  <c r="X144" i="39" s="1"/>
  <c r="H145" i="19" s="1"/>
  <c r="W267" i="39"/>
  <c r="X267" i="39" s="1"/>
  <c r="H270" i="19" s="1"/>
  <c r="W83" i="39"/>
  <c r="X83" i="39" s="1"/>
  <c r="H83" i="19" s="1"/>
  <c r="W177" i="39"/>
  <c r="X177" i="39" s="1"/>
  <c r="H178" i="19" s="1"/>
  <c r="W308" i="39"/>
  <c r="X308" i="39" s="1"/>
  <c r="H311" i="19" s="1"/>
  <c r="X4" i="38"/>
  <c r="Y4" i="37"/>
  <c r="Y4" i="36"/>
  <c r="Y3" i="36" s="1" a="1"/>
  <c r="Y3" i="36" s="1"/>
  <c r="E3" i="19" l="1"/>
  <c r="C11" i="41"/>
  <c r="I106" i="19"/>
  <c r="J106" i="19" s="1"/>
  <c r="Y3" i="37" a="1"/>
  <c r="Y3" i="37" s="1"/>
  <c r="I230" i="19"/>
  <c r="J230" i="19" s="1"/>
  <c r="W3" i="39" a="1"/>
  <c r="W3" i="39" s="1"/>
  <c r="X3" i="37" a="1"/>
  <c r="X3" i="37" s="1"/>
  <c r="F4" i="19"/>
  <c r="C12" i="41" s="1"/>
  <c r="G4" i="19"/>
  <c r="X3" i="38" a="1"/>
  <c r="X3" i="38" s="1"/>
  <c r="Z1" i="38" s="1"/>
  <c r="X4" i="39"/>
  <c r="Y124" i="39"/>
  <c r="Y98" i="39"/>
  <c r="Y297" i="39"/>
  <c r="Y309" i="39"/>
  <c r="Y187" i="39"/>
  <c r="Y256" i="39"/>
  <c r="Y24" i="39"/>
  <c r="Y78" i="39"/>
  <c r="Y211" i="39"/>
  <c r="Y50" i="39"/>
  <c r="Y22" i="39"/>
  <c r="Y56" i="39"/>
  <c r="Y53" i="39"/>
  <c r="Y162" i="39"/>
  <c r="Y163" i="39"/>
  <c r="Y23" i="39"/>
  <c r="Y257" i="39"/>
  <c r="Y240" i="39"/>
  <c r="Y278" i="39"/>
  <c r="Y276" i="39"/>
  <c r="Y48" i="39"/>
  <c r="Y285" i="39"/>
  <c r="Y181" i="39"/>
  <c r="Y65" i="39"/>
  <c r="Y125" i="39"/>
  <c r="Y209" i="39"/>
  <c r="Y246" i="39"/>
  <c r="Y68" i="39"/>
  <c r="Y100" i="39"/>
  <c r="Y37" i="39"/>
  <c r="Y152" i="39"/>
  <c r="Y281" i="39"/>
  <c r="Y232" i="39"/>
  <c r="Y27" i="39"/>
  <c r="Y76" i="39"/>
  <c r="Y230" i="39"/>
  <c r="Y6" i="39"/>
  <c r="Y153" i="39"/>
  <c r="Y229" i="39"/>
  <c r="Y238" i="39"/>
  <c r="Y234" i="39"/>
  <c r="Y101" i="39"/>
  <c r="Y17" i="39"/>
  <c r="Y44" i="39"/>
  <c r="Y182" i="39"/>
  <c r="Y242" i="39"/>
  <c r="Y261" i="39"/>
  <c r="Y79" i="39"/>
  <c r="Y102" i="39"/>
  <c r="Y216" i="39"/>
  <c r="Y7" i="39"/>
  <c r="Y305" i="39"/>
  <c r="Y25" i="39"/>
  <c r="Y108" i="39"/>
  <c r="Y133" i="39"/>
  <c r="Y175" i="39"/>
  <c r="Y233" i="39"/>
  <c r="Y120" i="39"/>
  <c r="Y286" i="39"/>
  <c r="Y171" i="39"/>
  <c r="Y306" i="39"/>
  <c r="Y13" i="39"/>
  <c r="Y220" i="39"/>
  <c r="Y88" i="39"/>
  <c r="Y254" i="39"/>
  <c r="Y103" i="39"/>
  <c r="Y311" i="39"/>
  <c r="Y263" i="39"/>
  <c r="Y283" i="39"/>
  <c r="Y62" i="39"/>
  <c r="Y69" i="39"/>
  <c r="Y298" i="39"/>
  <c r="Y202" i="39"/>
  <c r="Y82" i="39"/>
  <c r="Y137" i="39"/>
  <c r="Y148" i="39"/>
  <c r="Y282" i="39"/>
  <c r="Y33" i="39"/>
  <c r="Y223" i="39"/>
  <c r="Y143" i="39"/>
  <c r="Y127" i="39"/>
  <c r="Y38" i="39"/>
  <c r="Y299" i="39"/>
  <c r="Y221" i="39"/>
  <c r="Y91" i="39"/>
  <c r="Y87" i="39"/>
  <c r="Y123" i="39"/>
  <c r="Y265" i="39"/>
  <c r="Y30" i="39"/>
  <c r="Y189" i="39"/>
  <c r="Y198" i="39"/>
  <c r="Y64" i="39"/>
  <c r="Y168" i="39"/>
  <c r="Y45" i="39"/>
  <c r="Y40" i="39"/>
  <c r="Y191" i="39"/>
  <c r="Y105" i="39"/>
  <c r="Y255" i="39"/>
  <c r="Y72" i="39"/>
  <c r="Y192" i="39"/>
  <c r="Y204" i="39"/>
  <c r="Y150" i="39"/>
  <c r="Y147" i="39"/>
  <c r="Y46" i="39"/>
  <c r="Y111" i="39"/>
  <c r="Y126" i="39"/>
  <c r="Y249" i="39"/>
  <c r="Y213" i="39"/>
  <c r="Y155" i="39"/>
  <c r="Y167" i="39"/>
  <c r="Y119" i="39"/>
  <c r="Y184" i="39"/>
  <c r="Y94" i="39"/>
  <c r="Y176" i="39"/>
  <c r="Y16" i="39"/>
  <c r="Y291" i="39"/>
  <c r="Y205" i="39"/>
  <c r="Y308" i="39"/>
  <c r="Y128" i="39"/>
  <c r="Y93" i="39"/>
  <c r="Y95" i="39"/>
  <c r="Y208" i="39"/>
  <c r="Y43" i="39"/>
  <c r="Y172" i="39"/>
  <c r="Y47" i="39"/>
  <c r="Y226" i="39"/>
  <c r="Y269" i="39"/>
  <c r="Y55" i="39"/>
  <c r="Y304" i="39"/>
  <c r="Y60" i="39"/>
  <c r="Y92" i="39"/>
  <c r="Y85" i="39"/>
  <c r="Y206" i="39"/>
  <c r="Y288" i="39"/>
  <c r="Y293" i="39"/>
  <c r="Y294" i="39"/>
  <c r="Y179" i="39"/>
  <c r="Y314" i="39"/>
  <c r="Y58" i="39"/>
  <c r="Y63" i="39"/>
  <c r="Y173" i="39"/>
  <c r="Y272" i="39"/>
  <c r="Y142" i="39"/>
  <c r="Y49" i="39"/>
  <c r="Y214" i="39"/>
  <c r="Y268" i="39"/>
  <c r="Y310" i="39"/>
  <c r="Y227" i="39"/>
  <c r="Y185" i="39"/>
  <c r="Y41" i="39"/>
  <c r="Y250" i="39"/>
  <c r="Y194" i="39"/>
  <c r="Y180" i="39"/>
  <c r="Y160" i="39"/>
  <c r="Y8" i="39"/>
  <c r="Y109" i="39"/>
  <c r="Y116" i="39"/>
  <c r="Y312" i="39"/>
  <c r="Y66" i="39"/>
  <c r="Y247" i="39"/>
  <c r="Y28" i="39"/>
  <c r="Y165" i="39"/>
  <c r="Y186" i="39"/>
  <c r="Y289" i="39"/>
  <c r="Y225" i="39"/>
  <c r="Y146" i="39"/>
  <c r="Y207" i="39"/>
  <c r="Y295" i="39"/>
  <c r="Y21" i="39"/>
  <c r="Y271" i="39"/>
  <c r="Y51" i="39"/>
  <c r="Y287" i="39"/>
  <c r="Y89" i="39"/>
  <c r="Y140" i="39"/>
  <c r="Y106" i="39"/>
  <c r="Y141" i="39"/>
  <c r="Y279" i="39"/>
  <c r="Y244" i="39"/>
  <c r="Y107" i="39"/>
  <c r="Y264" i="39"/>
  <c r="Y57" i="39"/>
  <c r="Y83" i="39"/>
  <c r="Y67" i="39"/>
  <c r="Y20" i="39"/>
  <c r="Y99" i="39"/>
  <c r="Y235" i="39"/>
  <c r="Y39" i="39"/>
  <c r="Y169" i="39"/>
  <c r="Y273" i="39"/>
  <c r="Y303" i="39"/>
  <c r="Y252" i="39"/>
  <c r="Y122" i="39"/>
  <c r="Y300" i="39"/>
  <c r="Y104" i="39"/>
  <c r="Y14" i="39"/>
  <c r="Y161" i="39"/>
  <c r="Y112" i="39"/>
  <c r="Y118" i="39"/>
  <c r="Y77" i="39"/>
  <c r="Y35" i="39"/>
  <c r="Y110" i="39"/>
  <c r="Y183" i="39"/>
  <c r="Y86" i="39"/>
  <c r="Y115" i="39"/>
  <c r="Y54" i="39"/>
  <c r="Y196" i="39"/>
  <c r="Y131" i="39"/>
  <c r="Y10" i="39"/>
  <c r="Y243" i="39"/>
  <c r="Y270" i="39"/>
  <c r="Y157" i="39"/>
  <c r="Y217" i="39"/>
  <c r="Y301" i="39"/>
  <c r="Y292" i="39"/>
  <c r="Y290" i="39"/>
  <c r="Y136" i="39"/>
  <c r="Y42" i="39"/>
  <c r="Y218" i="39"/>
  <c r="Y26" i="39"/>
  <c r="Y284" i="39"/>
  <c r="Y113" i="39"/>
  <c r="Y237" i="39"/>
  <c r="Y241" i="39"/>
  <c r="Y236" i="39"/>
  <c r="Y302" i="39"/>
  <c r="Y280" i="39"/>
  <c r="Y90" i="39"/>
  <c r="Y277" i="39"/>
  <c r="Y156" i="39"/>
  <c r="Y193" i="39"/>
  <c r="Y52" i="39"/>
  <c r="Y231" i="39"/>
  <c r="Y138" i="39"/>
  <c r="Y9" i="39"/>
  <c r="Y262" i="39"/>
  <c r="Y117" i="39"/>
  <c r="Y73" i="39"/>
  <c r="Y201" i="39"/>
  <c r="Y74" i="39"/>
  <c r="Y164" i="39"/>
  <c r="Y260" i="39"/>
  <c r="Y313" i="39"/>
  <c r="Y159" i="39"/>
  <c r="Y114" i="39"/>
  <c r="Y154" i="39"/>
  <c r="Y253" i="39"/>
  <c r="Y177" i="39"/>
  <c r="Y245" i="39"/>
  <c r="Y274" i="39"/>
  <c r="Y18" i="39"/>
  <c r="Y190" i="39"/>
  <c r="Y71" i="39"/>
  <c r="Y81" i="39"/>
  <c r="Y5" i="39"/>
  <c r="Y275" i="39"/>
  <c r="Y70" i="39"/>
  <c r="Y158" i="39"/>
  <c r="Y178" i="39"/>
  <c r="Y12" i="39"/>
  <c r="Y267" i="39"/>
  <c r="Y149" i="39"/>
  <c r="Y129" i="39"/>
  <c r="Y32" i="39"/>
  <c r="Y151" i="39"/>
  <c r="Y296" i="39"/>
  <c r="Y139" i="39"/>
  <c r="Y31" i="39"/>
  <c r="Y203" i="39"/>
  <c r="Y134" i="39"/>
  <c r="Y200" i="39"/>
  <c r="Y224" i="39"/>
  <c r="Y84" i="39"/>
  <c r="Y144" i="39"/>
  <c r="Y215" i="39"/>
  <c r="Y259" i="39"/>
  <c r="Y222" i="39"/>
  <c r="Y248" i="39"/>
  <c r="Y170" i="39"/>
  <c r="Y174" i="39"/>
  <c r="Y195" i="39"/>
  <c r="Y251" i="39"/>
  <c r="Y130" i="39"/>
  <c r="Y197" i="39"/>
  <c r="Y135" i="39"/>
  <c r="Y19" i="39"/>
  <c r="Y132" i="39"/>
  <c r="Y29" i="39"/>
  <c r="Y210" i="39"/>
  <c r="Y307" i="39"/>
  <c r="Y266" i="39"/>
  <c r="Y15" i="39"/>
  <c r="Y228" i="39"/>
  <c r="Y199" i="39"/>
  <c r="Y239" i="39"/>
  <c r="Y258" i="39"/>
  <c r="Y80" i="39"/>
  <c r="Y166" i="39"/>
  <c r="Y212" i="39"/>
  <c r="Y219" i="39"/>
  <c r="Y36" i="39"/>
  <c r="Y11" i="39"/>
  <c r="Y61" i="39"/>
  <c r="Y121" i="39"/>
  <c r="Y188" i="39"/>
  <c r="Y315" i="39"/>
  <c r="Y75" i="39"/>
  <c r="Y34" i="39"/>
  <c r="Y96" i="39"/>
  <c r="Y59" i="39"/>
  <c r="Y97" i="39"/>
  <c r="Y145" i="39"/>
  <c r="Y4" i="38"/>
  <c r="Y3" i="38" s="1" a="1"/>
  <c r="Y3" i="38" s="1"/>
  <c r="G3" i="19" l="1"/>
  <c r="C13" i="41"/>
  <c r="F3" i="19"/>
  <c r="Y4" i="39"/>
  <c r="Y3" i="39" s="1" a="1"/>
  <c r="Y3" i="39" s="1"/>
  <c r="H4" i="19"/>
  <c r="C14" i="41" s="1"/>
  <c r="X3" i="39" a="1"/>
  <c r="X3" i="39" s="1"/>
  <c r="Z1" i="39" s="1"/>
  <c r="H3" i="19" l="1"/>
  <c r="AD195" i="19"/>
  <c r="AD317" i="19"/>
  <c r="AD316" i="19"/>
  <c r="AD315" i="19"/>
  <c r="AD314" i="19"/>
  <c r="AD313" i="19"/>
  <c r="AD312" i="19"/>
  <c r="AD311" i="19"/>
  <c r="AD310" i="19"/>
  <c r="AD309" i="19"/>
  <c r="AD308" i="19"/>
  <c r="AD307" i="19"/>
  <c r="AD306" i="19"/>
  <c r="AD305" i="19"/>
  <c r="AD304" i="19"/>
  <c r="AD303" i="19"/>
  <c r="AD302" i="19"/>
  <c r="AD301" i="19"/>
  <c r="AD300" i="19"/>
  <c r="AD299" i="19"/>
  <c r="AD298" i="19"/>
  <c r="AD297" i="19"/>
  <c r="AD296" i="19"/>
  <c r="AD295" i="19"/>
  <c r="AD294" i="19"/>
  <c r="AD293" i="19"/>
  <c r="AD292" i="19"/>
  <c r="AD291" i="19"/>
  <c r="AD290" i="19"/>
  <c r="AD289" i="19"/>
  <c r="AD288" i="19"/>
  <c r="AD287" i="19"/>
  <c r="AD286" i="19"/>
  <c r="AD285" i="19"/>
  <c r="AD284" i="19"/>
  <c r="AD283" i="19"/>
  <c r="AD282" i="19"/>
  <c r="AD281" i="19"/>
  <c r="AD280" i="19"/>
  <c r="AD279" i="19"/>
  <c r="AD278" i="19"/>
  <c r="AD277" i="19"/>
  <c r="AD276" i="19"/>
  <c r="AD275" i="19"/>
  <c r="AD274" i="19"/>
  <c r="AD273" i="19"/>
  <c r="AD272" i="19"/>
  <c r="AD271" i="19"/>
  <c r="AD270" i="19"/>
  <c r="AD269" i="19"/>
  <c r="AD268" i="19"/>
  <c r="AD267" i="19"/>
  <c r="AD266" i="19"/>
  <c r="AD265" i="19"/>
  <c r="AD264" i="19"/>
  <c r="AD263" i="19"/>
  <c r="AD262" i="19"/>
  <c r="AD261" i="19"/>
  <c r="AD260" i="19"/>
  <c r="AD259" i="19"/>
  <c r="AD258" i="19"/>
  <c r="AD257" i="19"/>
  <c r="AD256" i="19"/>
  <c r="AD255" i="19"/>
  <c r="AD254" i="19"/>
  <c r="AD253" i="19"/>
  <c r="AD252" i="19"/>
  <c r="AD251" i="19"/>
  <c r="AD250" i="19"/>
  <c r="AD249" i="19"/>
  <c r="AD248" i="19"/>
  <c r="AD247" i="19"/>
  <c r="AD246" i="19"/>
  <c r="AD245" i="19"/>
  <c r="AD244" i="19"/>
  <c r="AD243" i="19"/>
  <c r="AD242" i="19"/>
  <c r="AD241" i="19"/>
  <c r="AD240" i="19"/>
  <c r="AD239" i="19"/>
  <c r="AD238" i="19"/>
  <c r="AD237" i="19"/>
  <c r="AD236" i="19"/>
  <c r="AD235" i="19"/>
  <c r="AD234" i="19"/>
  <c r="AD233" i="19"/>
  <c r="AD232" i="19"/>
  <c r="AD231" i="19"/>
  <c r="AD229" i="19"/>
  <c r="AD228" i="19"/>
  <c r="AD227" i="19"/>
  <c r="AD226" i="19"/>
  <c r="AD225" i="19"/>
  <c r="AD224" i="19"/>
  <c r="AD223" i="19"/>
  <c r="AD222" i="19"/>
  <c r="AD221" i="19"/>
  <c r="AD220" i="19"/>
  <c r="AD219" i="19"/>
  <c r="AD218" i="19"/>
  <c r="AD217" i="19"/>
  <c r="AD216" i="19"/>
  <c r="AD215" i="19"/>
  <c r="AD214" i="19"/>
  <c r="AD213" i="19"/>
  <c r="AD212" i="19"/>
  <c r="AD210" i="19"/>
  <c r="AD209" i="19"/>
  <c r="AD208" i="19"/>
  <c r="AD207" i="19"/>
  <c r="AD206" i="19"/>
  <c r="AD205" i="19"/>
  <c r="AD204" i="19"/>
  <c r="AD203" i="19"/>
  <c r="AD202" i="19"/>
  <c r="AD201" i="19"/>
  <c r="AD200" i="19"/>
  <c r="AD199" i="19"/>
  <c r="AD198" i="19"/>
  <c r="AD197" i="19"/>
  <c r="AD196" i="19"/>
  <c r="AD194" i="19"/>
  <c r="AD193" i="19"/>
  <c r="AD192" i="19"/>
  <c r="AD191" i="19"/>
  <c r="AD190" i="19"/>
  <c r="AD189" i="19"/>
  <c r="AD188" i="19"/>
  <c r="AD187" i="19"/>
  <c r="AD186" i="19"/>
  <c r="AD185" i="19"/>
  <c r="AD184" i="19"/>
  <c r="AD183" i="19"/>
  <c r="AD182" i="19"/>
  <c r="AD181" i="19"/>
  <c r="AD180" i="19"/>
  <c r="AD179" i="19"/>
  <c r="AD178" i="19"/>
  <c r="AD177" i="19"/>
  <c r="AD176" i="19"/>
  <c r="AD175" i="19"/>
  <c r="AD174" i="19"/>
  <c r="AD173" i="19"/>
  <c r="AD172" i="19"/>
  <c r="AD171" i="19"/>
  <c r="AD170" i="19"/>
  <c r="AD169" i="19"/>
  <c r="AD168" i="19"/>
  <c r="AD167" i="19"/>
  <c r="AD166" i="19"/>
  <c r="AD165" i="19"/>
  <c r="AD164" i="19"/>
  <c r="AD163" i="19"/>
  <c r="AD162" i="19"/>
  <c r="AD161" i="19"/>
  <c r="AD160" i="19"/>
  <c r="AD159" i="19"/>
  <c r="AD158" i="19"/>
  <c r="AD157" i="19"/>
  <c r="AD156" i="19"/>
  <c r="AD155" i="19"/>
  <c r="AD154" i="19"/>
  <c r="AD153" i="19"/>
  <c r="AD152" i="19"/>
  <c r="AD151" i="19"/>
  <c r="AD150" i="19"/>
  <c r="AD149" i="19"/>
  <c r="AD148" i="19"/>
  <c r="AD147" i="19"/>
  <c r="AD146" i="19"/>
  <c r="AD145" i="19"/>
  <c r="AD144" i="19"/>
  <c r="AD143" i="19"/>
  <c r="AD142" i="19"/>
  <c r="AD141" i="19"/>
  <c r="AD140" i="19"/>
  <c r="AD139" i="19"/>
  <c r="AD138" i="19"/>
  <c r="AD137" i="19"/>
  <c r="AD136" i="19"/>
  <c r="AD135" i="19"/>
  <c r="AD134" i="19"/>
  <c r="AD133" i="19"/>
  <c r="AD132" i="19"/>
  <c r="AD131" i="19"/>
  <c r="AD130" i="19"/>
  <c r="AD129" i="19"/>
  <c r="AD128" i="19"/>
  <c r="AD127" i="19"/>
  <c r="AD126" i="19"/>
  <c r="AD125" i="19"/>
  <c r="AD124" i="19"/>
  <c r="AD123" i="19"/>
  <c r="AD122" i="19"/>
  <c r="AD121" i="19"/>
  <c r="AD120" i="19"/>
  <c r="AD119" i="19"/>
  <c r="AD118" i="19"/>
  <c r="AD117" i="19"/>
  <c r="AD116" i="19"/>
  <c r="AD115" i="19"/>
  <c r="AD114" i="19"/>
  <c r="AD113" i="19"/>
  <c r="AD112" i="19"/>
  <c r="AD111" i="19"/>
  <c r="AD110" i="19"/>
  <c r="AD109" i="19"/>
  <c r="AD108" i="19"/>
  <c r="AD107" i="19"/>
  <c r="AD105" i="19"/>
  <c r="AD104" i="19"/>
  <c r="AD103" i="19"/>
  <c r="AD102" i="19"/>
  <c r="AD101" i="19"/>
  <c r="AD100" i="19"/>
  <c r="AD99" i="19"/>
  <c r="AD98" i="19"/>
  <c r="AD97" i="19"/>
  <c r="AD96" i="19"/>
  <c r="AD95" i="19"/>
  <c r="AD94" i="19"/>
  <c r="AD93" i="19"/>
  <c r="AD92" i="19"/>
  <c r="AD91" i="19"/>
  <c r="AD90" i="19"/>
  <c r="AD89" i="19"/>
  <c r="AD88" i="19"/>
  <c r="AD87" i="19"/>
  <c r="AD86" i="19"/>
  <c r="AD85" i="19"/>
  <c r="AD84" i="19"/>
  <c r="AD83" i="19"/>
  <c r="AD82" i="19"/>
  <c r="AD81" i="19"/>
  <c r="AD80" i="19"/>
  <c r="AD79" i="19"/>
  <c r="AD78" i="19"/>
  <c r="AD77" i="19"/>
  <c r="AD76" i="19"/>
  <c r="AD75" i="19"/>
  <c r="AD74" i="19"/>
  <c r="AD73" i="19"/>
  <c r="AD72" i="19"/>
  <c r="AD71" i="19"/>
  <c r="AD70" i="19"/>
  <c r="AD69" i="19"/>
  <c r="AD68" i="19"/>
  <c r="AD67" i="19"/>
  <c r="AD66" i="19"/>
  <c r="AD65" i="19"/>
  <c r="AD64" i="19"/>
  <c r="AD63" i="19"/>
  <c r="AD62" i="19"/>
  <c r="AD61" i="19"/>
  <c r="AD60" i="19"/>
  <c r="AD59" i="19"/>
  <c r="AD58" i="19"/>
  <c r="AD57" i="19"/>
  <c r="AD56" i="19"/>
  <c r="AD55" i="19"/>
  <c r="AD54" i="19"/>
  <c r="AD53" i="19"/>
  <c r="AD52" i="19"/>
  <c r="AD51" i="19"/>
  <c r="AD50" i="19"/>
  <c r="AD49" i="19"/>
  <c r="AD48" i="19"/>
  <c r="AD47" i="19"/>
  <c r="AD46" i="19"/>
  <c r="AD45" i="19"/>
  <c r="AD44" i="19"/>
  <c r="AD43" i="19"/>
  <c r="AD42" i="19"/>
  <c r="AD41" i="19"/>
  <c r="AD40" i="19"/>
  <c r="AD39" i="19"/>
  <c r="AD38" i="19"/>
  <c r="AD37" i="19"/>
  <c r="AD36" i="19"/>
  <c r="AD35" i="19"/>
  <c r="AD34" i="19"/>
  <c r="AD33" i="19"/>
  <c r="AD32" i="19"/>
  <c r="AD31" i="19"/>
  <c r="AD30" i="19"/>
  <c r="AD29" i="19"/>
  <c r="AD28" i="19"/>
  <c r="AD27" i="19"/>
  <c r="AD26" i="19"/>
  <c r="AD25" i="19"/>
  <c r="AD24" i="19"/>
  <c r="AD23" i="19"/>
  <c r="AD22" i="19"/>
  <c r="AD21" i="19"/>
  <c r="AD20" i="19"/>
  <c r="AD19" i="19"/>
  <c r="AD18" i="19"/>
  <c r="AD17" i="19"/>
  <c r="AD16" i="19"/>
  <c r="AD15" i="19"/>
  <c r="AD14" i="19"/>
  <c r="AD13" i="19"/>
  <c r="AD12" i="19"/>
  <c r="AD11" i="19"/>
  <c r="AD10" i="19"/>
  <c r="AD9" i="19"/>
  <c r="AD8" i="19"/>
  <c r="AD7" i="19"/>
  <c r="AD6" i="19"/>
  <c r="AD5" i="19"/>
  <c r="AD4" i="19"/>
  <c r="C22" i="41" l="1"/>
  <c r="B18" i="12" a="1"/>
  <c r="B18" i="12" s="1"/>
  <c r="B19" i="12" l="1"/>
  <c r="Y1" i="19" s="1"/>
  <c r="B6" i="12"/>
  <c r="I1" i="19" l="1"/>
  <c r="B10" i="12"/>
  <c r="B17" i="12" l="1"/>
  <c r="I218" i="19" l="1"/>
  <c r="J218" i="19" s="1"/>
  <c r="I217" i="19"/>
  <c r="J217" i="19" s="1"/>
  <c r="I304" i="19"/>
  <c r="I255" i="19"/>
  <c r="J255" i="19" s="1"/>
  <c r="I104" i="19"/>
  <c r="J104" i="19" s="1"/>
  <c r="I271" i="19"/>
  <c r="J271" i="19" s="1"/>
  <c r="I266" i="19"/>
  <c r="J266" i="19" s="1"/>
  <c r="I267" i="19"/>
  <c r="J267" i="19" s="1"/>
  <c r="I207" i="19"/>
  <c r="J207" i="19" s="1"/>
  <c r="I236" i="19"/>
  <c r="I235" i="19"/>
  <c r="J235" i="19" s="1"/>
  <c r="I107" i="19"/>
  <c r="J107" i="19" s="1"/>
  <c r="I201" i="19"/>
  <c r="J201" i="19" s="1"/>
  <c r="I105" i="19"/>
  <c r="J105" i="19" s="1"/>
  <c r="I31" i="19"/>
  <c r="J31" i="19" s="1"/>
  <c r="I134" i="19"/>
  <c r="J134" i="19" s="1"/>
  <c r="U207" i="19" l="1"/>
  <c r="S207" i="19"/>
  <c r="O207" i="19"/>
  <c r="V207" i="19"/>
  <c r="R207" i="19"/>
  <c r="P207" i="19"/>
  <c r="U134" i="19"/>
  <c r="O134" i="19"/>
  <c r="V134" i="19"/>
  <c r="S134" i="19"/>
  <c r="P134" i="19"/>
  <c r="R134" i="19"/>
  <c r="L134" i="19"/>
  <c r="M134" i="19"/>
  <c r="L207" i="19"/>
  <c r="M207" i="19"/>
  <c r="J236" i="19"/>
  <c r="J304" i="19"/>
  <c r="I246" i="19"/>
  <c r="I10" i="19"/>
  <c r="J10" i="19" s="1"/>
  <c r="I53" i="19"/>
  <c r="J53" i="19" s="1"/>
  <c r="I116" i="19"/>
  <c r="J116" i="19" s="1"/>
  <c r="I161" i="19"/>
  <c r="J161" i="19" s="1"/>
  <c r="I192" i="19"/>
  <c r="J192" i="19" s="1"/>
  <c r="I272" i="19"/>
  <c r="J272" i="19" s="1"/>
  <c r="I165" i="19"/>
  <c r="J165" i="19" s="1"/>
  <c r="I43" i="19"/>
  <c r="J43" i="19" s="1"/>
  <c r="I114" i="19"/>
  <c r="J114" i="19" s="1"/>
  <c r="I42" i="19"/>
  <c r="J42" i="19" s="1"/>
  <c r="I125" i="19"/>
  <c r="J125" i="19" s="1"/>
  <c r="I233" i="19"/>
  <c r="J233" i="19" s="1"/>
  <c r="I87" i="19"/>
  <c r="J87" i="19" s="1"/>
  <c r="I294" i="19"/>
  <c r="J294" i="19" s="1"/>
  <c r="I50" i="19"/>
  <c r="J50" i="19" s="1"/>
  <c r="I84" i="19"/>
  <c r="J84" i="19" s="1"/>
  <c r="I24" i="19"/>
  <c r="J24" i="19" s="1"/>
  <c r="I25" i="19"/>
  <c r="J25" i="19" s="1"/>
  <c r="I132" i="19"/>
  <c r="J132" i="19" s="1"/>
  <c r="I60" i="19"/>
  <c r="J60" i="19" s="1"/>
  <c r="I48" i="19"/>
  <c r="J48" i="19" s="1"/>
  <c r="I306" i="19"/>
  <c r="J306" i="19" s="1"/>
  <c r="I295" i="19"/>
  <c r="J295" i="19" s="1"/>
  <c r="I81" i="19"/>
  <c r="J81" i="19" s="1"/>
  <c r="I98" i="19"/>
  <c r="J98" i="19" s="1"/>
  <c r="I268" i="19"/>
  <c r="J268" i="19" s="1"/>
  <c r="I141" i="19"/>
  <c r="J141" i="19" s="1"/>
  <c r="I176" i="19"/>
  <c r="J176" i="19" s="1"/>
  <c r="I30" i="19"/>
  <c r="J30" i="19" s="1"/>
  <c r="I270" i="19"/>
  <c r="J270" i="19" s="1"/>
  <c r="I226" i="19"/>
  <c r="J226" i="19" s="1"/>
  <c r="I232" i="19"/>
  <c r="J232" i="19" s="1"/>
  <c r="I252" i="19"/>
  <c r="J252" i="19" s="1"/>
  <c r="I45" i="19"/>
  <c r="J45" i="19" s="1"/>
  <c r="I173" i="19"/>
  <c r="J173" i="19" s="1"/>
  <c r="I109" i="19"/>
  <c r="J109" i="19" s="1"/>
  <c r="I195" i="19"/>
  <c r="J195" i="19" s="1"/>
  <c r="I115" i="19"/>
  <c r="J115" i="19" s="1"/>
  <c r="I17" i="19"/>
  <c r="J17" i="19" s="1"/>
  <c r="I285" i="19"/>
  <c r="J285" i="19" s="1"/>
  <c r="I146" i="19"/>
  <c r="J146" i="19" s="1"/>
  <c r="I292" i="19"/>
  <c r="J292" i="19" s="1"/>
  <c r="I22" i="19"/>
  <c r="J22" i="19" s="1"/>
  <c r="I80" i="19"/>
  <c r="J80" i="19" s="1"/>
  <c r="I183" i="19"/>
  <c r="J183" i="19" s="1"/>
  <c r="I298" i="19"/>
  <c r="J298" i="19" s="1"/>
  <c r="I263" i="19"/>
  <c r="J263" i="19" s="1"/>
  <c r="I110" i="19"/>
  <c r="J110" i="19" s="1"/>
  <c r="I130" i="19"/>
  <c r="J130" i="19" s="1"/>
  <c r="I163" i="19"/>
  <c r="J163" i="19" s="1"/>
  <c r="I185" i="19"/>
  <c r="J185" i="19" s="1"/>
  <c r="I44" i="19"/>
  <c r="J44" i="19" s="1"/>
  <c r="I310" i="19"/>
  <c r="J310" i="19" s="1"/>
  <c r="I289" i="19"/>
  <c r="J289" i="19" s="1"/>
  <c r="I133" i="19"/>
  <c r="J133" i="19" s="1"/>
  <c r="I229" i="19"/>
  <c r="J229" i="19" s="1"/>
  <c r="I307" i="19"/>
  <c r="J307" i="19" s="1"/>
  <c r="I148" i="19"/>
  <c r="J148" i="19" s="1"/>
  <c r="I297" i="19"/>
  <c r="J297" i="19" s="1"/>
  <c r="I91" i="19"/>
  <c r="J91" i="19" s="1"/>
  <c r="I178" i="19"/>
  <c r="J178" i="19" s="1"/>
  <c r="I7" i="19"/>
  <c r="J7" i="19" s="1"/>
  <c r="I275" i="19"/>
  <c r="J275" i="19" s="1"/>
  <c r="I254" i="19"/>
  <c r="J254" i="19" s="1"/>
  <c r="I251" i="19"/>
  <c r="J251" i="19" s="1"/>
  <c r="I18" i="19"/>
  <c r="J18" i="19" s="1"/>
  <c r="I46" i="19"/>
  <c r="J46" i="19" s="1"/>
  <c r="I154" i="19"/>
  <c r="J154" i="19" s="1"/>
  <c r="I290" i="19"/>
  <c r="J290" i="19" s="1"/>
  <c r="I149" i="19"/>
  <c r="J149" i="19" s="1"/>
  <c r="I300" i="19"/>
  <c r="J300" i="19" s="1"/>
  <c r="I72" i="19"/>
  <c r="J72" i="19" s="1"/>
  <c r="I213" i="19"/>
  <c r="J213" i="19" s="1"/>
  <c r="I57" i="19"/>
  <c r="J57" i="19" s="1"/>
  <c r="I202" i="19"/>
  <c r="J202" i="19" s="1"/>
  <c r="I33" i="19"/>
  <c r="J33" i="19" s="1"/>
  <c r="I279" i="19"/>
  <c r="J279" i="19" s="1"/>
  <c r="I239" i="19"/>
  <c r="J239" i="19" s="1"/>
  <c r="I69" i="19"/>
  <c r="J69" i="19" s="1"/>
  <c r="I51" i="19"/>
  <c r="J51" i="19" s="1"/>
  <c r="I206" i="19"/>
  <c r="J206" i="19" s="1"/>
  <c r="I208" i="19"/>
  <c r="J208" i="19" s="1"/>
  <c r="I55" i="19"/>
  <c r="J55" i="19" s="1"/>
  <c r="I287" i="19"/>
  <c r="J287" i="19" s="1"/>
  <c r="I108" i="19"/>
  <c r="J108" i="19" s="1"/>
  <c r="I240" i="19"/>
  <c r="J240" i="19" s="1"/>
  <c r="I62" i="19"/>
  <c r="J62" i="19" s="1"/>
  <c r="I171" i="19"/>
  <c r="J171" i="19" s="1"/>
  <c r="I199" i="19"/>
  <c r="J199" i="19" s="1"/>
  <c r="I145" i="19"/>
  <c r="J145" i="19" s="1"/>
  <c r="I180" i="19"/>
  <c r="J180" i="19" s="1"/>
  <c r="I6" i="19"/>
  <c r="I40" i="19"/>
  <c r="J40" i="19" s="1"/>
  <c r="I223" i="19"/>
  <c r="J223" i="19" s="1"/>
  <c r="I131" i="19"/>
  <c r="J131" i="19" s="1"/>
  <c r="I85" i="19"/>
  <c r="J85" i="19" s="1"/>
  <c r="I258" i="19"/>
  <c r="J258" i="19" s="1"/>
  <c r="I179" i="19"/>
  <c r="J179" i="19" s="1"/>
  <c r="I152" i="19"/>
  <c r="J152" i="19" s="1"/>
  <c r="I139" i="19"/>
  <c r="J139" i="19" s="1"/>
  <c r="I169" i="19"/>
  <c r="J169" i="19" s="1"/>
  <c r="I135" i="19"/>
  <c r="J135" i="19" s="1"/>
  <c r="I193" i="19"/>
  <c r="J193" i="19" s="1"/>
  <c r="I191" i="19"/>
  <c r="J191" i="19" s="1"/>
  <c r="I54" i="19"/>
  <c r="J54" i="19" s="1"/>
  <c r="I274" i="19"/>
  <c r="J274" i="19" s="1"/>
  <c r="I41" i="19"/>
  <c r="J41" i="19" s="1"/>
  <c r="I122" i="19"/>
  <c r="J122" i="19" s="1"/>
  <c r="I301" i="19"/>
  <c r="J301" i="19" s="1"/>
  <c r="I253" i="19"/>
  <c r="J253" i="19" s="1"/>
  <c r="I8" i="19"/>
  <c r="J8" i="19" s="1"/>
  <c r="I317" i="19"/>
  <c r="I67" i="19"/>
  <c r="J67" i="19" s="1"/>
  <c r="I203" i="19"/>
  <c r="J203" i="19" s="1"/>
  <c r="I13" i="19"/>
  <c r="J13" i="19" s="1"/>
  <c r="I284" i="19"/>
  <c r="J284" i="19" s="1"/>
  <c r="I181" i="19"/>
  <c r="J181" i="19" s="1"/>
  <c r="I248" i="19"/>
  <c r="J248" i="19" s="1"/>
  <c r="I282" i="19"/>
  <c r="J282" i="19" s="1"/>
  <c r="I103" i="19"/>
  <c r="J103" i="19" s="1"/>
  <c r="I196" i="19"/>
  <c r="J196" i="19" s="1"/>
  <c r="I215" i="19"/>
  <c r="J215" i="19" s="1"/>
  <c r="I170" i="19"/>
  <c r="J170" i="19" s="1"/>
  <c r="I243" i="19"/>
  <c r="J243" i="19" s="1"/>
  <c r="I100" i="19"/>
  <c r="J100" i="19" s="1"/>
  <c r="I288" i="19"/>
  <c r="J288" i="19" s="1"/>
  <c r="I283" i="19"/>
  <c r="J283" i="19" s="1"/>
  <c r="I166" i="19"/>
  <c r="J166" i="19" s="1"/>
  <c r="I93" i="19"/>
  <c r="J93" i="19" s="1"/>
  <c r="I212" i="19"/>
  <c r="J212" i="19" s="1"/>
  <c r="I308" i="19"/>
  <c r="J308" i="19" s="1"/>
  <c r="I16" i="19"/>
  <c r="J16" i="19" s="1"/>
  <c r="I34" i="19"/>
  <c r="J34" i="19" s="1"/>
  <c r="I88" i="19"/>
  <c r="J88" i="19" s="1"/>
  <c r="I303" i="19"/>
  <c r="J303" i="19" s="1"/>
  <c r="I299" i="19"/>
  <c r="J299" i="19" s="1"/>
  <c r="I140" i="19"/>
  <c r="J140" i="19" s="1"/>
  <c r="I159" i="19"/>
  <c r="J159" i="19" s="1"/>
  <c r="I58" i="19"/>
  <c r="I222" i="19"/>
  <c r="J222" i="19" s="1"/>
  <c r="I216" i="19"/>
  <c r="J216" i="19" s="1"/>
  <c r="I227" i="19"/>
  <c r="J227" i="19" s="1"/>
  <c r="I71" i="19"/>
  <c r="J71" i="19" s="1"/>
  <c r="I214" i="19"/>
  <c r="J214" i="19" s="1"/>
  <c r="I305" i="19"/>
  <c r="J305" i="19" s="1"/>
  <c r="I269" i="19"/>
  <c r="J269" i="19" s="1"/>
  <c r="I113" i="19"/>
  <c r="J113" i="19" s="1"/>
  <c r="I129" i="19"/>
  <c r="J129" i="19" s="1"/>
  <c r="I231" i="19"/>
  <c r="J231" i="19" s="1"/>
  <c r="I220" i="19"/>
  <c r="J220" i="19" s="1"/>
  <c r="I99" i="19"/>
  <c r="J99" i="19" s="1"/>
  <c r="I49" i="19"/>
  <c r="J49" i="19" s="1"/>
  <c r="I238" i="19"/>
  <c r="J238" i="19" s="1"/>
  <c r="I160" i="19"/>
  <c r="J160" i="19" s="1"/>
  <c r="I291" i="19"/>
  <c r="J291" i="19" s="1"/>
  <c r="I77" i="19"/>
  <c r="J77" i="19" s="1"/>
  <c r="I63" i="19"/>
  <c r="J63" i="19" s="1"/>
  <c r="I138" i="19"/>
  <c r="J138" i="19" s="1"/>
  <c r="I47" i="19"/>
  <c r="J47" i="19" s="1"/>
  <c r="I259" i="19"/>
  <c r="I264" i="19"/>
  <c r="J264" i="19" s="1"/>
  <c r="I172" i="19"/>
  <c r="J172" i="19" s="1"/>
  <c r="I187" i="19"/>
  <c r="J187" i="19" s="1"/>
  <c r="I111" i="19"/>
  <c r="J111" i="19" s="1"/>
  <c r="I250" i="19"/>
  <c r="J250" i="19" s="1"/>
  <c r="I121" i="19"/>
  <c r="J121" i="19" s="1"/>
  <c r="I5" i="19"/>
  <c r="J5" i="19" s="1"/>
  <c r="I92" i="19"/>
  <c r="J92" i="19" s="1"/>
  <c r="I56" i="19"/>
  <c r="J56" i="19" s="1"/>
  <c r="I59" i="19"/>
  <c r="J59" i="19" s="1"/>
  <c r="I101" i="19"/>
  <c r="J101" i="19" s="1"/>
  <c r="I118" i="19"/>
  <c r="J118" i="19" s="1"/>
  <c r="I158" i="19"/>
  <c r="J158" i="19" s="1"/>
  <c r="I75" i="19"/>
  <c r="J75" i="19" s="1"/>
  <c r="I241" i="19"/>
  <c r="J241" i="19" s="1"/>
  <c r="I228" i="19"/>
  <c r="J228" i="19" s="1"/>
  <c r="I164" i="19"/>
  <c r="J164" i="19" s="1"/>
  <c r="I137" i="19"/>
  <c r="J137" i="19" s="1"/>
  <c r="I309" i="19"/>
  <c r="J309" i="19" s="1"/>
  <c r="I262" i="19"/>
  <c r="J262" i="19" s="1"/>
  <c r="I39" i="19"/>
  <c r="J39" i="19" s="1"/>
  <c r="I177" i="19"/>
  <c r="J177" i="19" s="1"/>
  <c r="I273" i="19"/>
  <c r="J273" i="19" s="1"/>
  <c r="I23" i="19"/>
  <c r="J23" i="19" s="1"/>
  <c r="I147" i="19"/>
  <c r="J147" i="19" s="1"/>
  <c r="I70" i="19"/>
  <c r="J70" i="19" s="1"/>
  <c r="I157" i="19"/>
  <c r="I188" i="19"/>
  <c r="J188" i="19" s="1"/>
  <c r="I117" i="19"/>
  <c r="J117" i="19" s="1"/>
  <c r="I168" i="19"/>
  <c r="J168" i="19" s="1"/>
  <c r="I61" i="19"/>
  <c r="J61" i="19" s="1"/>
  <c r="I20" i="19"/>
  <c r="J20" i="19" s="1"/>
  <c r="I38" i="19"/>
  <c r="J38" i="19" s="1"/>
  <c r="I9" i="19"/>
  <c r="J9" i="19" s="1"/>
  <c r="I89" i="19"/>
  <c r="J89" i="19" s="1"/>
  <c r="I29" i="19"/>
  <c r="J29" i="19" s="1"/>
  <c r="I83" i="19"/>
  <c r="J83" i="19" s="1"/>
  <c r="I79" i="19"/>
  <c r="J79" i="19" s="1"/>
  <c r="I156" i="19"/>
  <c r="J156" i="19" s="1"/>
  <c r="I316" i="19"/>
  <c r="J316" i="19" s="1"/>
  <c r="I96" i="19"/>
  <c r="J96" i="19" s="1"/>
  <c r="I151" i="19"/>
  <c r="J151" i="19" s="1"/>
  <c r="I198" i="19"/>
  <c r="I296" i="19"/>
  <c r="J296" i="19" s="1"/>
  <c r="I68" i="19"/>
  <c r="I124" i="19"/>
  <c r="J124" i="19" s="1"/>
  <c r="I15" i="19"/>
  <c r="I14" i="19"/>
  <c r="J14" i="19" s="1"/>
  <c r="I184" i="19"/>
  <c r="J184" i="19" s="1"/>
  <c r="I189" i="19"/>
  <c r="J189" i="19" s="1"/>
  <c r="I209" i="19"/>
  <c r="J209" i="19" s="1"/>
  <c r="I64" i="19"/>
  <c r="J64" i="19" s="1"/>
  <c r="I247" i="19"/>
  <c r="J247" i="19" s="1"/>
  <c r="I277" i="19"/>
  <c r="J277" i="19" s="1"/>
  <c r="I245" i="19"/>
  <c r="J245" i="19" s="1"/>
  <c r="I78" i="19"/>
  <c r="J78" i="19" s="1"/>
  <c r="I94" i="19"/>
  <c r="J94" i="19" s="1"/>
  <c r="I237" i="19"/>
  <c r="J237" i="19" s="1"/>
  <c r="I120" i="19"/>
  <c r="J120" i="19" s="1"/>
  <c r="I182" i="19"/>
  <c r="J182" i="19" s="1"/>
  <c r="I194" i="19"/>
  <c r="J194" i="19" s="1"/>
  <c r="I219" i="19"/>
  <c r="J219" i="19" s="1"/>
  <c r="I175" i="19"/>
  <c r="J175" i="19" s="1"/>
  <c r="I225" i="19"/>
  <c r="J225" i="19" s="1"/>
  <c r="I249" i="19"/>
  <c r="J249" i="19" s="1"/>
  <c r="I257" i="19"/>
  <c r="J257" i="19" s="1"/>
  <c r="I35" i="19"/>
  <c r="J35" i="19" s="1"/>
  <c r="I242" i="19"/>
  <c r="I286" i="19"/>
  <c r="J286" i="19" s="1"/>
  <c r="I210" i="19"/>
  <c r="J210" i="19" s="1"/>
  <c r="I174" i="19"/>
  <c r="J174" i="19" s="1"/>
  <c r="I36" i="19"/>
  <c r="J36" i="19" s="1"/>
  <c r="I224" i="19"/>
  <c r="J224" i="19" s="1"/>
  <c r="I204" i="19"/>
  <c r="J204" i="19" s="1"/>
  <c r="I12" i="19"/>
  <c r="J12" i="19" s="1"/>
  <c r="I200" i="19"/>
  <c r="J200" i="19" s="1"/>
  <c r="I281" i="19"/>
  <c r="J281" i="19" s="1"/>
  <c r="I112" i="19"/>
  <c r="J112" i="19" s="1"/>
  <c r="I119" i="19"/>
  <c r="J119" i="19" s="1"/>
  <c r="I302" i="19"/>
  <c r="J302" i="19" s="1"/>
  <c r="I19" i="19"/>
  <c r="J19" i="19" s="1"/>
  <c r="I197" i="19"/>
  <c r="J197" i="19" s="1"/>
  <c r="I276" i="19"/>
  <c r="J276" i="19" s="1"/>
  <c r="I312" i="19"/>
  <c r="J312" i="19" s="1"/>
  <c r="I11" i="19"/>
  <c r="J11" i="19" s="1"/>
  <c r="I102" i="19"/>
  <c r="J102" i="19" s="1"/>
  <c r="I73" i="19"/>
  <c r="J73" i="19" s="1"/>
  <c r="I155" i="19"/>
  <c r="J155" i="19" s="1"/>
  <c r="I128" i="19"/>
  <c r="I144" i="19"/>
  <c r="J144" i="19" s="1"/>
  <c r="I90" i="19"/>
  <c r="J90" i="19" s="1"/>
  <c r="I126" i="19"/>
  <c r="J126" i="19" s="1"/>
  <c r="I143" i="19"/>
  <c r="J143" i="19" s="1"/>
  <c r="I52" i="19"/>
  <c r="J52" i="19" s="1"/>
  <c r="I293" i="19"/>
  <c r="J293" i="19" s="1"/>
  <c r="I150" i="19"/>
  <c r="J150" i="19" s="1"/>
  <c r="I28" i="19"/>
  <c r="J28" i="19" s="1"/>
  <c r="I234" i="19"/>
  <c r="J234" i="19" s="1"/>
  <c r="I314" i="19"/>
  <c r="J314" i="19" s="1"/>
  <c r="I278" i="19"/>
  <c r="J278" i="19" s="1"/>
  <c r="I76" i="19"/>
  <c r="J76" i="19" s="1"/>
  <c r="I265" i="19"/>
  <c r="J265" i="19" s="1"/>
  <c r="I280" i="19"/>
  <c r="J280" i="19" s="1"/>
  <c r="I313" i="19"/>
  <c r="J313" i="19" s="1"/>
  <c r="I153" i="19"/>
  <c r="J153" i="19" s="1"/>
  <c r="I27" i="19"/>
  <c r="I315" i="19"/>
  <c r="J315" i="19" s="1"/>
  <c r="I256" i="19"/>
  <c r="J256" i="19" s="1"/>
  <c r="I142" i="19"/>
  <c r="J142" i="19" s="1"/>
  <c r="I74" i="19"/>
  <c r="J74" i="19" s="1"/>
  <c r="I21" i="19"/>
  <c r="J21" i="19" s="1"/>
  <c r="I37" i="19"/>
  <c r="J37" i="19" s="1"/>
  <c r="I82" i="19"/>
  <c r="J82" i="19" s="1"/>
  <c r="I66" i="19"/>
  <c r="J66" i="19" s="1"/>
  <c r="I244" i="19"/>
  <c r="J244" i="19" s="1"/>
  <c r="I97" i="19"/>
  <c r="J97" i="19" s="1"/>
  <c r="I136" i="19"/>
  <c r="J136" i="19" s="1"/>
  <c r="I95" i="19"/>
  <c r="J95" i="19" s="1"/>
  <c r="I211" i="19"/>
  <c r="J211" i="19" s="1"/>
  <c r="I162" i="19"/>
  <c r="J162" i="19" s="1"/>
  <c r="I261" i="19"/>
  <c r="I190" i="19"/>
  <c r="J190" i="19" s="1"/>
  <c r="I65" i="19"/>
  <c r="J65" i="19" s="1"/>
  <c r="I127" i="19"/>
  <c r="J127" i="19" s="1"/>
  <c r="I26" i="19"/>
  <c r="J26" i="19" s="1"/>
  <c r="I32" i="19"/>
  <c r="J32" i="19" s="1"/>
  <c r="I86" i="19"/>
  <c r="J86" i="19" s="1"/>
  <c r="I123" i="19"/>
  <c r="J123" i="19" s="1"/>
  <c r="I311" i="19"/>
  <c r="J311" i="19" s="1"/>
  <c r="I260" i="19"/>
  <c r="J260" i="19" s="1"/>
  <c r="I186" i="19"/>
  <c r="J186" i="19" s="1"/>
  <c r="I167" i="19"/>
  <c r="J167" i="19" s="1"/>
  <c r="I205" i="19"/>
  <c r="J205" i="19" s="1"/>
  <c r="I4" i="19"/>
  <c r="J4" i="19" s="1"/>
  <c r="J317" i="19" l="1"/>
  <c r="C16" i="41"/>
  <c r="V263" i="19"/>
  <c r="S263" i="19"/>
  <c r="R263" i="19"/>
  <c r="O263" i="19"/>
  <c r="U263" i="19"/>
  <c r="P263" i="19"/>
  <c r="V304" i="19"/>
  <c r="U304" i="19"/>
  <c r="R304" i="19"/>
  <c r="O304" i="19"/>
  <c r="S304" i="19"/>
  <c r="P304" i="19"/>
  <c r="V144" i="19"/>
  <c r="R144" i="19"/>
  <c r="U144" i="19"/>
  <c r="O144" i="19"/>
  <c r="S144" i="19"/>
  <c r="P144" i="19"/>
  <c r="V168" i="19"/>
  <c r="S168" i="19"/>
  <c r="U168" i="19"/>
  <c r="R168" i="19"/>
  <c r="O168" i="19"/>
  <c r="P168" i="19"/>
  <c r="V227" i="19"/>
  <c r="S227" i="19"/>
  <c r="U227" i="19"/>
  <c r="R227" i="19"/>
  <c r="P227" i="19"/>
  <c r="O227" i="19"/>
  <c r="V248" i="19"/>
  <c r="U248" i="19"/>
  <c r="R248" i="19"/>
  <c r="S248" i="19"/>
  <c r="O248" i="19"/>
  <c r="P248" i="19"/>
  <c r="V298" i="19"/>
  <c r="U298" i="19"/>
  <c r="R298" i="19"/>
  <c r="P298" i="19"/>
  <c r="S298" i="19"/>
  <c r="O298" i="19"/>
  <c r="V236" i="19"/>
  <c r="U236" i="19"/>
  <c r="R236" i="19"/>
  <c r="O236" i="19"/>
  <c r="S236" i="19"/>
  <c r="P236" i="19"/>
  <c r="V164" i="19"/>
  <c r="U164" i="19"/>
  <c r="R164" i="19"/>
  <c r="O164" i="19"/>
  <c r="S164" i="19"/>
  <c r="P164" i="19"/>
  <c r="U37" i="19"/>
  <c r="S37" i="19"/>
  <c r="O37" i="19"/>
  <c r="R37" i="19"/>
  <c r="V37" i="19"/>
  <c r="P37" i="19"/>
  <c r="U111" i="19"/>
  <c r="S111" i="19"/>
  <c r="O111" i="19"/>
  <c r="V111" i="19"/>
  <c r="P111" i="19"/>
  <c r="R111" i="19"/>
  <c r="U229" i="19"/>
  <c r="S229" i="19"/>
  <c r="O229" i="19"/>
  <c r="V229" i="19"/>
  <c r="R229" i="19"/>
  <c r="P229" i="19"/>
  <c r="U232" i="19"/>
  <c r="S232" i="19"/>
  <c r="R232" i="19"/>
  <c r="V232" i="19"/>
  <c r="P232" i="19"/>
  <c r="O232" i="19"/>
  <c r="V65" i="19"/>
  <c r="U65" i="19"/>
  <c r="R65" i="19"/>
  <c r="O65" i="19"/>
  <c r="P65" i="19"/>
  <c r="S65" i="19"/>
  <c r="V156" i="19"/>
  <c r="U156" i="19"/>
  <c r="S156" i="19"/>
  <c r="R156" i="19"/>
  <c r="O156" i="19"/>
  <c r="P156" i="19"/>
  <c r="V187" i="19"/>
  <c r="U187" i="19"/>
  <c r="S187" i="19"/>
  <c r="R187" i="19"/>
  <c r="O187" i="19"/>
  <c r="P187" i="19"/>
  <c r="U99" i="19"/>
  <c r="S99" i="19"/>
  <c r="V99" i="19"/>
  <c r="O99" i="19"/>
  <c r="P99" i="19"/>
  <c r="R99" i="19"/>
  <c r="V283" i="19"/>
  <c r="U283" i="19"/>
  <c r="R283" i="19"/>
  <c r="O283" i="19"/>
  <c r="S283" i="19"/>
  <c r="P283" i="19"/>
  <c r="U193" i="19"/>
  <c r="S193" i="19"/>
  <c r="O193" i="19"/>
  <c r="V193" i="19"/>
  <c r="R193" i="19"/>
  <c r="P193" i="19"/>
  <c r="U133" i="19"/>
  <c r="S133" i="19"/>
  <c r="O133" i="19"/>
  <c r="V133" i="19"/>
  <c r="P133" i="19"/>
  <c r="R133" i="19"/>
  <c r="S22" i="19"/>
  <c r="R22" i="19"/>
  <c r="V22" i="19"/>
  <c r="U22" i="19"/>
  <c r="O22" i="19"/>
  <c r="P22" i="19"/>
  <c r="S165" i="19"/>
  <c r="V165" i="19"/>
  <c r="U165" i="19"/>
  <c r="R165" i="19"/>
  <c r="O165" i="19"/>
  <c r="P165" i="19"/>
  <c r="S82" i="19"/>
  <c r="V82" i="19"/>
  <c r="U82" i="19"/>
  <c r="R82" i="19"/>
  <c r="P82" i="19"/>
  <c r="O82" i="19"/>
  <c r="U181" i="19"/>
  <c r="S181" i="19"/>
  <c r="O181" i="19"/>
  <c r="P181" i="19"/>
  <c r="V181" i="19"/>
  <c r="R181" i="19"/>
  <c r="V190" i="19"/>
  <c r="U190" i="19"/>
  <c r="S190" i="19"/>
  <c r="R190" i="19"/>
  <c r="O190" i="19"/>
  <c r="P190" i="19"/>
  <c r="S189" i="19"/>
  <c r="V189" i="19"/>
  <c r="U189" i="19"/>
  <c r="R189" i="19"/>
  <c r="O189" i="19"/>
  <c r="P189" i="19"/>
  <c r="U220" i="19"/>
  <c r="S220" i="19"/>
  <c r="O220" i="19"/>
  <c r="V220" i="19"/>
  <c r="R220" i="19"/>
  <c r="P220" i="19"/>
  <c r="U145" i="19"/>
  <c r="S145" i="19"/>
  <c r="O145" i="19"/>
  <c r="V145" i="19"/>
  <c r="P145" i="19"/>
  <c r="R145" i="19"/>
  <c r="V18" i="19"/>
  <c r="U18" i="19"/>
  <c r="S18" i="19"/>
  <c r="O18" i="19"/>
  <c r="P18" i="19"/>
  <c r="R18" i="19"/>
  <c r="V216" i="19"/>
  <c r="U216" i="19"/>
  <c r="R216" i="19"/>
  <c r="O216" i="19"/>
  <c r="S216" i="19"/>
  <c r="P216" i="19"/>
  <c r="U64" i="19"/>
  <c r="S64" i="19"/>
  <c r="R64" i="19"/>
  <c r="O64" i="19"/>
  <c r="P64" i="19"/>
  <c r="V64" i="19"/>
  <c r="U28" i="19"/>
  <c r="S28" i="19"/>
  <c r="O28" i="19"/>
  <c r="R28" i="19"/>
  <c r="V28" i="19"/>
  <c r="P28" i="19"/>
  <c r="V224" i="19"/>
  <c r="U224" i="19"/>
  <c r="S224" i="19"/>
  <c r="R224" i="19"/>
  <c r="O224" i="19"/>
  <c r="P224" i="19"/>
  <c r="U184" i="19"/>
  <c r="S184" i="19"/>
  <c r="V184" i="19"/>
  <c r="O184" i="19"/>
  <c r="P184" i="19"/>
  <c r="R184" i="19"/>
  <c r="U158" i="19"/>
  <c r="V158" i="19"/>
  <c r="O158" i="19"/>
  <c r="S158" i="19"/>
  <c r="R158" i="19"/>
  <c r="P158" i="19"/>
  <c r="V140" i="19"/>
  <c r="U140" i="19"/>
  <c r="R140" i="19"/>
  <c r="O140" i="19"/>
  <c r="P140" i="19"/>
  <c r="S140" i="19"/>
  <c r="V199" i="19"/>
  <c r="U199" i="19"/>
  <c r="R199" i="19"/>
  <c r="O199" i="19"/>
  <c r="P199" i="19"/>
  <c r="S199" i="19"/>
  <c r="U279" i="19"/>
  <c r="S279" i="19"/>
  <c r="V279" i="19"/>
  <c r="P279" i="19"/>
  <c r="O279" i="19"/>
  <c r="R279" i="19"/>
  <c r="V251" i="19"/>
  <c r="U251" i="19"/>
  <c r="R251" i="19"/>
  <c r="O251" i="19"/>
  <c r="P251" i="19"/>
  <c r="S251" i="19"/>
  <c r="S24" i="19"/>
  <c r="V24" i="19"/>
  <c r="R24" i="19"/>
  <c r="U24" i="19"/>
  <c r="O24" i="19"/>
  <c r="P24" i="19"/>
  <c r="U182" i="19"/>
  <c r="O182" i="19"/>
  <c r="P182" i="19"/>
  <c r="S182" i="19"/>
  <c r="V182" i="19"/>
  <c r="R182" i="19"/>
  <c r="U14" i="19"/>
  <c r="S14" i="19"/>
  <c r="V14" i="19"/>
  <c r="O14" i="19"/>
  <c r="R14" i="19"/>
  <c r="P14" i="19"/>
  <c r="V29" i="19"/>
  <c r="U29" i="19"/>
  <c r="O29" i="19"/>
  <c r="S29" i="19"/>
  <c r="R29" i="19"/>
  <c r="P29" i="19"/>
  <c r="S23" i="19"/>
  <c r="V23" i="19"/>
  <c r="R23" i="19"/>
  <c r="U23" i="19"/>
  <c r="O23" i="19"/>
  <c r="P23" i="19"/>
  <c r="S118" i="19"/>
  <c r="R118" i="19"/>
  <c r="V118" i="19"/>
  <c r="P118" i="19"/>
  <c r="O118" i="19"/>
  <c r="U118" i="19"/>
  <c r="S129" i="19"/>
  <c r="V129" i="19"/>
  <c r="U129" i="19"/>
  <c r="R129" i="19"/>
  <c r="O129" i="19"/>
  <c r="P129" i="19"/>
  <c r="U254" i="19"/>
  <c r="V254" i="19"/>
  <c r="O254" i="19"/>
  <c r="P254" i="19"/>
  <c r="R254" i="19"/>
  <c r="S254" i="19"/>
  <c r="S84" i="19"/>
  <c r="V84" i="19"/>
  <c r="U84" i="19"/>
  <c r="R84" i="19"/>
  <c r="O84" i="19"/>
  <c r="P84" i="19"/>
  <c r="V309" i="19"/>
  <c r="U309" i="19"/>
  <c r="S309" i="19"/>
  <c r="R309" i="19"/>
  <c r="P309" i="19"/>
  <c r="O309" i="19"/>
  <c r="S96" i="19"/>
  <c r="V96" i="19"/>
  <c r="U96" i="19"/>
  <c r="R96" i="19"/>
  <c r="O96" i="19"/>
  <c r="P96" i="19"/>
  <c r="U276" i="19"/>
  <c r="S276" i="19"/>
  <c r="V276" i="19"/>
  <c r="O276" i="19"/>
  <c r="P276" i="19"/>
  <c r="R276" i="19"/>
  <c r="V89" i="19"/>
  <c r="U89" i="19"/>
  <c r="R89" i="19"/>
  <c r="O89" i="19"/>
  <c r="S89" i="19"/>
  <c r="P89" i="19"/>
  <c r="V152" i="19"/>
  <c r="U152" i="19"/>
  <c r="S152" i="19"/>
  <c r="R152" i="19"/>
  <c r="O152" i="19"/>
  <c r="P152" i="19"/>
  <c r="U62" i="19"/>
  <c r="O62" i="19"/>
  <c r="P62" i="19"/>
  <c r="V62" i="19"/>
  <c r="R62" i="19"/>
  <c r="S62" i="19"/>
  <c r="V275" i="19"/>
  <c r="U275" i="19"/>
  <c r="S275" i="19"/>
  <c r="R275" i="19"/>
  <c r="O275" i="19"/>
  <c r="P275" i="19"/>
  <c r="U26" i="19"/>
  <c r="O26" i="19"/>
  <c r="R26" i="19"/>
  <c r="S26" i="19"/>
  <c r="V26" i="19"/>
  <c r="P26" i="19"/>
  <c r="U183" i="19"/>
  <c r="S183" i="19"/>
  <c r="V183" i="19"/>
  <c r="O183" i="19"/>
  <c r="P183" i="19"/>
  <c r="R183" i="19"/>
  <c r="S155" i="19"/>
  <c r="V155" i="19"/>
  <c r="U155" i="19"/>
  <c r="R155" i="19"/>
  <c r="P155" i="19"/>
  <c r="O155" i="19"/>
  <c r="U49" i="19"/>
  <c r="S49" i="19"/>
  <c r="O49" i="19"/>
  <c r="V49" i="19"/>
  <c r="R49" i="19"/>
  <c r="P49" i="19"/>
  <c r="S9" i="19"/>
  <c r="V9" i="19"/>
  <c r="R9" i="19"/>
  <c r="U9" i="19"/>
  <c r="P9" i="19"/>
  <c r="O9" i="19"/>
  <c r="S59" i="19"/>
  <c r="V59" i="19"/>
  <c r="U59" i="19"/>
  <c r="O59" i="19"/>
  <c r="R59" i="19"/>
  <c r="P59" i="19"/>
  <c r="V138" i="19"/>
  <c r="R138" i="19"/>
  <c r="U138" i="19"/>
  <c r="S138" i="19"/>
  <c r="O138" i="19"/>
  <c r="P138" i="19"/>
  <c r="U88" i="19"/>
  <c r="S88" i="19"/>
  <c r="O88" i="19"/>
  <c r="R88" i="19"/>
  <c r="P88" i="19"/>
  <c r="V88" i="19"/>
  <c r="S57" i="19"/>
  <c r="V57" i="19"/>
  <c r="R57" i="19"/>
  <c r="U57" i="19"/>
  <c r="O57" i="19"/>
  <c r="P57" i="19"/>
  <c r="V7" i="19"/>
  <c r="U7" i="19"/>
  <c r="R7" i="19"/>
  <c r="O7" i="19"/>
  <c r="S7" i="19"/>
  <c r="P7" i="19"/>
  <c r="V228" i="19"/>
  <c r="S228" i="19"/>
  <c r="U228" i="19"/>
  <c r="R228" i="19"/>
  <c r="P228" i="19"/>
  <c r="O228" i="19"/>
  <c r="V167" i="19"/>
  <c r="S167" i="19"/>
  <c r="U167" i="19"/>
  <c r="R167" i="19"/>
  <c r="O167" i="19"/>
  <c r="P167" i="19"/>
  <c r="U311" i="19"/>
  <c r="S311" i="19"/>
  <c r="V311" i="19"/>
  <c r="O311" i="19"/>
  <c r="P311" i="19"/>
  <c r="R311" i="19"/>
  <c r="S143" i="19"/>
  <c r="V143" i="19"/>
  <c r="R143" i="19"/>
  <c r="U143" i="19"/>
  <c r="O143" i="19"/>
  <c r="P143" i="19"/>
  <c r="V19" i="19"/>
  <c r="U19" i="19"/>
  <c r="S19" i="19"/>
  <c r="O19" i="19"/>
  <c r="P19" i="19"/>
  <c r="R19" i="19"/>
  <c r="S94" i="19"/>
  <c r="R94" i="19"/>
  <c r="O94" i="19"/>
  <c r="U94" i="19"/>
  <c r="V94" i="19"/>
  <c r="P94" i="19"/>
  <c r="U38" i="19"/>
  <c r="O38" i="19"/>
  <c r="R38" i="19"/>
  <c r="V38" i="19"/>
  <c r="S38" i="19"/>
  <c r="P38" i="19"/>
  <c r="V305" i="19"/>
  <c r="S305" i="19"/>
  <c r="R305" i="19"/>
  <c r="U305" i="19"/>
  <c r="O305" i="19"/>
  <c r="P305" i="19"/>
  <c r="S34" i="19"/>
  <c r="V34" i="19"/>
  <c r="O34" i="19"/>
  <c r="R34" i="19"/>
  <c r="P34" i="19"/>
  <c r="U34" i="19"/>
  <c r="S213" i="19"/>
  <c r="V213" i="19"/>
  <c r="R213" i="19"/>
  <c r="P213" i="19"/>
  <c r="U213" i="19"/>
  <c r="O213" i="19"/>
  <c r="U195" i="19"/>
  <c r="S195" i="19"/>
  <c r="O195" i="19"/>
  <c r="V195" i="19"/>
  <c r="R195" i="19"/>
  <c r="P195" i="19"/>
  <c r="U86" i="19"/>
  <c r="O86" i="19"/>
  <c r="S86" i="19"/>
  <c r="V86" i="19"/>
  <c r="R86" i="19"/>
  <c r="P86" i="19"/>
  <c r="U278" i="19"/>
  <c r="S278" i="19"/>
  <c r="V278" i="19"/>
  <c r="P278" i="19"/>
  <c r="O278" i="19"/>
  <c r="R278" i="19"/>
  <c r="V260" i="19"/>
  <c r="U260" i="19"/>
  <c r="S260" i="19"/>
  <c r="R260" i="19"/>
  <c r="O260" i="19"/>
  <c r="P260" i="19"/>
  <c r="U302" i="19"/>
  <c r="S302" i="19"/>
  <c r="V302" i="19"/>
  <c r="R302" i="19"/>
  <c r="O302" i="19"/>
  <c r="P302" i="19"/>
  <c r="V92" i="19"/>
  <c r="U92" i="19"/>
  <c r="R92" i="19"/>
  <c r="O92" i="19"/>
  <c r="S92" i="19"/>
  <c r="P92" i="19"/>
  <c r="V77" i="19"/>
  <c r="U77" i="19"/>
  <c r="R77" i="19"/>
  <c r="S77" i="19"/>
  <c r="O77" i="19"/>
  <c r="P77" i="19"/>
  <c r="U122" i="19"/>
  <c r="O122" i="19"/>
  <c r="R122" i="19"/>
  <c r="V122" i="19"/>
  <c r="P122" i="19"/>
  <c r="S122" i="19"/>
  <c r="U109" i="19"/>
  <c r="S109" i="19"/>
  <c r="O109" i="19"/>
  <c r="V109" i="19"/>
  <c r="R109" i="19"/>
  <c r="P109" i="19"/>
  <c r="V233" i="19"/>
  <c r="U233" i="19"/>
  <c r="R233" i="19"/>
  <c r="S233" i="19"/>
  <c r="O233" i="19"/>
  <c r="P233" i="19"/>
  <c r="L228" i="19"/>
  <c r="M228" i="19"/>
  <c r="L144" i="19"/>
  <c r="M144" i="19"/>
  <c r="L168" i="19"/>
  <c r="M168" i="19"/>
  <c r="L227" i="19"/>
  <c r="M227" i="19"/>
  <c r="L248" i="19"/>
  <c r="M248" i="19"/>
  <c r="L298" i="19"/>
  <c r="M298" i="19"/>
  <c r="L236" i="19"/>
  <c r="M236" i="19"/>
  <c r="L96" i="19"/>
  <c r="M96" i="19"/>
  <c r="L164" i="19"/>
  <c r="M164" i="19"/>
  <c r="L216" i="19"/>
  <c r="M216" i="19"/>
  <c r="L181" i="19"/>
  <c r="M181" i="19"/>
  <c r="L183" i="19"/>
  <c r="M183" i="19"/>
  <c r="L232" i="19"/>
  <c r="M232" i="19"/>
  <c r="L156" i="19"/>
  <c r="M156" i="19"/>
  <c r="L187" i="19"/>
  <c r="M187" i="19"/>
  <c r="L99" i="19"/>
  <c r="M99" i="19"/>
  <c r="L193" i="19"/>
  <c r="M193" i="19"/>
  <c r="L133" i="19"/>
  <c r="M133" i="19"/>
  <c r="L22" i="19"/>
  <c r="M22" i="19"/>
  <c r="L165" i="19"/>
  <c r="M165" i="19"/>
  <c r="L111" i="19"/>
  <c r="M111" i="19"/>
  <c r="L190" i="19"/>
  <c r="M190" i="19"/>
  <c r="L189" i="19"/>
  <c r="M189" i="19"/>
  <c r="L220" i="19"/>
  <c r="M220" i="19"/>
  <c r="L145" i="19"/>
  <c r="M145" i="19"/>
  <c r="L18" i="19"/>
  <c r="M18" i="19"/>
  <c r="L26" i="19"/>
  <c r="M26" i="19"/>
  <c r="L49" i="19"/>
  <c r="M49" i="19"/>
  <c r="L229" i="19"/>
  <c r="M229" i="19"/>
  <c r="L283" i="19"/>
  <c r="M283" i="19"/>
  <c r="L28" i="19"/>
  <c r="M28" i="19"/>
  <c r="L224" i="19"/>
  <c r="M224" i="19"/>
  <c r="L184" i="19"/>
  <c r="M184" i="19"/>
  <c r="L158" i="19"/>
  <c r="M158" i="19"/>
  <c r="L140" i="19"/>
  <c r="M140" i="19"/>
  <c r="L199" i="19"/>
  <c r="M199" i="19"/>
  <c r="L279" i="19"/>
  <c r="M279" i="19"/>
  <c r="L251" i="19"/>
  <c r="M251" i="19"/>
  <c r="L24" i="19"/>
  <c r="M24" i="19"/>
  <c r="L82" i="19"/>
  <c r="M82" i="19"/>
  <c r="L167" i="19"/>
  <c r="M167" i="19"/>
  <c r="L182" i="19"/>
  <c r="M182" i="19"/>
  <c r="L14" i="19"/>
  <c r="M14" i="19"/>
  <c r="L29" i="19"/>
  <c r="M29" i="19"/>
  <c r="L23" i="19"/>
  <c r="M23" i="19"/>
  <c r="L118" i="19"/>
  <c r="M118" i="19"/>
  <c r="L129" i="19"/>
  <c r="M129" i="19"/>
  <c r="L254" i="19"/>
  <c r="M254" i="19"/>
  <c r="L84" i="19"/>
  <c r="M84" i="19"/>
  <c r="L276" i="19"/>
  <c r="M276" i="19"/>
  <c r="L89" i="19"/>
  <c r="M89" i="19"/>
  <c r="L152" i="19"/>
  <c r="M152" i="19"/>
  <c r="L62" i="19"/>
  <c r="M62" i="19"/>
  <c r="L275" i="19"/>
  <c r="M275" i="19"/>
  <c r="L155" i="19"/>
  <c r="M155" i="19"/>
  <c r="L9" i="19"/>
  <c r="M9" i="19"/>
  <c r="L59" i="19"/>
  <c r="M59" i="19"/>
  <c r="L138" i="19"/>
  <c r="M138" i="19"/>
  <c r="L88" i="19"/>
  <c r="M88" i="19"/>
  <c r="L57" i="19"/>
  <c r="M57" i="19"/>
  <c r="L7" i="19"/>
  <c r="M7" i="19"/>
  <c r="L64" i="19"/>
  <c r="M64" i="19"/>
  <c r="L260" i="19"/>
  <c r="M260" i="19"/>
  <c r="L311" i="19"/>
  <c r="M311" i="19"/>
  <c r="L143" i="19"/>
  <c r="M143" i="19"/>
  <c r="L19" i="19"/>
  <c r="M19" i="19"/>
  <c r="L94" i="19"/>
  <c r="M94" i="19"/>
  <c r="L38" i="19"/>
  <c r="M38" i="19"/>
  <c r="L305" i="19"/>
  <c r="M305" i="19"/>
  <c r="L34" i="19"/>
  <c r="M34" i="19"/>
  <c r="L213" i="19"/>
  <c r="M213" i="19"/>
  <c r="L195" i="19"/>
  <c r="M195" i="19"/>
  <c r="L278" i="19"/>
  <c r="M278" i="19"/>
  <c r="L302" i="19"/>
  <c r="M302" i="19"/>
  <c r="L92" i="19"/>
  <c r="M92" i="19"/>
  <c r="L77" i="19"/>
  <c r="M77" i="19"/>
  <c r="L122" i="19"/>
  <c r="M122" i="19"/>
  <c r="L109" i="19"/>
  <c r="M109" i="19"/>
  <c r="L233" i="19"/>
  <c r="M233" i="19"/>
  <c r="L37" i="19"/>
  <c r="M37" i="19"/>
  <c r="L65" i="19"/>
  <c r="M65" i="19"/>
  <c r="L86" i="19"/>
  <c r="M86" i="19"/>
  <c r="L309" i="19"/>
  <c r="M309" i="19"/>
  <c r="L263" i="19"/>
  <c r="M263" i="19"/>
  <c r="L304" i="19"/>
  <c r="M304" i="19"/>
  <c r="J157" i="19"/>
  <c r="J58" i="19"/>
  <c r="J259" i="19"/>
  <c r="J68" i="19"/>
  <c r="J15" i="19"/>
  <c r="J242" i="19"/>
  <c r="J246" i="19"/>
  <c r="J198" i="19"/>
  <c r="J261" i="19"/>
  <c r="J27" i="19"/>
  <c r="J128" i="19"/>
  <c r="J6" i="19"/>
  <c r="K304" i="19"/>
  <c r="I221" i="19"/>
  <c r="U27" i="19" l="1"/>
  <c r="S27" i="19"/>
  <c r="O27" i="19"/>
  <c r="R27" i="19"/>
  <c r="V27" i="19"/>
  <c r="P27" i="19"/>
  <c r="U157" i="19"/>
  <c r="S157" i="19"/>
  <c r="V157" i="19"/>
  <c r="O157" i="19"/>
  <c r="R157" i="19"/>
  <c r="P157" i="19"/>
  <c r="V261" i="19"/>
  <c r="S261" i="19"/>
  <c r="R261" i="19"/>
  <c r="U261" i="19"/>
  <c r="P261" i="19"/>
  <c r="O261" i="19"/>
  <c r="V198" i="19"/>
  <c r="R198" i="19"/>
  <c r="U198" i="19"/>
  <c r="P198" i="19"/>
  <c r="O198" i="19"/>
  <c r="S198" i="19"/>
  <c r="V246" i="19"/>
  <c r="U246" i="19"/>
  <c r="R246" i="19"/>
  <c r="S246" i="19"/>
  <c r="P246" i="19"/>
  <c r="O246" i="19"/>
  <c r="U15" i="19"/>
  <c r="S15" i="19"/>
  <c r="V15" i="19"/>
  <c r="O15" i="19"/>
  <c r="R15" i="19"/>
  <c r="P15" i="19"/>
  <c r="U242" i="19"/>
  <c r="V242" i="19"/>
  <c r="S242" i="19"/>
  <c r="P242" i="19"/>
  <c r="R242" i="19"/>
  <c r="O242" i="19"/>
  <c r="V259" i="19"/>
  <c r="U259" i="19"/>
  <c r="S259" i="19"/>
  <c r="R259" i="19"/>
  <c r="P259" i="19"/>
  <c r="O259" i="19"/>
  <c r="L27" i="19"/>
  <c r="M27" i="19"/>
  <c r="L261" i="19"/>
  <c r="M261" i="19"/>
  <c r="L198" i="19"/>
  <c r="M198" i="19"/>
  <c r="L246" i="19"/>
  <c r="M246" i="19"/>
  <c r="L242" i="19"/>
  <c r="M242" i="19"/>
  <c r="L157" i="19"/>
  <c r="M157" i="19"/>
  <c r="L259" i="19"/>
  <c r="M259" i="19"/>
  <c r="L15" i="19"/>
  <c r="M15" i="19"/>
  <c r="I3" i="19"/>
  <c r="B11" i="12" s="1"/>
  <c r="B12" i="12" s="1"/>
  <c r="K1" i="19" s="1"/>
  <c r="J221" i="19"/>
  <c r="J3" i="19" s="1"/>
  <c r="K246" i="19"/>
  <c r="K198" i="19"/>
  <c r="K15" i="19"/>
  <c r="K259" i="19"/>
  <c r="K27" i="19"/>
  <c r="K261" i="19"/>
  <c r="K242" i="19"/>
  <c r="K157" i="19"/>
  <c r="K58" i="19" l="1"/>
  <c r="L58" i="19" s="1"/>
  <c r="M58" i="19" s="1"/>
  <c r="K128" i="19"/>
  <c r="K201" i="19"/>
  <c r="L201" i="19" s="1"/>
  <c r="M201" i="19" s="1"/>
  <c r="K229" i="19"/>
  <c r="K306" i="19"/>
  <c r="L306" i="19" s="1"/>
  <c r="M306" i="19" s="1"/>
  <c r="K175" i="19"/>
  <c r="K59" i="19"/>
  <c r="K88" i="19"/>
  <c r="K248" i="19"/>
  <c r="K191" i="19"/>
  <c r="L191" i="19" s="1"/>
  <c r="M191" i="19" s="1"/>
  <c r="K227" i="19"/>
  <c r="K64" i="19"/>
  <c r="K18" i="19"/>
  <c r="K200" i="19"/>
  <c r="L200" i="19" s="1"/>
  <c r="M200" i="19" s="1"/>
  <c r="K55" i="19"/>
  <c r="L55" i="19" s="1"/>
  <c r="M55" i="19" s="1"/>
  <c r="K230" i="19"/>
  <c r="K137" i="19"/>
  <c r="L137" i="19" s="1"/>
  <c r="M137" i="19" s="1"/>
  <c r="B9" i="12"/>
  <c r="B14" i="12" s="1"/>
  <c r="L230" i="19" l="1"/>
  <c r="M230" i="19" s="1"/>
  <c r="L128" i="19"/>
  <c r="M128" i="19" s="1"/>
  <c r="L175" i="19"/>
  <c r="M175" i="19" s="1"/>
  <c r="K106" i="19"/>
  <c r="K238" i="19"/>
  <c r="K143" i="19"/>
  <c r="K218" i="19"/>
  <c r="L218" i="19" s="1"/>
  <c r="M218" i="19" s="1"/>
  <c r="K266" i="19"/>
  <c r="K155" i="19"/>
  <c r="K63" i="19"/>
  <c r="K223" i="19"/>
  <c r="K122" i="19"/>
  <c r="K104" i="19"/>
  <c r="K17" i="19"/>
  <c r="L17" i="19" s="1"/>
  <c r="M17" i="19" s="1"/>
  <c r="K16" i="19"/>
  <c r="K176" i="19"/>
  <c r="L176" i="19" s="1"/>
  <c r="M176" i="19" s="1"/>
  <c r="K273" i="19"/>
  <c r="K186" i="19"/>
  <c r="K50" i="19"/>
  <c r="K150" i="19"/>
  <c r="K19" i="19"/>
  <c r="K130" i="19"/>
  <c r="K7" i="19"/>
  <c r="K154" i="19"/>
  <c r="K96" i="19"/>
  <c r="K125" i="19"/>
  <c r="K83" i="19"/>
  <c r="K236" i="19"/>
  <c r="K267" i="19"/>
  <c r="K205" i="19"/>
  <c r="K32" i="19"/>
  <c r="K4" i="19"/>
  <c r="L4" i="19" s="1"/>
  <c r="M4" i="19" s="1"/>
  <c r="K151" i="19"/>
  <c r="K43" i="19"/>
  <c r="K171" i="19"/>
  <c r="K84" i="19"/>
  <c r="K115" i="19"/>
  <c r="K293" i="19"/>
  <c r="K161" i="19"/>
  <c r="K314" i="19"/>
  <c r="K29" i="19"/>
  <c r="K317" i="19"/>
  <c r="K310" i="19"/>
  <c r="K208" i="19"/>
  <c r="K24" i="19"/>
  <c r="K284" i="19"/>
  <c r="K168" i="19"/>
  <c r="K42" i="19"/>
  <c r="K158" i="19"/>
  <c r="K287" i="19"/>
  <c r="K280" i="19"/>
  <c r="L280" i="19" s="1"/>
  <c r="M280" i="19" s="1"/>
  <c r="K250" i="19"/>
  <c r="K45" i="19"/>
  <c r="L45" i="19" s="1"/>
  <c r="M45" i="19" s="1"/>
  <c r="K74" i="19"/>
  <c r="K309" i="19"/>
  <c r="K85" i="19"/>
  <c r="K94" i="19"/>
  <c r="K301" i="19"/>
  <c r="K272" i="19"/>
  <c r="K298" i="19"/>
  <c r="K28" i="19"/>
  <c r="K87" i="19"/>
  <c r="K260" i="19"/>
  <c r="K165" i="19"/>
  <c r="K194" i="19"/>
  <c r="L194" i="19" s="1"/>
  <c r="M194" i="19" s="1"/>
  <c r="K234" i="19"/>
  <c r="L234" i="19" s="1"/>
  <c r="M234" i="19" s="1"/>
  <c r="K288" i="19"/>
  <c r="K117" i="19"/>
  <c r="L117" i="19" s="1"/>
  <c r="M117" i="19" s="1"/>
  <c r="K160" i="19"/>
  <c r="L160" i="19" s="1"/>
  <c r="M160" i="19" s="1"/>
  <c r="K312" i="19"/>
  <c r="K222" i="19"/>
  <c r="K249" i="19"/>
  <c r="K193" i="19"/>
  <c r="K54" i="19"/>
  <c r="K36" i="19"/>
  <c r="K163" i="19"/>
  <c r="K188" i="19"/>
  <c r="K9" i="19"/>
  <c r="K311" i="19"/>
  <c r="K6" i="19"/>
  <c r="K315" i="19"/>
  <c r="L315" i="19" s="1"/>
  <c r="M315" i="19" s="1"/>
  <c r="K25" i="19"/>
  <c r="K235" i="19"/>
  <c r="K203" i="19"/>
  <c r="K265" i="19"/>
  <c r="L265" i="19" s="1"/>
  <c r="M265" i="19" s="1"/>
  <c r="K271" i="19"/>
  <c r="K252" i="19"/>
  <c r="K147" i="19"/>
  <c r="K214" i="19"/>
  <c r="K86" i="19"/>
  <c r="K305" i="19"/>
  <c r="K68" i="19"/>
  <c r="K56" i="19"/>
  <c r="K100" i="19"/>
  <c r="K89" i="19"/>
  <c r="K254" i="19"/>
  <c r="K52" i="19"/>
  <c r="K209" i="19"/>
  <c r="K139" i="19"/>
  <c r="K275" i="19"/>
  <c r="K10" i="19"/>
  <c r="K313" i="19"/>
  <c r="K237" i="19"/>
  <c r="K182" i="19"/>
  <c r="K264" i="19"/>
  <c r="K239" i="19"/>
  <c r="L239" i="19" s="1"/>
  <c r="M239" i="19" s="1"/>
  <c r="K225" i="19"/>
  <c r="L225" i="19" s="1"/>
  <c r="M225" i="19" s="1"/>
  <c r="K57" i="19"/>
  <c r="K20" i="19"/>
  <c r="K257" i="19"/>
  <c r="L257" i="19" s="1"/>
  <c r="M257" i="19" s="1"/>
  <c r="K144" i="19"/>
  <c r="K90" i="19"/>
  <c r="K48" i="19"/>
  <c r="K127" i="19"/>
  <c r="K107" i="19"/>
  <c r="K206" i="19"/>
  <c r="K26" i="19"/>
  <c r="K149" i="19"/>
  <c r="K177" i="19"/>
  <c r="L177" i="19" s="1"/>
  <c r="M177" i="19" s="1"/>
  <c r="K274" i="19"/>
  <c r="K159" i="19"/>
  <c r="L159" i="19" s="1"/>
  <c r="M159" i="19" s="1"/>
  <c r="K111" i="19"/>
  <c r="K268" i="19"/>
  <c r="K210" i="19"/>
  <c r="K241" i="19"/>
  <c r="K213" i="19"/>
  <c r="K180" i="19"/>
  <c r="K207" i="19"/>
  <c r="K67" i="19"/>
  <c r="L67" i="19" s="1"/>
  <c r="M67" i="19" s="1"/>
  <c r="K145" i="19"/>
  <c r="K167" i="19"/>
  <c r="K105" i="19"/>
  <c r="L105" i="19" s="1"/>
  <c r="M105" i="19" s="1"/>
  <c r="K232" i="19"/>
  <c r="K219" i="19"/>
  <c r="K121" i="19"/>
  <c r="L121" i="19" s="1"/>
  <c r="M121" i="19" s="1"/>
  <c r="K134" i="19"/>
  <c r="K80" i="19"/>
  <c r="K228" i="19"/>
  <c r="K152" i="19"/>
  <c r="K136" i="19"/>
  <c r="K217" i="19"/>
  <c r="K91" i="19"/>
  <c r="L91" i="19" s="1"/>
  <c r="M91" i="19" s="1"/>
  <c r="K184" i="19"/>
  <c r="K77" i="19"/>
  <c r="K62" i="19"/>
  <c r="K211" i="19"/>
  <c r="L211" i="19" s="1"/>
  <c r="M211" i="19" s="1"/>
  <c r="K255" i="19"/>
  <c r="L255" i="19" s="1"/>
  <c r="M255" i="19" s="1"/>
  <c r="K226" i="19"/>
  <c r="K233" i="19"/>
  <c r="K290" i="19"/>
  <c r="L290" i="19" s="1"/>
  <c r="M290" i="19" s="1"/>
  <c r="K299" i="19"/>
  <c r="L299" i="19" s="1"/>
  <c r="M299" i="19" s="1"/>
  <c r="K148" i="19"/>
  <c r="K292" i="19"/>
  <c r="L292" i="19" s="1"/>
  <c r="M292" i="19" s="1"/>
  <c r="K13" i="19"/>
  <c r="K12" i="19"/>
  <c r="L12" i="19" s="1"/>
  <c r="M12" i="19" s="1"/>
  <c r="K31" i="19"/>
  <c r="K129" i="19"/>
  <c r="K220" i="19"/>
  <c r="K285" i="19"/>
  <c r="K300" i="19"/>
  <c r="K93" i="19"/>
  <c r="L93" i="19" s="1"/>
  <c r="M93" i="19" s="1"/>
  <c r="K131" i="19"/>
  <c r="K286" i="19"/>
  <c r="K189" i="19"/>
  <c r="K169" i="19"/>
  <c r="L169" i="19" s="1"/>
  <c r="M169" i="19" s="1"/>
  <c r="K113" i="19"/>
  <c r="L113" i="19" s="1"/>
  <c r="M113" i="19" s="1"/>
  <c r="K23" i="19"/>
  <c r="K174" i="19"/>
  <c r="K279" i="19"/>
  <c r="K276" i="19"/>
  <c r="K156" i="19"/>
  <c r="K133" i="19"/>
  <c r="K281" i="19"/>
  <c r="K120" i="19"/>
  <c r="L120" i="19" s="1"/>
  <c r="M120" i="19" s="1"/>
  <c r="K240" i="19"/>
  <c r="K102" i="19"/>
  <c r="L102" i="19" s="1"/>
  <c r="M102" i="19" s="1"/>
  <c r="K103" i="19"/>
  <c r="K244" i="19"/>
  <c r="K307" i="19"/>
  <c r="K197" i="19"/>
  <c r="L197" i="19" s="1"/>
  <c r="M197" i="19" s="1"/>
  <c r="K294" i="19"/>
  <c r="K70" i="19"/>
  <c r="K282" i="19"/>
  <c r="L282" i="19" s="1"/>
  <c r="M282" i="19" s="1"/>
  <c r="K263" i="19"/>
  <c r="K66" i="19"/>
  <c r="K8" i="19"/>
  <c r="K164" i="19"/>
  <c r="K72" i="19"/>
  <c r="K46" i="19"/>
  <c r="K114" i="19"/>
  <c r="L114" i="19" s="1"/>
  <c r="M114" i="19" s="1"/>
  <c r="K97" i="19"/>
  <c r="L97" i="19" s="1"/>
  <c r="M97" i="19" s="1"/>
  <c r="K38" i="19"/>
  <c r="K37" i="19"/>
  <c r="K123" i="19"/>
  <c r="K44" i="19"/>
  <c r="K183" i="19"/>
  <c r="K60" i="19"/>
  <c r="K142" i="19"/>
  <c r="K22" i="19"/>
  <c r="K98" i="19"/>
  <c r="L98" i="19" s="1"/>
  <c r="M98" i="19" s="1"/>
  <c r="K101" i="19"/>
  <c r="K99" i="19"/>
  <c r="K170" i="19"/>
  <c r="L170" i="19" s="1"/>
  <c r="M170" i="19" s="1"/>
  <c r="K108" i="19"/>
  <c r="L108" i="19" s="1"/>
  <c r="M108" i="19" s="1"/>
  <c r="K76" i="19"/>
  <c r="K71" i="19"/>
  <c r="K34" i="19"/>
  <c r="K278" i="19"/>
  <c r="K251" i="19"/>
  <c r="K178" i="19"/>
  <c r="K253" i="19"/>
  <c r="K215" i="19"/>
  <c r="L215" i="19" s="1"/>
  <c r="M215" i="19" s="1"/>
  <c r="K40" i="19"/>
  <c r="K92" i="19"/>
  <c r="K173" i="19"/>
  <c r="K78" i="19"/>
  <c r="K49" i="19"/>
  <c r="K95" i="19"/>
  <c r="K296" i="19"/>
  <c r="L296" i="19" s="1"/>
  <c r="M296" i="19" s="1"/>
  <c r="K256" i="19"/>
  <c r="K138" i="19"/>
  <c r="K132" i="19"/>
  <c r="K14" i="19"/>
  <c r="K53" i="19"/>
  <c r="L53" i="19" s="1"/>
  <c r="M53" i="19" s="1"/>
  <c r="K231" i="19"/>
  <c r="K172" i="19"/>
  <c r="K297" i="19"/>
  <c r="L297" i="19" s="1"/>
  <c r="M297" i="19" s="1"/>
  <c r="K35" i="19"/>
  <c r="K140" i="19"/>
  <c r="K146" i="19"/>
  <c r="K5" i="19"/>
  <c r="K316" i="19"/>
  <c r="L316" i="19" s="1"/>
  <c r="M316" i="19" s="1"/>
  <c r="K216" i="19"/>
  <c r="K269" i="19"/>
  <c r="L269" i="19" s="1"/>
  <c r="M269" i="19" s="1"/>
  <c r="K69" i="19"/>
  <c r="L69" i="19" s="1"/>
  <c r="M69" i="19" s="1"/>
  <c r="K112" i="19"/>
  <c r="K30" i="19"/>
  <c r="K116" i="19"/>
  <c r="K81" i="19"/>
  <c r="K39" i="19"/>
  <c r="L39" i="19" s="1"/>
  <c r="M39" i="19" s="1"/>
  <c r="K185" i="19"/>
  <c r="K303" i="19"/>
  <c r="L303" i="19" s="1"/>
  <c r="M303" i="19" s="1"/>
  <c r="K21" i="19"/>
  <c r="K283" i="19"/>
  <c r="K190" i="19"/>
  <c r="K262" i="19"/>
  <c r="L262" i="19" s="1"/>
  <c r="M262" i="19" s="1"/>
  <c r="K291" i="19"/>
  <c r="K11" i="19"/>
  <c r="K195" i="19"/>
  <c r="K162" i="19"/>
  <c r="L162" i="19" s="1"/>
  <c r="M162" i="19" s="1"/>
  <c r="K33" i="19"/>
  <c r="L33" i="19" s="1"/>
  <c r="M33" i="19" s="1"/>
  <c r="K79" i="19"/>
  <c r="L79" i="19" s="1"/>
  <c r="M79" i="19" s="1"/>
  <c r="K75" i="19"/>
  <c r="L75" i="19" s="1"/>
  <c r="M75" i="19" s="1"/>
  <c r="K247" i="19"/>
  <c r="K41" i="19"/>
  <c r="K212" i="19"/>
  <c r="K199" i="19"/>
  <c r="K202" i="19"/>
  <c r="L202" i="19" s="1"/>
  <c r="M202" i="19" s="1"/>
  <c r="K109" i="19"/>
  <c r="K179" i="19"/>
  <c r="K295" i="19"/>
  <c r="L295" i="19" s="1"/>
  <c r="M295" i="19" s="1"/>
  <c r="K308" i="19"/>
  <c r="L308" i="19" s="1"/>
  <c r="M308" i="19" s="1"/>
  <c r="K119" i="19"/>
  <c r="K196" i="19"/>
  <c r="K51" i="19"/>
  <c r="K192" i="19"/>
  <c r="L192" i="19" s="1"/>
  <c r="M192" i="19" s="1"/>
  <c r="K258" i="19"/>
  <c r="K153" i="19"/>
  <c r="K61" i="19"/>
  <c r="K187" i="19"/>
  <c r="K135" i="19"/>
  <c r="L135" i="19" s="1"/>
  <c r="M135" i="19" s="1"/>
  <c r="K243" i="19"/>
  <c r="L243" i="19" s="1"/>
  <c r="M243" i="19" s="1"/>
  <c r="K302" i="19"/>
  <c r="K124" i="19"/>
  <c r="K221" i="19"/>
  <c r="L221" i="19" s="1"/>
  <c r="M221" i="19" s="1"/>
  <c r="K245" i="19"/>
  <c r="K166" i="19"/>
  <c r="L166" i="19" s="1"/>
  <c r="M166" i="19" s="1"/>
  <c r="K126" i="19"/>
  <c r="L126" i="19" s="1"/>
  <c r="M126" i="19" s="1"/>
  <c r="K277" i="19"/>
  <c r="K65" i="19"/>
  <c r="K118" i="19"/>
  <c r="K181" i="19"/>
  <c r="K141" i="19"/>
  <c r="L141" i="19" s="1"/>
  <c r="M141" i="19" s="1"/>
  <c r="K270" i="19"/>
  <c r="L270" i="19" s="1"/>
  <c r="M270" i="19" s="1"/>
  <c r="K204" i="19"/>
  <c r="K82" i="19"/>
  <c r="K289" i="19"/>
  <c r="L289" i="19" s="1"/>
  <c r="M289" i="19" s="1"/>
  <c r="K47" i="19"/>
  <c r="L47" i="19" s="1"/>
  <c r="M47" i="19" s="1"/>
  <c r="K224" i="19"/>
  <c r="K110" i="19"/>
  <c r="K73" i="19"/>
  <c r="L277" i="19" l="1"/>
  <c r="M277" i="19" s="1"/>
  <c r="L68" i="19"/>
  <c r="M68" i="19" s="1"/>
  <c r="L258" i="19"/>
  <c r="M258" i="19" s="1"/>
  <c r="L266" i="19"/>
  <c r="M266" i="19" s="1"/>
  <c r="L240" i="19"/>
  <c r="M240" i="19" s="1"/>
  <c r="L6" i="19"/>
  <c r="M6" i="19" s="1"/>
  <c r="L142" i="19"/>
  <c r="M142" i="19" s="1"/>
  <c r="L288" i="19"/>
  <c r="M288" i="19" s="1"/>
  <c r="L48" i="19"/>
  <c r="M48" i="19" s="1"/>
  <c r="L250" i="19"/>
  <c r="M250" i="19" s="1"/>
  <c r="L196" i="19"/>
  <c r="M196" i="19" s="1"/>
  <c r="L185" i="19"/>
  <c r="M185" i="19" s="1"/>
  <c r="L71" i="19"/>
  <c r="M71" i="19" s="1"/>
  <c r="L123" i="19"/>
  <c r="M123" i="19" s="1"/>
  <c r="L70" i="19"/>
  <c r="M70" i="19" s="1"/>
  <c r="L219" i="19"/>
  <c r="M219" i="19" s="1"/>
  <c r="L139" i="19"/>
  <c r="M139" i="19" s="1"/>
  <c r="L252" i="19"/>
  <c r="M252" i="19" s="1"/>
  <c r="L36" i="19"/>
  <c r="M36" i="19" s="1"/>
  <c r="L161" i="19"/>
  <c r="M161" i="19" s="1"/>
  <c r="L106" i="19"/>
  <c r="M106" i="19" s="1"/>
  <c r="L110" i="19"/>
  <c r="M110" i="19" s="1"/>
  <c r="L178" i="19"/>
  <c r="M178" i="19" s="1"/>
  <c r="L180" i="19"/>
  <c r="M180" i="19" s="1"/>
  <c r="L208" i="19"/>
  <c r="M208" i="19" s="1"/>
  <c r="L131" i="19"/>
  <c r="M131" i="19" s="1"/>
  <c r="L212" i="19"/>
  <c r="M212" i="19" s="1"/>
  <c r="L60" i="19"/>
  <c r="M60" i="19" s="1"/>
  <c r="L313" i="19"/>
  <c r="M313" i="19" s="1"/>
  <c r="L74" i="19"/>
  <c r="M74" i="19" s="1"/>
  <c r="L41" i="19"/>
  <c r="M41" i="19" s="1"/>
  <c r="L267" i="19"/>
  <c r="M267" i="19" s="1"/>
  <c r="L247" i="19"/>
  <c r="M247" i="19" s="1"/>
  <c r="L285" i="19"/>
  <c r="M285" i="19" s="1"/>
  <c r="L204" i="19"/>
  <c r="M204" i="19" s="1"/>
  <c r="L124" i="19"/>
  <c r="M124" i="19" s="1"/>
  <c r="L119" i="19"/>
  <c r="M119" i="19" s="1"/>
  <c r="L35" i="19"/>
  <c r="M35" i="19" s="1"/>
  <c r="L78" i="19"/>
  <c r="M78" i="19" s="1"/>
  <c r="L76" i="19"/>
  <c r="M76" i="19" s="1"/>
  <c r="L294" i="19"/>
  <c r="M294" i="19" s="1"/>
  <c r="L209" i="19"/>
  <c r="M209" i="19" s="1"/>
  <c r="L271" i="19"/>
  <c r="M271" i="19" s="1"/>
  <c r="L54" i="19"/>
  <c r="M54" i="19" s="1"/>
  <c r="L87" i="19"/>
  <c r="M87" i="19" s="1"/>
  <c r="L287" i="19"/>
  <c r="M287" i="19" s="1"/>
  <c r="L293" i="19"/>
  <c r="M293" i="19" s="1"/>
  <c r="L83" i="19"/>
  <c r="M83" i="19" s="1"/>
  <c r="L16" i="19"/>
  <c r="M16" i="19" s="1"/>
  <c r="L132" i="19"/>
  <c r="M132" i="19" s="1"/>
  <c r="L206" i="19"/>
  <c r="M206" i="19" s="1"/>
  <c r="L8" i="19"/>
  <c r="M8" i="19" s="1"/>
  <c r="L50" i="19"/>
  <c r="M50" i="19" s="1"/>
  <c r="L21" i="19"/>
  <c r="M21" i="19" s="1"/>
  <c r="L226" i="19"/>
  <c r="M226" i="19" s="1"/>
  <c r="L147" i="19"/>
  <c r="M147" i="19" s="1"/>
  <c r="L314" i="19"/>
  <c r="M314" i="19" s="1"/>
  <c r="L173" i="19"/>
  <c r="M173" i="19" s="1"/>
  <c r="L31" i="19"/>
  <c r="M31" i="19" s="1"/>
  <c r="L274" i="19"/>
  <c r="M274" i="19" s="1"/>
  <c r="L20" i="19"/>
  <c r="M20" i="19" s="1"/>
  <c r="L52" i="19"/>
  <c r="M52" i="19" s="1"/>
  <c r="L115" i="19"/>
  <c r="M115" i="19" s="1"/>
  <c r="L125" i="19"/>
  <c r="M125" i="19" s="1"/>
  <c r="L310" i="19"/>
  <c r="M310" i="19" s="1"/>
  <c r="L281" i="19"/>
  <c r="M281" i="19" s="1"/>
  <c r="L245" i="19"/>
  <c r="M245" i="19" s="1"/>
  <c r="L300" i="19"/>
  <c r="M300" i="19" s="1"/>
  <c r="L188" i="19"/>
  <c r="M188" i="19" s="1"/>
  <c r="L90" i="19"/>
  <c r="M90" i="19" s="1"/>
  <c r="L163" i="19"/>
  <c r="M163" i="19" s="1"/>
  <c r="L307" i="19"/>
  <c r="M307" i="19" s="1"/>
  <c r="L203" i="19"/>
  <c r="M203" i="19" s="1"/>
  <c r="L249" i="19"/>
  <c r="M249" i="19" s="1"/>
  <c r="L42" i="19"/>
  <c r="M42" i="19" s="1"/>
  <c r="L104" i="19"/>
  <c r="M104" i="19" s="1"/>
  <c r="L153" i="19"/>
  <c r="M153" i="19" s="1"/>
  <c r="L107" i="19"/>
  <c r="M107" i="19" s="1"/>
  <c r="L150" i="19"/>
  <c r="M150" i="19" s="1"/>
  <c r="L256" i="19"/>
  <c r="M256" i="19" s="1"/>
  <c r="L80" i="19"/>
  <c r="M80" i="19" s="1"/>
  <c r="L205" i="19"/>
  <c r="M205" i="19" s="1"/>
  <c r="L5" i="19"/>
  <c r="M5" i="19" s="1"/>
  <c r="L210" i="19"/>
  <c r="M210" i="19" s="1"/>
  <c r="L51" i="19"/>
  <c r="M51" i="19" s="1"/>
  <c r="L44" i="19"/>
  <c r="M44" i="19" s="1"/>
  <c r="L273" i="19"/>
  <c r="M273" i="19" s="1"/>
  <c r="L174" i="19"/>
  <c r="M174" i="19" s="1"/>
  <c r="L116" i="19"/>
  <c r="M116" i="19" s="1"/>
  <c r="L30" i="19"/>
  <c r="M30" i="19" s="1"/>
  <c r="L231" i="19"/>
  <c r="M231" i="19" s="1"/>
  <c r="L40" i="19"/>
  <c r="M40" i="19" s="1"/>
  <c r="L244" i="19"/>
  <c r="M244" i="19" s="1"/>
  <c r="L13" i="19"/>
  <c r="M13" i="19" s="1"/>
  <c r="L149" i="19"/>
  <c r="M149" i="19" s="1"/>
  <c r="L235" i="19"/>
  <c r="M235" i="19" s="1"/>
  <c r="L222" i="19"/>
  <c r="M222" i="19" s="1"/>
  <c r="L272" i="19"/>
  <c r="M272" i="19" s="1"/>
  <c r="L171" i="19"/>
  <c r="M171" i="19" s="1"/>
  <c r="L154" i="19"/>
  <c r="M154" i="19" s="1"/>
  <c r="L237" i="19"/>
  <c r="M237" i="19" s="1"/>
  <c r="L66" i="19"/>
  <c r="M66" i="19" s="1"/>
  <c r="L127" i="19"/>
  <c r="M127" i="19" s="1"/>
  <c r="L214" i="19"/>
  <c r="M214" i="19" s="1"/>
  <c r="L146" i="19"/>
  <c r="M146" i="19" s="1"/>
  <c r="L268" i="19"/>
  <c r="M268" i="19" s="1"/>
  <c r="L238" i="19"/>
  <c r="M238" i="19" s="1"/>
  <c r="L81" i="19"/>
  <c r="M81" i="19" s="1"/>
  <c r="L172" i="19"/>
  <c r="M172" i="19" s="1"/>
  <c r="L179" i="19"/>
  <c r="M179" i="19" s="1"/>
  <c r="L11" i="19"/>
  <c r="M11" i="19" s="1"/>
  <c r="L112" i="19"/>
  <c r="M112" i="19" s="1"/>
  <c r="L101" i="19"/>
  <c r="M101" i="19" s="1"/>
  <c r="L46" i="19"/>
  <c r="M46" i="19" s="1"/>
  <c r="L103" i="19"/>
  <c r="M103" i="19" s="1"/>
  <c r="L217" i="19"/>
  <c r="M217" i="19" s="1"/>
  <c r="L100" i="19"/>
  <c r="M100" i="19" s="1"/>
  <c r="L25" i="19"/>
  <c r="M25" i="19" s="1"/>
  <c r="L312" i="19"/>
  <c r="M312" i="19" s="1"/>
  <c r="L301" i="19"/>
  <c r="M301" i="19" s="1"/>
  <c r="L284" i="19"/>
  <c r="M284" i="19" s="1"/>
  <c r="L43" i="19"/>
  <c r="M43" i="19" s="1"/>
  <c r="L223" i="19"/>
  <c r="M223" i="19" s="1"/>
  <c r="L286" i="19"/>
  <c r="M286" i="19" s="1"/>
  <c r="L85" i="19"/>
  <c r="M85" i="19" s="1"/>
  <c r="L32" i="19"/>
  <c r="M32" i="19" s="1"/>
  <c r="L241" i="19"/>
  <c r="M241" i="19" s="1"/>
  <c r="L317" i="19"/>
  <c r="M317" i="19" s="1"/>
  <c r="L10" i="19"/>
  <c r="M10" i="19" s="1"/>
  <c r="L186" i="19"/>
  <c r="M186" i="19" s="1"/>
  <c r="L95" i="19"/>
  <c r="M95" i="19" s="1"/>
  <c r="L73" i="19"/>
  <c r="M73" i="19" s="1"/>
  <c r="L61" i="19"/>
  <c r="M61" i="19" s="1"/>
  <c r="L291" i="19"/>
  <c r="M291" i="19" s="1"/>
  <c r="L253" i="19"/>
  <c r="M253" i="19" s="1"/>
  <c r="L72" i="19"/>
  <c r="M72" i="19" s="1"/>
  <c r="L148" i="19"/>
  <c r="M148" i="19" s="1"/>
  <c r="L136" i="19"/>
  <c r="M136" i="19" s="1"/>
  <c r="L264" i="19"/>
  <c r="M264" i="19" s="1"/>
  <c r="L56" i="19"/>
  <c r="M56" i="19" s="1"/>
  <c r="L151" i="19"/>
  <c r="M151" i="19" s="1"/>
  <c r="L130" i="19"/>
  <c r="M130" i="19" s="1"/>
  <c r="L63" i="19"/>
  <c r="M63" i="19" s="1"/>
  <c r="K3" i="19" a="1"/>
  <c r="K3" i="19" s="1"/>
  <c r="M3" i="19" l="1" a="1"/>
  <c r="M3" i="19" s="1"/>
  <c r="L3" i="19" a="1"/>
  <c r="L3" i="19" s="1"/>
  <c r="N304" i="19" l="1"/>
  <c r="N230" i="19"/>
  <c r="O230" i="19" s="1"/>
  <c r="P230" i="19" s="1"/>
  <c r="N106" i="19"/>
  <c r="O106" i="19" s="1"/>
  <c r="P106" i="19" s="1"/>
  <c r="N195" i="19"/>
  <c r="N276" i="19"/>
  <c r="N268" i="19"/>
  <c r="O268" i="19" s="1"/>
  <c r="P268" i="19" s="1"/>
  <c r="N257" i="19"/>
  <c r="O257" i="19" s="1"/>
  <c r="P257" i="19" s="1"/>
  <c r="N289" i="19"/>
  <c r="O289" i="19" s="1"/>
  <c r="P289" i="19" s="1"/>
  <c r="N192" i="19"/>
  <c r="O192" i="19" s="1"/>
  <c r="P192" i="19" s="1"/>
  <c r="N118" i="19"/>
  <c r="N67" i="19"/>
  <c r="O67" i="19" s="1"/>
  <c r="P67" i="19" s="1"/>
  <c r="N134" i="19"/>
  <c r="N203" i="19"/>
  <c r="O203" i="19" s="1"/>
  <c r="P203" i="19" s="1"/>
  <c r="N295" i="19"/>
  <c r="O295" i="19" s="1"/>
  <c r="P295" i="19" s="1"/>
  <c r="N262" i="19"/>
  <c r="O262" i="19" s="1"/>
  <c r="P262" i="19" s="1"/>
  <c r="N12" i="19"/>
  <c r="O12" i="19" s="1"/>
  <c r="P12" i="19" s="1"/>
  <c r="N209" i="19"/>
  <c r="O209" i="19" s="1"/>
  <c r="P209" i="19" s="1"/>
  <c r="N140" i="19"/>
  <c r="N308" i="19"/>
  <c r="O308" i="19" s="1"/>
  <c r="P308" i="19" s="1"/>
  <c r="N265" i="19"/>
  <c r="O265" i="19" s="1"/>
  <c r="P265" i="19" s="1"/>
  <c r="N9" i="19"/>
  <c r="N159" i="19"/>
  <c r="O159" i="19" s="1"/>
  <c r="P159" i="19" s="1"/>
  <c r="N292" i="19"/>
  <c r="O292" i="19" s="1"/>
  <c r="P292" i="19" s="1"/>
  <c r="N69" i="19"/>
  <c r="O69" i="19" s="1"/>
  <c r="P69" i="19" s="1"/>
  <c r="N215" i="19"/>
  <c r="O215" i="19" s="1"/>
  <c r="P215" i="19" s="1"/>
  <c r="N148" i="19"/>
  <c r="O148" i="19" s="1"/>
  <c r="P148" i="19" s="1"/>
  <c r="N221" i="19"/>
  <c r="O221" i="19" s="1"/>
  <c r="P221" i="19" s="1"/>
  <c r="N210" i="19"/>
  <c r="O210" i="19" s="1"/>
  <c r="P210" i="19" s="1"/>
  <c r="N286" i="19"/>
  <c r="O286" i="19" s="1"/>
  <c r="P286" i="19" s="1"/>
  <c r="N138" i="19"/>
  <c r="N114" i="19"/>
  <c r="O114" i="19" s="1"/>
  <c r="P114" i="19" s="1"/>
  <c r="N300" i="19"/>
  <c r="O300" i="19" s="1"/>
  <c r="P300" i="19" s="1"/>
  <c r="N170" i="19"/>
  <c r="O170" i="19" s="1"/>
  <c r="P170" i="19" s="1"/>
  <c r="N311" i="19"/>
  <c r="N75" i="19"/>
  <c r="O75" i="19" s="1"/>
  <c r="P75" i="19" s="1"/>
  <c r="N91" i="19"/>
  <c r="O91" i="19" s="1"/>
  <c r="P91" i="19" s="1"/>
  <c r="N92" i="19"/>
  <c r="N102" i="19"/>
  <c r="O102" i="19" s="1"/>
  <c r="P102" i="19" s="1"/>
  <c r="N239" i="19"/>
  <c r="O239" i="19" s="1"/>
  <c r="P239" i="19" s="1"/>
  <c r="N177" i="19"/>
  <c r="O177" i="19" s="1"/>
  <c r="P177" i="19" s="1"/>
  <c r="N99" i="19"/>
  <c r="N303" i="19"/>
  <c r="O303" i="19" s="1"/>
  <c r="P303" i="19" s="1"/>
  <c r="N83" i="19"/>
  <c r="O83" i="19" s="1"/>
  <c r="P83" i="19" s="1"/>
  <c r="N48" i="19"/>
  <c r="O48" i="19" s="1"/>
  <c r="P48" i="19" s="1"/>
  <c r="N269" i="19"/>
  <c r="O269" i="19" s="1"/>
  <c r="P269" i="19" s="1"/>
  <c r="N270" i="19"/>
  <c r="O270" i="19" s="1"/>
  <c r="P270" i="19" s="1"/>
  <c r="N232" i="19"/>
  <c r="N135" i="19"/>
  <c r="O135" i="19" s="1"/>
  <c r="P135" i="19" s="1"/>
  <c r="N56" i="19"/>
  <c r="O56" i="19" s="1"/>
  <c r="P56" i="19" s="1"/>
  <c r="N113" i="19"/>
  <c r="O113" i="19" s="1"/>
  <c r="P113" i="19" s="1"/>
  <c r="N47" i="19"/>
  <c r="O47" i="19" s="1"/>
  <c r="P47" i="19" s="1"/>
  <c r="N228" i="19"/>
  <c r="N126" i="19"/>
  <c r="O126" i="19" s="1"/>
  <c r="P126" i="19" s="1"/>
  <c r="N79" i="19"/>
  <c r="O79" i="19" s="1"/>
  <c r="P79" i="19" s="1"/>
  <c r="N243" i="19"/>
  <c r="O243" i="19" s="1"/>
  <c r="P243" i="19" s="1"/>
  <c r="N182" i="19"/>
  <c r="N283" i="19"/>
  <c r="N53" i="19"/>
  <c r="O53" i="19" s="1"/>
  <c r="P53" i="19" s="1"/>
  <c r="N166" i="19"/>
  <c r="O166" i="19" s="1"/>
  <c r="P166" i="19" s="1"/>
  <c r="N57" i="19"/>
  <c r="N46" i="19"/>
  <c r="O46" i="19" s="1"/>
  <c r="P46" i="19" s="1"/>
  <c r="N315" i="19"/>
  <c r="O315" i="19" s="1"/>
  <c r="P315" i="19" s="1"/>
  <c r="N77" i="19"/>
  <c r="N66" i="19"/>
  <c r="O66" i="19" s="1"/>
  <c r="P66" i="19" s="1"/>
  <c r="N120" i="19"/>
  <c r="O120" i="19" s="1"/>
  <c r="P120" i="19" s="1"/>
  <c r="N38" i="19"/>
  <c r="N103" i="19"/>
  <c r="O103" i="19" s="1"/>
  <c r="P103" i="19" s="1"/>
  <c r="N123" i="19"/>
  <c r="O123" i="19" s="1"/>
  <c r="P123" i="19" s="1"/>
  <c r="N275" i="19"/>
  <c r="N108" i="19"/>
  <c r="O108" i="19" s="1"/>
  <c r="P108" i="19" s="1"/>
  <c r="N111" i="19"/>
  <c r="N263" i="19"/>
  <c r="N296" i="19"/>
  <c r="O296" i="19" s="1"/>
  <c r="P296" i="19" s="1"/>
  <c r="N211" i="19"/>
  <c r="O211" i="19" s="1"/>
  <c r="P211" i="19" s="1"/>
  <c r="N202" i="19"/>
  <c r="O202" i="19" s="1"/>
  <c r="P202" i="19" s="1"/>
  <c r="N147" i="19"/>
  <c r="O147" i="19" s="1"/>
  <c r="P147" i="19" s="1"/>
  <c r="N206" i="19"/>
  <c r="O206" i="19" s="1"/>
  <c r="P206" i="19" s="1"/>
  <c r="N130" i="19"/>
  <c r="O130" i="19" s="1"/>
  <c r="P130" i="19" s="1"/>
  <c r="N137" i="19"/>
  <c r="O137" i="19" s="1"/>
  <c r="P137" i="19" s="1"/>
  <c r="N234" i="19"/>
  <c r="O234" i="19" s="1"/>
  <c r="P234" i="19" s="1"/>
  <c r="N43" i="19"/>
  <c r="O43" i="19" s="1"/>
  <c r="P43" i="19" s="1"/>
  <c r="N208" i="19"/>
  <c r="O208" i="19" s="1"/>
  <c r="P208" i="19" s="1"/>
  <c r="N98" i="19"/>
  <c r="O98" i="19" s="1"/>
  <c r="P98" i="19" s="1"/>
  <c r="N24" i="19"/>
  <c r="N62" i="19"/>
  <c r="N213" i="19"/>
  <c r="N313" i="19"/>
  <c r="O313" i="19" s="1"/>
  <c r="P313" i="19" s="1"/>
  <c r="N172" i="19"/>
  <c r="O172" i="19" s="1"/>
  <c r="P172" i="19" s="1"/>
  <c r="N193" i="19"/>
  <c r="N124" i="19"/>
  <c r="O124" i="19" s="1"/>
  <c r="P124" i="19" s="1"/>
  <c r="N101" i="19"/>
  <c r="O101" i="19" s="1"/>
  <c r="P101" i="19" s="1"/>
  <c r="N121" i="19"/>
  <c r="O121" i="19" s="1"/>
  <c r="P121" i="19" s="1"/>
  <c r="N28" i="19"/>
  <c r="N96" i="19"/>
  <c r="N218" i="19"/>
  <c r="O218" i="19" s="1"/>
  <c r="P218" i="19" s="1"/>
  <c r="N85" i="19"/>
  <c r="O85" i="19" s="1"/>
  <c r="P85" i="19" s="1"/>
  <c r="N299" i="19"/>
  <c r="O299" i="19" s="1"/>
  <c r="P299" i="19" s="1"/>
  <c r="N198" i="19"/>
  <c r="N151" i="19"/>
  <c r="O151" i="19" s="1"/>
  <c r="P151" i="19" s="1"/>
  <c r="N22" i="19"/>
  <c r="N216" i="19"/>
  <c r="N117" i="19"/>
  <c r="O117" i="19" s="1"/>
  <c r="P117" i="19" s="1"/>
  <c r="N272" i="19"/>
  <c r="O272" i="19" s="1"/>
  <c r="P272" i="19" s="1"/>
  <c r="N25" i="19"/>
  <c r="O25" i="19" s="1"/>
  <c r="P25" i="19" s="1"/>
  <c r="N153" i="19"/>
  <c r="O153" i="19" s="1"/>
  <c r="P153" i="19" s="1"/>
  <c r="N78" i="19"/>
  <c r="O78" i="19" s="1"/>
  <c r="P78" i="19" s="1"/>
  <c r="N251" i="19"/>
  <c r="N158" i="19"/>
  <c r="N240" i="19"/>
  <c r="O240" i="19" s="1"/>
  <c r="P240" i="19" s="1"/>
  <c r="N279" i="19"/>
  <c r="N87" i="19"/>
  <c r="O87" i="19" s="1"/>
  <c r="P87" i="19" s="1"/>
  <c r="N58" i="19"/>
  <c r="O58" i="19" s="1"/>
  <c r="P58" i="19" s="1"/>
  <c r="N225" i="19"/>
  <c r="O225" i="19" s="1"/>
  <c r="P225" i="19" s="1"/>
  <c r="N197" i="19"/>
  <c r="O197" i="19" s="1"/>
  <c r="P197" i="19" s="1"/>
  <c r="N204" i="19"/>
  <c r="O204" i="19" s="1"/>
  <c r="P204" i="19" s="1"/>
  <c r="N51" i="19"/>
  <c r="O51" i="19" s="1"/>
  <c r="P51" i="19" s="1"/>
  <c r="N207" i="19"/>
  <c r="N169" i="19"/>
  <c r="O169" i="19" s="1"/>
  <c r="P169" i="19" s="1"/>
  <c r="N291" i="19"/>
  <c r="O291" i="19" s="1"/>
  <c r="P291" i="19" s="1"/>
  <c r="N219" i="19"/>
  <c r="O219" i="19" s="1"/>
  <c r="P219" i="19" s="1"/>
  <c r="N23" i="19"/>
  <c r="N49" i="19"/>
  <c r="N277" i="19"/>
  <c r="O277" i="19" s="1"/>
  <c r="P277" i="19" s="1"/>
  <c r="N132" i="19"/>
  <c r="O132" i="19" s="1"/>
  <c r="P132" i="19" s="1"/>
  <c r="N305" i="19"/>
  <c r="N119" i="19"/>
  <c r="O119" i="19" s="1"/>
  <c r="P119" i="19" s="1"/>
  <c r="N33" i="19"/>
  <c r="O33" i="19" s="1"/>
  <c r="P33" i="19" s="1"/>
  <c r="N174" i="19"/>
  <c r="O174" i="19" s="1"/>
  <c r="P174" i="19" s="1"/>
  <c r="N149" i="19"/>
  <c r="O149" i="19" s="1"/>
  <c r="P149" i="19" s="1"/>
  <c r="N285" i="19"/>
  <c r="O285" i="19" s="1"/>
  <c r="P285" i="19" s="1"/>
  <c r="N7" i="19"/>
  <c r="N237" i="19"/>
  <c r="O237" i="19" s="1"/>
  <c r="P237" i="19" s="1"/>
  <c r="N196" i="19"/>
  <c r="O196" i="19" s="1"/>
  <c r="P196" i="19" s="1"/>
  <c r="N116" i="19"/>
  <c r="O116" i="19" s="1"/>
  <c r="P116" i="19" s="1"/>
  <c r="N244" i="19"/>
  <c r="O244" i="19" s="1"/>
  <c r="P244" i="19" s="1"/>
  <c r="N141" i="19"/>
  <c r="O141" i="19" s="1"/>
  <c r="P141" i="19" s="1"/>
  <c r="N241" i="19"/>
  <c r="O241" i="19" s="1"/>
  <c r="P241" i="19" s="1"/>
  <c r="N306" i="19"/>
  <c r="O306" i="19" s="1"/>
  <c r="P306" i="19" s="1"/>
  <c r="N316" i="19"/>
  <c r="O316" i="19" s="1"/>
  <c r="P316" i="19" s="1"/>
  <c r="N189" i="19"/>
  <c r="N310" i="19"/>
  <c r="O310" i="19" s="1"/>
  <c r="P310" i="19" s="1"/>
  <c r="N11" i="19"/>
  <c r="O11" i="19" s="1"/>
  <c r="P11" i="19" s="1"/>
  <c r="N222" i="19"/>
  <c r="O222" i="19" s="1"/>
  <c r="P222" i="19" s="1"/>
  <c r="N146" i="19"/>
  <c r="O146" i="19" s="1"/>
  <c r="P146" i="19" s="1"/>
  <c r="N44" i="19"/>
  <c r="O44" i="19" s="1"/>
  <c r="P44" i="19" s="1"/>
  <c r="N104" i="19"/>
  <c r="O104" i="19" s="1"/>
  <c r="P104" i="19" s="1"/>
  <c r="N160" i="19"/>
  <c r="O160" i="19" s="1"/>
  <c r="P160" i="19" s="1"/>
  <c r="N168" i="19"/>
  <c r="N143" i="19"/>
  <c r="N309" i="19"/>
  <c r="N80" i="19"/>
  <c r="O80" i="19" s="1"/>
  <c r="P80" i="19" s="1"/>
  <c r="N115" i="19"/>
  <c r="O115" i="19" s="1"/>
  <c r="P115" i="19" s="1"/>
  <c r="N266" i="19"/>
  <c r="O266" i="19" s="1"/>
  <c r="P266" i="19" s="1"/>
  <c r="N231" i="19"/>
  <c r="O231" i="19" s="1"/>
  <c r="P231" i="19" s="1"/>
  <c r="N72" i="19"/>
  <c r="O72" i="19" s="1"/>
  <c r="P72" i="19" s="1"/>
  <c r="N253" i="19"/>
  <c r="O253" i="19" s="1"/>
  <c r="P253" i="19" s="1"/>
  <c r="N282" i="19"/>
  <c r="O282" i="19" s="1"/>
  <c r="P282" i="19" s="1"/>
  <c r="N37" i="19"/>
  <c r="N142" i="19"/>
  <c r="O142" i="19" s="1"/>
  <c r="P142" i="19" s="1"/>
  <c r="N242" i="19"/>
  <c r="N21" i="19"/>
  <c r="O21" i="19" s="1"/>
  <c r="P21" i="19" s="1"/>
  <c r="N6" i="19"/>
  <c r="O6" i="19" s="1"/>
  <c r="P6" i="19" s="1"/>
  <c r="N30" i="19"/>
  <c r="O30" i="19" s="1"/>
  <c r="P30" i="19" s="1"/>
  <c r="N68" i="19"/>
  <c r="O68" i="19" s="1"/>
  <c r="P68" i="19" s="1"/>
  <c r="N246" i="19"/>
  <c r="N16" i="19"/>
  <c r="O16" i="19" s="1"/>
  <c r="P16" i="19" s="1"/>
  <c r="N18" i="19"/>
  <c r="N205" i="19"/>
  <c r="O205" i="19" s="1"/>
  <c r="P205" i="19" s="1"/>
  <c r="N301" i="19"/>
  <c r="O301" i="19" s="1"/>
  <c r="P301" i="19" s="1"/>
  <c r="N52" i="19"/>
  <c r="O52" i="19" s="1"/>
  <c r="P52" i="19" s="1"/>
  <c r="N162" i="19"/>
  <c r="O162" i="19" s="1"/>
  <c r="P162" i="19" s="1"/>
  <c r="N90" i="19"/>
  <c r="O90" i="19" s="1"/>
  <c r="P90" i="19" s="1"/>
  <c r="N154" i="19"/>
  <c r="O154" i="19" s="1"/>
  <c r="P154" i="19" s="1"/>
  <c r="N267" i="19"/>
  <c r="O267" i="19" s="1"/>
  <c r="P267" i="19" s="1"/>
  <c r="N223" i="19"/>
  <c r="O223" i="19" s="1"/>
  <c r="P223" i="19" s="1"/>
  <c r="N89" i="19"/>
  <c r="N41" i="19"/>
  <c r="O41" i="19" s="1"/>
  <c r="P41" i="19" s="1"/>
  <c r="N236" i="19"/>
  <c r="N34" i="19"/>
  <c r="N8" i="19"/>
  <c r="O8" i="19" s="1"/>
  <c r="P8" i="19" s="1"/>
  <c r="N4" i="19"/>
  <c r="O4" i="19" s="1"/>
  <c r="P4" i="19" s="1"/>
  <c r="N184" i="19"/>
  <c r="N144" i="19"/>
  <c r="N278" i="19"/>
  <c r="N127" i="19"/>
  <c r="O127" i="19" s="1"/>
  <c r="P127" i="19" s="1"/>
  <c r="N125" i="19"/>
  <c r="O125" i="19" s="1"/>
  <c r="P125" i="19" s="1"/>
  <c r="N212" i="19"/>
  <c r="O212" i="19" s="1"/>
  <c r="P212" i="19" s="1"/>
  <c r="N59" i="19"/>
  <c r="N271" i="19"/>
  <c r="O271" i="19" s="1"/>
  <c r="P271" i="19" s="1"/>
  <c r="N73" i="19"/>
  <c r="O73" i="19" s="1"/>
  <c r="P73" i="19" s="1"/>
  <c r="N178" i="19"/>
  <c r="O178" i="19" s="1"/>
  <c r="P178" i="19" s="1"/>
  <c r="N63" i="19"/>
  <c r="O63" i="19" s="1"/>
  <c r="P63" i="19" s="1"/>
  <c r="N258" i="19"/>
  <c r="O258" i="19" s="1"/>
  <c r="P258" i="19" s="1"/>
  <c r="N122" i="19"/>
  <c r="N194" i="19"/>
  <c r="O194" i="19" s="1"/>
  <c r="P194" i="19" s="1"/>
  <c r="N260" i="19"/>
  <c r="N201" i="19"/>
  <c r="O201" i="19" s="1"/>
  <c r="P201" i="19" s="1"/>
  <c r="N110" i="19"/>
  <c r="O110" i="19" s="1"/>
  <c r="P110" i="19" s="1"/>
  <c r="N165" i="19"/>
  <c r="N136" i="19"/>
  <c r="O136" i="19" s="1"/>
  <c r="P136" i="19" s="1"/>
  <c r="N173" i="19"/>
  <c r="O173" i="19" s="1"/>
  <c r="P173" i="19" s="1"/>
  <c r="N281" i="19"/>
  <c r="O281" i="19" s="1"/>
  <c r="P281" i="19" s="1"/>
  <c r="N273" i="19"/>
  <c r="O273" i="19" s="1"/>
  <c r="P273" i="19" s="1"/>
  <c r="N129" i="19"/>
  <c r="N187" i="19"/>
  <c r="N248" i="19"/>
  <c r="N82" i="19"/>
  <c r="N39" i="19"/>
  <c r="O39" i="19" s="1"/>
  <c r="P39" i="19" s="1"/>
  <c r="N54" i="19"/>
  <c r="O54" i="19" s="1"/>
  <c r="P54" i="19" s="1"/>
  <c r="N250" i="19"/>
  <c r="O250" i="19" s="1"/>
  <c r="P250" i="19" s="1"/>
  <c r="N190" i="19"/>
  <c r="N13" i="19"/>
  <c r="O13" i="19" s="1"/>
  <c r="P13" i="19" s="1"/>
  <c r="N175" i="19"/>
  <c r="O175" i="19" s="1"/>
  <c r="P175" i="19" s="1"/>
  <c r="N199" i="19"/>
  <c r="N81" i="19"/>
  <c r="O81" i="19" s="1"/>
  <c r="P81" i="19" s="1"/>
  <c r="N32" i="19"/>
  <c r="O32" i="19" s="1"/>
  <c r="P32" i="19" s="1"/>
  <c r="N226" i="19"/>
  <c r="O226" i="19" s="1"/>
  <c r="P226" i="19" s="1"/>
  <c r="N161" i="19"/>
  <c r="O161" i="19" s="1"/>
  <c r="P161" i="19" s="1"/>
  <c r="N155" i="19"/>
  <c r="N290" i="19"/>
  <c r="O290" i="19" s="1"/>
  <c r="P290" i="19" s="1"/>
  <c r="N150" i="19"/>
  <c r="O150" i="19" s="1"/>
  <c r="P150" i="19" s="1"/>
  <c r="N17" i="19"/>
  <c r="O17" i="19" s="1"/>
  <c r="P17" i="19" s="1"/>
  <c r="N65" i="19"/>
  <c r="N317" i="19"/>
  <c r="O317" i="19" s="1"/>
  <c r="P317" i="19" s="1"/>
  <c r="N107" i="19"/>
  <c r="O107" i="19" s="1"/>
  <c r="P107" i="19" s="1"/>
  <c r="N93" i="19"/>
  <c r="O93" i="19" s="1"/>
  <c r="P93" i="19" s="1"/>
  <c r="N20" i="19"/>
  <c r="O20" i="19" s="1"/>
  <c r="P20" i="19" s="1"/>
  <c r="N314" i="19"/>
  <c r="O314" i="19" s="1"/>
  <c r="P314" i="19" s="1"/>
  <c r="N61" i="19"/>
  <c r="O61" i="19" s="1"/>
  <c r="P61" i="19" s="1"/>
  <c r="N145" i="19"/>
  <c r="N217" i="19"/>
  <c r="O217" i="19" s="1"/>
  <c r="P217" i="19" s="1"/>
  <c r="N245" i="19"/>
  <c r="O245" i="19" s="1"/>
  <c r="P245" i="19" s="1"/>
  <c r="N224" i="19"/>
  <c r="N95" i="19"/>
  <c r="O95" i="19" s="1"/>
  <c r="P95" i="19" s="1"/>
  <c r="N220" i="19"/>
  <c r="N76" i="19"/>
  <c r="O76" i="19" s="1"/>
  <c r="P76" i="19" s="1"/>
  <c r="N284" i="19"/>
  <c r="O284" i="19" s="1"/>
  <c r="P284" i="19" s="1"/>
  <c r="N100" i="19"/>
  <c r="O100" i="19" s="1"/>
  <c r="P100" i="19" s="1"/>
  <c r="N167" i="19"/>
  <c r="N293" i="19"/>
  <c r="O293" i="19" s="1"/>
  <c r="P293" i="19" s="1"/>
  <c r="N70" i="19"/>
  <c r="O70" i="19" s="1"/>
  <c r="P70" i="19" s="1"/>
  <c r="N254" i="19"/>
  <c r="N14" i="19"/>
  <c r="N176" i="19"/>
  <c r="O176" i="19" s="1"/>
  <c r="P176" i="19" s="1"/>
  <c r="N297" i="19"/>
  <c r="O297" i="19" s="1"/>
  <c r="P297" i="19" s="1"/>
  <c r="N105" i="19"/>
  <c r="O105" i="19" s="1"/>
  <c r="P105" i="19" s="1"/>
  <c r="N26" i="19"/>
  <c r="N227" i="19"/>
  <c r="N88" i="19"/>
  <c r="N71" i="19"/>
  <c r="O71" i="19" s="1"/>
  <c r="P71" i="19" s="1"/>
  <c r="N179" i="19"/>
  <c r="O179" i="19" s="1"/>
  <c r="P179" i="19" s="1"/>
  <c r="N191" i="19"/>
  <c r="O191" i="19" s="1"/>
  <c r="P191" i="19" s="1"/>
  <c r="N156" i="19"/>
  <c r="N302" i="19"/>
  <c r="N31" i="19"/>
  <c r="O31" i="19" s="1"/>
  <c r="P31" i="19" s="1"/>
  <c r="N112" i="19"/>
  <c r="O112" i="19" s="1"/>
  <c r="P112" i="19" s="1"/>
  <c r="N274" i="19"/>
  <c r="O274" i="19" s="1"/>
  <c r="P274" i="19" s="1"/>
  <c r="N200" i="19"/>
  <c r="O200" i="19" s="1"/>
  <c r="P200" i="19" s="1"/>
  <c r="N307" i="19"/>
  <c r="O307" i="19" s="1"/>
  <c r="P307" i="19" s="1"/>
  <c r="N233" i="19"/>
  <c r="N50" i="19"/>
  <c r="O50" i="19" s="1"/>
  <c r="P50" i="19" s="1"/>
  <c r="N298" i="19"/>
  <c r="N164" i="19"/>
  <c r="N181" i="19"/>
  <c r="N188" i="19"/>
  <c r="O188" i="19" s="1"/>
  <c r="P188" i="19" s="1"/>
  <c r="N42" i="19"/>
  <c r="O42" i="19" s="1"/>
  <c r="P42" i="19" s="1"/>
  <c r="N94" i="19"/>
  <c r="N229" i="19"/>
  <c r="N10" i="19"/>
  <c r="O10" i="19" s="1"/>
  <c r="P10" i="19" s="1"/>
  <c r="N255" i="19"/>
  <c r="O255" i="19" s="1"/>
  <c r="P255" i="19" s="1"/>
  <c r="N171" i="19"/>
  <c r="O171" i="19" s="1"/>
  <c r="P171" i="19" s="1"/>
  <c r="N214" i="19"/>
  <c r="O214" i="19" s="1"/>
  <c r="P214" i="19" s="1"/>
  <c r="N180" i="19"/>
  <c r="O180" i="19" s="1"/>
  <c r="P180" i="19" s="1"/>
  <c r="N280" i="19"/>
  <c r="O280" i="19" s="1"/>
  <c r="P280" i="19" s="1"/>
  <c r="N259" i="19"/>
  <c r="N163" i="19"/>
  <c r="O163" i="19" s="1"/>
  <c r="P163" i="19" s="1"/>
  <c r="N235" i="19"/>
  <c r="O235" i="19" s="1"/>
  <c r="P235" i="19" s="1"/>
  <c r="N238" i="19"/>
  <c r="O238" i="19" s="1"/>
  <c r="P238" i="19" s="1"/>
  <c r="N152" i="19"/>
  <c r="N36" i="19"/>
  <c r="O36" i="19" s="1"/>
  <c r="P36" i="19" s="1"/>
  <c r="N60" i="19"/>
  <c r="O60" i="19" s="1"/>
  <c r="P60" i="19" s="1"/>
  <c r="N29" i="19"/>
  <c r="N133" i="19"/>
  <c r="N287" i="19"/>
  <c r="O287" i="19" s="1"/>
  <c r="P287" i="19" s="1"/>
  <c r="N40" i="19"/>
  <c r="O40" i="19" s="1"/>
  <c r="P40" i="19" s="1"/>
  <c r="N64" i="19"/>
  <c r="N86" i="19"/>
  <c r="N252" i="19"/>
  <c r="O252" i="19" s="1"/>
  <c r="P252" i="19" s="1"/>
  <c r="N19" i="19"/>
  <c r="N157" i="19"/>
  <c r="N35" i="19"/>
  <c r="O35" i="19" s="1"/>
  <c r="P35" i="19" s="1"/>
  <c r="N97" i="19"/>
  <c r="O97" i="19" s="1"/>
  <c r="P97" i="19" s="1"/>
  <c r="N185" i="19"/>
  <c r="O185" i="19" s="1"/>
  <c r="P185" i="19" s="1"/>
  <c r="N139" i="19"/>
  <c r="O139" i="19" s="1"/>
  <c r="P139" i="19" s="1"/>
  <c r="N186" i="19"/>
  <c r="O186" i="19" s="1"/>
  <c r="P186" i="19" s="1"/>
  <c r="N256" i="19"/>
  <c r="O256" i="19" s="1"/>
  <c r="P256" i="19" s="1"/>
  <c r="N312" i="19"/>
  <c r="O312" i="19" s="1"/>
  <c r="P312" i="19" s="1"/>
  <c r="N5" i="19"/>
  <c r="O5" i="19" s="1"/>
  <c r="P5" i="19" s="1"/>
  <c r="N128" i="19"/>
  <c r="O128" i="19" s="1"/>
  <c r="P128" i="19" s="1"/>
  <c r="N247" i="19"/>
  <c r="O247" i="19" s="1"/>
  <c r="P247" i="19" s="1"/>
  <c r="N131" i="19"/>
  <c r="O131" i="19" s="1"/>
  <c r="P131" i="19" s="1"/>
  <c r="N264" i="19"/>
  <c r="O264" i="19" s="1"/>
  <c r="P264" i="19" s="1"/>
  <c r="N74" i="19"/>
  <c r="O74" i="19" s="1"/>
  <c r="P74" i="19" s="1"/>
  <c r="N261" i="19"/>
  <c r="N84" i="19"/>
  <c r="N183" i="19"/>
  <c r="N288" i="19"/>
  <c r="O288" i="19" s="1"/>
  <c r="P288" i="19" s="1"/>
  <c r="N15" i="19"/>
  <c r="N55" i="19"/>
  <c r="O55" i="19" s="1"/>
  <c r="P55" i="19" s="1"/>
  <c r="N45" i="19"/>
  <c r="O45" i="19" s="1"/>
  <c r="P45" i="19" s="1"/>
  <c r="N27" i="19"/>
  <c r="N249" i="19"/>
  <c r="O249" i="19" s="1"/>
  <c r="P249" i="19" s="1"/>
  <c r="N109" i="19"/>
  <c r="N294" i="19"/>
  <c r="O294" i="19" s="1"/>
  <c r="P294" i="19" s="1"/>
  <c r="N3" i="19" l="1" a="1"/>
  <c r="N3" i="19" s="1"/>
  <c r="P3" i="19" l="1" a="1"/>
  <c r="P3" i="19" s="1"/>
  <c r="O3" i="19" a="1"/>
  <c r="O3" i="19" s="1"/>
  <c r="Q314" i="19" l="1"/>
  <c r="R314" i="19" s="1"/>
  <c r="S314" i="19" s="1"/>
  <c r="Q230" i="19"/>
  <c r="R230" i="19" s="1"/>
  <c r="S230" i="19" s="1"/>
  <c r="Q106" i="19"/>
  <c r="R106" i="19" s="1"/>
  <c r="S106" i="19" s="1"/>
  <c r="Q274" i="19"/>
  <c r="R274" i="19" s="1"/>
  <c r="S274" i="19" s="1"/>
  <c r="Q267" i="19"/>
  <c r="R267" i="19" s="1"/>
  <c r="S267" i="19" s="1"/>
  <c r="Q238" i="19"/>
  <c r="R238" i="19" s="1"/>
  <c r="S238" i="19" s="1"/>
  <c r="Q132" i="19"/>
  <c r="R132" i="19" s="1"/>
  <c r="S132" i="19" s="1"/>
  <c r="Q223" i="19"/>
  <c r="R223" i="19" s="1"/>
  <c r="S223" i="19" s="1"/>
  <c r="Q115" i="19"/>
  <c r="R115" i="19" s="1"/>
  <c r="S115" i="19" s="1"/>
  <c r="Q19" i="19"/>
  <c r="Q229" i="19"/>
  <c r="Q11" i="19"/>
  <c r="R11" i="19" s="1"/>
  <c r="S11" i="19" s="1"/>
  <c r="Q311" i="19"/>
  <c r="Q44" i="19"/>
  <c r="R44" i="19" s="1"/>
  <c r="S44" i="19" s="1"/>
  <c r="Q179" i="19"/>
  <c r="R179" i="19" s="1"/>
  <c r="S179" i="19" s="1"/>
  <c r="Q194" i="19"/>
  <c r="R194" i="19" s="1"/>
  <c r="S194" i="19" s="1"/>
  <c r="Q87" i="19"/>
  <c r="R87" i="19" s="1"/>
  <c r="S87" i="19" s="1"/>
  <c r="Q126" i="19"/>
  <c r="R126" i="19" s="1"/>
  <c r="S126" i="19" s="1"/>
  <c r="Q60" i="19"/>
  <c r="R60" i="19" s="1"/>
  <c r="S60" i="19" s="1"/>
  <c r="Q258" i="19"/>
  <c r="R258" i="19" s="1"/>
  <c r="S258" i="19" s="1"/>
  <c r="Q287" i="19"/>
  <c r="R287" i="19" s="1"/>
  <c r="S287" i="19" s="1"/>
  <c r="Q289" i="19"/>
  <c r="R289" i="19" s="1"/>
  <c r="S289" i="19" s="1"/>
  <c r="Q185" i="19"/>
  <c r="R185" i="19" s="1"/>
  <c r="S185" i="19" s="1"/>
  <c r="Q236" i="19"/>
  <c r="Q130" i="19"/>
  <c r="R130" i="19" s="1"/>
  <c r="S130" i="19" s="1"/>
  <c r="Q55" i="19"/>
  <c r="R55" i="19" s="1"/>
  <c r="S55" i="19" s="1"/>
  <c r="Q51" i="19"/>
  <c r="R51" i="19" s="1"/>
  <c r="S51" i="19" s="1"/>
  <c r="Q101" i="19"/>
  <c r="R101" i="19" s="1"/>
  <c r="S101" i="19" s="1"/>
  <c r="Q25" i="19"/>
  <c r="R25" i="19" s="1"/>
  <c r="S25" i="19" s="1"/>
  <c r="Q124" i="19"/>
  <c r="R124" i="19" s="1"/>
  <c r="S124" i="19" s="1"/>
  <c r="Q68" i="19"/>
  <c r="R68" i="19" s="1"/>
  <c r="S68" i="19" s="1"/>
  <c r="Q70" i="19"/>
  <c r="R70" i="19" s="1"/>
  <c r="S70" i="19" s="1"/>
  <c r="Q54" i="19"/>
  <c r="R54" i="19" s="1"/>
  <c r="S54" i="19" s="1"/>
  <c r="Q62" i="19"/>
  <c r="Q237" i="19"/>
  <c r="R237" i="19" s="1"/>
  <c r="S237" i="19" s="1"/>
  <c r="Q245" i="19"/>
  <c r="R245" i="19" s="1"/>
  <c r="S245" i="19" s="1"/>
  <c r="Q128" i="19"/>
  <c r="R128" i="19" s="1"/>
  <c r="S128" i="19" s="1"/>
  <c r="Q211" i="19"/>
  <c r="R211" i="19" s="1"/>
  <c r="S211" i="19" s="1"/>
  <c r="Q57" i="19"/>
  <c r="Q202" i="19"/>
  <c r="R202" i="19" s="1"/>
  <c r="S202" i="19" s="1"/>
  <c r="Q69" i="19"/>
  <c r="R69" i="19" s="1"/>
  <c r="S69" i="19" s="1"/>
  <c r="Q268" i="19"/>
  <c r="R268" i="19" s="1"/>
  <c r="S268" i="19" s="1"/>
  <c r="Q111" i="19"/>
  <c r="Q288" i="19"/>
  <c r="R288" i="19" s="1"/>
  <c r="S288" i="19" s="1"/>
  <c r="Q117" i="19"/>
  <c r="R117" i="19" s="1"/>
  <c r="S117" i="19" s="1"/>
  <c r="Q65" i="19"/>
  <c r="Q256" i="19"/>
  <c r="R256" i="19" s="1"/>
  <c r="S256" i="19" s="1"/>
  <c r="Q155" i="19"/>
  <c r="Q153" i="19"/>
  <c r="R153" i="19" s="1"/>
  <c r="S153" i="19" s="1"/>
  <c r="Q247" i="19"/>
  <c r="R247" i="19" s="1"/>
  <c r="S247" i="19" s="1"/>
  <c r="Q279" i="19"/>
  <c r="Q86" i="19"/>
  <c r="Q138" i="19"/>
  <c r="Q156" i="19"/>
  <c r="Q224" i="19"/>
  <c r="Q188" i="19"/>
  <c r="R188" i="19" s="1"/>
  <c r="S188" i="19" s="1"/>
  <c r="Q118" i="19"/>
  <c r="Q84" i="19"/>
  <c r="Q121" i="19"/>
  <c r="R121" i="19" s="1"/>
  <c r="S121" i="19" s="1"/>
  <c r="Q234" i="19"/>
  <c r="R234" i="19" s="1"/>
  <c r="S234" i="19" s="1"/>
  <c r="Q197" i="19"/>
  <c r="R197" i="19" s="1"/>
  <c r="S197" i="19" s="1"/>
  <c r="Q192" i="19"/>
  <c r="R192" i="19" s="1"/>
  <c r="S192" i="19" s="1"/>
  <c r="Q266" i="19"/>
  <c r="R266" i="19" s="1"/>
  <c r="S266" i="19" s="1"/>
  <c r="Q150" i="19"/>
  <c r="R150" i="19" s="1"/>
  <c r="S150" i="19" s="1"/>
  <c r="Q293" i="19"/>
  <c r="R293" i="19" s="1"/>
  <c r="S293" i="19" s="1"/>
  <c r="Q82" i="19"/>
  <c r="Q259" i="19"/>
  <c r="Q31" i="19"/>
  <c r="R31" i="19" s="1"/>
  <c r="S31" i="19" s="1"/>
  <c r="Q253" i="19"/>
  <c r="R253" i="19" s="1"/>
  <c r="S253" i="19" s="1"/>
  <c r="Q240" i="19"/>
  <c r="R240" i="19" s="1"/>
  <c r="S240" i="19" s="1"/>
  <c r="Q64" i="19"/>
  <c r="Q186" i="19"/>
  <c r="R186" i="19" s="1"/>
  <c r="S186" i="19" s="1"/>
  <c r="Q18" i="19"/>
  <c r="Q306" i="19"/>
  <c r="R306" i="19" s="1"/>
  <c r="S306" i="19" s="1"/>
  <c r="Q168" i="19"/>
  <c r="Q33" i="19"/>
  <c r="R33" i="19" s="1"/>
  <c r="S33" i="19" s="1"/>
  <c r="Q103" i="19"/>
  <c r="R103" i="19" s="1"/>
  <c r="S103" i="19" s="1"/>
  <c r="Q47" i="19"/>
  <c r="R47" i="19" s="1"/>
  <c r="S47" i="19" s="1"/>
  <c r="Q135" i="19"/>
  <c r="R135" i="19" s="1"/>
  <c r="S135" i="19" s="1"/>
  <c r="Q292" i="19"/>
  <c r="R292" i="19" s="1"/>
  <c r="S292" i="19" s="1"/>
  <c r="Q315" i="19"/>
  <c r="R315" i="19" s="1"/>
  <c r="S315" i="19" s="1"/>
  <c r="Q108" i="19"/>
  <c r="R108" i="19" s="1"/>
  <c r="S108" i="19" s="1"/>
  <c r="Q7" i="19"/>
  <c r="Q196" i="19"/>
  <c r="R196" i="19" s="1"/>
  <c r="S196" i="19" s="1"/>
  <c r="Q17" i="19"/>
  <c r="R17" i="19" s="1"/>
  <c r="S17" i="19" s="1"/>
  <c r="Q281" i="19"/>
  <c r="R281" i="19" s="1"/>
  <c r="S281" i="19" s="1"/>
  <c r="Q248" i="19"/>
  <c r="Q29" i="19"/>
  <c r="Q10" i="19"/>
  <c r="R10" i="19" s="1"/>
  <c r="S10" i="19" s="1"/>
  <c r="Q270" i="19"/>
  <c r="R270" i="19" s="1"/>
  <c r="S270" i="19" s="1"/>
  <c r="Q165" i="19"/>
  <c r="Q61" i="19"/>
  <c r="R61" i="19" s="1"/>
  <c r="S61" i="19" s="1"/>
  <c r="Q131" i="19"/>
  <c r="R131" i="19" s="1"/>
  <c r="S131" i="19" s="1"/>
  <c r="Q134" i="19"/>
  <c r="Q227" i="19"/>
  <c r="Q52" i="19"/>
  <c r="R52" i="19" s="1"/>
  <c r="S52" i="19" s="1"/>
  <c r="Q93" i="19"/>
  <c r="R93" i="19" s="1"/>
  <c r="S93" i="19" s="1"/>
  <c r="Q123" i="19"/>
  <c r="R123" i="19" s="1"/>
  <c r="S123" i="19" s="1"/>
  <c r="Q222" i="19"/>
  <c r="R222" i="19" s="1"/>
  <c r="S222" i="19" s="1"/>
  <c r="Q280" i="19"/>
  <c r="R280" i="19" s="1"/>
  <c r="S280" i="19" s="1"/>
  <c r="Q113" i="19"/>
  <c r="R113" i="19" s="1"/>
  <c r="S113" i="19" s="1"/>
  <c r="Q170" i="19"/>
  <c r="R170" i="19" s="1"/>
  <c r="S170" i="19" s="1"/>
  <c r="Q73" i="19"/>
  <c r="R73" i="19" s="1"/>
  <c r="S73" i="19" s="1"/>
  <c r="Q85" i="19"/>
  <c r="R85" i="19" s="1"/>
  <c r="S85" i="19" s="1"/>
  <c r="Q139" i="19"/>
  <c r="R139" i="19" s="1"/>
  <c r="S139" i="19" s="1"/>
  <c r="Q213" i="19"/>
  <c r="Q42" i="19"/>
  <c r="R42" i="19" s="1"/>
  <c r="S42" i="19" s="1"/>
  <c r="Q30" i="19"/>
  <c r="R30" i="19" s="1"/>
  <c r="S30" i="19" s="1"/>
  <c r="Q242" i="19"/>
  <c r="Q78" i="19"/>
  <c r="R78" i="19" s="1"/>
  <c r="S78" i="19" s="1"/>
  <c r="Q36" i="19"/>
  <c r="R36" i="19" s="1"/>
  <c r="S36" i="19" s="1"/>
  <c r="Q214" i="19"/>
  <c r="R214" i="19" s="1"/>
  <c r="S214" i="19" s="1"/>
  <c r="Q286" i="19"/>
  <c r="R286" i="19" s="1"/>
  <c r="S286" i="19" s="1"/>
  <c r="Q66" i="19"/>
  <c r="R66" i="19" s="1"/>
  <c r="S66" i="19" s="1"/>
  <c r="Q276" i="19"/>
  <c r="Q210" i="19"/>
  <c r="R210" i="19" s="1"/>
  <c r="S210" i="19" s="1"/>
  <c r="Q120" i="19"/>
  <c r="R120" i="19" s="1"/>
  <c r="S120" i="19" s="1"/>
  <c r="Q295" i="19"/>
  <c r="R295" i="19" s="1"/>
  <c r="S295" i="19" s="1"/>
  <c r="Q195" i="19"/>
  <c r="Q80" i="19"/>
  <c r="R80" i="19" s="1"/>
  <c r="S80" i="19" s="1"/>
  <c r="Q5" i="19"/>
  <c r="R5" i="19" s="1"/>
  <c r="S5" i="19" s="1"/>
  <c r="Q250" i="19"/>
  <c r="R250" i="19" s="1"/>
  <c r="S250" i="19" s="1"/>
  <c r="Q133" i="19"/>
  <c r="Q251" i="19"/>
  <c r="Q119" i="19"/>
  <c r="R119" i="19" s="1"/>
  <c r="S119" i="19" s="1"/>
  <c r="Q285" i="19"/>
  <c r="R285" i="19" s="1"/>
  <c r="S285" i="19" s="1"/>
  <c r="Q143" i="19"/>
  <c r="Q159" i="19"/>
  <c r="R159" i="19" s="1"/>
  <c r="S159" i="19" s="1"/>
  <c r="Q125" i="19"/>
  <c r="R125" i="19" s="1"/>
  <c r="S125" i="19" s="1"/>
  <c r="Q6" i="19"/>
  <c r="R6" i="19" s="1"/>
  <c r="S6" i="19" s="1"/>
  <c r="Q35" i="19"/>
  <c r="R35" i="19" s="1"/>
  <c r="S35" i="19" s="1"/>
  <c r="Q265" i="19"/>
  <c r="R265" i="19" s="1"/>
  <c r="S265" i="19" s="1"/>
  <c r="Q63" i="19"/>
  <c r="R63" i="19" s="1"/>
  <c r="S63" i="19" s="1"/>
  <c r="Q241" i="19"/>
  <c r="R241" i="19" s="1"/>
  <c r="S241" i="19" s="1"/>
  <c r="Q21" i="19"/>
  <c r="R21" i="19" s="1"/>
  <c r="S21" i="19" s="1"/>
  <c r="Q48" i="19"/>
  <c r="R48" i="19" s="1"/>
  <c r="S48" i="19" s="1"/>
  <c r="Q142" i="19"/>
  <c r="R142" i="19" s="1"/>
  <c r="S142" i="19" s="1"/>
  <c r="Q110" i="19"/>
  <c r="R110" i="19" s="1"/>
  <c r="S110" i="19" s="1"/>
  <c r="Q16" i="19"/>
  <c r="R16" i="19" s="1"/>
  <c r="S16" i="19" s="1"/>
  <c r="Q72" i="19"/>
  <c r="R72" i="19" s="1"/>
  <c r="S72" i="19" s="1"/>
  <c r="Q38" i="19"/>
  <c r="Q27" i="19"/>
  <c r="Q145" i="19"/>
  <c r="Q107" i="19"/>
  <c r="R107" i="19" s="1"/>
  <c r="S107" i="19" s="1"/>
  <c r="Q144" i="19"/>
  <c r="Q205" i="19"/>
  <c r="R205" i="19" s="1"/>
  <c r="S205" i="19" s="1"/>
  <c r="Q204" i="19"/>
  <c r="R204" i="19" s="1"/>
  <c r="S204" i="19" s="1"/>
  <c r="Q218" i="19"/>
  <c r="R218" i="19" s="1"/>
  <c r="S218" i="19" s="1"/>
  <c r="Q228" i="19"/>
  <c r="Q102" i="19"/>
  <c r="R102" i="19" s="1"/>
  <c r="S102" i="19" s="1"/>
  <c r="Q275" i="19"/>
  <c r="Q221" i="19"/>
  <c r="R221" i="19" s="1"/>
  <c r="S221" i="19" s="1"/>
  <c r="Q137" i="19"/>
  <c r="R137" i="19" s="1"/>
  <c r="S137" i="19" s="1"/>
  <c r="Q79" i="19"/>
  <c r="R79" i="19" s="1"/>
  <c r="S79" i="19" s="1"/>
  <c r="Q215" i="19"/>
  <c r="R215" i="19" s="1"/>
  <c r="S215" i="19" s="1"/>
  <c r="Q37" i="19"/>
  <c r="Q32" i="19"/>
  <c r="R32" i="19" s="1"/>
  <c r="S32" i="19" s="1"/>
  <c r="Q71" i="19"/>
  <c r="R71" i="19" s="1"/>
  <c r="S71" i="19" s="1"/>
  <c r="Q136" i="19"/>
  <c r="R136" i="19" s="1"/>
  <c r="S136" i="19" s="1"/>
  <c r="Q284" i="19"/>
  <c r="R284" i="19" s="1"/>
  <c r="S284" i="19" s="1"/>
  <c r="Q13" i="19"/>
  <c r="R13" i="19" s="1"/>
  <c r="S13" i="19" s="1"/>
  <c r="Q191" i="19"/>
  <c r="R191" i="19" s="1"/>
  <c r="S191" i="19" s="1"/>
  <c r="Q233" i="19"/>
  <c r="Q277" i="19"/>
  <c r="R277" i="19" s="1"/>
  <c r="S277" i="19" s="1"/>
  <c r="Q184" i="19"/>
  <c r="Q105" i="19"/>
  <c r="R105" i="19" s="1"/>
  <c r="S105" i="19" s="1"/>
  <c r="Q206" i="19"/>
  <c r="R206" i="19" s="1"/>
  <c r="S206" i="19" s="1"/>
  <c r="Q219" i="19"/>
  <c r="R219" i="19" s="1"/>
  <c r="S219" i="19" s="1"/>
  <c r="Q146" i="19"/>
  <c r="R146" i="19" s="1"/>
  <c r="S146" i="19" s="1"/>
  <c r="Q24" i="19"/>
  <c r="Q181" i="19"/>
  <c r="Q50" i="19"/>
  <c r="R50" i="19" s="1"/>
  <c r="S50" i="19" s="1"/>
  <c r="Q100" i="19"/>
  <c r="R100" i="19" s="1"/>
  <c r="S100" i="19" s="1"/>
  <c r="Q246" i="19"/>
  <c r="Q154" i="19"/>
  <c r="R154" i="19" s="1"/>
  <c r="S154" i="19" s="1"/>
  <c r="Q231" i="19"/>
  <c r="R231" i="19" s="1"/>
  <c r="S231" i="19" s="1"/>
  <c r="Q22" i="19"/>
  <c r="Q15" i="19"/>
  <c r="Q20" i="19"/>
  <c r="R20" i="19" s="1"/>
  <c r="S20" i="19" s="1"/>
  <c r="Q76" i="19"/>
  <c r="R76" i="19" s="1"/>
  <c r="S76" i="19" s="1"/>
  <c r="Q157" i="19"/>
  <c r="Q158" i="19"/>
  <c r="Q177" i="19"/>
  <c r="R177" i="19" s="1"/>
  <c r="S177" i="19" s="1"/>
  <c r="Q114" i="19"/>
  <c r="R114" i="19" s="1"/>
  <c r="S114" i="19" s="1"/>
  <c r="Q67" i="19"/>
  <c r="R67" i="19" s="1"/>
  <c r="S67" i="19" s="1"/>
  <c r="Q209" i="19"/>
  <c r="R209" i="19" s="1"/>
  <c r="S209" i="19" s="1"/>
  <c r="Q308" i="19"/>
  <c r="R308" i="19" s="1"/>
  <c r="S308" i="19" s="1"/>
  <c r="Q239" i="19"/>
  <c r="R239" i="19" s="1"/>
  <c r="S239" i="19" s="1"/>
  <c r="Q303" i="19"/>
  <c r="R303" i="19" s="1"/>
  <c r="S303" i="19" s="1"/>
  <c r="Q74" i="19"/>
  <c r="R74" i="19" s="1"/>
  <c r="S74" i="19" s="1"/>
  <c r="Q199" i="19"/>
  <c r="Q312" i="19"/>
  <c r="R312" i="19" s="1"/>
  <c r="S312" i="19" s="1"/>
  <c r="Q272" i="19"/>
  <c r="R272" i="19" s="1"/>
  <c r="S272" i="19" s="1"/>
  <c r="Q310" i="19"/>
  <c r="R310" i="19" s="1"/>
  <c r="S310" i="19" s="1"/>
  <c r="Q252" i="19"/>
  <c r="R252" i="19" s="1"/>
  <c r="S252" i="19" s="1"/>
  <c r="Q307" i="19"/>
  <c r="R307" i="19" s="1"/>
  <c r="S307" i="19" s="1"/>
  <c r="Q291" i="19"/>
  <c r="R291" i="19" s="1"/>
  <c r="S291" i="19" s="1"/>
  <c r="Q162" i="19"/>
  <c r="R162" i="19" s="1"/>
  <c r="S162" i="19" s="1"/>
  <c r="Q140" i="19"/>
  <c r="Q122" i="19"/>
  <c r="Q58" i="19"/>
  <c r="R58" i="19" s="1"/>
  <c r="S58" i="19" s="1"/>
  <c r="Q193" i="19"/>
  <c r="Q232" i="19"/>
  <c r="Q254" i="19"/>
  <c r="Q163" i="19"/>
  <c r="R163" i="19" s="1"/>
  <c r="S163" i="19" s="1"/>
  <c r="Q180" i="19"/>
  <c r="R180" i="19" s="1"/>
  <c r="S180" i="19" s="1"/>
  <c r="Q81" i="19"/>
  <c r="R81" i="19" s="1"/>
  <c r="S81" i="19" s="1"/>
  <c r="Q166" i="19"/>
  <c r="R166" i="19" s="1"/>
  <c r="S166" i="19" s="1"/>
  <c r="Q149" i="19"/>
  <c r="R149" i="19" s="1"/>
  <c r="S149" i="19" s="1"/>
  <c r="Q294" i="19"/>
  <c r="R294" i="19" s="1"/>
  <c r="S294" i="19" s="1"/>
  <c r="Q271" i="19"/>
  <c r="R271" i="19" s="1"/>
  <c r="S271" i="19" s="1"/>
  <c r="Q46" i="19"/>
  <c r="R46" i="19" s="1"/>
  <c r="S46" i="19" s="1"/>
  <c r="Q176" i="19"/>
  <c r="R176" i="19" s="1"/>
  <c r="S176" i="19" s="1"/>
  <c r="Q175" i="19"/>
  <c r="R175" i="19" s="1"/>
  <c r="S175" i="19" s="1"/>
  <c r="Q235" i="19"/>
  <c r="R235" i="19" s="1"/>
  <c r="S235" i="19" s="1"/>
  <c r="Q94" i="19"/>
  <c r="Q244" i="19"/>
  <c r="R244" i="19" s="1"/>
  <c r="S244" i="19" s="1"/>
  <c r="Q297" i="19"/>
  <c r="R297" i="19" s="1"/>
  <c r="S297" i="19" s="1"/>
  <c r="Q151" i="19"/>
  <c r="R151" i="19" s="1"/>
  <c r="S151" i="19" s="1"/>
  <c r="Q174" i="19"/>
  <c r="R174" i="19" s="1"/>
  <c r="S174" i="19" s="1"/>
  <c r="Q317" i="19"/>
  <c r="R317" i="19" s="1"/>
  <c r="S317" i="19" s="1"/>
  <c r="Q99" i="19"/>
  <c r="Q257" i="19"/>
  <c r="R257" i="19" s="1"/>
  <c r="S257" i="19" s="1"/>
  <c r="Q300" i="19"/>
  <c r="R300" i="19" s="1"/>
  <c r="S300" i="19" s="1"/>
  <c r="Q91" i="19"/>
  <c r="R91" i="19" s="1"/>
  <c r="S91" i="19" s="1"/>
  <c r="Q263" i="19"/>
  <c r="Q75" i="19"/>
  <c r="R75" i="19" s="1"/>
  <c r="S75" i="19" s="1"/>
  <c r="Q141" i="19"/>
  <c r="R141" i="19" s="1"/>
  <c r="S141" i="19" s="1"/>
  <c r="Q95" i="19"/>
  <c r="R95" i="19" s="1"/>
  <c r="S95" i="19" s="1"/>
  <c r="Q41" i="19"/>
  <c r="R41" i="19" s="1"/>
  <c r="S41" i="19" s="1"/>
  <c r="Q160" i="19"/>
  <c r="R160" i="19" s="1"/>
  <c r="S160" i="19" s="1"/>
  <c r="Q273" i="19"/>
  <c r="R273" i="19" s="1"/>
  <c r="S273" i="19" s="1"/>
  <c r="Q104" i="19"/>
  <c r="R104" i="19" s="1"/>
  <c r="S104" i="19" s="1"/>
  <c r="Q152" i="19"/>
  <c r="Q89" i="19"/>
  <c r="Q190" i="19"/>
  <c r="Q201" i="19"/>
  <c r="R201" i="19" s="1"/>
  <c r="S201" i="19" s="1"/>
  <c r="Q269" i="19"/>
  <c r="R269" i="19" s="1"/>
  <c r="S269" i="19" s="1"/>
  <c r="Q187" i="19"/>
  <c r="Q217" i="19"/>
  <c r="R217" i="19" s="1"/>
  <c r="S217" i="19" s="1"/>
  <c r="Q283" i="19"/>
  <c r="Q8" i="19"/>
  <c r="R8" i="19" s="1"/>
  <c r="S8" i="19" s="1"/>
  <c r="Q14" i="19"/>
  <c r="Q304" i="19"/>
  <c r="Q243" i="19"/>
  <c r="R243" i="19" s="1"/>
  <c r="S243" i="19" s="1"/>
  <c r="Q40" i="19"/>
  <c r="R40" i="19" s="1"/>
  <c r="S40" i="19" s="1"/>
  <c r="Q4" i="19"/>
  <c r="R4" i="19" s="1"/>
  <c r="S4" i="19" s="1"/>
  <c r="Q290" i="19"/>
  <c r="R290" i="19" s="1"/>
  <c r="S290" i="19" s="1"/>
  <c r="Q296" i="19"/>
  <c r="R296" i="19" s="1"/>
  <c r="S296" i="19" s="1"/>
  <c r="Q316" i="19"/>
  <c r="R316" i="19" s="1"/>
  <c r="S316" i="19" s="1"/>
  <c r="Q112" i="19"/>
  <c r="R112" i="19" s="1"/>
  <c r="S112" i="19" s="1"/>
  <c r="Q98" i="19"/>
  <c r="R98" i="19" s="1"/>
  <c r="S98" i="19" s="1"/>
  <c r="Q207" i="19"/>
  <c r="Q28" i="19"/>
  <c r="Q178" i="19"/>
  <c r="R178" i="19" s="1"/>
  <c r="S178" i="19" s="1"/>
  <c r="Q189" i="19"/>
  <c r="Q147" i="19"/>
  <c r="R147" i="19" s="1"/>
  <c r="S147" i="19" s="1"/>
  <c r="Q182" i="19"/>
  <c r="Q56" i="19"/>
  <c r="R56" i="19" s="1"/>
  <c r="S56" i="19" s="1"/>
  <c r="Q34" i="19"/>
  <c r="Q23" i="19"/>
  <c r="Q226" i="19"/>
  <c r="R226" i="19" s="1"/>
  <c r="S226" i="19" s="1"/>
  <c r="Q161" i="19"/>
  <c r="R161" i="19" s="1"/>
  <c r="S161" i="19" s="1"/>
  <c r="Q39" i="19"/>
  <c r="R39" i="19" s="1"/>
  <c r="S39" i="19" s="1"/>
  <c r="Q171" i="19"/>
  <c r="R171" i="19" s="1"/>
  <c r="S171" i="19" s="1"/>
  <c r="Q260" i="19"/>
  <c r="Q164" i="19"/>
  <c r="Q305" i="19"/>
  <c r="Q49" i="19"/>
  <c r="Q169" i="19"/>
  <c r="R169" i="19" s="1"/>
  <c r="S169" i="19" s="1"/>
  <c r="Q96" i="19"/>
  <c r="Q97" i="19"/>
  <c r="R97" i="19" s="1"/>
  <c r="S97" i="19" s="1"/>
  <c r="Q26" i="19"/>
  <c r="Q183" i="19"/>
  <c r="Q301" i="19"/>
  <c r="R301" i="19" s="1"/>
  <c r="S301" i="19" s="1"/>
  <c r="Q302" i="19"/>
  <c r="Q278" i="19"/>
  <c r="Q299" i="19"/>
  <c r="R299" i="19" s="1"/>
  <c r="S299" i="19" s="1"/>
  <c r="Q249" i="19"/>
  <c r="R249" i="19" s="1"/>
  <c r="S249" i="19" s="1"/>
  <c r="Q208" i="19"/>
  <c r="R208" i="19" s="1"/>
  <c r="S208" i="19" s="1"/>
  <c r="Q173" i="19"/>
  <c r="R173" i="19" s="1"/>
  <c r="S173" i="19" s="1"/>
  <c r="Q298" i="19"/>
  <c r="Q309" i="19"/>
  <c r="Q172" i="19"/>
  <c r="R172" i="19" s="1"/>
  <c r="S172" i="19" s="1"/>
  <c r="Q220" i="19"/>
  <c r="Q198" i="19"/>
  <c r="Q92" i="19"/>
  <c r="Q203" i="19"/>
  <c r="R203" i="19" s="1"/>
  <c r="S203" i="19" s="1"/>
  <c r="Q9" i="19"/>
  <c r="Q216" i="19"/>
  <c r="Q212" i="19"/>
  <c r="R212" i="19" s="1"/>
  <c r="S212" i="19" s="1"/>
  <c r="Q282" i="19"/>
  <c r="R282" i="19" s="1"/>
  <c r="S282" i="19" s="1"/>
  <c r="Q200" i="19"/>
  <c r="R200" i="19" s="1"/>
  <c r="S200" i="19" s="1"/>
  <c r="Q90" i="19"/>
  <c r="R90" i="19" s="1"/>
  <c r="S90" i="19" s="1"/>
  <c r="Q167" i="19"/>
  <c r="Q88" i="19"/>
  <c r="Q264" i="19"/>
  <c r="R264" i="19" s="1"/>
  <c r="S264" i="19" s="1"/>
  <c r="Q313" i="19"/>
  <c r="R313" i="19" s="1"/>
  <c r="S313" i="19" s="1"/>
  <c r="Q43" i="19"/>
  <c r="R43" i="19" s="1"/>
  <c r="S43" i="19" s="1"/>
  <c r="Q109" i="19"/>
  <c r="Q45" i="19"/>
  <c r="R45" i="19" s="1"/>
  <c r="S45" i="19" s="1"/>
  <c r="Q83" i="19"/>
  <c r="R83" i="19" s="1"/>
  <c r="S83" i="19" s="1"/>
  <c r="Q148" i="19"/>
  <c r="R148" i="19" s="1"/>
  <c r="S148" i="19" s="1"/>
  <c r="Q12" i="19"/>
  <c r="R12" i="19" s="1"/>
  <c r="S12" i="19" s="1"/>
  <c r="Q77" i="19"/>
  <c r="Q262" i="19"/>
  <c r="R262" i="19" s="1"/>
  <c r="S262" i="19" s="1"/>
  <c r="Q53" i="19"/>
  <c r="R53" i="19" s="1"/>
  <c r="S53" i="19" s="1"/>
  <c r="Q127" i="19"/>
  <c r="R127" i="19" s="1"/>
  <c r="S127" i="19" s="1"/>
  <c r="Q261" i="19"/>
  <c r="Q129" i="19"/>
  <c r="Q225" i="19"/>
  <c r="R225" i="19" s="1"/>
  <c r="S225" i="19" s="1"/>
  <c r="Q59" i="19"/>
  <c r="Q116" i="19"/>
  <c r="R116" i="19" s="1"/>
  <c r="S116" i="19" s="1"/>
  <c r="Q255" i="19"/>
  <c r="R255" i="19" s="1"/>
  <c r="S255" i="19" s="1"/>
  <c r="Q3" i="19" l="1" a="1"/>
  <c r="Q3" i="19" s="1"/>
  <c r="S3" i="19" l="1" a="1"/>
  <c r="S3" i="19" s="1"/>
  <c r="R3" i="19" a="1"/>
  <c r="R3" i="19" s="1"/>
  <c r="T314" i="19" l="1"/>
  <c r="U314" i="19" s="1"/>
  <c r="V314" i="19" s="1"/>
  <c r="T230" i="19"/>
  <c r="U230" i="19" s="1"/>
  <c r="V230" i="19" s="1"/>
  <c r="T106" i="19"/>
  <c r="U106" i="19" s="1"/>
  <c r="V106" i="19" s="1"/>
  <c r="T94" i="19"/>
  <c r="T24" i="19"/>
  <c r="T9" i="19"/>
  <c r="T295" i="19"/>
  <c r="U295" i="19" s="1"/>
  <c r="V295" i="19" s="1"/>
  <c r="T248" i="19"/>
  <c r="T174" i="19"/>
  <c r="U174" i="19" s="1"/>
  <c r="V174" i="19" s="1"/>
  <c r="T258" i="19"/>
  <c r="U258" i="19" s="1"/>
  <c r="V258" i="19" s="1"/>
  <c r="T299" i="19"/>
  <c r="U299" i="19" s="1"/>
  <c r="V299" i="19" s="1"/>
  <c r="T312" i="19"/>
  <c r="U312" i="19" s="1"/>
  <c r="V312" i="19" s="1"/>
  <c r="T112" i="19"/>
  <c r="U112" i="19" s="1"/>
  <c r="V112" i="19" s="1"/>
  <c r="T255" i="19"/>
  <c r="U255" i="19" s="1"/>
  <c r="V255" i="19" s="1"/>
  <c r="T22" i="19"/>
  <c r="T221" i="19"/>
  <c r="U221" i="19" s="1"/>
  <c r="V221" i="19" s="1"/>
  <c r="T303" i="19"/>
  <c r="U303" i="19" s="1"/>
  <c r="V303" i="19" s="1"/>
  <c r="T289" i="19"/>
  <c r="U289" i="19" s="1"/>
  <c r="V289" i="19" s="1"/>
  <c r="T34" i="19"/>
  <c r="T198" i="19"/>
  <c r="T169" i="19"/>
  <c r="U169" i="19" s="1"/>
  <c r="V169" i="19" s="1"/>
  <c r="T147" i="19"/>
  <c r="U147" i="19" s="1"/>
  <c r="V147" i="19" s="1"/>
  <c r="T47" i="19"/>
  <c r="U47" i="19" s="1"/>
  <c r="V47" i="19" s="1"/>
  <c r="T163" i="19"/>
  <c r="U163" i="19" s="1"/>
  <c r="V163" i="19" s="1"/>
  <c r="T119" i="19"/>
  <c r="U119" i="19" s="1"/>
  <c r="V119" i="19" s="1"/>
  <c r="T148" i="19"/>
  <c r="U148" i="19" s="1"/>
  <c r="V148" i="19" s="1"/>
  <c r="T53" i="19"/>
  <c r="U53" i="19" s="1"/>
  <c r="V53" i="19" s="1"/>
  <c r="T284" i="19"/>
  <c r="U284" i="19" s="1"/>
  <c r="V284" i="19" s="1"/>
  <c r="T139" i="19"/>
  <c r="U139" i="19" s="1"/>
  <c r="V139" i="19" s="1"/>
  <c r="T138" i="19"/>
  <c r="T225" i="19"/>
  <c r="U225" i="19" s="1"/>
  <c r="V225" i="19" s="1"/>
  <c r="T250" i="19"/>
  <c r="U250" i="19" s="1"/>
  <c r="V250" i="19" s="1"/>
  <c r="T137" i="19"/>
  <c r="U137" i="19" s="1"/>
  <c r="V137" i="19" s="1"/>
  <c r="T307" i="19"/>
  <c r="U307" i="19" s="1"/>
  <c r="V307" i="19" s="1"/>
  <c r="T30" i="19"/>
  <c r="U30" i="19" s="1"/>
  <c r="V30" i="19" s="1"/>
  <c r="T136" i="19"/>
  <c r="U136" i="19" s="1"/>
  <c r="V136" i="19" s="1"/>
  <c r="T233" i="19"/>
  <c r="T91" i="19"/>
  <c r="U91" i="19" s="1"/>
  <c r="V91" i="19" s="1"/>
  <c r="T16" i="19"/>
  <c r="U16" i="19" s="1"/>
  <c r="V16" i="19" s="1"/>
  <c r="T177" i="19"/>
  <c r="U177" i="19" s="1"/>
  <c r="V177" i="19" s="1"/>
  <c r="T171" i="19"/>
  <c r="U171" i="19" s="1"/>
  <c r="V171" i="19" s="1"/>
  <c r="T256" i="19"/>
  <c r="U256" i="19" s="1"/>
  <c r="V256" i="19" s="1"/>
  <c r="T214" i="19"/>
  <c r="U214" i="19" s="1"/>
  <c r="V214" i="19" s="1"/>
  <c r="T58" i="19"/>
  <c r="U58" i="19" s="1"/>
  <c r="V58" i="19" s="1"/>
  <c r="T36" i="19"/>
  <c r="U36" i="19" s="1"/>
  <c r="V36" i="19" s="1"/>
  <c r="T95" i="19"/>
  <c r="U95" i="19" s="1"/>
  <c r="V95" i="19" s="1"/>
  <c r="T129" i="19"/>
  <c r="T279" i="19"/>
  <c r="T159" i="19"/>
  <c r="U159" i="19" s="1"/>
  <c r="V159" i="19" s="1"/>
  <c r="T56" i="19"/>
  <c r="U56" i="19" s="1"/>
  <c r="V56" i="19" s="1"/>
  <c r="T145" i="19"/>
  <c r="T113" i="19"/>
  <c r="U113" i="19" s="1"/>
  <c r="V113" i="19" s="1"/>
  <c r="T213" i="19"/>
  <c r="T243" i="19"/>
  <c r="U243" i="19" s="1"/>
  <c r="V243" i="19" s="1"/>
  <c r="T76" i="19"/>
  <c r="U76" i="19" s="1"/>
  <c r="V76" i="19" s="1"/>
  <c r="T298" i="19"/>
  <c r="T244" i="19"/>
  <c r="U244" i="19" s="1"/>
  <c r="V244" i="19" s="1"/>
  <c r="T172" i="19"/>
  <c r="U172" i="19" s="1"/>
  <c r="V172" i="19" s="1"/>
  <c r="T6" i="19"/>
  <c r="U6" i="19" s="1"/>
  <c r="V6" i="19" s="1"/>
  <c r="T98" i="19"/>
  <c r="U98" i="19" s="1"/>
  <c r="V98" i="19" s="1"/>
  <c r="T84" i="19"/>
  <c r="T59" i="19"/>
  <c r="T17" i="19"/>
  <c r="U17" i="19" s="1"/>
  <c r="V17" i="19" s="1"/>
  <c r="T292" i="19"/>
  <c r="U292" i="19" s="1"/>
  <c r="V292" i="19" s="1"/>
  <c r="T68" i="19"/>
  <c r="U68" i="19" s="1"/>
  <c r="V68" i="19" s="1"/>
  <c r="T128" i="19"/>
  <c r="U128" i="19" s="1"/>
  <c r="V128" i="19" s="1"/>
  <c r="T219" i="19"/>
  <c r="U219" i="19" s="1"/>
  <c r="V219" i="19" s="1"/>
  <c r="T108" i="19"/>
  <c r="U108" i="19" s="1"/>
  <c r="V108" i="19" s="1"/>
  <c r="T28" i="19"/>
  <c r="T153" i="19"/>
  <c r="U153" i="19" s="1"/>
  <c r="V153" i="19" s="1"/>
  <c r="T241" i="19"/>
  <c r="U241" i="19" s="1"/>
  <c r="V241" i="19" s="1"/>
  <c r="T50" i="19"/>
  <c r="U50" i="19" s="1"/>
  <c r="V50" i="19" s="1"/>
  <c r="T187" i="19"/>
  <c r="T149" i="19"/>
  <c r="U149" i="19" s="1"/>
  <c r="V149" i="19" s="1"/>
  <c r="T123" i="19"/>
  <c r="U123" i="19" s="1"/>
  <c r="V123" i="19" s="1"/>
  <c r="T197" i="19"/>
  <c r="U197" i="19" s="1"/>
  <c r="V197" i="19" s="1"/>
  <c r="T193" i="19"/>
  <c r="T31" i="19"/>
  <c r="U31" i="19" s="1"/>
  <c r="V31" i="19" s="1"/>
  <c r="T293" i="19"/>
  <c r="U293" i="19" s="1"/>
  <c r="V293" i="19" s="1"/>
  <c r="T82" i="19"/>
  <c r="T102" i="19"/>
  <c r="U102" i="19" s="1"/>
  <c r="V102" i="19" s="1"/>
  <c r="T207" i="19"/>
  <c r="T262" i="19"/>
  <c r="U262" i="19" s="1"/>
  <c r="V262" i="19" s="1"/>
  <c r="T308" i="19"/>
  <c r="U308" i="19" s="1"/>
  <c r="V308" i="19" s="1"/>
  <c r="T226" i="19"/>
  <c r="U226" i="19" s="1"/>
  <c r="V226" i="19" s="1"/>
  <c r="T93" i="19"/>
  <c r="U93" i="19" s="1"/>
  <c r="V93" i="19" s="1"/>
  <c r="T48" i="19"/>
  <c r="U48" i="19" s="1"/>
  <c r="V48" i="19" s="1"/>
  <c r="T65" i="19"/>
  <c r="T72" i="19"/>
  <c r="U72" i="19" s="1"/>
  <c r="V72" i="19" s="1"/>
  <c r="T175" i="19"/>
  <c r="U175" i="19" s="1"/>
  <c r="V175" i="19" s="1"/>
  <c r="T110" i="19"/>
  <c r="U110" i="19" s="1"/>
  <c r="V110" i="19" s="1"/>
  <c r="T275" i="19"/>
  <c r="T157" i="19"/>
  <c r="T121" i="19"/>
  <c r="U121" i="19" s="1"/>
  <c r="V121" i="19" s="1"/>
  <c r="T301" i="19"/>
  <c r="U301" i="19" s="1"/>
  <c r="V301" i="19" s="1"/>
  <c r="T306" i="19"/>
  <c r="U306" i="19" s="1"/>
  <c r="V306" i="19" s="1"/>
  <c r="T165" i="19"/>
  <c r="T142" i="19"/>
  <c r="U142" i="19" s="1"/>
  <c r="V142" i="19" s="1"/>
  <c r="T156" i="19"/>
  <c r="T12" i="19"/>
  <c r="U12" i="19" s="1"/>
  <c r="V12" i="19" s="1"/>
  <c r="T302" i="19"/>
  <c r="T267" i="19"/>
  <c r="U267" i="19" s="1"/>
  <c r="V267" i="19" s="1"/>
  <c r="T143" i="19"/>
  <c r="T208" i="19"/>
  <c r="U208" i="19" s="1"/>
  <c r="V208" i="19" s="1"/>
  <c r="T57" i="19"/>
  <c r="T203" i="19"/>
  <c r="U203" i="19" s="1"/>
  <c r="V203" i="19" s="1"/>
  <c r="T188" i="19"/>
  <c r="U188" i="19" s="1"/>
  <c r="V188" i="19" s="1"/>
  <c r="T286" i="19"/>
  <c r="U286" i="19" s="1"/>
  <c r="V286" i="19" s="1"/>
  <c r="T200" i="19"/>
  <c r="U200" i="19" s="1"/>
  <c r="V200" i="19" s="1"/>
  <c r="T170" i="19"/>
  <c r="U170" i="19" s="1"/>
  <c r="V170" i="19" s="1"/>
  <c r="T81" i="19"/>
  <c r="U81" i="19" s="1"/>
  <c r="V81" i="19" s="1"/>
  <c r="T271" i="19"/>
  <c r="U271" i="19" s="1"/>
  <c r="V271" i="19" s="1"/>
  <c r="T260" i="19"/>
  <c r="T282" i="19"/>
  <c r="U282" i="19" s="1"/>
  <c r="V282" i="19" s="1"/>
  <c r="T141" i="19"/>
  <c r="U141" i="19" s="1"/>
  <c r="V141" i="19" s="1"/>
  <c r="T212" i="19"/>
  <c r="U212" i="19" s="1"/>
  <c r="V212" i="19" s="1"/>
  <c r="T42" i="19"/>
  <c r="U42" i="19" s="1"/>
  <c r="V42" i="19" s="1"/>
  <c r="T40" i="19"/>
  <c r="U40" i="19" s="1"/>
  <c r="V40" i="19" s="1"/>
  <c r="T184" i="19"/>
  <c r="T297" i="19"/>
  <c r="U297" i="19" s="1"/>
  <c r="V297" i="19" s="1"/>
  <c r="T310" i="19"/>
  <c r="U310" i="19" s="1"/>
  <c r="V310" i="19" s="1"/>
  <c r="T107" i="19"/>
  <c r="U107" i="19" s="1"/>
  <c r="V107" i="19" s="1"/>
  <c r="T89" i="19"/>
  <c r="T103" i="19"/>
  <c r="U103" i="19" s="1"/>
  <c r="V103" i="19" s="1"/>
  <c r="T134" i="19"/>
  <c r="T10" i="19"/>
  <c r="U10" i="19" s="1"/>
  <c r="V10" i="19" s="1"/>
  <c r="T62" i="19"/>
  <c r="T35" i="19"/>
  <c r="U35" i="19" s="1"/>
  <c r="V35" i="19" s="1"/>
  <c r="T46" i="19"/>
  <c r="U46" i="19" s="1"/>
  <c r="V46" i="19" s="1"/>
  <c r="T45" i="19"/>
  <c r="U45" i="19" s="1"/>
  <c r="V45" i="19" s="1"/>
  <c r="T276" i="19"/>
  <c r="T195" i="19"/>
  <c r="T238" i="19"/>
  <c r="U238" i="19" s="1"/>
  <c r="V238" i="19" s="1"/>
  <c r="T291" i="19"/>
  <c r="U291" i="19" s="1"/>
  <c r="V291" i="19" s="1"/>
  <c r="T127" i="19"/>
  <c r="U127" i="19" s="1"/>
  <c r="V127" i="19" s="1"/>
  <c r="T63" i="19"/>
  <c r="U63" i="19" s="1"/>
  <c r="V63" i="19" s="1"/>
  <c r="T131" i="19"/>
  <c r="U131" i="19" s="1"/>
  <c r="V131" i="19" s="1"/>
  <c r="T268" i="19"/>
  <c r="U268" i="19" s="1"/>
  <c r="V268" i="19" s="1"/>
  <c r="T49" i="19"/>
  <c r="T115" i="19"/>
  <c r="U115" i="19" s="1"/>
  <c r="V115" i="19" s="1"/>
  <c r="T179" i="19"/>
  <c r="U179" i="19" s="1"/>
  <c r="V179" i="19" s="1"/>
  <c r="T86" i="19"/>
  <c r="T180" i="19"/>
  <c r="U180" i="19" s="1"/>
  <c r="V180" i="19" s="1"/>
  <c r="T239" i="19"/>
  <c r="U239" i="19" s="1"/>
  <c r="V239" i="19" s="1"/>
  <c r="T257" i="19"/>
  <c r="U257" i="19" s="1"/>
  <c r="V257" i="19" s="1"/>
  <c r="T278" i="19"/>
  <c r="T158" i="19"/>
  <c r="T146" i="19"/>
  <c r="U146" i="19" s="1"/>
  <c r="V146" i="19" s="1"/>
  <c r="T99" i="19"/>
  <c r="T252" i="19"/>
  <c r="U252" i="19" s="1"/>
  <c r="V252" i="19" s="1"/>
  <c r="T192" i="19"/>
  <c r="U192" i="19" s="1"/>
  <c r="V192" i="19" s="1"/>
  <c r="T96" i="19"/>
  <c r="T92" i="19"/>
  <c r="T309" i="19"/>
  <c r="T101" i="19"/>
  <c r="U101" i="19" s="1"/>
  <c r="V101" i="19" s="1"/>
  <c r="T202" i="19"/>
  <c r="U202" i="19" s="1"/>
  <c r="V202" i="19" s="1"/>
  <c r="T124" i="19"/>
  <c r="U124" i="19" s="1"/>
  <c r="V124" i="19" s="1"/>
  <c r="T7" i="19"/>
  <c r="T288" i="19"/>
  <c r="U288" i="19" s="1"/>
  <c r="V288" i="19" s="1"/>
  <c r="T245" i="19"/>
  <c r="U245" i="19" s="1"/>
  <c r="V245" i="19" s="1"/>
  <c r="T173" i="19"/>
  <c r="U173" i="19" s="1"/>
  <c r="V173" i="19" s="1"/>
  <c r="T205" i="19"/>
  <c r="U205" i="19" s="1"/>
  <c r="V205" i="19" s="1"/>
  <c r="T23" i="19"/>
  <c r="T120" i="19"/>
  <c r="U120" i="19" s="1"/>
  <c r="V120" i="19" s="1"/>
  <c r="T265" i="19"/>
  <c r="U265" i="19" s="1"/>
  <c r="V265" i="19" s="1"/>
  <c r="T285" i="19"/>
  <c r="U285" i="19" s="1"/>
  <c r="V285" i="19" s="1"/>
  <c r="T231" i="19"/>
  <c r="U231" i="19" s="1"/>
  <c r="V231" i="19" s="1"/>
  <c r="T253" i="19"/>
  <c r="U253" i="19" s="1"/>
  <c r="V253" i="19" s="1"/>
  <c r="T251" i="19"/>
  <c r="T130" i="19"/>
  <c r="U130" i="19" s="1"/>
  <c r="V130" i="19" s="1"/>
  <c r="T259" i="19"/>
  <c r="T236" i="19"/>
  <c r="T39" i="19"/>
  <c r="U39" i="19" s="1"/>
  <c r="V39" i="19" s="1"/>
  <c r="T15" i="19"/>
  <c r="T223" i="19"/>
  <c r="U223" i="19" s="1"/>
  <c r="V223" i="19" s="1"/>
  <c r="T54" i="19"/>
  <c r="U54" i="19" s="1"/>
  <c r="V54" i="19" s="1"/>
  <c r="T206" i="19"/>
  <c r="U206" i="19" s="1"/>
  <c r="V206" i="19" s="1"/>
  <c r="T296" i="19"/>
  <c r="U296" i="19" s="1"/>
  <c r="V296" i="19" s="1"/>
  <c r="T317" i="19"/>
  <c r="U317" i="19" s="1"/>
  <c r="V317" i="19" s="1"/>
  <c r="T70" i="19"/>
  <c r="U70" i="19" s="1"/>
  <c r="V70" i="19" s="1"/>
  <c r="T215" i="19"/>
  <c r="U215" i="19" s="1"/>
  <c r="V215" i="19" s="1"/>
  <c r="T176" i="19"/>
  <c r="U176" i="19" s="1"/>
  <c r="V176" i="19" s="1"/>
  <c r="T273" i="19"/>
  <c r="U273" i="19" s="1"/>
  <c r="V273" i="19" s="1"/>
  <c r="T189" i="19"/>
  <c r="T114" i="19"/>
  <c r="U114" i="19" s="1"/>
  <c r="V114" i="19" s="1"/>
  <c r="T152" i="19"/>
  <c r="T313" i="19"/>
  <c r="U313" i="19" s="1"/>
  <c r="V313" i="19" s="1"/>
  <c r="T204" i="19"/>
  <c r="U204" i="19" s="1"/>
  <c r="V204" i="19" s="1"/>
  <c r="T85" i="19"/>
  <c r="U85" i="19" s="1"/>
  <c r="V85" i="19" s="1"/>
  <c r="T26" i="19"/>
  <c r="T29" i="19"/>
  <c r="T21" i="19"/>
  <c r="U21" i="19" s="1"/>
  <c r="V21" i="19" s="1"/>
  <c r="T44" i="19"/>
  <c r="U44" i="19" s="1"/>
  <c r="V44" i="19" s="1"/>
  <c r="T117" i="19"/>
  <c r="U117" i="19" s="1"/>
  <c r="V117" i="19" s="1"/>
  <c r="T125" i="19"/>
  <c r="U125" i="19" s="1"/>
  <c r="V125" i="19" s="1"/>
  <c r="T38" i="19"/>
  <c r="T60" i="19"/>
  <c r="U60" i="19" s="1"/>
  <c r="V60" i="19" s="1"/>
  <c r="T191" i="19"/>
  <c r="U191" i="19" s="1"/>
  <c r="V191" i="19" s="1"/>
  <c r="T78" i="19"/>
  <c r="U78" i="19" s="1"/>
  <c r="V78" i="19" s="1"/>
  <c r="T66" i="19"/>
  <c r="U66" i="19" s="1"/>
  <c r="V66" i="19" s="1"/>
  <c r="T281" i="19"/>
  <c r="U281" i="19" s="1"/>
  <c r="V281" i="19" s="1"/>
  <c r="T218" i="19"/>
  <c r="U218" i="19" s="1"/>
  <c r="V218" i="19" s="1"/>
  <c r="T249" i="19"/>
  <c r="U249" i="19" s="1"/>
  <c r="V249" i="19" s="1"/>
  <c r="T277" i="19"/>
  <c r="U277" i="19" s="1"/>
  <c r="V277" i="19" s="1"/>
  <c r="T220" i="19"/>
  <c r="T183" i="19"/>
  <c r="T227" i="19"/>
  <c r="T13" i="19"/>
  <c r="U13" i="19" s="1"/>
  <c r="V13" i="19" s="1"/>
  <c r="T254" i="19"/>
  <c r="T73" i="19"/>
  <c r="U73" i="19" s="1"/>
  <c r="V73" i="19" s="1"/>
  <c r="T144" i="19"/>
  <c r="T186" i="19"/>
  <c r="U186" i="19" s="1"/>
  <c r="V186" i="19" s="1"/>
  <c r="T201" i="19"/>
  <c r="U201" i="19" s="1"/>
  <c r="V201" i="19" s="1"/>
  <c r="T20" i="19"/>
  <c r="U20" i="19" s="1"/>
  <c r="V20" i="19" s="1"/>
  <c r="T19" i="19"/>
  <c r="T4" i="19"/>
  <c r="U4" i="19" s="1"/>
  <c r="V4" i="19" s="1"/>
  <c r="T150" i="19"/>
  <c r="U150" i="19" s="1"/>
  <c r="V150" i="19" s="1"/>
  <c r="T194" i="19"/>
  <c r="U194" i="19" s="1"/>
  <c r="V194" i="19" s="1"/>
  <c r="T88" i="19"/>
  <c r="T61" i="19"/>
  <c r="U61" i="19" s="1"/>
  <c r="V61" i="19" s="1"/>
  <c r="T133" i="19"/>
  <c r="T162" i="19"/>
  <c r="U162" i="19" s="1"/>
  <c r="V162" i="19" s="1"/>
  <c r="T79" i="19"/>
  <c r="U79" i="19" s="1"/>
  <c r="V79" i="19" s="1"/>
  <c r="T316" i="19"/>
  <c r="U316" i="19" s="1"/>
  <c r="V316" i="19" s="1"/>
  <c r="T111" i="19"/>
  <c r="T294" i="19"/>
  <c r="U294" i="19" s="1"/>
  <c r="V294" i="19" s="1"/>
  <c r="T161" i="19"/>
  <c r="U161" i="19" s="1"/>
  <c r="V161" i="19" s="1"/>
  <c r="T304" i="19"/>
  <c r="T25" i="19"/>
  <c r="U25" i="19" s="1"/>
  <c r="V25" i="19" s="1"/>
  <c r="T315" i="19"/>
  <c r="U315" i="19" s="1"/>
  <c r="V315" i="19" s="1"/>
  <c r="T178" i="19"/>
  <c r="U178" i="19" s="1"/>
  <c r="V178" i="19" s="1"/>
  <c r="T109" i="19"/>
  <c r="T67" i="19"/>
  <c r="U67" i="19" s="1"/>
  <c r="V67" i="19" s="1"/>
  <c r="T80" i="19"/>
  <c r="U80" i="19" s="1"/>
  <c r="V80" i="19" s="1"/>
  <c r="T151" i="19"/>
  <c r="U151" i="19" s="1"/>
  <c r="V151" i="19" s="1"/>
  <c r="T97" i="19"/>
  <c r="U97" i="19" s="1"/>
  <c r="V97" i="19" s="1"/>
  <c r="T69" i="19"/>
  <c r="U69" i="19" s="1"/>
  <c r="V69" i="19" s="1"/>
  <c r="T287" i="19"/>
  <c r="U287" i="19" s="1"/>
  <c r="V287" i="19" s="1"/>
  <c r="T160" i="19"/>
  <c r="U160" i="19" s="1"/>
  <c r="V160" i="19" s="1"/>
  <c r="T196" i="19"/>
  <c r="U196" i="19" s="1"/>
  <c r="V196" i="19" s="1"/>
  <c r="T77" i="19"/>
  <c r="T229" i="19"/>
  <c r="T122" i="19"/>
  <c r="T90" i="19"/>
  <c r="U90" i="19" s="1"/>
  <c r="V90" i="19" s="1"/>
  <c r="T132" i="19"/>
  <c r="U132" i="19" s="1"/>
  <c r="V132" i="19" s="1"/>
  <c r="T270" i="19"/>
  <c r="U270" i="19" s="1"/>
  <c r="V270" i="19" s="1"/>
  <c r="T280" i="19"/>
  <c r="U280" i="19" s="1"/>
  <c r="V280" i="19" s="1"/>
  <c r="T75" i="19"/>
  <c r="U75" i="19" s="1"/>
  <c r="V75" i="19" s="1"/>
  <c r="T52" i="19"/>
  <c r="U52" i="19" s="1"/>
  <c r="V52" i="19" s="1"/>
  <c r="T235" i="19"/>
  <c r="U235" i="19" s="1"/>
  <c r="V235" i="19" s="1"/>
  <c r="T283" i="19"/>
  <c r="T274" i="19"/>
  <c r="U274" i="19" s="1"/>
  <c r="V274" i="19" s="1"/>
  <c r="T210" i="19"/>
  <c r="U210" i="19" s="1"/>
  <c r="V210" i="19" s="1"/>
  <c r="T37" i="19"/>
  <c r="T305" i="19"/>
  <c r="T105" i="19"/>
  <c r="U105" i="19" s="1"/>
  <c r="V105" i="19" s="1"/>
  <c r="T166" i="19"/>
  <c r="U166" i="19" s="1"/>
  <c r="V166" i="19" s="1"/>
  <c r="T118" i="19"/>
  <c r="T216" i="19"/>
  <c r="T126" i="19"/>
  <c r="U126" i="19" s="1"/>
  <c r="V126" i="19" s="1"/>
  <c r="T199" i="19"/>
  <c r="T247" i="19"/>
  <c r="U247" i="19" s="1"/>
  <c r="V247" i="19" s="1"/>
  <c r="T55" i="19"/>
  <c r="U55" i="19" s="1"/>
  <c r="V55" i="19" s="1"/>
  <c r="T167" i="19"/>
  <c r="T116" i="19"/>
  <c r="U116" i="19" s="1"/>
  <c r="V116" i="19" s="1"/>
  <c r="T41" i="19"/>
  <c r="U41" i="19" s="1"/>
  <c r="V41" i="19" s="1"/>
  <c r="T181" i="19"/>
  <c r="T87" i="19"/>
  <c r="U87" i="19" s="1"/>
  <c r="V87" i="19" s="1"/>
  <c r="T217" i="19"/>
  <c r="U217" i="19" s="1"/>
  <c r="V217" i="19" s="1"/>
  <c r="T5" i="19"/>
  <c r="U5" i="19" s="1"/>
  <c r="V5" i="19" s="1"/>
  <c r="T211" i="19"/>
  <c r="U211" i="19" s="1"/>
  <c r="V211" i="19" s="1"/>
  <c r="T33" i="19"/>
  <c r="U33" i="19" s="1"/>
  <c r="V33" i="19" s="1"/>
  <c r="T182" i="19"/>
  <c r="T222" i="19"/>
  <c r="U222" i="19" s="1"/>
  <c r="V222" i="19" s="1"/>
  <c r="T83" i="19"/>
  <c r="U83" i="19" s="1"/>
  <c r="V83" i="19" s="1"/>
  <c r="T209" i="19"/>
  <c r="U209" i="19" s="1"/>
  <c r="V209" i="19" s="1"/>
  <c r="T32" i="19"/>
  <c r="U32" i="19" s="1"/>
  <c r="V32" i="19" s="1"/>
  <c r="T11" i="19"/>
  <c r="U11" i="19" s="1"/>
  <c r="V11" i="19" s="1"/>
  <c r="T266" i="19"/>
  <c r="U266" i="19" s="1"/>
  <c r="V266" i="19" s="1"/>
  <c r="T190" i="19"/>
  <c r="T311" i="19"/>
  <c r="T14" i="19"/>
  <c r="T261" i="19"/>
  <c r="T8" i="19"/>
  <c r="U8" i="19" s="1"/>
  <c r="V8" i="19" s="1"/>
  <c r="T64" i="19"/>
  <c r="T154" i="19"/>
  <c r="U154" i="19" s="1"/>
  <c r="V154" i="19" s="1"/>
  <c r="T104" i="19"/>
  <c r="U104" i="19" s="1"/>
  <c r="V104" i="19" s="1"/>
  <c r="T135" i="19"/>
  <c r="U135" i="19" s="1"/>
  <c r="V135" i="19" s="1"/>
  <c r="T164" i="19"/>
  <c r="T234" i="19"/>
  <c r="U234" i="19" s="1"/>
  <c r="V234" i="19" s="1"/>
  <c r="T228" i="19"/>
  <c r="T300" i="19"/>
  <c r="U300" i="19" s="1"/>
  <c r="V300" i="19" s="1"/>
  <c r="T237" i="19"/>
  <c r="U237" i="19" s="1"/>
  <c r="V237" i="19" s="1"/>
  <c r="T263" i="19"/>
  <c r="T27" i="19"/>
  <c r="T269" i="19"/>
  <c r="U269" i="19" s="1"/>
  <c r="V269" i="19" s="1"/>
  <c r="T240" i="19"/>
  <c r="U240" i="19" s="1"/>
  <c r="V240" i="19" s="1"/>
  <c r="T74" i="19"/>
  <c r="U74" i="19" s="1"/>
  <c r="V74" i="19" s="1"/>
  <c r="T43" i="19"/>
  <c r="U43" i="19" s="1"/>
  <c r="V43" i="19" s="1"/>
  <c r="T100" i="19"/>
  <c r="U100" i="19" s="1"/>
  <c r="V100" i="19" s="1"/>
  <c r="T242" i="19"/>
  <c r="T51" i="19"/>
  <c r="U51" i="19" s="1"/>
  <c r="V51" i="19" s="1"/>
  <c r="T155" i="19"/>
  <c r="T140" i="19"/>
  <c r="T232" i="19"/>
  <c r="T18" i="19"/>
  <c r="T224" i="19"/>
  <c r="T264" i="19"/>
  <c r="U264" i="19" s="1"/>
  <c r="V264" i="19" s="1"/>
  <c r="T185" i="19"/>
  <c r="U185" i="19" s="1"/>
  <c r="V185" i="19" s="1"/>
  <c r="T246" i="19"/>
  <c r="T272" i="19"/>
  <c r="U272" i="19" s="1"/>
  <c r="V272" i="19" s="1"/>
  <c r="T71" i="19"/>
  <c r="U71" i="19" s="1"/>
  <c r="V71" i="19" s="1"/>
  <c r="T168" i="19"/>
  <c r="T290" i="19"/>
  <c r="U290" i="19" s="1"/>
  <c r="V290" i="19" s="1"/>
  <c r="T3" i="19" l="1" a="1"/>
  <c r="T3" i="19" s="1"/>
  <c r="V3" i="19" l="1" a="1"/>
  <c r="V3" i="19" s="1"/>
  <c r="U3" i="19" a="1"/>
  <c r="U3" i="19" s="1"/>
  <c r="W126" i="19" l="1"/>
  <c r="X126" i="19" s="1"/>
  <c r="W230" i="19"/>
  <c r="X230" i="19" s="1"/>
  <c r="W106" i="19"/>
  <c r="W251" i="19"/>
  <c r="X251" i="19" s="1"/>
  <c r="W21" i="19"/>
  <c r="X21" i="19" s="1"/>
  <c r="W102" i="19"/>
  <c r="X102" i="19" s="1"/>
  <c r="W70" i="19"/>
  <c r="X70" i="19" s="1"/>
  <c r="W41" i="19"/>
  <c r="X41" i="19" s="1"/>
  <c r="W160" i="19"/>
  <c r="X160" i="19" s="1"/>
  <c r="W154" i="19"/>
  <c r="X154" i="19" s="1"/>
  <c r="W82" i="19"/>
  <c r="X82" i="19" s="1"/>
  <c r="W162" i="19"/>
  <c r="X162" i="19" s="1"/>
  <c r="W203" i="19"/>
  <c r="X203" i="19" s="1"/>
  <c r="W306" i="19"/>
  <c r="X306" i="19" s="1"/>
  <c r="W113" i="19"/>
  <c r="X113" i="19" s="1"/>
  <c r="W23" i="19"/>
  <c r="X23" i="19" s="1"/>
  <c r="W14" i="19"/>
  <c r="X14" i="19" s="1"/>
  <c r="W44" i="19"/>
  <c r="X44" i="19" s="1"/>
  <c r="W301" i="19"/>
  <c r="X301" i="19" s="1"/>
  <c r="W177" i="19"/>
  <c r="X177" i="19" s="1"/>
  <c r="W150" i="19"/>
  <c r="X150" i="19" s="1"/>
  <c r="W292" i="19"/>
  <c r="X292" i="19" s="1"/>
  <c r="W275" i="19"/>
  <c r="X275" i="19" s="1"/>
  <c r="W91" i="19"/>
  <c r="X91" i="19" s="1"/>
  <c r="W61" i="19"/>
  <c r="X61" i="19" s="1"/>
  <c r="W12" i="19"/>
  <c r="X12" i="19" s="1"/>
  <c r="W233" i="19"/>
  <c r="X233" i="19" s="1"/>
  <c r="W258" i="19"/>
  <c r="X258" i="19" s="1"/>
  <c r="W189" i="19"/>
  <c r="X189" i="19" s="1"/>
  <c r="W192" i="19"/>
  <c r="X192" i="19" s="1"/>
  <c r="W288" i="19"/>
  <c r="X288" i="19" s="1"/>
  <c r="W174" i="19"/>
  <c r="X174" i="19" s="1"/>
  <c r="W294" i="19"/>
  <c r="X294" i="19" s="1"/>
  <c r="W166" i="19"/>
  <c r="X166" i="19" s="1"/>
  <c r="W264" i="19"/>
  <c r="X264" i="19" s="1"/>
  <c r="W197" i="19"/>
  <c r="X197" i="19" s="1"/>
  <c r="W265" i="19"/>
  <c r="X265" i="19" s="1"/>
  <c r="W66" i="19"/>
  <c r="X66" i="19" s="1"/>
  <c r="W29" i="19"/>
  <c r="X29" i="19" s="1"/>
  <c r="W313" i="19"/>
  <c r="X313" i="19" s="1"/>
  <c r="W315" i="19"/>
  <c r="X315" i="19" s="1"/>
  <c r="W11" i="19"/>
  <c r="X11" i="19" s="1"/>
  <c r="W6" i="19"/>
  <c r="X6" i="19" s="1"/>
  <c r="W110" i="19"/>
  <c r="X110" i="19" s="1"/>
  <c r="W156" i="19"/>
  <c r="X156" i="19" s="1"/>
  <c r="W145" i="19"/>
  <c r="X145" i="19" s="1"/>
  <c r="W201" i="19"/>
  <c r="X201" i="19" s="1"/>
  <c r="W314" i="19"/>
  <c r="X314" i="19" s="1"/>
  <c r="W257" i="19"/>
  <c r="X257" i="19" s="1"/>
  <c r="W74" i="19"/>
  <c r="X74" i="19" s="1"/>
  <c r="W209" i="19"/>
  <c r="X209" i="19" s="1"/>
  <c r="W310" i="19"/>
  <c r="X310" i="19" s="1"/>
  <c r="W266" i="19"/>
  <c r="X266" i="19" s="1"/>
  <c r="W163" i="19"/>
  <c r="X163" i="19" s="1"/>
  <c r="W76" i="19"/>
  <c r="X76" i="19" s="1"/>
  <c r="W204" i="19"/>
  <c r="X204" i="19" s="1"/>
  <c r="W284" i="19"/>
  <c r="X284" i="19" s="1"/>
  <c r="W85" i="19"/>
  <c r="X85" i="19" s="1"/>
  <c r="W130" i="19"/>
  <c r="X130" i="19" s="1"/>
  <c r="W161" i="19"/>
  <c r="X161" i="19" s="1"/>
  <c r="W229" i="19"/>
  <c r="X229" i="19" s="1"/>
  <c r="W47" i="19"/>
  <c r="X47" i="19" s="1"/>
  <c r="W141" i="19"/>
  <c r="X141" i="19" s="1"/>
  <c r="W55" i="19"/>
  <c r="X55" i="19" s="1"/>
  <c r="W214" i="19"/>
  <c r="X214" i="19" s="1"/>
  <c r="W290" i="19"/>
  <c r="X290" i="19" s="1"/>
  <c r="W176" i="19"/>
  <c r="X176" i="19" s="1"/>
  <c r="W198" i="19"/>
  <c r="X198" i="19" s="1"/>
  <c r="W40" i="19"/>
  <c r="X40" i="19" s="1"/>
  <c r="W250" i="19"/>
  <c r="X250" i="19" s="1"/>
  <c r="W227" i="19"/>
  <c r="X227" i="19" s="1"/>
  <c r="W119" i="19"/>
  <c r="X119" i="19" s="1"/>
  <c r="W293" i="19"/>
  <c r="X293" i="19" s="1"/>
  <c r="W267" i="19"/>
  <c r="X267" i="19" s="1"/>
  <c r="W238" i="19"/>
  <c r="X238" i="19" s="1"/>
  <c r="W131" i="19"/>
  <c r="X131" i="19" s="1"/>
  <c r="W144" i="19"/>
  <c r="X144" i="19" s="1"/>
  <c r="W155" i="19"/>
  <c r="X155" i="19" s="1"/>
  <c r="W200" i="19"/>
  <c r="X200" i="19" s="1"/>
  <c r="W241" i="19"/>
  <c r="X241" i="19" s="1"/>
  <c r="W259" i="19"/>
  <c r="X259" i="19" s="1"/>
  <c r="W72" i="19"/>
  <c r="X72" i="19" s="1"/>
  <c r="W148" i="19"/>
  <c r="X148" i="19" s="1"/>
  <c r="W263" i="19"/>
  <c r="X263" i="19" s="1"/>
  <c r="W49" i="19"/>
  <c r="X49" i="19" s="1"/>
  <c r="W22" i="19"/>
  <c r="X22" i="19" s="1"/>
  <c r="W190" i="19"/>
  <c r="X190" i="19" s="1"/>
  <c r="W93" i="19"/>
  <c r="X93" i="19" s="1"/>
  <c r="W132" i="19"/>
  <c r="X132" i="19" s="1"/>
  <c r="W118" i="19"/>
  <c r="X118" i="19" s="1"/>
  <c r="W96" i="19"/>
  <c r="X96" i="19" s="1"/>
  <c r="W234" i="19"/>
  <c r="X234" i="19" s="1"/>
  <c r="W169" i="19"/>
  <c r="X169" i="19" s="1"/>
  <c r="W153" i="19"/>
  <c r="X153" i="19" s="1"/>
  <c r="W51" i="19"/>
  <c r="X51" i="19" s="1"/>
  <c r="W220" i="19"/>
  <c r="X220" i="19" s="1"/>
  <c r="W84" i="19"/>
  <c r="X84" i="19" s="1"/>
  <c r="W299" i="19"/>
  <c r="X299" i="19" s="1"/>
  <c r="W92" i="19"/>
  <c r="X92" i="19" s="1"/>
  <c r="W159" i="19"/>
  <c r="X159" i="19" s="1"/>
  <c r="W303" i="19"/>
  <c r="X303" i="19" s="1"/>
  <c r="W255" i="19"/>
  <c r="X255" i="19" s="1"/>
  <c r="W104" i="19"/>
  <c r="X104" i="19" s="1"/>
  <c r="W31" i="19"/>
  <c r="X31" i="19" s="1"/>
  <c r="W7" i="19"/>
  <c r="X7" i="19" s="1"/>
  <c r="W311" i="19"/>
  <c r="X311" i="19" s="1"/>
  <c r="W108" i="19"/>
  <c r="X108" i="19" s="1"/>
  <c r="W117" i="19"/>
  <c r="X117" i="19" s="1"/>
  <c r="W309" i="19"/>
  <c r="X309" i="19" s="1"/>
  <c r="W175" i="19"/>
  <c r="X175" i="19" s="1"/>
  <c r="W164" i="19"/>
  <c r="X164" i="19" s="1"/>
  <c r="W243" i="19"/>
  <c r="X243" i="19" s="1"/>
  <c r="W8" i="19"/>
  <c r="X8" i="19" s="1"/>
  <c r="W277" i="19"/>
  <c r="X277" i="19" s="1"/>
  <c r="W289" i="19"/>
  <c r="X289" i="19" s="1"/>
  <c r="W36" i="19"/>
  <c r="X36" i="19" s="1"/>
  <c r="W68" i="19"/>
  <c r="X68" i="19" s="1"/>
  <c r="W225" i="19"/>
  <c r="X225" i="19" s="1"/>
  <c r="W87" i="19"/>
  <c r="X87" i="19" s="1"/>
  <c r="W252" i="19"/>
  <c r="X252" i="19" s="1"/>
  <c r="W242" i="19"/>
  <c r="X242" i="19" s="1"/>
  <c r="W146" i="19"/>
  <c r="X146" i="19" s="1"/>
  <c r="W178" i="19"/>
  <c r="X178" i="19" s="1"/>
  <c r="W219" i="19"/>
  <c r="X219" i="19" s="1"/>
  <c r="W291" i="19"/>
  <c r="X291" i="19" s="1"/>
  <c r="W182" i="19"/>
  <c r="X182" i="19" s="1"/>
  <c r="W100" i="19"/>
  <c r="X100" i="19" s="1"/>
  <c r="W206" i="19"/>
  <c r="X206" i="19" s="1"/>
  <c r="W216" i="19"/>
  <c r="X216" i="19" s="1"/>
  <c r="W223" i="19"/>
  <c r="X223" i="19" s="1"/>
  <c r="W253" i="19"/>
  <c r="X253" i="19" s="1"/>
  <c r="W181" i="19"/>
  <c r="X181" i="19" s="1"/>
  <c r="W86" i="19"/>
  <c r="X86" i="19" s="1"/>
  <c r="W281" i="19"/>
  <c r="X281" i="19" s="1"/>
  <c r="W116" i="19"/>
  <c r="X116" i="19" s="1"/>
  <c r="W105" i="19"/>
  <c r="X105" i="19" s="1"/>
  <c r="W75" i="19"/>
  <c r="X75" i="19" s="1"/>
  <c r="W142" i="19"/>
  <c r="X142" i="19" s="1"/>
  <c r="W30" i="19"/>
  <c r="X30" i="19" s="1"/>
  <c r="W34" i="19"/>
  <c r="X34" i="19" s="1"/>
  <c r="W33" i="19"/>
  <c r="X33" i="19" s="1"/>
  <c r="W143" i="19"/>
  <c r="X143" i="19" s="1"/>
  <c r="W158" i="19"/>
  <c r="X158" i="19" s="1"/>
  <c r="W304" i="19"/>
  <c r="X304" i="19" s="1"/>
  <c r="W248" i="19"/>
  <c r="X248" i="19" s="1"/>
  <c r="W273" i="19"/>
  <c r="X273" i="19" s="1"/>
  <c r="W17" i="19"/>
  <c r="X17" i="19" s="1"/>
  <c r="W79" i="19"/>
  <c r="X79" i="19" s="1"/>
  <c r="W195" i="19"/>
  <c r="X195" i="19" s="1"/>
  <c r="W186" i="19"/>
  <c r="X186" i="19" s="1"/>
  <c r="W167" i="19"/>
  <c r="X167" i="19" s="1"/>
  <c r="W235" i="19"/>
  <c r="X235" i="19" s="1"/>
  <c r="W128" i="19"/>
  <c r="X128" i="19" s="1"/>
  <c r="W165" i="19"/>
  <c r="X165" i="19" s="1"/>
  <c r="W151" i="19"/>
  <c r="X151" i="19" s="1"/>
  <c r="W46" i="19"/>
  <c r="X46" i="19" s="1"/>
  <c r="W199" i="19"/>
  <c r="X199" i="19" s="1"/>
  <c r="W16" i="19"/>
  <c r="X16" i="19" s="1"/>
  <c r="W296" i="19"/>
  <c r="X296" i="19" s="1"/>
  <c r="W59" i="19"/>
  <c r="X59" i="19" s="1"/>
  <c r="W317" i="19"/>
  <c r="W88" i="19"/>
  <c r="X88" i="19" s="1"/>
  <c r="W122" i="19"/>
  <c r="X122" i="19" s="1"/>
  <c r="W78" i="19"/>
  <c r="X78" i="19" s="1"/>
  <c r="W39" i="19"/>
  <c r="X39" i="19" s="1"/>
  <c r="W179" i="19"/>
  <c r="X179" i="19" s="1"/>
  <c r="W300" i="19"/>
  <c r="X300" i="19" s="1"/>
  <c r="W217" i="19"/>
  <c r="X217" i="19" s="1"/>
  <c r="W94" i="19"/>
  <c r="X94" i="19" s="1"/>
  <c r="W89" i="19"/>
  <c r="X89" i="19" s="1"/>
  <c r="W307" i="19"/>
  <c r="X307" i="19" s="1"/>
  <c r="W185" i="19"/>
  <c r="X185" i="19" s="1"/>
  <c r="W103" i="19"/>
  <c r="X103" i="19" s="1"/>
  <c r="W81" i="19"/>
  <c r="X81" i="19" s="1"/>
  <c r="W60" i="19"/>
  <c r="X60" i="19" s="1"/>
  <c r="W43" i="19"/>
  <c r="X43" i="19" s="1"/>
  <c r="W297" i="19"/>
  <c r="X297" i="19" s="1"/>
  <c r="W196" i="19"/>
  <c r="X196" i="19" s="1"/>
  <c r="W38" i="19"/>
  <c r="X38" i="19" s="1"/>
  <c r="W274" i="19"/>
  <c r="X274" i="19" s="1"/>
  <c r="W239" i="19"/>
  <c r="X239" i="19" s="1"/>
  <c r="W120" i="19"/>
  <c r="X120" i="19" s="1"/>
  <c r="W48" i="19"/>
  <c r="X48" i="19" s="1"/>
  <c r="W226" i="19"/>
  <c r="X226" i="19" s="1"/>
  <c r="W69" i="19"/>
  <c r="X69" i="19" s="1"/>
  <c r="W279" i="19"/>
  <c r="X279" i="19" s="1"/>
  <c r="W270" i="19"/>
  <c r="X270" i="19" s="1"/>
  <c r="W42" i="19"/>
  <c r="X42" i="19" s="1"/>
  <c r="W254" i="19"/>
  <c r="X254" i="19" s="1"/>
  <c r="W140" i="19"/>
  <c r="X140" i="19" s="1"/>
  <c r="W228" i="19"/>
  <c r="X228" i="19" s="1"/>
  <c r="W249" i="19"/>
  <c r="X249" i="19" s="1"/>
  <c r="W168" i="19"/>
  <c r="X168" i="19" s="1"/>
  <c r="W298" i="19"/>
  <c r="X298" i="19" s="1"/>
  <c r="W73" i="19"/>
  <c r="X73" i="19" s="1"/>
  <c r="W280" i="19"/>
  <c r="X280" i="19" s="1"/>
  <c r="W312" i="19"/>
  <c r="X312" i="19" s="1"/>
  <c r="W194" i="19"/>
  <c r="X194" i="19" s="1"/>
  <c r="W272" i="19"/>
  <c r="X272" i="19" s="1"/>
  <c r="W18" i="19"/>
  <c r="X18" i="19" s="1"/>
  <c r="W80" i="19"/>
  <c r="X80" i="19" s="1"/>
  <c r="W207" i="19"/>
  <c r="X207" i="19" s="1"/>
  <c r="W231" i="19"/>
  <c r="X231" i="19" s="1"/>
  <c r="W305" i="19"/>
  <c r="X305" i="19" s="1"/>
  <c r="W149" i="19"/>
  <c r="X149" i="19" s="1"/>
  <c r="W205" i="19"/>
  <c r="X205" i="19" s="1"/>
  <c r="W13" i="19"/>
  <c r="X13" i="19" s="1"/>
  <c r="W27" i="19"/>
  <c r="X27" i="19" s="1"/>
  <c r="W286" i="19"/>
  <c r="X286" i="19" s="1"/>
  <c r="W53" i="19"/>
  <c r="X53" i="19" s="1"/>
  <c r="W260" i="19"/>
  <c r="X260" i="19" s="1"/>
  <c r="W316" i="19"/>
  <c r="X316" i="19" s="1"/>
  <c r="W134" i="19"/>
  <c r="X134" i="19" s="1"/>
  <c r="W183" i="19"/>
  <c r="X183" i="19" s="1"/>
  <c r="W218" i="19"/>
  <c r="X218" i="19" s="1"/>
  <c r="W50" i="19"/>
  <c r="X50" i="19" s="1"/>
  <c r="W271" i="19"/>
  <c r="X271" i="19" s="1"/>
  <c r="W19" i="19"/>
  <c r="X19" i="19" s="1"/>
  <c r="W98" i="19"/>
  <c r="X98" i="19" s="1"/>
  <c r="W114" i="19"/>
  <c r="X114" i="19" s="1"/>
  <c r="W24" i="19"/>
  <c r="X24" i="19" s="1"/>
  <c r="W222" i="19"/>
  <c r="X222" i="19" s="1"/>
  <c r="W15" i="19"/>
  <c r="X15" i="19" s="1"/>
  <c r="W95" i="19"/>
  <c r="X95" i="19" s="1"/>
  <c r="W90" i="19"/>
  <c r="X90" i="19" s="1"/>
  <c r="W109" i="19"/>
  <c r="X109" i="19" s="1"/>
  <c r="W187" i="19"/>
  <c r="X187" i="19" s="1"/>
  <c r="W173" i="19"/>
  <c r="X173" i="19" s="1"/>
  <c r="W136" i="19"/>
  <c r="X136" i="19" s="1"/>
  <c r="W210" i="19"/>
  <c r="X210" i="19" s="1"/>
  <c r="W184" i="19"/>
  <c r="X184" i="19" s="1"/>
  <c r="W127" i="19"/>
  <c r="X127" i="19" s="1"/>
  <c r="W77" i="19"/>
  <c r="X77" i="19" s="1"/>
  <c r="W138" i="19"/>
  <c r="X138" i="19" s="1"/>
  <c r="W135" i="19"/>
  <c r="X135" i="19" s="1"/>
  <c r="W57" i="19"/>
  <c r="X57" i="19" s="1"/>
  <c r="W56" i="19"/>
  <c r="X56" i="19" s="1"/>
  <c r="W10" i="19"/>
  <c r="X10" i="19" s="1"/>
  <c r="W247" i="19"/>
  <c r="X247" i="19" s="1"/>
  <c r="W262" i="19"/>
  <c r="X262" i="19" s="1"/>
  <c r="W35" i="19"/>
  <c r="X35" i="19" s="1"/>
  <c r="W64" i="19"/>
  <c r="X64" i="19" s="1"/>
  <c r="W256" i="19"/>
  <c r="X256" i="19" s="1"/>
  <c r="W269" i="19"/>
  <c r="X269" i="19" s="1"/>
  <c r="W232" i="19"/>
  <c r="X232" i="19" s="1"/>
  <c r="W123" i="19"/>
  <c r="X123" i="19" s="1"/>
  <c r="W99" i="19"/>
  <c r="X99" i="19" s="1"/>
  <c r="W170" i="19"/>
  <c r="X170" i="19" s="1"/>
  <c r="W32" i="19"/>
  <c r="X32" i="19" s="1"/>
  <c r="W9" i="19"/>
  <c r="X9" i="19" s="1"/>
  <c r="W191" i="19"/>
  <c r="X191" i="19" s="1"/>
  <c r="W133" i="19"/>
  <c r="X133" i="19" s="1"/>
  <c r="W202" i="19"/>
  <c r="X202" i="19" s="1"/>
  <c r="W171" i="19"/>
  <c r="X171" i="19" s="1"/>
  <c r="W107" i="19"/>
  <c r="X107" i="19" s="1"/>
  <c r="W287" i="19"/>
  <c r="X287" i="19" s="1"/>
  <c r="W26" i="19"/>
  <c r="X26" i="19" s="1"/>
  <c r="W28" i="19"/>
  <c r="X28" i="19" s="1"/>
  <c r="W62" i="19"/>
  <c r="X62" i="19" s="1"/>
  <c r="W302" i="19"/>
  <c r="X302" i="19" s="1"/>
  <c r="W52" i="19"/>
  <c r="X52" i="19" s="1"/>
  <c r="W276" i="19"/>
  <c r="X276" i="19" s="1"/>
  <c r="W20" i="19"/>
  <c r="X20" i="19" s="1"/>
  <c r="W180" i="19"/>
  <c r="X180" i="19" s="1"/>
  <c r="W236" i="19"/>
  <c r="X236" i="19" s="1"/>
  <c r="W67" i="19"/>
  <c r="X67" i="19" s="1"/>
  <c r="W172" i="19"/>
  <c r="X172" i="19" s="1"/>
  <c r="W295" i="19"/>
  <c r="X295" i="19" s="1"/>
  <c r="W193" i="19"/>
  <c r="X193" i="19" s="1"/>
  <c r="W147" i="19"/>
  <c r="X147" i="19" s="1"/>
  <c r="W129" i="19"/>
  <c r="X129" i="19" s="1"/>
  <c r="W278" i="19"/>
  <c r="X278" i="19" s="1"/>
  <c r="W244" i="19"/>
  <c r="X244" i="19" s="1"/>
  <c r="W157" i="19"/>
  <c r="X157" i="19" s="1"/>
  <c r="W25" i="19"/>
  <c r="X25" i="19" s="1"/>
  <c r="W208" i="19"/>
  <c r="X208" i="19" s="1"/>
  <c r="W285" i="19"/>
  <c r="X285" i="19" s="1"/>
  <c r="W63" i="19"/>
  <c r="X63" i="19" s="1"/>
  <c r="W137" i="19"/>
  <c r="X137" i="19" s="1"/>
  <c r="W282" i="19"/>
  <c r="X282" i="19" s="1"/>
  <c r="W112" i="19"/>
  <c r="X112" i="19" s="1"/>
  <c r="W4" i="19"/>
  <c r="W188" i="19"/>
  <c r="X188" i="19" s="1"/>
  <c r="W152" i="19"/>
  <c r="X152" i="19" s="1"/>
  <c r="W5" i="19"/>
  <c r="W224" i="19"/>
  <c r="X224" i="19" s="1"/>
  <c r="W71" i="19"/>
  <c r="X71" i="19" s="1"/>
  <c r="W221" i="19"/>
  <c r="X221" i="19" s="1"/>
  <c r="W308" i="19"/>
  <c r="X308" i="19" s="1"/>
  <c r="W111" i="19"/>
  <c r="X111" i="19" s="1"/>
  <c r="W121" i="19"/>
  <c r="X121" i="19" s="1"/>
  <c r="W37" i="19"/>
  <c r="X37" i="19" s="1"/>
  <c r="W237" i="19"/>
  <c r="X237" i="19" s="1"/>
  <c r="W125" i="19"/>
  <c r="X125" i="19" s="1"/>
  <c r="W261" i="19"/>
  <c r="X261" i="19" s="1"/>
  <c r="W101" i="19"/>
  <c r="X101" i="19" s="1"/>
  <c r="W139" i="19"/>
  <c r="X139" i="19" s="1"/>
  <c r="W83" i="19"/>
  <c r="X83" i="19" s="1"/>
  <c r="W268" i="19"/>
  <c r="X268" i="19" s="1"/>
  <c r="W58" i="19"/>
  <c r="X58" i="19" s="1"/>
  <c r="W211" i="19"/>
  <c r="X211" i="19" s="1"/>
  <c r="W65" i="19"/>
  <c r="X65" i="19" s="1"/>
  <c r="W215" i="19"/>
  <c r="X215" i="19" s="1"/>
  <c r="W240" i="19"/>
  <c r="X240" i="19" s="1"/>
  <c r="W212" i="19"/>
  <c r="X212" i="19" s="1"/>
  <c r="W245" i="19"/>
  <c r="X245" i="19" s="1"/>
  <c r="W97" i="19"/>
  <c r="X97" i="19" s="1"/>
  <c r="W45" i="19"/>
  <c r="X45" i="19" s="1"/>
  <c r="W115" i="19"/>
  <c r="X115" i="19" s="1"/>
  <c r="W283" i="19"/>
  <c r="X283" i="19" s="1"/>
  <c r="W213" i="19"/>
  <c r="X213" i="19" s="1"/>
  <c r="W124" i="19"/>
  <c r="X124" i="19" s="1"/>
  <c r="W54" i="19"/>
  <c r="X54" i="19" s="1"/>
  <c r="W246" i="19"/>
  <c r="X246" i="19" s="1"/>
  <c r="X317" i="19" l="1"/>
  <c r="C19" i="41"/>
  <c r="C18" i="41" s="1"/>
  <c r="X4" i="19"/>
  <c r="W3" i="19" a="1"/>
  <c r="W3" i="19" s="1"/>
  <c r="X106" i="19"/>
  <c r="X5" i="19"/>
  <c r="X3" i="19" l="1" a="1"/>
  <c r="X3" i="19" s="1"/>
  <c r="X1" i="19" s="1"/>
  <c r="Y15" i="19"/>
  <c r="Z15" i="19" s="1"/>
  <c r="Y230" i="19"/>
  <c r="Z230" i="19" s="1"/>
  <c r="Y106" i="19"/>
  <c r="Z106" i="19" s="1"/>
  <c r="Y226" i="19"/>
  <c r="Z226" i="19" s="1"/>
  <c r="Y208" i="19"/>
  <c r="Z208" i="19" s="1"/>
  <c r="Y212" i="19"/>
  <c r="Z212" i="19" s="1"/>
  <c r="Y234" i="19"/>
  <c r="Z234" i="19" s="1"/>
  <c r="Y22" i="19"/>
  <c r="Z22" i="19" s="1"/>
  <c r="Y275" i="19"/>
  <c r="Z275" i="19" s="1"/>
  <c r="Y74" i="19"/>
  <c r="Z74" i="19" s="1"/>
  <c r="Y117" i="19"/>
  <c r="Z117" i="19" s="1"/>
  <c r="Y180" i="19"/>
  <c r="Z180" i="19" s="1"/>
  <c r="Y280" i="19"/>
  <c r="Z280" i="19" s="1"/>
  <c r="Y294" i="19"/>
  <c r="Z294" i="19" s="1"/>
  <c r="Y63" i="19"/>
  <c r="Z63" i="19" s="1"/>
  <c r="Y279" i="19"/>
  <c r="Z279" i="19" s="1"/>
  <c r="Y98" i="19"/>
  <c r="Z98" i="19" s="1"/>
  <c r="Y149" i="19"/>
  <c r="Z149" i="19" s="1"/>
  <c r="Y207" i="19"/>
  <c r="Z207" i="19" s="1"/>
  <c r="Y291" i="19"/>
  <c r="Z291" i="19" s="1"/>
  <c r="Y283" i="19"/>
  <c r="Z283" i="19" s="1"/>
  <c r="Y225" i="19"/>
  <c r="Z225" i="19" s="1"/>
  <c r="Y210" i="19"/>
  <c r="Z210" i="19" s="1"/>
  <c r="Y80" i="19"/>
  <c r="Z80" i="19" s="1"/>
  <c r="Y125" i="19"/>
  <c r="Z125" i="19" s="1"/>
  <c r="Y43" i="19"/>
  <c r="Z43" i="19" s="1"/>
  <c r="Y232" i="19"/>
  <c r="Z232" i="19" s="1"/>
  <c r="Y264" i="19"/>
  <c r="Z264" i="19" s="1"/>
  <c r="Y27" i="19"/>
  <c r="Z27" i="19" s="1"/>
  <c r="Y198" i="19"/>
  <c r="Z198" i="19" s="1"/>
  <c r="Y306" i="19"/>
  <c r="Z306" i="19" s="1"/>
  <c r="Y132" i="19"/>
  <c r="Z132" i="19" s="1"/>
  <c r="Y299" i="19"/>
  <c r="Z299" i="19" s="1"/>
  <c r="Y155" i="19"/>
  <c r="Z155" i="19" s="1"/>
  <c r="Y136" i="19"/>
  <c r="Z136" i="19" s="1"/>
  <c r="Y87" i="19"/>
  <c r="Z87" i="19" s="1"/>
  <c r="Y238" i="19"/>
  <c r="Z238" i="19" s="1"/>
  <c r="Y32" i="19"/>
  <c r="Z32" i="19" s="1"/>
  <c r="Y69" i="19"/>
  <c r="Z69" i="19" s="1"/>
  <c r="Y111" i="19"/>
  <c r="Z111" i="19" s="1"/>
  <c r="Y233" i="19"/>
  <c r="Z233" i="19" s="1"/>
  <c r="Y231" i="19"/>
  <c r="Z231" i="19" s="1"/>
  <c r="Y201" i="19"/>
  <c r="Z201" i="19" s="1"/>
  <c r="Y113" i="19"/>
  <c r="Z113" i="19" s="1"/>
  <c r="Y85" i="19"/>
  <c r="Z85" i="19" s="1"/>
  <c r="Y11" i="19"/>
  <c r="Z11" i="19" s="1"/>
  <c r="Y10" i="19"/>
  <c r="Z10" i="19" s="1"/>
  <c r="Y168" i="19"/>
  <c r="Z168" i="19" s="1"/>
  <c r="Y104" i="19"/>
  <c r="Z104" i="19" s="1"/>
  <c r="Y88" i="19"/>
  <c r="Z88" i="19" s="1"/>
  <c r="Y107" i="19"/>
  <c r="Z107" i="19" s="1"/>
  <c r="Y46" i="19"/>
  <c r="Z46" i="19" s="1"/>
  <c r="Y156" i="19"/>
  <c r="Z156" i="19" s="1"/>
  <c r="Y89" i="19"/>
  <c r="Z89" i="19" s="1"/>
  <c r="Y100" i="19"/>
  <c r="Z100" i="19" s="1"/>
  <c r="Y302" i="19"/>
  <c r="Z302" i="19" s="1"/>
  <c r="Y92" i="19"/>
  <c r="Z92" i="19" s="1"/>
  <c r="Y127" i="19"/>
  <c r="Z127" i="19" s="1"/>
  <c r="Y83" i="19"/>
  <c r="Z83" i="19" s="1"/>
  <c r="Y220" i="19"/>
  <c r="Z220" i="19" s="1"/>
  <c r="Y71" i="19"/>
  <c r="Z71" i="19" s="1"/>
  <c r="Y128" i="19"/>
  <c r="Z128" i="19" s="1"/>
  <c r="Y171" i="19"/>
  <c r="Z171" i="19" s="1"/>
  <c r="Y224" i="19"/>
  <c r="Z224" i="19" s="1"/>
  <c r="Y183" i="19"/>
  <c r="Z183" i="19" s="1"/>
  <c r="Y229" i="19"/>
  <c r="Z229" i="19" s="1"/>
  <c r="Y50" i="19"/>
  <c r="Z50" i="19" s="1"/>
  <c r="Y301" i="19"/>
  <c r="Z301" i="19" s="1"/>
  <c r="Y137" i="19"/>
  <c r="Z137" i="19" s="1"/>
  <c r="Y174" i="19"/>
  <c r="Z174" i="19" s="1"/>
  <c r="Y194" i="19"/>
  <c r="Z194" i="19" s="1"/>
  <c r="Y123" i="19"/>
  <c r="Z123" i="19" s="1"/>
  <c r="Y227" i="19"/>
  <c r="Z227" i="19" s="1"/>
  <c r="Y296" i="19"/>
  <c r="Z296" i="19" s="1"/>
  <c r="Y64" i="19"/>
  <c r="Z64" i="19" s="1"/>
  <c r="Y96" i="19"/>
  <c r="Z96" i="19" s="1"/>
  <c r="Y313" i="19"/>
  <c r="Z313" i="19" s="1"/>
  <c r="Y288" i="19"/>
  <c r="Z288" i="19" s="1"/>
  <c r="Y17" i="19"/>
  <c r="Z17" i="19" s="1"/>
  <c r="Y116" i="19"/>
  <c r="Z116" i="19" s="1"/>
  <c r="Y305" i="19"/>
  <c r="Z305" i="19" s="1"/>
  <c r="Y23" i="19"/>
  <c r="Z23" i="19" s="1"/>
  <c r="Y138" i="19"/>
  <c r="Z138" i="19" s="1"/>
  <c r="Y177" i="19"/>
  <c r="Z177" i="19" s="1"/>
  <c r="Y292" i="19"/>
  <c r="Z292" i="19" s="1"/>
  <c r="Y267" i="19"/>
  <c r="Z267" i="19" s="1"/>
  <c r="Y130" i="19"/>
  <c r="Z130" i="19" s="1"/>
  <c r="Y239" i="19"/>
  <c r="Z239" i="19" s="1"/>
  <c r="Y142" i="19"/>
  <c r="Z142" i="19" s="1"/>
  <c r="Y221" i="19"/>
  <c r="Z221" i="19" s="1"/>
  <c r="Y6" i="19"/>
  <c r="Z6" i="19" s="1"/>
  <c r="Y246" i="19"/>
  <c r="Z246" i="19" s="1"/>
  <c r="Y51" i="19"/>
  <c r="Z51" i="19" s="1"/>
  <c r="Y40" i="19"/>
  <c r="Z40" i="19" s="1"/>
  <c r="Y195" i="19"/>
  <c r="Z195" i="19" s="1"/>
  <c r="Y5" i="19"/>
  <c r="Y108" i="19"/>
  <c r="Z108" i="19" s="1"/>
  <c r="Y7" i="19"/>
  <c r="Z7" i="19" s="1"/>
  <c r="Y101" i="19"/>
  <c r="Z101" i="19" s="1"/>
  <c r="Y34" i="19"/>
  <c r="Z34" i="19" s="1"/>
  <c r="Y86" i="19"/>
  <c r="Z86" i="19" s="1"/>
  <c r="Y119" i="19"/>
  <c r="Z119" i="19" s="1"/>
  <c r="Y109" i="19"/>
  <c r="Z109" i="19" s="1"/>
  <c r="Y90" i="19"/>
  <c r="Z90" i="19" s="1"/>
  <c r="Y95" i="19"/>
  <c r="Z95" i="19" s="1"/>
  <c r="Y44" i="19"/>
  <c r="Z44" i="19" s="1"/>
  <c r="Y30" i="19"/>
  <c r="Z30" i="19" s="1"/>
  <c r="Y72" i="19"/>
  <c r="Z72" i="19" s="1"/>
  <c r="Y93" i="19"/>
  <c r="Z93" i="19" s="1"/>
  <c r="Y146" i="19"/>
  <c r="Z146" i="19" s="1"/>
  <c r="Y151" i="19"/>
  <c r="Z151" i="19" s="1"/>
  <c r="Y262" i="19"/>
  <c r="Z262" i="19" s="1"/>
  <c r="Y282" i="19"/>
  <c r="Z282" i="19" s="1"/>
  <c r="Y293" i="19"/>
  <c r="Z293" i="19" s="1"/>
  <c r="Y135" i="19"/>
  <c r="Z135" i="19" s="1"/>
  <c r="Y215" i="19"/>
  <c r="Z215" i="19" s="1"/>
  <c r="Y254" i="19"/>
  <c r="Z254" i="19" s="1"/>
  <c r="Y82" i="19"/>
  <c r="Z82" i="19" s="1"/>
  <c r="Y121" i="19"/>
  <c r="Z121" i="19" s="1"/>
  <c r="Y200" i="19"/>
  <c r="Z200" i="19" s="1"/>
  <c r="Y269" i="19"/>
  <c r="Z269" i="19" s="1"/>
  <c r="Y186" i="19"/>
  <c r="Z186" i="19" s="1"/>
  <c r="Y250" i="19"/>
  <c r="Z250" i="19" s="1"/>
  <c r="Y115" i="19"/>
  <c r="Z115" i="19" s="1"/>
  <c r="Y48" i="19"/>
  <c r="Z48" i="19" s="1"/>
  <c r="Y73" i="19"/>
  <c r="Z73" i="19" s="1"/>
  <c r="Y307" i="19"/>
  <c r="Z307" i="19" s="1"/>
  <c r="Y243" i="19"/>
  <c r="Z243" i="19" s="1"/>
  <c r="Y309" i="19"/>
  <c r="Z309" i="19" s="1"/>
  <c r="Y228" i="19"/>
  <c r="Z228" i="19" s="1"/>
  <c r="Y12" i="19"/>
  <c r="Z12" i="19" s="1"/>
  <c r="Y297" i="19"/>
  <c r="Z297" i="19" s="1"/>
  <c r="Y152" i="19"/>
  <c r="Z152" i="19" s="1"/>
  <c r="Y263" i="19"/>
  <c r="Z263" i="19" s="1"/>
  <c r="Y295" i="19"/>
  <c r="Z295" i="19" s="1"/>
  <c r="Y245" i="19"/>
  <c r="Z245" i="19" s="1"/>
  <c r="Y312" i="19"/>
  <c r="Z312" i="19" s="1"/>
  <c r="Y202" i="19"/>
  <c r="Z202" i="19" s="1"/>
  <c r="Y235" i="19"/>
  <c r="Z235" i="19" s="1"/>
  <c r="Y163" i="19"/>
  <c r="Z163" i="19" s="1"/>
  <c r="Y67" i="19"/>
  <c r="Z67" i="19" s="1"/>
  <c r="Y16" i="19"/>
  <c r="Z16" i="19" s="1"/>
  <c r="Y162" i="19"/>
  <c r="Z162" i="19" s="1"/>
  <c r="Y144" i="19"/>
  <c r="Z144" i="19" s="1"/>
  <c r="Y126" i="19"/>
  <c r="Z126" i="19" s="1"/>
  <c r="Y185" i="19"/>
  <c r="Z185" i="19" s="1"/>
  <c r="Y274" i="19"/>
  <c r="Z274" i="19" s="1"/>
  <c r="Y55" i="19"/>
  <c r="Z55" i="19" s="1"/>
  <c r="Y56" i="19"/>
  <c r="Z56" i="19" s="1"/>
  <c r="Y276" i="19"/>
  <c r="Z276" i="19" s="1"/>
  <c r="Y47" i="19"/>
  <c r="Z47" i="19" s="1"/>
  <c r="Y105" i="19"/>
  <c r="Z105" i="19" s="1"/>
  <c r="Y287" i="19"/>
  <c r="Z287" i="19" s="1"/>
  <c r="Y284" i="19"/>
  <c r="Z284" i="19" s="1"/>
  <c r="Y42" i="19"/>
  <c r="Z42" i="19" s="1"/>
  <c r="Y199" i="19"/>
  <c r="Z199" i="19" s="1"/>
  <c r="Y118" i="19"/>
  <c r="Z118" i="19" s="1"/>
  <c r="Y240" i="19"/>
  <c r="Z240" i="19" s="1"/>
  <c r="Y310" i="19"/>
  <c r="Z310" i="19" s="1"/>
  <c r="Y141" i="19"/>
  <c r="Z141" i="19" s="1"/>
  <c r="Y248" i="19"/>
  <c r="Z248" i="19" s="1"/>
  <c r="Y81" i="19"/>
  <c r="Z81" i="19" s="1"/>
  <c r="Y18" i="19"/>
  <c r="Z18" i="19" s="1"/>
  <c r="Y218" i="19"/>
  <c r="Z218" i="19" s="1"/>
  <c r="Y120" i="19"/>
  <c r="Z120" i="19" s="1"/>
  <c r="Y124" i="19"/>
  <c r="Z124" i="19" s="1"/>
  <c r="Y314" i="19"/>
  <c r="Z314" i="19" s="1"/>
  <c r="Y61" i="19"/>
  <c r="Z61" i="19" s="1"/>
  <c r="Y133" i="19"/>
  <c r="Z133" i="19" s="1"/>
  <c r="Y303" i="19"/>
  <c r="Z303" i="19" s="1"/>
  <c r="Y223" i="19"/>
  <c r="Z223" i="19" s="1"/>
  <c r="Y54" i="19"/>
  <c r="Z54" i="19" s="1"/>
  <c r="Y145" i="19"/>
  <c r="Z145" i="19" s="1"/>
  <c r="Y244" i="19"/>
  <c r="Z244" i="19" s="1"/>
  <c r="Y134" i="19"/>
  <c r="Z134" i="19" s="1"/>
  <c r="Y20" i="19"/>
  <c r="Z20" i="19" s="1"/>
  <c r="Y204" i="19"/>
  <c r="Z204" i="19" s="1"/>
  <c r="Y8" i="19"/>
  <c r="Z8" i="19" s="1"/>
  <c r="Y197" i="19"/>
  <c r="Z197" i="19" s="1"/>
  <c r="Y219" i="19"/>
  <c r="Z219" i="19" s="1"/>
  <c r="Y192" i="19"/>
  <c r="Z192" i="19" s="1"/>
  <c r="Y13" i="19"/>
  <c r="Z13" i="19" s="1"/>
  <c r="Y189" i="19"/>
  <c r="Z189" i="19" s="1"/>
  <c r="Y26" i="19"/>
  <c r="Z26" i="19" s="1"/>
  <c r="Y94" i="19"/>
  <c r="Z94" i="19" s="1"/>
  <c r="Y184" i="19"/>
  <c r="Z184" i="19" s="1"/>
  <c r="Y59" i="19"/>
  <c r="Z59" i="19" s="1"/>
  <c r="Y281" i="19"/>
  <c r="Z281" i="19" s="1"/>
  <c r="Y91" i="19"/>
  <c r="Z91" i="19" s="1"/>
  <c r="Y172" i="19"/>
  <c r="Z172" i="19" s="1"/>
  <c r="Y308" i="19"/>
  <c r="Z308" i="19" s="1"/>
  <c r="Y38" i="19"/>
  <c r="Z38" i="19" s="1"/>
  <c r="Y190" i="19"/>
  <c r="Z190" i="19" s="1"/>
  <c r="Y97" i="19"/>
  <c r="Z97" i="19" s="1"/>
  <c r="Y58" i="19"/>
  <c r="Z58" i="19" s="1"/>
  <c r="Y203" i="19"/>
  <c r="Z203" i="19" s="1"/>
  <c r="Y99" i="19"/>
  <c r="Z99" i="19" s="1"/>
  <c r="Y253" i="19"/>
  <c r="Z253" i="19" s="1"/>
  <c r="Y277" i="19"/>
  <c r="Z277" i="19" s="1"/>
  <c r="Y84" i="19"/>
  <c r="Z84" i="19" s="1"/>
  <c r="Y139" i="19"/>
  <c r="Z139" i="19" s="1"/>
  <c r="Y21" i="19"/>
  <c r="Z21" i="19" s="1"/>
  <c r="Y28" i="19"/>
  <c r="Z28" i="19" s="1"/>
  <c r="Y154" i="19"/>
  <c r="Z154" i="19" s="1"/>
  <c r="Y311" i="19"/>
  <c r="Z311" i="19" s="1"/>
  <c r="Y205" i="19"/>
  <c r="Z205" i="19" s="1"/>
  <c r="Y272" i="19"/>
  <c r="Z272" i="19" s="1"/>
  <c r="Y242" i="19"/>
  <c r="Z242" i="19" s="1"/>
  <c r="Y66" i="19"/>
  <c r="Z66" i="19" s="1"/>
  <c r="Y181" i="19"/>
  <c r="Z181" i="19" s="1"/>
  <c r="Y196" i="19"/>
  <c r="Z196" i="19" s="1"/>
  <c r="Y270" i="19"/>
  <c r="Z270" i="19" s="1"/>
  <c r="Y252" i="19"/>
  <c r="Z252" i="19" s="1"/>
  <c r="Y265" i="19"/>
  <c r="Z265" i="19" s="1"/>
  <c r="Y150" i="19"/>
  <c r="Z150" i="19" s="1"/>
  <c r="Y14" i="19"/>
  <c r="Z14" i="19" s="1"/>
  <c r="Y211" i="19"/>
  <c r="Z211" i="19" s="1"/>
  <c r="Y187" i="19"/>
  <c r="Z187" i="19" s="1"/>
  <c r="Y178" i="19"/>
  <c r="Z178" i="19" s="1"/>
  <c r="Y259" i="19"/>
  <c r="Z259" i="19" s="1"/>
  <c r="Y62" i="19"/>
  <c r="Z62" i="19" s="1"/>
  <c r="Y36" i="19"/>
  <c r="Z36" i="19" s="1"/>
  <c r="Y258" i="19"/>
  <c r="Z258" i="19" s="1"/>
  <c r="Y140" i="19"/>
  <c r="Z140" i="19" s="1"/>
  <c r="Y255" i="19"/>
  <c r="Z255" i="19" s="1"/>
  <c r="Y131" i="19"/>
  <c r="Z131" i="19" s="1"/>
  <c r="Y153" i="19"/>
  <c r="Z153" i="19" s="1"/>
  <c r="Y237" i="19"/>
  <c r="Z237" i="19" s="1"/>
  <c r="Y206" i="19"/>
  <c r="Z206" i="19" s="1"/>
  <c r="Y176" i="19"/>
  <c r="Z176" i="19" s="1"/>
  <c r="Y79" i="19"/>
  <c r="Z79" i="19" s="1"/>
  <c r="Y298" i="19"/>
  <c r="Z298" i="19" s="1"/>
  <c r="Y37" i="19"/>
  <c r="Z37" i="19" s="1"/>
  <c r="Y9" i="19"/>
  <c r="Z9" i="19" s="1"/>
  <c r="Y315" i="19"/>
  <c r="Z315" i="19" s="1"/>
  <c r="Y268" i="19"/>
  <c r="Z268" i="19" s="1"/>
  <c r="Y164" i="19"/>
  <c r="Z164" i="19" s="1"/>
  <c r="Y247" i="19"/>
  <c r="Z247" i="19" s="1"/>
  <c r="Y160" i="19"/>
  <c r="Z160" i="19" s="1"/>
  <c r="Y214" i="19"/>
  <c r="Z214" i="19" s="1"/>
  <c r="Y300" i="19"/>
  <c r="Z300" i="19" s="1"/>
  <c r="Y148" i="19"/>
  <c r="Z148" i="19" s="1"/>
  <c r="Y316" i="19"/>
  <c r="Z316" i="19" s="1"/>
  <c r="Y112" i="19"/>
  <c r="Z112" i="19" s="1"/>
  <c r="Y77" i="19"/>
  <c r="Z77" i="19" s="1"/>
  <c r="Y165" i="19"/>
  <c r="Z165" i="19" s="1"/>
  <c r="Y65" i="19"/>
  <c r="Z65" i="19" s="1"/>
  <c r="Y41" i="19"/>
  <c r="Z41" i="19" s="1"/>
  <c r="Y35" i="19"/>
  <c r="Z35" i="19" s="1"/>
  <c r="Y266" i="19"/>
  <c r="Z266" i="19" s="1"/>
  <c r="Y102" i="19"/>
  <c r="Z102" i="19" s="1"/>
  <c r="Y31" i="19"/>
  <c r="Z31" i="19" s="1"/>
  <c r="Y257" i="19"/>
  <c r="Z257" i="19" s="1"/>
  <c r="Y241" i="19"/>
  <c r="Z241" i="19" s="1"/>
  <c r="Y216" i="19"/>
  <c r="Z216" i="19" s="1"/>
  <c r="Y289" i="19"/>
  <c r="Z289" i="19" s="1"/>
  <c r="Y33" i="19"/>
  <c r="Z33" i="19" s="1"/>
  <c r="Y273" i="19"/>
  <c r="Z273" i="19" s="1"/>
  <c r="Y157" i="19"/>
  <c r="Z157" i="19" s="1"/>
  <c r="Y143" i="19"/>
  <c r="Z143" i="19" s="1"/>
  <c r="Y271" i="19"/>
  <c r="Z271" i="19" s="1"/>
  <c r="Y222" i="19"/>
  <c r="Z222" i="19" s="1"/>
  <c r="Y70" i="19"/>
  <c r="Z70" i="19" s="1"/>
  <c r="Y290" i="19"/>
  <c r="Z290" i="19" s="1"/>
  <c r="Y209" i="19"/>
  <c r="Z209" i="19" s="1"/>
  <c r="Y182" i="19"/>
  <c r="Z182" i="19" s="1"/>
  <c r="Y147" i="19"/>
  <c r="Z147" i="19" s="1"/>
  <c r="Y161" i="19"/>
  <c r="Z161" i="19" s="1"/>
  <c r="Y286" i="19"/>
  <c r="Z286" i="19" s="1"/>
  <c r="Y251" i="19"/>
  <c r="Z251" i="19" s="1"/>
  <c r="Y256" i="19"/>
  <c r="Z256" i="19" s="1"/>
  <c r="Y166" i="19"/>
  <c r="Z166" i="19" s="1"/>
  <c r="Y57" i="19"/>
  <c r="Z57" i="19" s="1"/>
  <c r="Y158" i="19"/>
  <c r="Z158" i="19" s="1"/>
  <c r="Y188" i="19"/>
  <c r="Z188" i="19" s="1"/>
  <c r="Y170" i="19"/>
  <c r="Z170" i="19" s="1"/>
  <c r="Y193" i="19"/>
  <c r="Z193" i="19" s="1"/>
  <c r="Y213" i="19"/>
  <c r="Z213" i="19" s="1"/>
  <c r="Y39" i="19"/>
  <c r="Z39" i="19" s="1"/>
  <c r="Y261" i="19"/>
  <c r="Z261" i="19" s="1"/>
  <c r="Y68" i="19"/>
  <c r="Z68" i="19" s="1"/>
  <c r="Y53" i="19"/>
  <c r="Z53" i="19" s="1"/>
  <c r="Y191" i="19"/>
  <c r="Z191" i="19" s="1"/>
  <c r="Y285" i="19"/>
  <c r="Z285" i="19" s="1"/>
  <c r="Y260" i="19"/>
  <c r="Z260" i="19" s="1"/>
  <c r="Y179" i="19"/>
  <c r="Z179" i="19" s="1"/>
  <c r="Y114" i="19"/>
  <c r="Z114" i="19" s="1"/>
  <c r="Y60" i="19"/>
  <c r="Z60" i="19" s="1"/>
  <c r="Y110" i="19"/>
  <c r="Z110" i="19" s="1"/>
  <c r="Y24" i="19"/>
  <c r="Z24" i="19" s="1"/>
  <c r="Y78" i="19"/>
  <c r="Z78" i="19" s="1"/>
  <c r="Y217" i="19"/>
  <c r="Z217" i="19" s="1"/>
  <c r="Y122" i="19"/>
  <c r="Z122" i="19" s="1"/>
  <c r="Y129" i="19"/>
  <c r="Z129" i="19" s="1"/>
  <c r="Y25" i="19"/>
  <c r="Z25" i="19" s="1"/>
  <c r="Y278" i="19"/>
  <c r="Z278" i="19" s="1"/>
  <c r="Y304" i="19"/>
  <c r="Z304" i="19" s="1"/>
  <c r="Y52" i="19"/>
  <c r="Z52" i="19" s="1"/>
  <c r="Y103" i="19"/>
  <c r="Z103" i="19" s="1"/>
  <c r="Y45" i="19"/>
  <c r="Z45" i="19" s="1"/>
  <c r="Y175" i="19"/>
  <c r="Z175" i="19" s="1"/>
  <c r="Y159" i="19"/>
  <c r="Z159" i="19" s="1"/>
  <c r="Y169" i="19"/>
  <c r="Z169" i="19" s="1"/>
  <c r="Y29" i="19"/>
  <c r="Z29" i="19" s="1"/>
  <c r="Y75" i="19"/>
  <c r="Z75" i="19" s="1"/>
  <c r="Y167" i="19"/>
  <c r="Z167" i="19" s="1"/>
  <c r="Y76" i="19"/>
  <c r="Z76" i="19" s="1"/>
  <c r="Y249" i="19"/>
  <c r="Z249" i="19" s="1"/>
  <c r="Y4" i="19"/>
  <c r="Y19" i="19"/>
  <c r="Z19" i="19" s="1"/>
  <c r="Y317" i="19"/>
  <c r="Y173" i="19"/>
  <c r="Z173" i="19" s="1"/>
  <c r="Y49" i="19"/>
  <c r="Z49" i="19" s="1"/>
  <c r="Y236" i="19"/>
  <c r="Z236" i="19" s="1"/>
  <c r="Z317" i="19" l="1"/>
  <c r="C21" i="41"/>
  <c r="C24" i="41" s="1"/>
  <c r="Z4" i="19"/>
  <c r="Y3" i="19" a="1"/>
  <c r="Y3" i="19" s="1"/>
  <c r="Z5" i="19"/>
  <c r="Z3" i="19" l="1" a="1"/>
  <c r="Z3" i="19" s="1"/>
  <c r="AA236" i="19" s="1"/>
  <c r="AB236" i="19" s="1"/>
  <c r="AE236" i="19" s="1"/>
  <c r="AA243" i="19" l="1"/>
  <c r="AB243" i="19" s="1"/>
  <c r="AE243" i="19" s="1"/>
  <c r="AA246" i="19"/>
  <c r="AB246" i="19" s="1"/>
  <c r="AE246" i="19" s="1"/>
  <c r="AA119" i="19"/>
  <c r="AB119" i="19" s="1"/>
  <c r="AE119" i="19" s="1"/>
  <c r="AA303" i="19"/>
  <c r="AB303" i="19" s="1"/>
  <c r="AE303" i="19" s="1"/>
  <c r="AA88" i="19"/>
  <c r="AB88" i="19" s="1"/>
  <c r="AE88" i="19" s="1"/>
  <c r="AA211" i="19"/>
  <c r="AB211" i="19" s="1"/>
  <c r="AD211" i="19" s="1"/>
  <c r="AA275" i="19"/>
  <c r="AB275" i="19" s="1"/>
  <c r="AE275" i="19" s="1"/>
  <c r="AA94" i="19"/>
  <c r="AB94" i="19" s="1"/>
  <c r="AE94" i="19" s="1"/>
  <c r="AA317" i="19"/>
  <c r="AB317" i="19" s="1"/>
  <c r="AE317" i="19" s="1"/>
  <c r="AA133" i="19"/>
  <c r="AB133" i="19" s="1"/>
  <c r="AE133" i="19" s="1"/>
  <c r="AA208" i="19"/>
  <c r="AB208" i="19" s="1"/>
  <c r="AE208" i="19" s="1"/>
  <c r="AA77" i="19"/>
  <c r="AB77" i="19" s="1"/>
  <c r="AE77" i="19" s="1"/>
  <c r="AA296" i="19"/>
  <c r="AB296" i="19" s="1"/>
  <c r="AE296" i="19" s="1"/>
  <c r="AA204" i="19"/>
  <c r="AB204" i="19" s="1"/>
  <c r="AE204" i="19" s="1"/>
  <c r="AA168" i="19"/>
  <c r="AB168" i="19" s="1"/>
  <c r="AE168" i="19" s="1"/>
  <c r="AA315" i="19"/>
  <c r="AB315" i="19" s="1"/>
  <c r="AE315" i="19" s="1"/>
  <c r="AA174" i="19"/>
  <c r="AB174" i="19" s="1"/>
  <c r="AE174" i="19" s="1"/>
  <c r="AA218" i="19"/>
  <c r="AB218" i="19" s="1"/>
  <c r="AE218" i="19" s="1"/>
  <c r="AA74" i="19"/>
  <c r="AB74" i="19" s="1"/>
  <c r="AE74" i="19" s="1"/>
  <c r="AA297" i="19"/>
  <c r="AB297" i="19" s="1"/>
  <c r="AE297" i="19" s="1"/>
  <c r="AA171" i="19"/>
  <c r="AB171" i="19" s="1"/>
  <c r="AE171" i="19" s="1"/>
  <c r="AA175" i="19"/>
  <c r="AB175" i="19" s="1"/>
  <c r="AE175" i="19" s="1"/>
  <c r="AA278" i="19"/>
  <c r="AB278" i="19" s="1"/>
  <c r="AE278" i="19" s="1"/>
  <c r="AA25" i="19"/>
  <c r="AB25" i="19" s="1"/>
  <c r="AE25" i="19" s="1"/>
  <c r="AA248" i="19"/>
  <c r="AB248" i="19" s="1"/>
  <c r="AE248" i="19" s="1"/>
  <c r="AA120" i="19"/>
  <c r="AB120" i="19" s="1"/>
  <c r="AE120" i="19" s="1"/>
  <c r="AA229" i="19"/>
  <c r="AB229" i="19" s="1"/>
  <c r="AE229" i="19" s="1"/>
  <c r="AA210" i="19"/>
  <c r="AB210" i="19" s="1"/>
  <c r="AE210" i="19" s="1"/>
  <c r="AA52" i="19"/>
  <c r="AB52" i="19" s="1"/>
  <c r="AE52" i="19" s="1"/>
  <c r="AA186" i="19"/>
  <c r="AB186" i="19" s="1"/>
  <c r="AE186" i="19" s="1"/>
  <c r="AA249" i="19"/>
  <c r="AB249" i="19" s="1"/>
  <c r="AE249" i="19" s="1"/>
  <c r="AA131" i="19"/>
  <c r="AB131" i="19" s="1"/>
  <c r="AE131" i="19" s="1"/>
  <c r="AA291" i="19"/>
  <c r="AB291" i="19" s="1"/>
  <c r="AE291" i="19" s="1"/>
  <c r="AA292" i="19"/>
  <c r="AB292" i="19" s="1"/>
  <c r="AE292" i="19" s="1"/>
  <c r="AA214" i="19"/>
  <c r="AB214" i="19" s="1"/>
  <c r="AE214" i="19" s="1"/>
  <c r="AA221" i="19"/>
  <c r="AB221" i="19" s="1"/>
  <c r="AE221" i="19" s="1"/>
  <c r="AA309" i="19"/>
  <c r="AB309" i="19" s="1"/>
  <c r="AE309" i="19" s="1"/>
  <c r="AA176" i="19"/>
  <c r="AB176" i="19" s="1"/>
  <c r="AE176" i="19" s="1"/>
  <c r="AA245" i="19"/>
  <c r="AB245" i="19" s="1"/>
  <c r="AE245" i="19" s="1"/>
  <c r="AA101" i="19"/>
  <c r="AB101" i="19" s="1"/>
  <c r="AE101" i="19" s="1"/>
  <c r="AA159" i="19"/>
  <c r="AB159" i="19" s="1"/>
  <c r="AE159" i="19" s="1"/>
  <c r="AA41" i="19"/>
  <c r="AB41" i="19" s="1"/>
  <c r="AE41" i="19" s="1"/>
  <c r="AA45" i="19"/>
  <c r="AB45" i="19" s="1"/>
  <c r="AE45" i="19" s="1"/>
  <c r="AA19" i="19"/>
  <c r="AB19" i="19" s="1"/>
  <c r="AE19" i="19" s="1"/>
  <c r="AA152" i="19"/>
  <c r="AB152" i="19" s="1"/>
  <c r="AE152" i="19" s="1"/>
  <c r="AA312" i="19"/>
  <c r="AB312" i="19" s="1"/>
  <c r="AE312" i="19" s="1"/>
  <c r="AA240" i="19"/>
  <c r="AB240" i="19" s="1"/>
  <c r="AE240" i="19" s="1"/>
  <c r="AA276" i="19"/>
  <c r="AB276" i="19" s="1"/>
  <c r="AE276" i="19" s="1"/>
  <c r="AA289" i="19"/>
  <c r="AB289" i="19" s="1"/>
  <c r="AE289" i="19" s="1"/>
  <c r="AA306" i="19"/>
  <c r="AB306" i="19" s="1"/>
  <c r="AE306" i="19" s="1"/>
  <c r="AA228" i="19"/>
  <c r="AB228" i="19" s="1"/>
  <c r="AE228" i="19" s="1"/>
  <c r="AA93" i="19"/>
  <c r="AB93" i="19" s="1"/>
  <c r="AE93" i="19" s="1"/>
  <c r="AA190" i="19"/>
  <c r="AB190" i="19" s="1"/>
  <c r="AE190" i="19" s="1"/>
  <c r="AA16" i="19"/>
  <c r="AB16" i="19" s="1"/>
  <c r="AE16" i="19" s="1"/>
  <c r="AA58" i="19"/>
  <c r="AB58" i="19" s="1"/>
  <c r="AE58" i="19" s="1"/>
  <c r="AA38" i="19"/>
  <c r="AB38" i="19" s="1"/>
  <c r="AE38" i="19" s="1"/>
  <c r="AA121" i="19"/>
  <c r="AB121" i="19" s="1"/>
  <c r="AE121" i="19" s="1"/>
  <c r="AA167" i="19"/>
  <c r="AB167" i="19" s="1"/>
  <c r="AE167" i="19" s="1"/>
  <c r="AA103" i="19"/>
  <c r="AB103" i="19" s="1"/>
  <c r="AE103" i="19" s="1"/>
  <c r="AA233" i="19"/>
  <c r="AB233" i="19" s="1"/>
  <c r="AE233" i="19" s="1"/>
  <c r="AA136" i="19"/>
  <c r="AB136" i="19" s="1"/>
  <c r="AE136" i="19" s="1"/>
  <c r="AA308" i="19"/>
  <c r="AB308" i="19" s="1"/>
  <c r="AE308" i="19" s="1"/>
  <c r="AA66" i="19"/>
  <c r="AB66" i="19" s="1"/>
  <c r="AE66" i="19" s="1"/>
  <c r="AA145" i="19"/>
  <c r="AB145" i="19" s="1"/>
  <c r="AE145" i="19" s="1"/>
  <c r="AA90" i="19"/>
  <c r="AB90" i="19" s="1"/>
  <c r="AE90" i="19" s="1"/>
  <c r="AA286" i="19"/>
  <c r="AB286" i="19" s="1"/>
  <c r="AE286" i="19" s="1"/>
  <c r="AA166" i="19"/>
  <c r="AB166" i="19" s="1"/>
  <c r="AE166" i="19" s="1"/>
  <c r="AA110" i="19"/>
  <c r="AB110" i="19" s="1"/>
  <c r="AE110" i="19" s="1"/>
  <c r="AA150" i="19"/>
  <c r="AB150" i="19" s="1"/>
  <c r="AE150" i="19" s="1"/>
  <c r="AA33" i="19"/>
  <c r="AB33" i="19" s="1"/>
  <c r="AE33" i="19" s="1"/>
  <c r="AA241" i="19"/>
  <c r="AB241" i="19" s="1"/>
  <c r="AE241" i="19" s="1"/>
  <c r="AA55" i="19"/>
  <c r="AB55" i="19" s="1"/>
  <c r="AE55" i="19" s="1"/>
  <c r="AA314" i="19"/>
  <c r="AB314" i="19" s="1"/>
  <c r="AE314" i="19" s="1"/>
  <c r="AA307" i="19"/>
  <c r="AB307" i="19" s="1"/>
  <c r="AE307" i="19" s="1"/>
  <c r="AA280" i="19"/>
  <c r="AB280" i="19" s="1"/>
  <c r="AE280" i="19" s="1"/>
  <c r="AA197" i="19"/>
  <c r="AB197" i="19" s="1"/>
  <c r="AE197" i="19" s="1"/>
  <c r="AA154" i="19"/>
  <c r="AB154" i="19" s="1"/>
  <c r="AE154" i="19" s="1"/>
  <c r="AA227" i="19"/>
  <c r="AB227" i="19" s="1"/>
  <c r="AE227" i="19" s="1"/>
  <c r="AA107" i="19"/>
  <c r="AB107" i="19" s="1"/>
  <c r="AE107" i="19" s="1"/>
  <c r="AA251" i="19"/>
  <c r="AB251" i="19" s="1"/>
  <c r="AE251" i="19" s="1"/>
  <c r="AA143" i="19"/>
  <c r="AB143" i="19" s="1"/>
  <c r="AE143" i="19" s="1"/>
  <c r="AA199" i="19"/>
  <c r="AB199" i="19" s="1"/>
  <c r="AE199" i="19" s="1"/>
  <c r="AA170" i="19"/>
  <c r="AB170" i="19" s="1"/>
  <c r="AE170" i="19" s="1"/>
  <c r="AA108" i="19"/>
  <c r="AB108" i="19" s="1"/>
  <c r="AE108" i="19" s="1"/>
  <c r="AA137" i="19"/>
  <c r="AB137" i="19" s="1"/>
  <c r="AE137" i="19" s="1"/>
  <c r="AA87" i="19"/>
  <c r="AB87" i="19" s="1"/>
  <c r="AE87" i="19" s="1"/>
  <c r="AA209" i="19"/>
  <c r="AB209" i="19" s="1"/>
  <c r="AE209" i="19" s="1"/>
  <c r="AA173" i="19"/>
  <c r="AB173" i="19" s="1"/>
  <c r="AE173" i="19" s="1"/>
  <c r="AA259" i="19"/>
  <c r="AB259" i="19" s="1"/>
  <c r="AE259" i="19" s="1"/>
  <c r="AA24" i="19"/>
  <c r="AB24" i="19" s="1"/>
  <c r="AE24" i="19" s="1"/>
  <c r="AA217" i="19"/>
  <c r="AB217" i="19" s="1"/>
  <c r="AE217" i="19" s="1"/>
  <c r="AA61" i="19"/>
  <c r="AB61" i="19" s="1"/>
  <c r="AE61" i="19" s="1"/>
  <c r="AA207" i="19"/>
  <c r="AB207" i="19" s="1"/>
  <c r="AE207" i="19" s="1"/>
  <c r="AA132" i="19"/>
  <c r="AB132" i="19" s="1"/>
  <c r="AE132" i="19" s="1"/>
  <c r="AA22" i="19"/>
  <c r="AB22" i="19" s="1"/>
  <c r="AE22" i="19" s="1"/>
  <c r="AA7" i="19"/>
  <c r="AB7" i="19" s="1"/>
  <c r="AE7" i="19" s="1"/>
  <c r="AA282" i="19"/>
  <c r="AB282" i="19" s="1"/>
  <c r="AE282" i="19" s="1"/>
  <c r="AA134" i="19"/>
  <c r="AB134" i="19" s="1"/>
  <c r="AE134" i="19" s="1"/>
  <c r="AA290" i="19"/>
  <c r="AB290" i="19" s="1"/>
  <c r="AE290" i="19" s="1"/>
  <c r="AA273" i="19"/>
  <c r="AB273" i="19" s="1"/>
  <c r="AE273" i="19" s="1"/>
  <c r="AA202" i="19"/>
  <c r="AB202" i="19" s="1"/>
  <c r="AE202" i="19" s="1"/>
  <c r="AA83" i="19"/>
  <c r="AB83" i="19" s="1"/>
  <c r="AE83" i="19" s="1"/>
  <c r="AA262" i="19"/>
  <c r="AB262" i="19" s="1"/>
  <c r="AE262" i="19" s="1"/>
  <c r="AA242" i="19"/>
  <c r="AB242" i="19" s="1"/>
  <c r="AE242" i="19" s="1"/>
  <c r="AA13" i="19"/>
  <c r="AB13" i="19" s="1"/>
  <c r="AE13" i="19" s="1"/>
  <c r="AA179" i="19"/>
  <c r="AB179" i="19" s="1"/>
  <c r="AE179" i="19" s="1"/>
  <c r="AA158" i="19"/>
  <c r="AB158" i="19" s="1"/>
  <c r="AE158" i="19" s="1"/>
  <c r="AA238" i="19"/>
  <c r="AB238" i="19" s="1"/>
  <c r="AE238" i="19" s="1"/>
  <c r="AA111" i="19"/>
  <c r="AB111" i="19" s="1"/>
  <c r="AE111" i="19" s="1"/>
  <c r="AA59" i="19"/>
  <c r="AB59" i="19" s="1"/>
  <c r="AE59" i="19" s="1"/>
  <c r="AA142" i="19"/>
  <c r="AB142" i="19" s="1"/>
  <c r="AE142" i="19" s="1"/>
  <c r="AA114" i="19"/>
  <c r="AB114" i="19" s="1"/>
  <c r="AE114" i="19" s="1"/>
  <c r="AA163" i="19"/>
  <c r="AB163" i="19" s="1"/>
  <c r="AE163" i="19" s="1"/>
  <c r="AA284" i="19"/>
  <c r="AB284" i="19" s="1"/>
  <c r="AE284" i="19" s="1"/>
  <c r="AA92" i="19"/>
  <c r="AB92" i="19" s="1"/>
  <c r="AE92" i="19" s="1"/>
  <c r="AA219" i="19"/>
  <c r="AB219" i="19" s="1"/>
  <c r="AE219" i="19" s="1"/>
  <c r="AA40" i="19"/>
  <c r="AB40" i="19" s="1"/>
  <c r="AE40" i="19" s="1"/>
  <c r="AA147" i="19"/>
  <c r="AB147" i="19" s="1"/>
  <c r="AE147" i="19" s="1"/>
  <c r="AA299" i="19"/>
  <c r="AB299" i="19" s="1"/>
  <c r="AE299" i="19" s="1"/>
  <c r="AA109" i="19"/>
  <c r="AB109" i="19" s="1"/>
  <c r="AE109" i="19" s="1"/>
  <c r="AA265" i="19"/>
  <c r="AB265" i="19" s="1"/>
  <c r="AE265" i="19" s="1"/>
  <c r="AA220" i="19"/>
  <c r="AB220" i="19" s="1"/>
  <c r="AE220" i="19" s="1"/>
  <c r="AA15" i="19"/>
  <c r="AB15" i="19" s="1"/>
  <c r="AE15" i="19" s="1"/>
  <c r="AA124" i="19"/>
  <c r="AB124" i="19" s="1"/>
  <c r="AE124" i="19" s="1"/>
  <c r="AA153" i="19"/>
  <c r="AB153" i="19" s="1"/>
  <c r="AE153" i="19" s="1"/>
  <c r="AA302" i="19"/>
  <c r="AB302" i="19" s="1"/>
  <c r="AE302" i="19" s="1"/>
  <c r="AA305" i="19"/>
  <c r="AB305" i="19" s="1"/>
  <c r="AE305" i="19" s="1"/>
  <c r="AA300" i="19"/>
  <c r="AB300" i="19" s="1"/>
  <c r="AE300" i="19" s="1"/>
  <c r="AA267" i="19"/>
  <c r="AB267" i="19" s="1"/>
  <c r="AE267" i="19" s="1"/>
  <c r="AA9" i="19"/>
  <c r="AB9" i="19" s="1"/>
  <c r="AE9" i="19" s="1"/>
  <c r="AA75" i="19"/>
  <c r="AB75" i="19" s="1"/>
  <c r="AE75" i="19" s="1"/>
  <c r="AA51" i="19"/>
  <c r="AB51" i="19" s="1"/>
  <c r="AE51" i="19" s="1"/>
  <c r="AA91" i="19"/>
  <c r="AB91" i="19" s="1"/>
  <c r="AE91" i="19" s="1"/>
  <c r="AA11" i="19"/>
  <c r="AB11" i="19" s="1"/>
  <c r="AE11" i="19" s="1"/>
  <c r="AA213" i="19"/>
  <c r="AB213" i="19" s="1"/>
  <c r="AE213" i="19" s="1"/>
  <c r="AA30" i="19"/>
  <c r="AB30" i="19" s="1"/>
  <c r="AE30" i="19" s="1"/>
  <c r="AA146" i="19"/>
  <c r="AB146" i="19" s="1"/>
  <c r="AE146" i="19" s="1"/>
  <c r="AA283" i="19"/>
  <c r="AB283" i="19" s="1"/>
  <c r="AE283" i="19" s="1"/>
  <c r="AA182" i="19"/>
  <c r="AB182" i="19" s="1"/>
  <c r="AE182" i="19" s="1"/>
  <c r="AA162" i="19"/>
  <c r="AB162" i="19" s="1"/>
  <c r="AE162" i="19" s="1"/>
  <c r="AA65" i="19"/>
  <c r="AB65" i="19" s="1"/>
  <c r="AE65" i="19" s="1"/>
  <c r="AA234" i="19"/>
  <c r="AB234" i="19" s="1"/>
  <c r="AE234" i="19" s="1"/>
  <c r="AA157" i="19"/>
  <c r="AB157" i="19" s="1"/>
  <c r="AE157" i="19" s="1"/>
  <c r="AA277" i="19"/>
  <c r="AB277" i="19" s="1"/>
  <c r="AE277" i="19" s="1"/>
  <c r="AA191" i="19"/>
  <c r="AB191" i="19" s="1"/>
  <c r="AE191" i="19" s="1"/>
  <c r="AA60" i="19"/>
  <c r="AB60" i="19" s="1"/>
  <c r="AE60" i="19" s="1"/>
  <c r="AA49" i="19"/>
  <c r="AB49" i="19" s="1"/>
  <c r="AE49" i="19" s="1"/>
  <c r="AA37" i="19"/>
  <c r="AB37" i="19" s="1"/>
  <c r="AE37" i="19" s="1"/>
  <c r="AA287" i="19"/>
  <c r="AB287" i="19" s="1"/>
  <c r="AE287" i="19" s="1"/>
  <c r="AA46" i="19"/>
  <c r="AB46" i="19" s="1"/>
  <c r="AE46" i="19" s="1"/>
  <c r="AA31" i="19"/>
  <c r="AB31" i="19" s="1"/>
  <c r="AE31" i="19" s="1"/>
  <c r="AA250" i="19"/>
  <c r="AB250" i="19" s="1"/>
  <c r="AE250" i="19" s="1"/>
  <c r="AA135" i="19"/>
  <c r="AB135" i="19" s="1"/>
  <c r="AE135" i="19" s="1"/>
  <c r="AA82" i="19"/>
  <c r="AB82" i="19" s="1"/>
  <c r="AE82" i="19" s="1"/>
  <c r="AA23" i="19"/>
  <c r="AB23" i="19" s="1"/>
  <c r="AE23" i="19" s="1"/>
  <c r="AA20" i="19"/>
  <c r="AB20" i="19" s="1"/>
  <c r="AE20" i="19" s="1"/>
  <c r="AA269" i="19"/>
  <c r="AB269" i="19" s="1"/>
  <c r="AE269" i="19" s="1"/>
  <c r="AA235" i="19"/>
  <c r="AB235" i="19" s="1"/>
  <c r="AE235" i="19" s="1"/>
  <c r="AA17" i="19"/>
  <c r="AB17" i="19" s="1"/>
  <c r="AE17" i="19" s="1"/>
  <c r="AA311" i="19"/>
  <c r="AB311" i="19" s="1"/>
  <c r="AE311" i="19" s="1"/>
  <c r="AA42" i="19"/>
  <c r="AB42" i="19" s="1"/>
  <c r="AE42" i="19" s="1"/>
  <c r="AA122" i="19"/>
  <c r="AB122" i="19" s="1"/>
  <c r="AE122" i="19" s="1"/>
  <c r="AA73" i="19"/>
  <c r="AB73" i="19" s="1"/>
  <c r="AE73" i="19" s="1"/>
  <c r="AA257" i="19"/>
  <c r="AB257" i="19" s="1"/>
  <c r="AE257" i="19" s="1"/>
  <c r="AA8" i="19"/>
  <c r="AB8" i="19" s="1"/>
  <c r="AE8" i="19" s="1"/>
  <c r="AA256" i="19"/>
  <c r="AB256" i="19" s="1"/>
  <c r="AE256" i="19" s="1"/>
  <c r="AA141" i="19"/>
  <c r="AB141" i="19" s="1"/>
  <c r="AE141" i="19" s="1"/>
  <c r="AA295" i="19"/>
  <c r="AB295" i="19" s="1"/>
  <c r="AE295" i="19" s="1"/>
  <c r="AA63" i="19"/>
  <c r="AB63" i="19" s="1"/>
  <c r="AE63" i="19" s="1"/>
  <c r="AA89" i="19"/>
  <c r="AB89" i="19" s="1"/>
  <c r="AE89" i="19" s="1"/>
  <c r="AA50" i="19"/>
  <c r="AB50" i="19" s="1"/>
  <c r="AE50" i="19" s="1"/>
  <c r="AA258" i="19"/>
  <c r="AB258" i="19" s="1"/>
  <c r="AE258" i="19" s="1"/>
  <c r="AA252" i="19"/>
  <c r="AB252" i="19" s="1"/>
  <c r="AE252" i="19" s="1"/>
  <c r="AA155" i="19"/>
  <c r="AB155" i="19" s="1"/>
  <c r="AE155" i="19" s="1"/>
  <c r="AA62" i="19"/>
  <c r="AB62" i="19" s="1"/>
  <c r="AE62" i="19" s="1"/>
  <c r="AA231" i="19"/>
  <c r="AB231" i="19" s="1"/>
  <c r="AE231" i="19" s="1"/>
  <c r="AA68" i="19"/>
  <c r="AB68" i="19" s="1"/>
  <c r="AE68" i="19" s="1"/>
  <c r="AA193" i="19"/>
  <c r="AB193" i="19" s="1"/>
  <c r="AE193" i="19" s="1"/>
  <c r="AA102" i="19"/>
  <c r="AB102" i="19" s="1"/>
  <c r="AE102" i="19" s="1"/>
  <c r="AA201" i="19"/>
  <c r="AB201" i="19" s="1"/>
  <c r="AE201" i="19" s="1"/>
  <c r="AA85" i="19"/>
  <c r="AB85" i="19" s="1"/>
  <c r="AE85" i="19" s="1"/>
  <c r="AA71" i="19"/>
  <c r="AB71" i="19" s="1"/>
  <c r="AE71" i="19" s="1"/>
  <c r="AA196" i="19"/>
  <c r="AB196" i="19" s="1"/>
  <c r="AE196" i="19" s="1"/>
  <c r="AA130" i="19"/>
  <c r="AB130" i="19" s="1"/>
  <c r="AE130" i="19" s="1"/>
  <c r="AA27" i="19"/>
  <c r="AB27" i="19" s="1"/>
  <c r="AE27" i="19" s="1"/>
  <c r="AA156" i="19"/>
  <c r="AB156" i="19" s="1"/>
  <c r="AE156" i="19" s="1"/>
  <c r="AA253" i="19"/>
  <c r="AB253" i="19" s="1"/>
  <c r="AE253" i="19" s="1"/>
  <c r="AA224" i="19"/>
  <c r="AB224" i="19" s="1"/>
  <c r="AE224" i="19" s="1"/>
  <c r="AA53" i="19"/>
  <c r="AB53" i="19" s="1"/>
  <c r="AE53" i="19" s="1"/>
  <c r="AA5" i="19"/>
  <c r="AB5" i="19" s="1"/>
  <c r="AE5" i="19" s="1"/>
  <c r="AA84" i="19"/>
  <c r="AB84" i="19" s="1"/>
  <c r="AE84" i="19" s="1"/>
  <c r="AA187" i="19"/>
  <c r="AB187" i="19" s="1"/>
  <c r="AE187" i="19" s="1"/>
  <c r="AA194" i="19"/>
  <c r="AB194" i="19" s="1"/>
  <c r="AE194" i="19" s="1"/>
  <c r="AA56" i="19"/>
  <c r="AB56" i="19" s="1"/>
  <c r="AE56" i="19" s="1"/>
  <c r="AA266" i="19"/>
  <c r="AB266" i="19" s="1"/>
  <c r="AE266" i="19" s="1"/>
  <c r="AA261" i="19"/>
  <c r="AB261" i="19" s="1"/>
  <c r="AE261" i="19" s="1"/>
  <c r="AA239" i="19"/>
  <c r="AB239" i="19" s="1"/>
  <c r="AE239" i="19" s="1"/>
  <c r="AA96" i="19"/>
  <c r="AB96" i="19" s="1"/>
  <c r="AE96" i="19" s="1"/>
  <c r="AA106" i="19"/>
  <c r="AB106" i="19" s="1"/>
  <c r="AE106" i="19" s="1"/>
  <c r="AA225" i="19"/>
  <c r="AB225" i="19" s="1"/>
  <c r="AE225" i="19" s="1"/>
  <c r="AA255" i="19"/>
  <c r="AB255" i="19" s="1"/>
  <c r="AE255" i="19" s="1"/>
  <c r="AA301" i="19"/>
  <c r="AB301" i="19" s="1"/>
  <c r="AE301" i="19" s="1"/>
  <c r="AA57" i="19"/>
  <c r="AB57" i="19" s="1"/>
  <c r="AE57" i="19" s="1"/>
  <c r="AA216" i="19"/>
  <c r="AB216" i="19" s="1"/>
  <c r="AE216" i="19" s="1"/>
  <c r="AA129" i="19"/>
  <c r="AB129" i="19" s="1"/>
  <c r="AE129" i="19" s="1"/>
  <c r="AA125" i="19"/>
  <c r="AB125" i="19" s="1"/>
  <c r="AE125" i="19" s="1"/>
  <c r="AA310" i="19"/>
  <c r="AB310" i="19" s="1"/>
  <c r="AE310" i="19" s="1"/>
  <c r="AA105" i="19"/>
  <c r="AB105" i="19" s="1"/>
  <c r="AE105" i="19" s="1"/>
  <c r="AA165" i="19"/>
  <c r="AB165" i="19" s="1"/>
  <c r="AE165" i="19" s="1"/>
  <c r="AA148" i="19"/>
  <c r="AB148" i="19" s="1"/>
  <c r="AE148" i="19" s="1"/>
  <c r="AA12" i="19"/>
  <c r="AB12" i="19" s="1"/>
  <c r="AE12" i="19" s="1"/>
  <c r="AA64" i="19"/>
  <c r="AB64" i="19" s="1"/>
  <c r="AE64" i="19" s="1"/>
  <c r="AA198" i="19"/>
  <c r="AB198" i="19" s="1"/>
  <c r="AE198" i="19" s="1"/>
  <c r="AA28" i="19"/>
  <c r="AB28" i="19" s="1"/>
  <c r="AE28" i="19" s="1"/>
  <c r="AA100" i="19"/>
  <c r="AB100" i="19" s="1"/>
  <c r="AE100" i="19" s="1"/>
  <c r="AA237" i="19"/>
  <c r="AB237" i="19" s="1"/>
  <c r="AE237" i="19" s="1"/>
  <c r="AA78" i="19"/>
  <c r="AB78" i="19" s="1"/>
  <c r="AE78" i="19" s="1"/>
  <c r="AA86" i="19"/>
  <c r="AB86" i="19" s="1"/>
  <c r="AE86" i="19" s="1"/>
  <c r="AA271" i="19"/>
  <c r="AB271" i="19" s="1"/>
  <c r="AE271" i="19" s="1"/>
  <c r="AA80" i="19"/>
  <c r="AB80" i="19" s="1"/>
  <c r="AE80" i="19" s="1"/>
  <c r="AA189" i="19"/>
  <c r="AB189" i="19" s="1"/>
  <c r="AE189" i="19" s="1"/>
  <c r="AA140" i="19"/>
  <c r="AB140" i="19" s="1"/>
  <c r="AE140" i="19" s="1"/>
  <c r="AA115" i="19"/>
  <c r="AB115" i="19" s="1"/>
  <c r="AE115" i="19" s="1"/>
  <c r="AA264" i="19"/>
  <c r="AB264" i="19" s="1"/>
  <c r="AE264" i="19" s="1"/>
  <c r="AA160" i="19"/>
  <c r="AB160" i="19" s="1"/>
  <c r="AE160" i="19" s="1"/>
  <c r="AA18" i="19"/>
  <c r="AB18" i="19" s="1"/>
  <c r="AE18" i="19" s="1"/>
  <c r="AA200" i="19"/>
  <c r="AB200" i="19" s="1"/>
  <c r="AE200" i="19" s="1"/>
  <c r="AA206" i="19"/>
  <c r="AB206" i="19" s="1"/>
  <c r="AE206" i="19" s="1"/>
  <c r="AA164" i="19"/>
  <c r="AB164" i="19" s="1"/>
  <c r="AE164" i="19" s="1"/>
  <c r="AA79" i="19"/>
  <c r="AB79" i="19" s="1"/>
  <c r="AE79" i="19" s="1"/>
  <c r="AA279" i="19"/>
  <c r="AB279" i="19" s="1"/>
  <c r="AE279" i="19" s="1"/>
  <c r="AA144" i="19"/>
  <c r="AB144" i="19" s="1"/>
  <c r="AE144" i="19" s="1"/>
  <c r="AA39" i="19"/>
  <c r="AB39" i="19" s="1"/>
  <c r="AE39" i="19" s="1"/>
  <c r="AA123" i="19"/>
  <c r="AB123" i="19" s="1"/>
  <c r="AE123" i="19" s="1"/>
  <c r="AA48" i="19"/>
  <c r="AB48" i="19" s="1"/>
  <c r="AE48" i="19" s="1"/>
  <c r="AA226" i="19"/>
  <c r="AB226" i="19" s="1"/>
  <c r="AE226" i="19" s="1"/>
  <c r="AA34" i="19"/>
  <c r="AB34" i="19" s="1"/>
  <c r="AE34" i="19" s="1"/>
  <c r="AA230" i="19"/>
  <c r="AB230" i="19" s="1"/>
  <c r="AE230" i="19" s="1"/>
  <c r="AA212" i="19"/>
  <c r="AB212" i="19" s="1"/>
  <c r="AE212" i="19" s="1"/>
  <c r="AA177" i="19"/>
  <c r="AB177" i="19" s="1"/>
  <c r="AE177" i="19" s="1"/>
  <c r="AA293" i="19"/>
  <c r="AB293" i="19" s="1"/>
  <c r="AE293" i="19" s="1"/>
  <c r="AA97" i="19"/>
  <c r="AB97" i="19" s="1"/>
  <c r="AE97" i="19" s="1"/>
  <c r="AA151" i="19"/>
  <c r="AB151" i="19" s="1"/>
  <c r="AE151" i="19" s="1"/>
  <c r="AA203" i="19"/>
  <c r="AB203" i="19" s="1"/>
  <c r="AE203" i="19" s="1"/>
  <c r="AA185" i="19"/>
  <c r="AB185" i="19" s="1"/>
  <c r="AE185" i="19" s="1"/>
  <c r="AA81" i="19"/>
  <c r="AB81" i="19" s="1"/>
  <c r="AE81" i="19" s="1"/>
  <c r="AA294" i="19"/>
  <c r="AB294" i="19" s="1"/>
  <c r="AE294" i="19" s="1"/>
  <c r="AA4" i="19"/>
  <c r="AB4" i="19" s="1"/>
  <c r="AE4" i="19" s="1"/>
  <c r="AA181" i="19"/>
  <c r="AB181" i="19" s="1"/>
  <c r="AE181" i="19" s="1"/>
  <c r="AA95" i="19"/>
  <c r="AB95" i="19" s="1"/>
  <c r="AE95" i="19" s="1"/>
  <c r="AA288" i="19"/>
  <c r="AB288" i="19" s="1"/>
  <c r="AE288" i="19" s="1"/>
  <c r="AA281" i="19"/>
  <c r="AB281" i="19" s="1"/>
  <c r="AE281" i="19" s="1"/>
  <c r="AA126" i="19"/>
  <c r="AB126" i="19" s="1"/>
  <c r="AE126" i="19" s="1"/>
  <c r="AA180" i="19"/>
  <c r="AB180" i="19" s="1"/>
  <c r="AE180" i="19" s="1"/>
  <c r="AA21" i="19"/>
  <c r="AB21" i="19" s="1"/>
  <c r="AE21" i="19" s="1"/>
  <c r="AA268" i="19"/>
  <c r="AB268" i="19" s="1"/>
  <c r="AE268" i="19" s="1"/>
  <c r="AA29" i="19"/>
  <c r="AB29" i="19" s="1"/>
  <c r="AE29" i="19" s="1"/>
  <c r="AA184" i="19"/>
  <c r="AB184" i="19" s="1"/>
  <c r="AE184" i="19" s="1"/>
  <c r="AA178" i="19"/>
  <c r="AB178" i="19" s="1"/>
  <c r="AE178" i="19" s="1"/>
  <c r="AA247" i="19"/>
  <c r="AB247" i="19" s="1"/>
  <c r="AE247" i="19" s="1"/>
  <c r="AA69" i="19"/>
  <c r="AB69" i="19" s="1"/>
  <c r="AE69" i="19" s="1"/>
  <c r="AA128" i="19"/>
  <c r="AB128" i="19" s="1"/>
  <c r="AE128" i="19" s="1"/>
  <c r="AA232" i="19"/>
  <c r="AB232" i="19" s="1"/>
  <c r="AE232" i="19" s="1"/>
  <c r="AA313" i="19"/>
  <c r="AB313" i="19" s="1"/>
  <c r="AE313" i="19" s="1"/>
  <c r="AA76" i="19"/>
  <c r="AB76" i="19" s="1"/>
  <c r="AE76" i="19" s="1"/>
  <c r="AA272" i="19"/>
  <c r="AB272" i="19" s="1"/>
  <c r="AE272" i="19" s="1"/>
  <c r="AA104" i="19"/>
  <c r="AB104" i="19" s="1"/>
  <c r="AE104" i="19" s="1"/>
  <c r="AA298" i="19"/>
  <c r="AB298" i="19" s="1"/>
  <c r="AE298" i="19" s="1"/>
  <c r="AA99" i="19"/>
  <c r="AB99" i="19" s="1"/>
  <c r="AE99" i="19" s="1"/>
  <c r="AA127" i="19"/>
  <c r="AB127" i="19" s="1"/>
  <c r="AE127" i="19" s="1"/>
  <c r="AA72" i="19"/>
  <c r="AB72" i="19" s="1"/>
  <c r="AE72" i="19" s="1"/>
  <c r="AA149" i="19"/>
  <c r="AB149" i="19" s="1"/>
  <c r="AE149" i="19" s="1"/>
  <c r="AA316" i="19"/>
  <c r="AB316" i="19" s="1"/>
  <c r="AE316" i="19" s="1"/>
  <c r="AA26" i="19"/>
  <c r="AB26" i="19" s="1"/>
  <c r="AE26" i="19" s="1"/>
  <c r="AA70" i="19"/>
  <c r="AB70" i="19" s="1"/>
  <c r="AE70" i="19" s="1"/>
  <c r="AA172" i="19"/>
  <c r="AB172" i="19" s="1"/>
  <c r="AE172" i="19" s="1"/>
  <c r="AA67" i="19"/>
  <c r="AB67" i="19" s="1"/>
  <c r="AE67" i="19" s="1"/>
  <c r="AA44" i="19"/>
  <c r="AB44" i="19" s="1"/>
  <c r="AE44" i="19" s="1"/>
  <c r="AA118" i="19"/>
  <c r="AB118" i="19" s="1"/>
  <c r="AE118" i="19" s="1"/>
  <c r="AA274" i="19"/>
  <c r="AB274" i="19" s="1"/>
  <c r="AE274" i="19" s="1"/>
  <c r="AA47" i="19"/>
  <c r="AB47" i="19" s="1"/>
  <c r="AE47" i="19" s="1"/>
  <c r="AA169" i="19"/>
  <c r="AB169" i="19" s="1"/>
  <c r="AE169" i="19" s="1"/>
  <c r="AA304" i="19"/>
  <c r="AB304" i="19" s="1"/>
  <c r="AE304" i="19" s="1"/>
  <c r="AA113" i="19"/>
  <c r="AB113" i="19" s="1"/>
  <c r="AE113" i="19" s="1"/>
  <c r="AA183" i="19"/>
  <c r="AB183" i="19" s="1"/>
  <c r="AE183" i="19" s="1"/>
  <c r="AA14" i="19"/>
  <c r="AB14" i="19" s="1"/>
  <c r="AE14" i="19" s="1"/>
  <c r="AA192" i="19"/>
  <c r="AB192" i="19" s="1"/>
  <c r="AE192" i="19" s="1"/>
  <c r="AA32" i="19"/>
  <c r="AB32" i="19" s="1"/>
  <c r="AE32" i="19" s="1"/>
  <c r="AA35" i="19"/>
  <c r="AB35" i="19" s="1"/>
  <c r="AE35" i="19" s="1"/>
  <c r="AA222" i="19"/>
  <c r="AB222" i="19" s="1"/>
  <c r="AE222" i="19" s="1"/>
  <c r="AA54" i="19"/>
  <c r="AB54" i="19" s="1"/>
  <c r="AE54" i="19" s="1"/>
  <c r="AA10" i="19"/>
  <c r="AB10" i="19" s="1"/>
  <c r="AE10" i="19" s="1"/>
  <c r="AA215" i="19"/>
  <c r="AB215" i="19" s="1"/>
  <c r="AE215" i="19" s="1"/>
  <c r="AA116" i="19"/>
  <c r="AB116" i="19" s="1"/>
  <c r="AE116" i="19" s="1"/>
  <c r="AA223" i="19"/>
  <c r="AB223" i="19" s="1"/>
  <c r="AE223" i="19" s="1"/>
  <c r="AA188" i="19"/>
  <c r="AB188" i="19" s="1"/>
  <c r="AE188" i="19" s="1"/>
  <c r="AA195" i="19"/>
  <c r="AB195" i="19" s="1"/>
  <c r="AE195" i="19" s="1"/>
  <c r="AA43" i="19"/>
  <c r="AB43" i="19" s="1"/>
  <c r="AE43" i="19" s="1"/>
  <c r="AA139" i="19"/>
  <c r="AB139" i="19" s="1"/>
  <c r="AE139" i="19" s="1"/>
  <c r="AA270" i="19"/>
  <c r="AB270" i="19" s="1"/>
  <c r="AE270" i="19" s="1"/>
  <c r="AA285" i="19"/>
  <c r="AB285" i="19" s="1"/>
  <c r="AE285" i="19" s="1"/>
  <c r="AA117" i="19"/>
  <c r="AB117" i="19" s="1"/>
  <c r="AE117" i="19" s="1"/>
  <c r="AA260" i="19"/>
  <c r="AB260" i="19" s="1"/>
  <c r="AE260" i="19" s="1"/>
  <c r="AA6" i="19"/>
  <c r="AB6" i="19" s="1"/>
  <c r="AE6" i="19" s="1"/>
  <c r="AA161" i="19"/>
  <c r="AB161" i="19" s="1"/>
  <c r="AE161" i="19" s="1"/>
  <c r="AA138" i="19"/>
  <c r="AB138" i="19" s="1"/>
  <c r="AE138" i="19" s="1"/>
  <c r="AA205" i="19"/>
  <c r="AB205" i="19" s="1"/>
  <c r="AE205" i="19" s="1"/>
  <c r="AA254" i="19"/>
  <c r="AB254" i="19" s="1"/>
  <c r="AE254" i="19" s="1"/>
  <c r="AA263" i="19"/>
  <c r="AB263" i="19" s="1"/>
  <c r="AE263" i="19" s="1"/>
  <c r="AA98" i="19"/>
  <c r="AB98" i="19" s="1"/>
  <c r="AE98" i="19" s="1"/>
  <c r="AA36" i="19"/>
  <c r="AB36" i="19" s="1"/>
  <c r="AE36" i="19" s="1"/>
  <c r="AA244" i="19"/>
  <c r="AB244" i="19" s="1"/>
  <c r="AE244" i="19" s="1"/>
  <c r="AA112" i="19"/>
  <c r="AB112" i="19" s="1"/>
  <c r="AE112" i="19" s="1"/>
  <c r="AE211" i="19" l="1"/>
  <c r="AE3" i="19" s="1"/>
  <c r="AD3" i="19"/>
  <c r="B22" i="12" s="1"/>
  <c r="B23" i="12" s="1"/>
  <c r="AE1" i="19" s="1"/>
  <c r="AF1" i="19" l="1"/>
  <c r="AF2" i="1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F7485F-1D5E-4C71-B11A-E207F782AA95}" keepAlive="1" name="ModelConnection_ExternalData_1" description="Data Model" type="5" refreshedVersion="8" minRefreshableVersion="5" saveData="1">
    <dbPr connection="Data Model Connection" command="Split Calc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3CECE2BF-A117-42CE-B7CE-319A63F56C12}" keepAlive="1" name="ModelConnection_ExternalData_11" description="Data Model" type="5" refreshedVersion="8" minRefreshableVersion="5" saveData="1">
    <dbPr connection="Data Model Connection" command="Prior Year Net to district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9BE3B5E0-A973-4D4E-9CB0-BDC6583C4F63}" keepAlive="1" name="ModelConnection_ExternalData_2" description="Data Model" type="5" refreshedVersion="8" minRefreshableVersion="5" saveData="1">
    <dbPr connection="Data Model Connection" command="Assumptions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1861A15E-6141-4478-8EE1-91914C07A7AB}" keepAlive="1" name="ModelConnection_ExternalData_21" description="Data Model" type="5" refreshedVersion="8" minRefreshableVersion="5" saveData="1">
    <dbPr connection="Data Model Connection" command="New or Expanded HH check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D4407729-C773-452B-977E-A53DF6C5AEAA}" keepAlive="1" name="ModelConnection_ExternalData_22" description="Data Model" type="5" refreshedVersion="8" minRefreshableVersion="5" saveData="1">
    <dbPr connection="Data Model Connection" command="Initial adjusted formula count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67F1F231-2DCD-42C8-9F82-D795617CC603}" keepAlive="1" name="ModelConnection_ExternalData_23" description="Data Model" type="5" refreshedVersion="8" minRefreshableVersion="5" saveData="1">
    <dbPr connection="Data Model Connection" command="Multipliers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ADB9CF41-9217-42BB-BF57-E82AA7AB5583}" keepAlive="1" name="ModelConnection_ExternalData_24" description="Data Model" type="5" refreshedVersion="8" minRefreshableVersion="5" saveData="1">
    <dbPr connection="Data Model Connection" command="Initial adjusted allocations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B00384A5-D83B-467C-9A37-A711C53DCBD3}" keepAlive="1" name="ModelConnection_ExternalData_25" description="Data Model" type="5" refreshedVersion="8" minRefreshableVersion="5" saveData="1">
    <dbPr connection="Data Model Connection" command="Model allocations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F273DE80-6043-4AF0-AC87-85F174A594A1}" keepAlive="1" name="ModelConnection_ExternalData_3" description="Data Model" type="5" refreshedVersion="8" minRefreshableVersion="5" saveData="1">
    <dbPr connection="Data Model Connection" command="Title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03188AAA-0244-4024-AF0A-7651FF1DFD15}" keepAlive="1" name="ModelConnection_ExternalData_4" description="Data Model" type="5" refreshedVersion="8" minRefreshableVersion="5" saveData="1">
    <dbPr connection="Data Model Connection" command="Conc eligibility year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C7DA9270-04F4-4551-BFC7-3A95A3078BD5}" name="Query - Amount per Formula student" description="Connection to the 'Amount per Formula student' query in the workbook." type="100" refreshedVersion="8" minRefreshableVersion="5">
    <extLst>
      <ext xmlns:x15="http://schemas.microsoft.com/office/spreadsheetml/2010/11/main" uri="{DE250136-89BD-433C-8126-D09CA5730AF9}">
        <x15:connection id="0f6d92b6-ae08-43b6-b24f-123a8aa3acc0"/>
      </ext>
    </extLst>
  </connection>
  <connection id="12" xr16:uid="{ADB4B373-64E4-4E27-BFC7-27D89581C21C}" name="Query - Assumptions" description="Connection to the 'Assumptions' query in the workbook." type="100" refreshedVersion="8" minRefreshableVersion="5">
    <extLst>
      <ext xmlns:x15="http://schemas.microsoft.com/office/spreadsheetml/2010/11/main" uri="{DE250136-89BD-433C-8126-D09CA5730AF9}">
        <x15:connection id="deeed0ce-f38c-4c9c-878b-7937c5753ccf"/>
      </ext>
    </extLst>
  </connection>
  <connection id="13" xr16:uid="{542C7F5E-F0FA-4914-873F-16CF0C115D4A}" name="Query - CCDDD/LEAid" description="Connection to the 'CCDDD/LEAid' query in the workbook." type="100" refreshedVersion="8" minRefreshableVersion="5">
    <extLst>
      <ext xmlns:x15="http://schemas.microsoft.com/office/spreadsheetml/2010/11/main" uri="{DE250136-89BD-433C-8126-D09CA5730AF9}">
        <x15:connection id="2eb2b953-f3aa-499e-9119-a03f9e484b10"/>
      </ext>
    </extLst>
  </connection>
  <connection id="14" xr16:uid="{91003EF9-DB25-4F66-9BE8-86959CA087C6}" name="Query - Charter_TribalSending Districts" description="Connection to the 'Charter_TribalSending Districts' query in the workbook." type="100" refreshedVersion="8" minRefreshableVersion="5">
    <extLst>
      <ext xmlns:x15="http://schemas.microsoft.com/office/spreadsheetml/2010/11/main" uri="{DE250136-89BD-433C-8126-D09CA5730AF9}">
        <x15:connection id="3d9b712e-3bb7-44f3-a2f9-034fa804b416"/>
      </ext>
    </extLst>
  </connection>
  <connection id="15" xr16:uid="{C30C47C6-1FF0-4AAB-9F94-783245BA71F7}" name="Query - CharterOnly" description="Connection to the 'CharterOnly' query in the workbook." type="100" refreshedVersion="8" minRefreshableVersion="5">
    <extLst>
      <ext xmlns:x15="http://schemas.microsoft.com/office/spreadsheetml/2010/11/main" uri="{DE250136-89BD-433C-8126-D09CA5730AF9}">
        <x15:connection id="b4c107b6-2731-48a1-9ac4-ee372753982e"/>
      </ext>
    </extLst>
  </connection>
  <connection id="16" xr16:uid="{C18B9915-2A79-42F4-A459-7392B3050B50}" name="Query - Conc eligibility year" description="Connection to the 'Conc eligibility year' query in the workbook." type="100" refreshedVersion="8" minRefreshableVersion="5">
    <extLst>
      <ext xmlns:x15="http://schemas.microsoft.com/office/spreadsheetml/2010/11/main" uri="{DE250136-89BD-433C-8126-D09CA5730AF9}">
        <x15:connection id="18206292-60b0-4569-bf14-38a21a0e8d3b"/>
      </ext>
    </extLst>
  </connection>
  <connection id="17" xr16:uid="{AE673D06-121F-4A24-B384-06F71F48A4B9}" name="Query - Conc lookback" description="Connection to the 'Conc lookback' query in the workbook." type="100" refreshedVersion="8" minRefreshableVersion="5">
    <extLst>
      <ext xmlns:x15="http://schemas.microsoft.com/office/spreadsheetml/2010/11/main" uri="{DE250136-89BD-433C-8126-D09CA5730AF9}">
        <x15:connection id="788a9908-e397-456f-8db4-a29f060b0218"/>
      </ext>
    </extLst>
  </connection>
  <connection id="18" xr16:uid="{B74FDC49-A795-43E6-AE8C-B29DEDEFA5AC}" name="Query - DOE Allocation" description="Connection to the 'DOE Allocation' query in the workbook." type="100" refreshedVersion="8" minRefreshableVersion="5">
    <extLst>
      <ext xmlns:x15="http://schemas.microsoft.com/office/spreadsheetml/2010/11/main" uri="{DE250136-89BD-433C-8126-D09CA5730AF9}">
        <x15:connection id="236a4e85-91bd-48a5-ac19-35d356dad1c0"/>
      </ext>
    </extLst>
  </connection>
  <connection id="19" xr16:uid="{8393CDFE-15D7-4924-8603-4C507CED6C4D}" name="Query - DOE Formula counts" description="Connection to the 'DOE Formula counts' query in the workbook." type="100" refreshedVersion="8" minRefreshableVersion="5">
    <extLst>
      <ext xmlns:x15="http://schemas.microsoft.com/office/spreadsheetml/2010/11/main" uri="{DE250136-89BD-433C-8126-D09CA5730AF9}">
        <x15:connection id="d206154a-6a1b-4aef-b7f3-5bdacbc7986d"/>
      </ext>
    </extLst>
  </connection>
  <connection id="20" xr16:uid="{2283D947-F146-4FB0-A99E-5986F658F172}" name="Query - FRPL" description="Connection to the 'FRPL' query in the workbook." type="100" refreshedVersion="8" minRefreshableVersion="5">
    <extLst>
      <ext xmlns:x15="http://schemas.microsoft.com/office/spreadsheetml/2010/11/main" uri="{DE250136-89BD-433C-8126-D09CA5730AF9}">
        <x15:connection id="df05508d-0e48-4b6c-bf6c-75ac86932e06"/>
      </ext>
    </extLst>
  </connection>
  <connection id="21" xr16:uid="{C99D747A-E316-4BD3-8238-016803D54F8C}" name="Query - Initial adjusted allocations" description="Connection to the 'Initial adjusted allocations' query in the workbook." type="100" refreshedVersion="8" minRefreshableVersion="5">
    <extLst>
      <ext xmlns:x15="http://schemas.microsoft.com/office/spreadsheetml/2010/11/main" uri="{DE250136-89BD-433C-8126-D09CA5730AF9}">
        <x15:connection id="95f86261-1450-4cf6-9d4a-ab2533882a91"/>
      </ext>
    </extLst>
  </connection>
  <connection id="22" xr16:uid="{29222693-C453-45BC-8CFC-0FB4D2158224}" name="Query - Initial adjusted formula count" description="Connection to the 'Initial adjusted formula count' query in the workbook." type="100" refreshedVersion="8" minRefreshableVersion="5">
    <extLst>
      <ext xmlns:x15="http://schemas.microsoft.com/office/spreadsheetml/2010/11/main" uri="{DE250136-89BD-433C-8126-D09CA5730AF9}">
        <x15:connection id="77a603a2-f32e-4b83-892d-d8f059193c75"/>
      </ext>
    </extLst>
  </connection>
  <connection id="23" xr16:uid="{82F9FC6A-7E33-4B4B-81E0-77472283AB26}" name="Query - Model allocations" description="Connection to the 'Model allocations' query in the workbook." type="100" refreshedVersion="8" minRefreshableVersion="5" saveData="1">
    <extLst>
      <ext xmlns:x15="http://schemas.microsoft.com/office/spreadsheetml/2010/11/main" uri="{DE250136-89BD-433C-8126-D09CA5730AF9}">
        <x15:connection id="f4defdaa-6d16-4575-898b-1dd3673ecde0"/>
      </ext>
    </extLst>
  </connection>
  <connection id="24" xr16:uid="{95C362BF-8426-4AED-BE75-E588067137A1}" name="Query - Multipliers" description="Connection to the 'Multipliers' query in the workbook." type="100" refreshedVersion="8" minRefreshableVersion="5">
    <extLst>
      <ext xmlns:x15="http://schemas.microsoft.com/office/spreadsheetml/2010/11/main" uri="{DE250136-89BD-433C-8126-D09CA5730AF9}">
        <x15:connection id="d25ca89b-f3e1-4283-8441-cde0a03e1316"/>
      </ext>
    </extLst>
  </connection>
  <connection id="25" xr16:uid="{5FF6C8B8-9968-45AC-BDF5-86754C37C5AA}" name="Query - New or Expanded HH check" description="Connection to the 'New or Expanded HH check' query in the workbook." type="100" refreshedVersion="8" minRefreshableVersion="5">
    <extLst>
      <ext xmlns:x15="http://schemas.microsoft.com/office/spreadsheetml/2010/11/main" uri="{DE250136-89BD-433C-8126-D09CA5730AF9}">
        <x15:connection id="624d2c4f-a746-4243-8281-819522275ae2"/>
      </ext>
    </extLst>
  </connection>
  <connection id="26" xr16:uid="{7A3923D5-9766-4821-A861-9BABEF56F40C}" name="Query - Prior Year adjusted allocations" description="Connection to the 'Prior Year adjusted allocations' query in the workbook." type="100" refreshedVersion="8" minRefreshableVersion="5">
    <extLst>
      <ext xmlns:x15="http://schemas.microsoft.com/office/spreadsheetml/2010/11/main" uri="{DE250136-89BD-433C-8126-D09CA5730AF9}">
        <x15:connection id="eaa69682-c759-4eb0-953a-7b14d50b1436"/>
      </ext>
    </extLst>
  </connection>
  <connection id="27" xr16:uid="{0C8F228B-8F2E-4096-9170-BFDADD8F9733}" name="Query - Prior Year Adjusted Formula counts" description="Connection to the 'Prior Year Adjusted Formula counts' query in the workbook." type="100" refreshedVersion="8" minRefreshableVersion="5">
    <extLst>
      <ext xmlns:x15="http://schemas.microsoft.com/office/spreadsheetml/2010/11/main" uri="{DE250136-89BD-433C-8126-D09CA5730AF9}">
        <x15:connection id="bf949c98-9037-4684-a641-fc0259e93455"/>
      </ext>
    </extLst>
  </connection>
  <connection id="28" xr16:uid="{D489CBD3-2985-4DC3-B4D5-D972C7EB9ED0}" name="Query - Prior Year Net to district" description="Connection to the 'Prior Year Net to district' query in the workbook." type="100" refreshedVersion="8" minRefreshableVersion="5">
    <extLst>
      <ext xmlns:x15="http://schemas.microsoft.com/office/spreadsheetml/2010/11/main" uri="{DE250136-89BD-433C-8126-D09CA5730AF9}">
        <x15:connection id="0ba627ec-6a44-4681-929f-ecb631fc5b57"/>
      </ext>
    </extLst>
  </connection>
  <connection id="29" xr16:uid="{FCBA417F-ED2D-4CC2-A4DF-0CC621B5F90A}" name="Query - SendingOnly" description="Connection to the 'SendingOnly' query in the workbook." type="100" refreshedVersion="8" minRefreshableVersion="5">
    <extLst>
      <ext xmlns:x15="http://schemas.microsoft.com/office/spreadsheetml/2010/11/main" uri="{DE250136-89BD-433C-8126-D09CA5730AF9}">
        <x15:connection id="b0fac3f6-5fee-4a75-9f21-56c4695f9f25"/>
      </ext>
    </extLst>
  </connection>
  <connection id="30" xr16:uid="{0C232062-8315-446C-AAC7-B774362CF6BA}" name="Query - Split Calc" description="Connection to the 'Split Calc' query in the workbook." type="100" refreshedVersion="8" minRefreshableVersion="5">
    <extLst>
      <ext xmlns:x15="http://schemas.microsoft.com/office/spreadsheetml/2010/11/main" uri="{DE250136-89BD-433C-8126-D09CA5730AF9}">
        <x15:connection id="f2cdf21a-84f4-4ea1-ac95-0b95f9ff2d75"/>
      </ext>
    </extLst>
  </connection>
  <connection id="31" xr16:uid="{3A3600AE-870E-4797-B223-3D24F0C349E9}" name="Query - sumif" description="Connection to the 'sumif' query in the workbook." type="100" refreshedVersion="8" minRefreshableVersion="5">
    <extLst>
      <ext xmlns:x15="http://schemas.microsoft.com/office/spreadsheetml/2010/11/main" uri="{DE250136-89BD-433C-8126-D09CA5730AF9}">
        <x15:connection id="ba52d27a-0e52-42ef-92db-5acd650209ae"/>
      </ext>
    </extLst>
  </connection>
  <connection id="32" xr16:uid="{FF69749E-6A53-4EB1-B5D3-BCEE57FD418F}" keepAlive="1" name="Query - T-I State Adm  1004(b)" description="Connection to the 'T-I State Adm  1004(b)' query in the workbook." type="5" refreshedVersion="0" background="1">
    <dbPr connection="Provider=Microsoft.Mashup.OleDb.1;Data Source=$Workbook$;Location=&quot;T-I State Adm  1004(b)&quot;;Extended Properties=&quot;&quot;" command="SELECT * FROM [T-I State Adm  1004(b)]"/>
  </connection>
  <connection id="33" xr16:uid="{0A23DA92-1FF9-4F8B-B28D-475595437A06}" name="Query - Title" description="Connection to the 'Title' query in the workbook." type="100" refreshedVersion="8" minRefreshableVersion="5">
    <extLst>
      <ext xmlns:x15="http://schemas.microsoft.com/office/spreadsheetml/2010/11/main" uri="{DE250136-89BD-433C-8126-D09CA5730AF9}">
        <x15:connection id="f06724d4-6dad-4bd0-89d6-325c5308eeb5"/>
      </ext>
    </extLst>
  </connection>
  <connection id="34" xr16:uid="{FBA49C60-73C5-4286-BBF3-D6356835BE3D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<sst xmlns="http://schemas.openxmlformats.org/spreadsheetml/2006/main" count="11135" uniqueCount="1566">
  <si>
    <t>CCDDD</t>
  </si>
  <si>
    <t>Charter/Tribal</t>
  </si>
  <si>
    <t>Sending District</t>
  </si>
  <si>
    <t>Sending District CCDDD</t>
  </si>
  <si>
    <t>LEAID</t>
  </si>
  <si>
    <t>IsNew</t>
  </si>
  <si>
    <t>TotalStudentsInPoverty</t>
  </si>
  <si>
    <t>SendingTotalStudentsInPoverty</t>
  </si>
  <si>
    <t>18901</t>
  </si>
  <si>
    <t>Bremerton</t>
  </si>
  <si>
    <t>18100</t>
  </si>
  <si>
    <t>18902</t>
  </si>
  <si>
    <t>Suquamish</t>
  </si>
  <si>
    <t>37902</t>
  </si>
  <si>
    <t>37501</t>
  </si>
  <si>
    <t>17908</t>
  </si>
  <si>
    <t>Rainier Prep</t>
  </si>
  <si>
    <t>Highline</t>
  </si>
  <si>
    <t>17401</t>
  </si>
  <si>
    <t>17917</t>
  </si>
  <si>
    <t>38267</t>
  </si>
  <si>
    <t>17910</t>
  </si>
  <si>
    <t>Rainier Valley Leadership Academy (Green Dot: RV)</t>
  </si>
  <si>
    <t>Seattle</t>
  </si>
  <si>
    <t>17001</t>
  </si>
  <si>
    <t>17905</t>
  </si>
  <si>
    <t>Summit: Atlas</t>
  </si>
  <si>
    <t>17902</t>
  </si>
  <si>
    <t>Summit: Sierra</t>
  </si>
  <si>
    <t>32903</t>
  </si>
  <si>
    <t>Lumen High School</t>
  </si>
  <si>
    <t>Spokane</t>
  </si>
  <si>
    <t>32081</t>
  </si>
  <si>
    <t>32907</t>
  </si>
  <si>
    <t>PRIDE Prep</t>
  </si>
  <si>
    <t>32901</t>
  </si>
  <si>
    <t>Spokane International</t>
  </si>
  <si>
    <t>27902</t>
  </si>
  <si>
    <t>Tacoma</t>
  </si>
  <si>
    <t>27010</t>
  </si>
  <si>
    <t>17911</t>
  </si>
  <si>
    <t>Impact Puget Sound (Public Schools)</t>
  </si>
  <si>
    <t>Tukwila</t>
  </si>
  <si>
    <t>17406</t>
  </si>
  <si>
    <t>17916</t>
  </si>
  <si>
    <t>Impact Salish Sea</t>
  </si>
  <si>
    <t>34974</t>
  </si>
  <si>
    <t>School of the Blind</t>
  </si>
  <si>
    <t>Vancouver</t>
  </si>
  <si>
    <t>06037</t>
  </si>
  <si>
    <t>34975</t>
  </si>
  <si>
    <t>School for the Deaf</t>
  </si>
  <si>
    <t>04901</t>
  </si>
  <si>
    <t>04246</t>
  </si>
  <si>
    <t>SendingLEAId</t>
  </si>
  <si>
    <t>5300660</t>
  </si>
  <si>
    <t>5300420</t>
  </si>
  <si>
    <t>5303540</t>
  </si>
  <si>
    <t>5306930</t>
  </si>
  <si>
    <t>5307710</t>
  </si>
  <si>
    <t>5308130</t>
  </si>
  <si>
    <t>5308250</t>
  </si>
  <si>
    <t>5308700</t>
  </si>
  <si>
    <t>5309270</t>
  </si>
  <si>
    <t>5309660</t>
  </si>
  <si>
    <t>LEAid</t>
  </si>
  <si>
    <t>5301000</t>
  </si>
  <si>
    <t>5308690</t>
  </si>
  <si>
    <t>5309740</t>
  </si>
  <si>
    <t>5307120</t>
  </si>
  <si>
    <t>5300955</t>
  </si>
  <si>
    <t>5303280</t>
  </si>
  <si>
    <t>5308290</t>
  </si>
  <si>
    <t>5308240</t>
  </si>
  <si>
    <t>5303700</t>
  </si>
  <si>
    <t>5303710</t>
  </si>
  <si>
    <t>5304550</t>
  </si>
  <si>
    <t>5306890</t>
  </si>
  <si>
    <t>5308260</t>
  </si>
  <si>
    <t>5303705</t>
  </si>
  <si>
    <t>5307690</t>
  </si>
  <si>
    <t>5307700</t>
  </si>
  <si>
    <t>5306770</t>
  </si>
  <si>
    <t>Basic Allocation</t>
  </si>
  <si>
    <t>Conc. Allocation</t>
  </si>
  <si>
    <t>Targeted Allocation</t>
  </si>
  <si>
    <t>EFIG Allocation</t>
  </si>
  <si>
    <t>0</t>
  </si>
  <si>
    <t>5300150</t>
  </si>
  <si>
    <t>Anacortes School District</t>
  </si>
  <si>
    <t>5300240</t>
  </si>
  <si>
    <t>Arlington School District</t>
  </si>
  <si>
    <t>5300330</t>
  </si>
  <si>
    <t>Bainbridge Island School District</t>
  </si>
  <si>
    <t>5300380</t>
  </si>
  <si>
    <t>Battle Ground School District</t>
  </si>
  <si>
    <t>5300390</t>
  </si>
  <si>
    <t>Bellevue School District</t>
  </si>
  <si>
    <t>5300450</t>
  </si>
  <si>
    <t>Benge School District</t>
  </si>
  <si>
    <t>5300810</t>
  </si>
  <si>
    <t>Camas School District</t>
  </si>
  <si>
    <t>5300870</t>
  </si>
  <si>
    <t>Carbonado School District</t>
  </si>
  <si>
    <t>5300990</t>
  </si>
  <si>
    <t>Castle Rock School District</t>
  </si>
  <si>
    <t>5301080</t>
  </si>
  <si>
    <t>Central Kitsap School District</t>
  </si>
  <si>
    <t>5301290</t>
  </si>
  <si>
    <t>Chimacum School District</t>
  </si>
  <si>
    <t>5301680</t>
  </si>
  <si>
    <t>Conway School District</t>
  </si>
  <si>
    <t>5301710</t>
  </si>
  <si>
    <t>Cosmopolis School District</t>
  </si>
  <si>
    <t>5301950</t>
  </si>
  <si>
    <t>Damman School District</t>
  </si>
  <si>
    <t>5302340</t>
  </si>
  <si>
    <t>Easton School District</t>
  </si>
  <si>
    <t>5302370</t>
  </si>
  <si>
    <t>Eatonville School District</t>
  </si>
  <si>
    <t>5302400</t>
  </si>
  <si>
    <t>Edmonds School District</t>
  </si>
  <si>
    <t>5300001</t>
  </si>
  <si>
    <t>Enumclaw School District</t>
  </si>
  <si>
    <t>5302670</t>
  </si>
  <si>
    <t>Everett School District</t>
  </si>
  <si>
    <t>5302850</t>
  </si>
  <si>
    <t>Ferndale School District</t>
  </si>
  <si>
    <t>5302880</t>
  </si>
  <si>
    <t>Fife Public Schools</t>
  </si>
  <si>
    <t>5302970</t>
  </si>
  <si>
    <t>Freeman School District</t>
  </si>
  <si>
    <t>5303030</t>
  </si>
  <si>
    <t>Glenwood School District</t>
  </si>
  <si>
    <t>5303210</t>
  </si>
  <si>
    <t>Granite Falls School District</t>
  </si>
  <si>
    <t>5303300</t>
  </si>
  <si>
    <t>Green Mountain School District</t>
  </si>
  <si>
    <t>5303330</t>
  </si>
  <si>
    <t>Griffin School District</t>
  </si>
  <si>
    <t>5303570</t>
  </si>
  <si>
    <t>Hockinson School District</t>
  </si>
  <si>
    <t>5303750</t>
  </si>
  <si>
    <t>Issaquah School District</t>
  </si>
  <si>
    <t>5303780</t>
  </si>
  <si>
    <t>Kahlotus School District</t>
  </si>
  <si>
    <t>5303810</t>
  </si>
  <si>
    <t>Kalama School District</t>
  </si>
  <si>
    <t>5304170</t>
  </si>
  <si>
    <t>La Center School District</t>
  </si>
  <si>
    <t>5304200</t>
  </si>
  <si>
    <t>Lake Stevens School District</t>
  </si>
  <si>
    <t>5304230</t>
  </si>
  <si>
    <t>Lake Washington School District</t>
  </si>
  <si>
    <t>5304260</t>
  </si>
  <si>
    <t>Lakewood School District</t>
  </si>
  <si>
    <t>5304290</t>
  </si>
  <si>
    <t>Lamont School District</t>
  </si>
  <si>
    <t>5304380</t>
  </si>
  <si>
    <t>Liberty School District</t>
  </si>
  <si>
    <t>5304620</t>
  </si>
  <si>
    <t>Lynden School District</t>
  </si>
  <si>
    <t>5304860</t>
  </si>
  <si>
    <t>Marysville School District</t>
  </si>
  <si>
    <t>5304920</t>
  </si>
  <si>
    <t>Mead School District</t>
  </si>
  <si>
    <t>5304950</t>
  </si>
  <si>
    <t>Medical Lake School District</t>
  </si>
  <si>
    <t>5304980</t>
  </si>
  <si>
    <t>Mercer Island School District</t>
  </si>
  <si>
    <t>5305010</t>
  </si>
  <si>
    <t>Meridian School District</t>
  </si>
  <si>
    <t>5305130</t>
  </si>
  <si>
    <t>Monroe School District</t>
  </si>
  <si>
    <t>5305340</t>
  </si>
  <si>
    <t>Mount Pleasant School District</t>
  </si>
  <si>
    <t>5305670</t>
  </si>
  <si>
    <t>Nooksack Valley School District</t>
  </si>
  <si>
    <t>5305760</t>
  </si>
  <si>
    <t>North Kitsap School District</t>
  </si>
  <si>
    <t>5305850</t>
  </si>
  <si>
    <t>North Thurston Public Schools</t>
  </si>
  <si>
    <t>5305910</t>
  </si>
  <si>
    <t>Northshore School District</t>
  </si>
  <si>
    <t>5305940</t>
  </si>
  <si>
    <t>Oak Harbor School District</t>
  </si>
  <si>
    <t>5305970</t>
  </si>
  <si>
    <t>Oakesdale School District</t>
  </si>
  <si>
    <t>5306180</t>
  </si>
  <si>
    <t>Olympia School District</t>
  </si>
  <si>
    <t>5306630</t>
  </si>
  <si>
    <t>Paterson School District</t>
  </si>
  <si>
    <t>5306690</t>
  </si>
  <si>
    <t>Peninsula School District</t>
  </si>
  <si>
    <t>5306960</t>
  </si>
  <si>
    <t>Puyallup School District</t>
  </si>
  <si>
    <t>5307110</t>
  </si>
  <si>
    <t>Rainier School District</t>
  </si>
  <si>
    <t>5307320</t>
  </si>
  <si>
    <t>Richland School District</t>
  </si>
  <si>
    <t>5307350</t>
  </si>
  <si>
    <t>Ridgefield School District</t>
  </si>
  <si>
    <t>5307380</t>
  </si>
  <si>
    <t>Ritzville School District</t>
  </si>
  <si>
    <t>5304560</t>
  </si>
  <si>
    <t>Riverview School District</t>
  </si>
  <si>
    <t>5307650</t>
  </si>
  <si>
    <t>San Juan Island School District</t>
  </si>
  <si>
    <t>5307860</t>
  </si>
  <si>
    <t>Shaw Island School District</t>
  </si>
  <si>
    <t>5307920</t>
  </si>
  <si>
    <t>Shoreline School District</t>
  </si>
  <si>
    <t>5307980</t>
  </si>
  <si>
    <t>Skykomish School District</t>
  </si>
  <si>
    <t>5308020</t>
  </si>
  <si>
    <t>Snohomish School District</t>
  </si>
  <si>
    <t>5308040</t>
  </si>
  <si>
    <t>Snoqualmie Valley School District</t>
  </si>
  <si>
    <t>5308160</t>
  </si>
  <si>
    <t>South Kitsap School District</t>
  </si>
  <si>
    <t>5308190</t>
  </si>
  <si>
    <t>South Whidbey School District</t>
  </si>
  <si>
    <t>5308340</t>
  </si>
  <si>
    <t>Stanwood-Camano School District</t>
  </si>
  <si>
    <t>5308370</t>
  </si>
  <si>
    <t>Star School District</t>
  </si>
  <si>
    <t>5308430</t>
  </si>
  <si>
    <t>Stehekin School District</t>
  </si>
  <si>
    <t>5308460</t>
  </si>
  <si>
    <t>Steilacoom Historical School District</t>
  </si>
  <si>
    <t>5308550</t>
  </si>
  <si>
    <t>Sultan School District</t>
  </si>
  <si>
    <t>5308610</t>
  </si>
  <si>
    <t>Sumner School District</t>
  </si>
  <si>
    <t>5308760</t>
  </si>
  <si>
    <t>Tahoma School District</t>
  </si>
  <si>
    <t>5308790</t>
  </si>
  <si>
    <t>Tekoa School District</t>
  </si>
  <si>
    <t>5308850</t>
  </si>
  <si>
    <t>Thorp School District</t>
  </si>
  <si>
    <t>5308910</t>
  </si>
  <si>
    <t>Toledo School District</t>
  </si>
  <si>
    <t>5309000</t>
  </si>
  <si>
    <t>Touchet School District</t>
  </si>
  <si>
    <t>5309030</t>
  </si>
  <si>
    <t>Toutle Lake School District</t>
  </si>
  <si>
    <t>5309100</t>
  </si>
  <si>
    <t>Tumwater School District</t>
  </si>
  <si>
    <t>5309180</t>
  </si>
  <si>
    <t>University Place School District</t>
  </si>
  <si>
    <t>5309300</t>
  </si>
  <si>
    <t>Vashon Island School District</t>
  </si>
  <si>
    <t>5309540</t>
  </si>
  <si>
    <t>Washougal School District</t>
  </si>
  <si>
    <t>5309720</t>
  </si>
  <si>
    <t>5309780</t>
  </si>
  <si>
    <t>White River School District</t>
  </si>
  <si>
    <t>5309840</t>
  </si>
  <si>
    <t>Wilbur School District</t>
  </si>
  <si>
    <t>5300060</t>
  </si>
  <si>
    <t>Adna School District</t>
  </si>
  <si>
    <t>5300090</t>
  </si>
  <si>
    <t>Almira School District</t>
  </si>
  <si>
    <t>5300480</t>
  </si>
  <si>
    <t>Bethel School District</t>
  </si>
  <si>
    <t>5301110</t>
  </si>
  <si>
    <t>Central Valley School District</t>
  </si>
  <si>
    <t>5301230</t>
  </si>
  <si>
    <t>Cheney School District</t>
  </si>
  <si>
    <t>5301440</t>
  </si>
  <si>
    <t>Colfax School District</t>
  </si>
  <si>
    <t>5301980</t>
  </si>
  <si>
    <t>Darrington School District</t>
  </si>
  <si>
    <t>5302130</t>
  </si>
  <si>
    <t>Dieringer School District</t>
  </si>
  <si>
    <t>5302700</t>
  </si>
  <si>
    <t>Evergreen School District (Clark)</t>
  </si>
  <si>
    <t>5304050</t>
  </si>
  <si>
    <t>Kittitas School District</t>
  </si>
  <si>
    <t>5304110</t>
  </si>
  <si>
    <t>La Conner School District</t>
  </si>
  <si>
    <t>5301200</t>
  </si>
  <si>
    <t>Lake Chelan School District</t>
  </si>
  <si>
    <t>5304740</t>
  </si>
  <si>
    <t>Manson School District</t>
  </si>
  <si>
    <t>5305430</t>
  </si>
  <si>
    <t>Mukilteo School District</t>
  </si>
  <si>
    <t>5306120</t>
  </si>
  <si>
    <t>Odessa School District</t>
  </si>
  <si>
    <t>5306330</t>
  </si>
  <si>
    <t>Orchard Prairie School District</t>
  </si>
  <si>
    <t>5306450</t>
  </si>
  <si>
    <t>Orting School District</t>
  </si>
  <si>
    <t>5306660</t>
  </si>
  <si>
    <t>Pe Ell School District</t>
  </si>
  <si>
    <t>5307440</t>
  </si>
  <si>
    <t>Riverside School District</t>
  </si>
  <si>
    <t>5307530</t>
  </si>
  <si>
    <t>Roosevelt School District</t>
  </si>
  <si>
    <t>5307740</t>
  </si>
  <si>
    <t>Sedro-Woolley School District</t>
  </si>
  <si>
    <t>5307950</t>
  </si>
  <si>
    <t>Skamania School District</t>
  </si>
  <si>
    <t>5308820</t>
  </si>
  <si>
    <t>Tenino School District</t>
  </si>
  <si>
    <t>5309690</t>
  </si>
  <si>
    <t>5309810</t>
  </si>
  <si>
    <t>White Salmon Valley School District</t>
  </si>
  <si>
    <t>5300030</t>
  </si>
  <si>
    <t>5300280</t>
  </si>
  <si>
    <t>Asotin-Anatone School District</t>
  </si>
  <si>
    <t>5300300</t>
  </si>
  <si>
    <t>Auburn School District</t>
  </si>
  <si>
    <t>5300510</t>
  </si>
  <si>
    <t>Bickleton School District</t>
  </si>
  <si>
    <t>5300570</t>
  </si>
  <si>
    <t>Blaine School District</t>
  </si>
  <si>
    <t>5300630</t>
  </si>
  <si>
    <t>Boistfort School District</t>
  </si>
  <si>
    <t>5300690</t>
  </si>
  <si>
    <t>Brewster School District</t>
  </si>
  <si>
    <t>5300720</t>
  </si>
  <si>
    <t>Bridgeport School District</t>
  </si>
  <si>
    <t>5300750</t>
  </si>
  <si>
    <t>Brinnon School District</t>
  </si>
  <si>
    <t>5300780</t>
  </si>
  <si>
    <t>Burlington-Edison School District</t>
  </si>
  <si>
    <t>5300840</t>
  </si>
  <si>
    <t>Cape Flattery School District</t>
  </si>
  <si>
    <t>5300950</t>
  </si>
  <si>
    <t>Cascade School District</t>
  </si>
  <si>
    <t>5300960</t>
  </si>
  <si>
    <t>Cashmere School District</t>
  </si>
  <si>
    <t>5301050</t>
  </si>
  <si>
    <t>Centerville School District</t>
  </si>
  <si>
    <t>5301140</t>
  </si>
  <si>
    <t>Centralia School District</t>
  </si>
  <si>
    <t>5301170</t>
  </si>
  <si>
    <t>Chehalis School District</t>
  </si>
  <si>
    <t>5301260</t>
  </si>
  <si>
    <t>Chewelah School District</t>
  </si>
  <si>
    <t>5301320</t>
  </si>
  <si>
    <t>Clarkston School District</t>
  </si>
  <si>
    <t>5301350</t>
  </si>
  <si>
    <t>Cle Elum-Roslyn School District</t>
  </si>
  <si>
    <t>5301410</t>
  </si>
  <si>
    <t>Clover Park School District</t>
  </si>
  <si>
    <t>5301470</t>
  </si>
  <si>
    <t>College Place School District</t>
  </si>
  <si>
    <t>5301500</t>
  </si>
  <si>
    <t>Colton School District</t>
  </si>
  <si>
    <t>5301560</t>
  </si>
  <si>
    <t>5301590</t>
  </si>
  <si>
    <t>5301630</t>
  </si>
  <si>
    <t>Colville School District</t>
  </si>
  <si>
    <t>5301660</t>
  </si>
  <si>
    <t>Concrete School District</t>
  </si>
  <si>
    <t>5303440</t>
  </si>
  <si>
    <t>Coulee-Hartline School District</t>
  </si>
  <si>
    <t>5301800</t>
  </si>
  <si>
    <t>Coupeville School District</t>
  </si>
  <si>
    <t>5301830</t>
  </si>
  <si>
    <t>Crescent School District</t>
  </si>
  <si>
    <t>5301860</t>
  </si>
  <si>
    <t>Creston School District</t>
  </si>
  <si>
    <t>5301890</t>
  </si>
  <si>
    <t>Curlew School District</t>
  </si>
  <si>
    <t>5301920</t>
  </si>
  <si>
    <t>Cusick School District</t>
  </si>
  <si>
    <t>5302010</t>
  </si>
  <si>
    <t>Davenport School District</t>
  </si>
  <si>
    <t>5302040</t>
  </si>
  <si>
    <t>Dayton School District</t>
  </si>
  <si>
    <t>5302070</t>
  </si>
  <si>
    <t>Deer Park School District</t>
  </si>
  <si>
    <t>5302160</t>
  </si>
  <si>
    <t>Dixie School District</t>
  </si>
  <si>
    <t>5302280</t>
  </si>
  <si>
    <t>East Valley School District (Spokane)</t>
  </si>
  <si>
    <t>5305370</t>
  </si>
  <si>
    <t>East Valley School District (Yakima)</t>
  </si>
  <si>
    <t>5302310</t>
  </si>
  <si>
    <t>Eastmont School District</t>
  </si>
  <si>
    <t>5302460</t>
  </si>
  <si>
    <t>Ellensburg School District</t>
  </si>
  <si>
    <t>5302490</t>
  </si>
  <si>
    <t>Elma School District</t>
  </si>
  <si>
    <t>5302520</t>
  </si>
  <si>
    <t>Endicott School District</t>
  </si>
  <si>
    <t>5302550</t>
  </si>
  <si>
    <t>Entiat School District</t>
  </si>
  <si>
    <t>5302610</t>
  </si>
  <si>
    <t>Ephrata School District</t>
  </si>
  <si>
    <t>5302640</t>
  </si>
  <si>
    <t>Evaline School District</t>
  </si>
  <si>
    <t>5302730</t>
  </si>
  <si>
    <t>Evergreen School District (Stevens)</t>
  </si>
  <si>
    <t>5302820</t>
  </si>
  <si>
    <t>Federal Way School District</t>
  </si>
  <si>
    <t>5302910</t>
  </si>
  <si>
    <t>Finley School District</t>
  </si>
  <si>
    <t>5302940</t>
  </si>
  <si>
    <t>Franklin Pierce School District</t>
  </si>
  <si>
    <t>5303000</t>
  </si>
  <si>
    <t>Garfield School District</t>
  </si>
  <si>
    <t>5303090</t>
  </si>
  <si>
    <t>Goldendale School District</t>
  </si>
  <si>
    <t>5303130</t>
  </si>
  <si>
    <t>Grand Coulee Dam School District</t>
  </si>
  <si>
    <t>5303150</t>
  </si>
  <si>
    <t>Grandview School District</t>
  </si>
  <si>
    <t>5303180</t>
  </si>
  <si>
    <t>Granger School District</t>
  </si>
  <si>
    <t>5303240</t>
  </si>
  <si>
    <t>Grapeview School District</t>
  </si>
  <si>
    <t>5303270</t>
  </si>
  <si>
    <t>Great Northern School District</t>
  </si>
  <si>
    <t>5303360</t>
  </si>
  <si>
    <t>Harrington School District</t>
  </si>
  <si>
    <t>5303510</t>
  </si>
  <si>
    <t>Highland School District</t>
  </si>
  <si>
    <t>5303600</t>
  </si>
  <si>
    <t>Hood Canal School District</t>
  </si>
  <si>
    <t>5303660</t>
  </si>
  <si>
    <t>Hoquiam School District</t>
  </si>
  <si>
    <t>5300002</t>
  </si>
  <si>
    <t>Inchelium School District</t>
  </si>
  <si>
    <t>5303720</t>
  </si>
  <si>
    <t>Index School District</t>
  </si>
  <si>
    <t>5303870</t>
  </si>
  <si>
    <t>Keller School District</t>
  </si>
  <si>
    <t>5300003</t>
  </si>
  <si>
    <t>Kelso School District</t>
  </si>
  <si>
    <t>5303930</t>
  </si>
  <si>
    <t>Kennewick School District</t>
  </si>
  <si>
    <t>5303960</t>
  </si>
  <si>
    <t>Kent School District</t>
  </si>
  <si>
    <t>5303990</t>
  </si>
  <si>
    <t>Kettle Falls School District</t>
  </si>
  <si>
    <t>5304020</t>
  </si>
  <si>
    <t>5304080</t>
  </si>
  <si>
    <t>Klickitat School District</t>
  </si>
  <si>
    <t>5304150</t>
  </si>
  <si>
    <t>LaCrosse School District</t>
  </si>
  <si>
    <t>5307050</t>
  </si>
  <si>
    <t>Lake Quinault School District</t>
  </si>
  <si>
    <t>5304410</t>
  </si>
  <si>
    <t>Lind School District</t>
  </si>
  <si>
    <t>5304470</t>
  </si>
  <si>
    <t>Longview Public Schools</t>
  </si>
  <si>
    <t>5304500</t>
  </si>
  <si>
    <t>Loon Lake School District</t>
  </si>
  <si>
    <t>5304530</t>
  </si>
  <si>
    <t>Lopez School District</t>
  </si>
  <si>
    <t>5304590</t>
  </si>
  <si>
    <t>Lyle School District</t>
  </si>
  <si>
    <t>5304650</t>
  </si>
  <si>
    <t>Mabton School District</t>
  </si>
  <si>
    <t>5304710</t>
  </si>
  <si>
    <t>Mansfield School District</t>
  </si>
  <si>
    <t>5304800</t>
  </si>
  <si>
    <t>Mary M. Knight School District</t>
  </si>
  <si>
    <t>5304830</t>
  </si>
  <si>
    <t>Mary Walker School District</t>
  </si>
  <si>
    <t>5304890</t>
  </si>
  <si>
    <t>McCleary School District</t>
  </si>
  <si>
    <t>5305020</t>
  </si>
  <si>
    <t>Methow Valley School District</t>
  </si>
  <si>
    <t>5305040</t>
  </si>
  <si>
    <t>Mill A School District</t>
  </si>
  <si>
    <t>5305160</t>
  </si>
  <si>
    <t>Montesano School District</t>
  </si>
  <si>
    <t>5305190</t>
  </si>
  <si>
    <t>Morton School District</t>
  </si>
  <si>
    <t>5305220</t>
  </si>
  <si>
    <t>Moses Lake School District</t>
  </si>
  <si>
    <t>5305250</t>
  </si>
  <si>
    <t>Mossyrock School District</t>
  </si>
  <si>
    <t>5305280</t>
  </si>
  <si>
    <t>Mount Adams School District</t>
  </si>
  <si>
    <t>5305310</t>
  </si>
  <si>
    <t>Mount Baker School District</t>
  </si>
  <si>
    <t>5305400</t>
  </si>
  <si>
    <t>Mount Vernon School District</t>
  </si>
  <si>
    <t>5305460</t>
  </si>
  <si>
    <t>Naches Valley School District</t>
  </si>
  <si>
    <t>5305490</t>
  </si>
  <si>
    <t>Napavine School District</t>
  </si>
  <si>
    <t>5305520</t>
  </si>
  <si>
    <t>Naselle-Grays River Valley School District</t>
  </si>
  <si>
    <t>5305550</t>
  </si>
  <si>
    <t>Nespelem School District</t>
  </si>
  <si>
    <t>5305610</t>
  </si>
  <si>
    <t>Newport School District</t>
  </si>
  <si>
    <t>5305640</t>
  </si>
  <si>
    <t>Nine Mile Falls School District</t>
  </si>
  <si>
    <t>5305700</t>
  </si>
  <si>
    <t>North Beach School District</t>
  </si>
  <si>
    <t>5305730</t>
  </si>
  <si>
    <t>North Franklin School District</t>
  </si>
  <si>
    <t>5305790</t>
  </si>
  <si>
    <t>North Mason School District</t>
  </si>
  <si>
    <t>5305820</t>
  </si>
  <si>
    <t>North River School District</t>
  </si>
  <si>
    <t>5305880</t>
  </si>
  <si>
    <t>Northport School District</t>
  </si>
  <si>
    <t>5306000</t>
  </si>
  <si>
    <t>Oakville School District</t>
  </si>
  <si>
    <t>5306060</t>
  </si>
  <si>
    <t>Ocean Beach School District</t>
  </si>
  <si>
    <t>5306090</t>
  </si>
  <si>
    <t>Ocosta School District</t>
  </si>
  <si>
    <t>5306150</t>
  </si>
  <si>
    <t>Okanogan School District</t>
  </si>
  <si>
    <t>5306220</t>
  </si>
  <si>
    <t>Omak School District</t>
  </si>
  <si>
    <t>5306240</t>
  </si>
  <si>
    <t>Onalaska School District</t>
  </si>
  <si>
    <t>5306270</t>
  </si>
  <si>
    <t>Onion Creek School District</t>
  </si>
  <si>
    <t>5306300</t>
  </si>
  <si>
    <t>Orcas Island School District</t>
  </si>
  <si>
    <t>5306360</t>
  </si>
  <si>
    <t>Orient School District</t>
  </si>
  <si>
    <t>5306390</t>
  </si>
  <si>
    <t>Orondo School District</t>
  </si>
  <si>
    <t>5306420</t>
  </si>
  <si>
    <t>Oroville School District</t>
  </si>
  <si>
    <t>5306480</t>
  </si>
  <si>
    <t>Othello School District</t>
  </si>
  <si>
    <t>5306510</t>
  </si>
  <si>
    <t>Palisades School District</t>
  </si>
  <si>
    <t>5306540</t>
  </si>
  <si>
    <t>Palouse School District</t>
  </si>
  <si>
    <t>5306570</t>
  </si>
  <si>
    <t>Pasco School District</t>
  </si>
  <si>
    <t>5306600</t>
  </si>
  <si>
    <t>Pateros School District</t>
  </si>
  <si>
    <t>5306750</t>
  </si>
  <si>
    <t>Pioneer School District</t>
  </si>
  <si>
    <t>5306780</t>
  </si>
  <si>
    <t>Pomeroy School District</t>
  </si>
  <si>
    <t>5306820</t>
  </si>
  <si>
    <t>Port Angeles School District</t>
  </si>
  <si>
    <t>5306840</t>
  </si>
  <si>
    <t>Port Townsend School District</t>
  </si>
  <si>
    <t>5306870</t>
  </si>
  <si>
    <t>Prescott School District</t>
  </si>
  <si>
    <t>5306900</t>
  </si>
  <si>
    <t>Prosser School District</t>
  </si>
  <si>
    <t>5301380</t>
  </si>
  <si>
    <t>Queets-Clearwater School District</t>
  </si>
  <si>
    <t>5306990</t>
  </si>
  <si>
    <t>Quilcene School District</t>
  </si>
  <si>
    <t>5307020</t>
  </si>
  <si>
    <t>Quillayute Valley School District</t>
  </si>
  <si>
    <t>5307080</t>
  </si>
  <si>
    <t>Quincy School District</t>
  </si>
  <si>
    <t>5307140</t>
  </si>
  <si>
    <t>Raymond School District</t>
  </si>
  <si>
    <t>5307210</t>
  </si>
  <si>
    <t>Reardan-Edwall School District</t>
  </si>
  <si>
    <t>5307230</t>
  </si>
  <si>
    <t>5307260</t>
  </si>
  <si>
    <t>Republic School District</t>
  </si>
  <si>
    <t>5307470</t>
  </si>
  <si>
    <t>Rochester School District</t>
  </si>
  <si>
    <t>5307560</t>
  </si>
  <si>
    <t>Rosalia School District</t>
  </si>
  <si>
    <t>5307620</t>
  </si>
  <si>
    <t>Royal School District</t>
  </si>
  <si>
    <t>5307680</t>
  </si>
  <si>
    <t>Satsop School District</t>
  </si>
  <si>
    <t>5307770</t>
  </si>
  <si>
    <t>Selah School District</t>
  </si>
  <si>
    <t>5307800</t>
  </si>
  <si>
    <t>Selkirk School District</t>
  </si>
  <si>
    <t>5307830</t>
  </si>
  <si>
    <t>Sequim School District</t>
  </si>
  <si>
    <t>5307900</t>
  </si>
  <si>
    <t>Shelton School District</t>
  </si>
  <si>
    <t>5308070</t>
  </si>
  <si>
    <t>Soap Lake School District</t>
  </si>
  <si>
    <t>5308100</t>
  </si>
  <si>
    <t>South Bend School District</t>
  </si>
  <si>
    <t>5308220</t>
  </si>
  <si>
    <t>Southside School District</t>
  </si>
  <si>
    <t>5308280</t>
  </si>
  <si>
    <t>Sprague School District</t>
  </si>
  <si>
    <t>5308310</t>
  </si>
  <si>
    <t>St. John School District</t>
  </si>
  <si>
    <t>5308400</t>
  </si>
  <si>
    <t>Starbuck School District</t>
  </si>
  <si>
    <t>5308490</t>
  </si>
  <si>
    <t>Steptoe School District</t>
  </si>
  <si>
    <t>5308520</t>
  </si>
  <si>
    <t>Stevenson-Carson School District</t>
  </si>
  <si>
    <t>5308580</t>
  </si>
  <si>
    <t>Summit Valley School District</t>
  </si>
  <si>
    <t>5308670</t>
  </si>
  <si>
    <t>Sunnyside School District</t>
  </si>
  <si>
    <t>5308730</t>
  </si>
  <si>
    <t>Taholah School District</t>
  </si>
  <si>
    <t>5308940</t>
  </si>
  <si>
    <t>Tonasket School District</t>
  </si>
  <si>
    <t>5308970</t>
  </si>
  <si>
    <t>Toppenish School District</t>
  </si>
  <si>
    <t>5309060</t>
  </si>
  <si>
    <t>Trout Lake School District</t>
  </si>
  <si>
    <t>5309150</t>
  </si>
  <si>
    <t>Union Gap School District</t>
  </si>
  <si>
    <t>5309240</t>
  </si>
  <si>
    <t>Valley School District</t>
  </si>
  <si>
    <t>5309330</t>
  </si>
  <si>
    <t>Wahkiakum School District</t>
  </si>
  <si>
    <t>5309360</t>
  </si>
  <si>
    <t>Wahluke School District</t>
  </si>
  <si>
    <t>5309390</t>
  </si>
  <si>
    <t>Waitsburg School District</t>
  </si>
  <si>
    <t>5309450</t>
  </si>
  <si>
    <t>5309480</t>
  </si>
  <si>
    <t>Wapato School District</t>
  </si>
  <si>
    <t>5309510</t>
  </si>
  <si>
    <t>Warden School District</t>
  </si>
  <si>
    <t>5309570</t>
  </si>
  <si>
    <t>Washtucna School District</t>
  </si>
  <si>
    <t>5309600</t>
  </si>
  <si>
    <t>Waterville School District</t>
  </si>
  <si>
    <t>5309630</t>
  </si>
  <si>
    <t>Wellpinit School District</t>
  </si>
  <si>
    <t>5309750</t>
  </si>
  <si>
    <t>White Pass School District</t>
  </si>
  <si>
    <t>5309870</t>
  </si>
  <si>
    <t>Willapa Valley School District</t>
  </si>
  <si>
    <t>5309900</t>
  </si>
  <si>
    <t>Wilson Creek School District</t>
  </si>
  <si>
    <t>5309930</t>
  </si>
  <si>
    <t>Winlock School District</t>
  </si>
  <si>
    <t>5309990</t>
  </si>
  <si>
    <t>Wishkah Valley School District</t>
  </si>
  <si>
    <t>5310020</t>
  </si>
  <si>
    <t>Wishram School District</t>
  </si>
  <si>
    <t>5310050</t>
  </si>
  <si>
    <t>Woodland School District</t>
  </si>
  <si>
    <t>5310110</t>
  </si>
  <si>
    <t>Yakima School District</t>
  </si>
  <si>
    <t>5310140</t>
  </si>
  <si>
    <t>Yelm Community Schools</t>
  </si>
  <si>
    <t>5310170</t>
  </si>
  <si>
    <t>Zillah School District</t>
  </si>
  <si>
    <t>5399999</t>
  </si>
  <si>
    <t>PART D SUBPART 2</t>
  </si>
  <si>
    <t>1</t>
  </si>
  <si>
    <t>Hold Harmless Percentage</t>
  </si>
  <si>
    <t>IsExpanded</t>
  </si>
  <si>
    <t>Sum of Charters RFPL+Sending RFPL</t>
  </si>
  <si>
    <t>WASHINGTON</t>
  </si>
  <si>
    <t>Pool</t>
  </si>
  <si>
    <t>Allocation</t>
  </si>
  <si>
    <t>MOE</t>
  </si>
  <si>
    <t>14005</t>
  </si>
  <si>
    <t>ABERDEEN</t>
  </si>
  <si>
    <t>21226</t>
  </si>
  <si>
    <t>ADNA</t>
  </si>
  <si>
    <t>22017</t>
  </si>
  <si>
    <t>ALMIRA</t>
  </si>
  <si>
    <t>29103</t>
  </si>
  <si>
    <t>ANACORTES</t>
  </si>
  <si>
    <t>31016</t>
  </si>
  <si>
    <t>ARLINGTON</t>
  </si>
  <si>
    <t>02420</t>
  </si>
  <si>
    <t>ASOTIN-ANATONE</t>
  </si>
  <si>
    <t>17408</t>
  </si>
  <si>
    <t>AUBURN</t>
  </si>
  <si>
    <t>18303</t>
  </si>
  <si>
    <t>BAINBRIDGE ISLAND</t>
  </si>
  <si>
    <t>06119</t>
  </si>
  <si>
    <t>BATTLE GROUND</t>
  </si>
  <si>
    <t>17405</t>
  </si>
  <si>
    <t>BELLEVUE</t>
  </si>
  <si>
    <t>BELLINGHAM</t>
  </si>
  <si>
    <t>01122</t>
  </si>
  <si>
    <t>BENGE</t>
  </si>
  <si>
    <t>27403</t>
  </si>
  <si>
    <t>BETHEL</t>
  </si>
  <si>
    <t>20203</t>
  </si>
  <si>
    <t>BICKLETON</t>
  </si>
  <si>
    <t>37503</t>
  </si>
  <si>
    <t>BLAINE</t>
  </si>
  <si>
    <t>21234</t>
  </si>
  <si>
    <t>BOISTFORT</t>
  </si>
  <si>
    <t>BREMERTON</t>
  </si>
  <si>
    <t>24111</t>
  </si>
  <si>
    <t>BREWSTER</t>
  </si>
  <si>
    <t>09075</t>
  </si>
  <si>
    <t>BRIDGEPORT</t>
  </si>
  <si>
    <t>16046</t>
  </si>
  <si>
    <t>BRINNON</t>
  </si>
  <si>
    <t>29100</t>
  </si>
  <si>
    <t>BURLINGTON-EDISON</t>
  </si>
  <si>
    <t>06117</t>
  </si>
  <si>
    <t>CAMAS</t>
  </si>
  <si>
    <t>05401</t>
  </si>
  <si>
    <t>CAPE FLATTERY</t>
  </si>
  <si>
    <t>27019</t>
  </si>
  <si>
    <t>CARBONADO</t>
  </si>
  <si>
    <t>04228</t>
  </si>
  <si>
    <t>CASCADE</t>
  </si>
  <si>
    <t>04222</t>
  </si>
  <si>
    <t>CASHMERE</t>
  </si>
  <si>
    <t>08401</t>
  </si>
  <si>
    <t>CASTLE ROCK</t>
  </si>
  <si>
    <t>CATALYST BREMERTON CHARTER</t>
  </si>
  <si>
    <t>20215</t>
  </si>
  <si>
    <t>CENTERVILLE</t>
  </si>
  <si>
    <t>18401</t>
  </si>
  <si>
    <t>CENTRAL KITSAP</t>
  </si>
  <si>
    <t>32356</t>
  </si>
  <si>
    <t>CENTRAL VALLEY</t>
  </si>
  <si>
    <t>21401</t>
  </si>
  <si>
    <t>CENTRALIA</t>
  </si>
  <si>
    <t>21302</t>
  </si>
  <si>
    <t>CHEHALIS</t>
  </si>
  <si>
    <t>32360</t>
  </si>
  <si>
    <t>CHENEY</t>
  </si>
  <si>
    <t>33036</t>
  </si>
  <si>
    <t>CHEWELAH</t>
  </si>
  <si>
    <t>16049</t>
  </si>
  <si>
    <t>CHIMACUM</t>
  </si>
  <si>
    <t>02250</t>
  </si>
  <si>
    <t>CLARKSTON</t>
  </si>
  <si>
    <t>19404</t>
  </si>
  <si>
    <t>CLE ELUM-ROSLYN</t>
  </si>
  <si>
    <t>27400</t>
  </si>
  <si>
    <t>CLOVER PARK</t>
  </si>
  <si>
    <t>38300</t>
  </si>
  <si>
    <t>COLFAX</t>
  </si>
  <si>
    <t>36250</t>
  </si>
  <si>
    <t>COLLEGE PLACE</t>
  </si>
  <si>
    <t>38306</t>
  </si>
  <si>
    <t>COLTON</t>
  </si>
  <si>
    <t>33206</t>
  </si>
  <si>
    <t>COLUMBIA (STEV)</t>
  </si>
  <si>
    <t>36400</t>
  </si>
  <si>
    <t>COLUMBIA (WALLA)</t>
  </si>
  <si>
    <t>33115</t>
  </si>
  <si>
    <t>COLVILLE</t>
  </si>
  <si>
    <t>29011</t>
  </si>
  <si>
    <t>CONCRETE</t>
  </si>
  <si>
    <t>29317</t>
  </si>
  <si>
    <t>CONWAY</t>
  </si>
  <si>
    <t>14099</t>
  </si>
  <si>
    <t>COSMOPOLIS</t>
  </si>
  <si>
    <t>13151</t>
  </si>
  <si>
    <t>COULEE-HARTLINE</t>
  </si>
  <si>
    <t>15204</t>
  </si>
  <si>
    <t>COUPEVILLE</t>
  </si>
  <si>
    <t>05313</t>
  </si>
  <si>
    <t>CRESCENT</t>
  </si>
  <si>
    <t>22073</t>
  </si>
  <si>
    <t>CRESTON</t>
  </si>
  <si>
    <t>10050</t>
  </si>
  <si>
    <t>CURLEW</t>
  </si>
  <si>
    <t>26059</t>
  </si>
  <si>
    <t>CUSICK</t>
  </si>
  <si>
    <t>19007</t>
  </si>
  <si>
    <t>DAMMAN</t>
  </si>
  <si>
    <t>31330</t>
  </si>
  <si>
    <t>DARRINGTON</t>
  </si>
  <si>
    <t>22207</t>
  </si>
  <si>
    <t>DAVENPORT</t>
  </si>
  <si>
    <t>07002</t>
  </si>
  <si>
    <t>DAYTON</t>
  </si>
  <si>
    <t>32414</t>
  </si>
  <si>
    <t>DEER PARK</t>
  </si>
  <si>
    <t>27343</t>
  </si>
  <si>
    <t>DIERINGER</t>
  </si>
  <si>
    <t>36101</t>
  </si>
  <si>
    <t>DIXIE</t>
  </si>
  <si>
    <t>32361</t>
  </si>
  <si>
    <t>EAST VALLEY (SPK)</t>
  </si>
  <si>
    <t>39090</t>
  </si>
  <si>
    <t>EAST VALLEY (YAK)</t>
  </si>
  <si>
    <t>09206</t>
  </si>
  <si>
    <t>EASTMONT</t>
  </si>
  <si>
    <t>19028</t>
  </si>
  <si>
    <t>EASTON</t>
  </si>
  <si>
    <t>27404</t>
  </si>
  <si>
    <t>EATONVILLE</t>
  </si>
  <si>
    <t>31015</t>
  </si>
  <si>
    <t>EDMONDS</t>
  </si>
  <si>
    <t>19401</t>
  </si>
  <si>
    <t>ELLENSBURG</t>
  </si>
  <si>
    <t>14068</t>
  </si>
  <si>
    <t>ELMA</t>
  </si>
  <si>
    <t>38308</t>
  </si>
  <si>
    <t>ENDICOTT</t>
  </si>
  <si>
    <t>04127</t>
  </si>
  <si>
    <t>ENTIAT</t>
  </si>
  <si>
    <t>17216</t>
  </si>
  <si>
    <t>ENUMCLAW</t>
  </si>
  <si>
    <t>13165</t>
  </si>
  <si>
    <t>EPHRATA</t>
  </si>
  <si>
    <t>21036</t>
  </si>
  <si>
    <t>EVALINE</t>
  </si>
  <si>
    <t>31002</t>
  </si>
  <si>
    <t>EVERETT</t>
  </si>
  <si>
    <t>06114</t>
  </si>
  <si>
    <t>EVERGREEN (CLARK)</t>
  </si>
  <si>
    <t>33205</t>
  </si>
  <si>
    <t>EVERGREEN (STEV)</t>
  </si>
  <si>
    <t>17210</t>
  </si>
  <si>
    <t>FEDERAL WAY</t>
  </si>
  <si>
    <t>37502</t>
  </si>
  <si>
    <t>FERNDALE</t>
  </si>
  <si>
    <t>27417</t>
  </si>
  <si>
    <t>FIFE</t>
  </si>
  <si>
    <t>03053</t>
  </si>
  <si>
    <t>FINLEY</t>
  </si>
  <si>
    <t>27402</t>
  </si>
  <si>
    <t>FRANKLIN PIERCE</t>
  </si>
  <si>
    <t>32358</t>
  </si>
  <si>
    <t>FREEMAN</t>
  </si>
  <si>
    <t>38302</t>
  </si>
  <si>
    <t>GARFIELD</t>
  </si>
  <si>
    <t>20401</t>
  </si>
  <si>
    <t>GLENWOOD</t>
  </si>
  <si>
    <t>20404</t>
  </si>
  <si>
    <t>GOLDENDALE</t>
  </si>
  <si>
    <t>13301</t>
  </si>
  <si>
    <t>GRAND COULEE</t>
  </si>
  <si>
    <t>39200</t>
  </si>
  <si>
    <t>GRANDVIEW</t>
  </si>
  <si>
    <t>39204</t>
  </si>
  <si>
    <t>GRANGER</t>
  </si>
  <si>
    <t>31332</t>
  </si>
  <si>
    <t>GRANITE FALLS</t>
  </si>
  <si>
    <t>23054</t>
  </si>
  <si>
    <t>GRAPEVIEW</t>
  </si>
  <si>
    <t>32312</t>
  </si>
  <si>
    <t>GREAT NORTHERN</t>
  </si>
  <si>
    <t>06103</t>
  </si>
  <si>
    <t>GREEN MOUNTAIN</t>
  </si>
  <si>
    <t>34324</t>
  </si>
  <si>
    <t>GRIFFIN</t>
  </si>
  <si>
    <t>22204</t>
  </si>
  <si>
    <t>HARRINGTON</t>
  </si>
  <si>
    <t>39203</t>
  </si>
  <si>
    <t>HIGHLAND</t>
  </si>
  <si>
    <t>HIGHLINE</t>
  </si>
  <si>
    <t>06098</t>
  </si>
  <si>
    <t>HOCKINSON</t>
  </si>
  <si>
    <t>23404</t>
  </si>
  <si>
    <t>HOOD CANAL</t>
  </si>
  <si>
    <t>14028</t>
  </si>
  <si>
    <t>HOQUIAM</t>
  </si>
  <si>
    <t>IMPACT COMMENCEMENT BAY CHARTER</t>
  </si>
  <si>
    <t>IMPACT PUGET SOUND CHARTER</t>
  </si>
  <si>
    <t>IMPACT SALISH SEA CHARTER</t>
  </si>
  <si>
    <t>10070</t>
  </si>
  <si>
    <t>INCHELIUM</t>
  </si>
  <si>
    <t>31063</t>
  </si>
  <si>
    <t>INDEX</t>
  </si>
  <si>
    <t>17411</t>
  </si>
  <si>
    <t>ISSAQUAH</t>
  </si>
  <si>
    <t>11056</t>
  </si>
  <si>
    <t>KAHLOTUS</t>
  </si>
  <si>
    <t>08402</t>
  </si>
  <si>
    <t>KALAMA</t>
  </si>
  <si>
    <t>10003</t>
  </si>
  <si>
    <t>KELLER</t>
  </si>
  <si>
    <t>08458</t>
  </si>
  <si>
    <t>KELSO</t>
  </si>
  <si>
    <t>03017</t>
  </si>
  <si>
    <t>KENNEWICK</t>
  </si>
  <si>
    <t>17415</t>
  </si>
  <si>
    <t>KENT</t>
  </si>
  <si>
    <t>33212</t>
  </si>
  <si>
    <t>KETTLE FALLS</t>
  </si>
  <si>
    <t>03052</t>
  </si>
  <si>
    <t>KIONA-BENTON</t>
  </si>
  <si>
    <t>19403</t>
  </si>
  <si>
    <t>KITTITAS</t>
  </si>
  <si>
    <t>20402</t>
  </si>
  <si>
    <t>KLICKITAT</t>
  </si>
  <si>
    <t>06101</t>
  </si>
  <si>
    <t>LA CENTER</t>
  </si>
  <si>
    <t>29311</t>
  </si>
  <si>
    <t>LA CONNER</t>
  </si>
  <si>
    <t>38126</t>
  </si>
  <si>
    <t>LACROSSE</t>
  </si>
  <si>
    <t>04129</t>
  </si>
  <si>
    <t>LAKE CHELAN</t>
  </si>
  <si>
    <t>31004</t>
  </si>
  <si>
    <t>LAKE STEVENS</t>
  </si>
  <si>
    <t>17414</t>
  </si>
  <si>
    <t>LAKE WASHINGTON</t>
  </si>
  <si>
    <t>31306</t>
  </si>
  <si>
    <t>LAKEWOOD</t>
  </si>
  <si>
    <t>38264</t>
  </si>
  <si>
    <t>LAMONT</t>
  </si>
  <si>
    <t>32362</t>
  </si>
  <si>
    <t>LIBERTY</t>
  </si>
  <si>
    <t>01158</t>
  </si>
  <si>
    <t>LIND</t>
  </si>
  <si>
    <t>08122</t>
  </si>
  <si>
    <t>LONGVIEW</t>
  </si>
  <si>
    <t>33183</t>
  </si>
  <si>
    <t>LOON LAKE</t>
  </si>
  <si>
    <t>28144</t>
  </si>
  <si>
    <t>LOPEZ</t>
  </si>
  <si>
    <t>LUMEN CHARTER</t>
  </si>
  <si>
    <t>20406</t>
  </si>
  <si>
    <t>LYLE</t>
  </si>
  <si>
    <t>37504</t>
  </si>
  <si>
    <t>LYNDEN</t>
  </si>
  <si>
    <t>39120</t>
  </si>
  <si>
    <t>MABTON</t>
  </si>
  <si>
    <t>09207</t>
  </si>
  <si>
    <t>MANSFIELD</t>
  </si>
  <si>
    <t>04019</t>
  </si>
  <si>
    <t>MANSON</t>
  </si>
  <si>
    <t>23311</t>
  </si>
  <si>
    <t>MARY M KNIGHT</t>
  </si>
  <si>
    <t>33207</t>
  </si>
  <si>
    <t>MARY WALKER</t>
  </si>
  <si>
    <t>31025</t>
  </si>
  <si>
    <t>MARYSVILLE</t>
  </si>
  <si>
    <t>14065</t>
  </si>
  <si>
    <t>MCCLEARY</t>
  </si>
  <si>
    <t>32354</t>
  </si>
  <si>
    <t>MEAD</t>
  </si>
  <si>
    <t>32326</t>
  </si>
  <si>
    <t>MEDICAL LAKE</t>
  </si>
  <si>
    <t>17400</t>
  </si>
  <si>
    <t>MERCER ISLAND</t>
  </si>
  <si>
    <t>37505</t>
  </si>
  <si>
    <t>MERIDIAN</t>
  </si>
  <si>
    <t>24350</t>
  </si>
  <si>
    <t>METHOW VALLEY</t>
  </si>
  <si>
    <t>30031</t>
  </si>
  <si>
    <t>MILL A</t>
  </si>
  <si>
    <t>31103</t>
  </si>
  <si>
    <t>MONROE</t>
  </si>
  <si>
    <t>14066</t>
  </si>
  <si>
    <t>MONTESANO</t>
  </si>
  <si>
    <t>21214</t>
  </si>
  <si>
    <t>MORTON</t>
  </si>
  <si>
    <t>13161</t>
  </si>
  <si>
    <t>MOSES LAKE</t>
  </si>
  <si>
    <t>21206</t>
  </si>
  <si>
    <t>MOSSYROCK</t>
  </si>
  <si>
    <t>39209</t>
  </si>
  <si>
    <t>MOUNT ADAMS</t>
  </si>
  <si>
    <t>37507</t>
  </si>
  <si>
    <t>MOUNT BAKER</t>
  </si>
  <si>
    <t>30029</t>
  </si>
  <si>
    <t>MOUNT PLEASANT</t>
  </si>
  <si>
    <t>29320</t>
  </si>
  <si>
    <t>MOUNT VERNON</t>
  </si>
  <si>
    <t>31006</t>
  </si>
  <si>
    <t>MUKILTEO</t>
  </si>
  <si>
    <t>39003</t>
  </si>
  <si>
    <t>NACHES VALLEY</t>
  </si>
  <si>
    <t>21014</t>
  </si>
  <si>
    <t>NAPAVINE</t>
  </si>
  <si>
    <t>25155</t>
  </si>
  <si>
    <t>NASELLE-GRAYS</t>
  </si>
  <si>
    <t>24014</t>
  </si>
  <si>
    <t>NESPELEM</t>
  </si>
  <si>
    <t>26056</t>
  </si>
  <si>
    <t>NEWPORT</t>
  </si>
  <si>
    <t>32325</t>
  </si>
  <si>
    <t>NINE MILE FALLS</t>
  </si>
  <si>
    <t>37506</t>
  </si>
  <si>
    <t>NOOKSACK VALLEY</t>
  </si>
  <si>
    <t>14064</t>
  </si>
  <si>
    <t>NORTH BEACH</t>
  </si>
  <si>
    <t>11051</t>
  </si>
  <si>
    <t>NORTH FRANKLIN</t>
  </si>
  <si>
    <t>18400</t>
  </si>
  <si>
    <t>NORTH KITSAP</t>
  </si>
  <si>
    <t>23403</t>
  </si>
  <si>
    <t>NORTH MASON</t>
  </si>
  <si>
    <t>25200</t>
  </si>
  <si>
    <t>NORTH RIVER</t>
  </si>
  <si>
    <t>34003</t>
  </si>
  <si>
    <t>NORTH THURSTON</t>
  </si>
  <si>
    <t>33211</t>
  </si>
  <si>
    <t>NORTHPORT</t>
  </si>
  <si>
    <t>17417</t>
  </si>
  <si>
    <t>NORTHSHORE</t>
  </si>
  <si>
    <t>15201</t>
  </si>
  <si>
    <t>OAK HARBOR</t>
  </si>
  <si>
    <t>38324</t>
  </si>
  <si>
    <t>OAKESDALE</t>
  </si>
  <si>
    <t>14400</t>
  </si>
  <si>
    <t>OAKVILLE</t>
  </si>
  <si>
    <t>25101</t>
  </si>
  <si>
    <t>OCEAN BEACH</t>
  </si>
  <si>
    <t>14172</t>
  </si>
  <si>
    <t>OCOSTA</t>
  </si>
  <si>
    <t>22105</t>
  </si>
  <si>
    <t>ODESSA</t>
  </si>
  <si>
    <t>24105</t>
  </si>
  <si>
    <t>OKANOGAN</t>
  </si>
  <si>
    <t>34111</t>
  </si>
  <si>
    <t>OLYMPIA</t>
  </si>
  <si>
    <t>24019</t>
  </si>
  <si>
    <t>OMAK</t>
  </si>
  <si>
    <t>21300</t>
  </si>
  <si>
    <t>ONALASKA</t>
  </si>
  <si>
    <t>33030</t>
  </si>
  <si>
    <t>ONION CREEK</t>
  </si>
  <si>
    <t>28137</t>
  </si>
  <si>
    <t>ORCAS ISLAND</t>
  </si>
  <si>
    <t>32123</t>
  </si>
  <si>
    <t>ORCHARD PRAIRIE</t>
  </si>
  <si>
    <t>10065</t>
  </si>
  <si>
    <t>ORIENT</t>
  </si>
  <si>
    <t>09013</t>
  </si>
  <si>
    <t>ORONDO</t>
  </si>
  <si>
    <t>24410</t>
  </si>
  <si>
    <t>OROVILLE</t>
  </si>
  <si>
    <t>27344</t>
  </si>
  <si>
    <t>ORTING</t>
  </si>
  <si>
    <t>01147</t>
  </si>
  <si>
    <t>OTHELLO</t>
  </si>
  <si>
    <t>09102</t>
  </si>
  <si>
    <t>PALISADES</t>
  </si>
  <si>
    <t>38301</t>
  </si>
  <si>
    <t>PALOUSE</t>
  </si>
  <si>
    <t>11001</t>
  </si>
  <si>
    <t>PASCO</t>
  </si>
  <si>
    <t>24122</t>
  </si>
  <si>
    <t>PATEROS</t>
  </si>
  <si>
    <t>03050</t>
  </si>
  <si>
    <t>PATERSON</t>
  </si>
  <si>
    <t>21301</t>
  </si>
  <si>
    <t>PE ELL</t>
  </si>
  <si>
    <t>27401</t>
  </si>
  <si>
    <t>PENINSULA</t>
  </si>
  <si>
    <t>PINNACLE PREP CHARTER</t>
  </si>
  <si>
    <t>23402</t>
  </si>
  <si>
    <t>PIONEER</t>
  </si>
  <si>
    <t>12110</t>
  </si>
  <si>
    <t>POMEROY</t>
  </si>
  <si>
    <t>05121</t>
  </si>
  <si>
    <t>PORT ANGELES</t>
  </si>
  <si>
    <t>16050</t>
  </si>
  <si>
    <t>PORT TOWNSEND</t>
  </si>
  <si>
    <t>36402</t>
  </si>
  <si>
    <t>PRESCOTT</t>
  </si>
  <si>
    <t>PRIDE PREP CHARTER</t>
  </si>
  <si>
    <t>03116</t>
  </si>
  <si>
    <t>PROSSER</t>
  </si>
  <si>
    <t>PULLMAN</t>
  </si>
  <si>
    <t>27003</t>
  </si>
  <si>
    <t>PUYALLUP</t>
  </si>
  <si>
    <t>16020</t>
  </si>
  <si>
    <t>QUEETS-CLEARWATER</t>
  </si>
  <si>
    <t>16048</t>
  </si>
  <si>
    <t>QUILCENE</t>
  </si>
  <si>
    <t>05402</t>
  </si>
  <si>
    <t>QUILLAYUTE VALLEY</t>
  </si>
  <si>
    <t>14097</t>
  </si>
  <si>
    <t>QUINAULT</t>
  </si>
  <si>
    <t>13144</t>
  </si>
  <si>
    <t>QUINCY</t>
  </si>
  <si>
    <t>34307</t>
  </si>
  <si>
    <t>RAINIER</t>
  </si>
  <si>
    <t>RAINIER PREP CHARTER</t>
  </si>
  <si>
    <t>RAINIER VALLEY CHARTER</t>
  </si>
  <si>
    <t>25116</t>
  </si>
  <si>
    <t>RAYMOND</t>
  </si>
  <si>
    <t>22009</t>
  </si>
  <si>
    <t>REARDAN-EDWALL</t>
  </si>
  <si>
    <t>17403</t>
  </si>
  <si>
    <t>RENTON</t>
  </si>
  <si>
    <t>10309</t>
  </si>
  <si>
    <t>REPUBLIC</t>
  </si>
  <si>
    <t>03400</t>
  </si>
  <si>
    <t>RICHLAND</t>
  </si>
  <si>
    <t>06122</t>
  </si>
  <si>
    <t>RIDGEFIELD</t>
  </si>
  <si>
    <t>01160</t>
  </si>
  <si>
    <t>RITZVILLE</t>
  </si>
  <si>
    <t>32416</t>
  </si>
  <si>
    <t>RIVERSIDE</t>
  </si>
  <si>
    <t>17407</t>
  </si>
  <si>
    <t>RIVERVIEW</t>
  </si>
  <si>
    <t>34401</t>
  </si>
  <si>
    <t>ROCHESTER</t>
  </si>
  <si>
    <t>20403</t>
  </si>
  <si>
    <t>ROOSEVELT</t>
  </si>
  <si>
    <t>38320</t>
  </si>
  <si>
    <t>ROSALIA</t>
  </si>
  <si>
    <t>13160</t>
  </si>
  <si>
    <t>ROYAL</t>
  </si>
  <si>
    <t>28149</t>
  </si>
  <si>
    <t>SAN JUAN ISLAND</t>
  </si>
  <si>
    <t>14104</t>
  </si>
  <si>
    <t>SATSOP</t>
  </si>
  <si>
    <t>SCHOOL FOR THE DEAF</t>
  </si>
  <si>
    <t>SCHOOL OF THE BLIND</t>
  </si>
  <si>
    <t>SEATTLE</t>
  </si>
  <si>
    <t>29101</t>
  </si>
  <si>
    <t>SEDRO-WOOLLEY</t>
  </si>
  <si>
    <t>39119</t>
  </si>
  <si>
    <t>SELAH</t>
  </si>
  <si>
    <t>26070</t>
  </si>
  <si>
    <t>SELKIRK</t>
  </si>
  <si>
    <t>05323</t>
  </si>
  <si>
    <t>SEQUIM</t>
  </si>
  <si>
    <t>28010</t>
  </si>
  <si>
    <t>SHAW ISLAND</t>
  </si>
  <si>
    <t>23309</t>
  </si>
  <si>
    <t>SHELTON</t>
  </si>
  <si>
    <t>17412</t>
  </si>
  <si>
    <t>SHORELINE</t>
  </si>
  <si>
    <t>30002</t>
  </si>
  <si>
    <t>SKAMANIA</t>
  </si>
  <si>
    <t>17404</t>
  </si>
  <si>
    <t>SKYKOMISH</t>
  </si>
  <si>
    <t>31201</t>
  </si>
  <si>
    <t>SNOHOMISH</t>
  </si>
  <si>
    <t>17410</t>
  </si>
  <si>
    <t>SNOQUALMIE VALLEY</t>
  </si>
  <si>
    <t>13156</t>
  </si>
  <si>
    <t>SOAP LAKE</t>
  </si>
  <si>
    <t>25118</t>
  </si>
  <si>
    <t>SOUTH BEND</t>
  </si>
  <si>
    <t>18402</t>
  </si>
  <si>
    <t>SOUTH KITSAP</t>
  </si>
  <si>
    <t>15206</t>
  </si>
  <si>
    <t>SOUTH WHIDBEY</t>
  </si>
  <si>
    <t>23042</t>
  </si>
  <si>
    <t>SOUTHSIDE</t>
  </si>
  <si>
    <t>SPOKANE</t>
  </si>
  <si>
    <t>SPOKANE INTERNATIONAL ACADEMY CHARTER</t>
  </si>
  <si>
    <t>22008</t>
  </si>
  <si>
    <t>SPRAGUE</t>
  </si>
  <si>
    <t>38322</t>
  </si>
  <si>
    <t>ST JOHN</t>
  </si>
  <si>
    <t>31401</t>
  </si>
  <si>
    <t>STANWOOD</t>
  </si>
  <si>
    <t>11054</t>
  </si>
  <si>
    <t>STAR</t>
  </si>
  <si>
    <t>07035</t>
  </si>
  <si>
    <t>STARBUCK</t>
  </si>
  <si>
    <t>04069</t>
  </si>
  <si>
    <t>STEHEKIN</t>
  </si>
  <si>
    <t>27001</t>
  </si>
  <si>
    <t>STEILACOOM</t>
  </si>
  <si>
    <t>38304</t>
  </si>
  <si>
    <t>STEPTOE</t>
  </si>
  <si>
    <t>30303</t>
  </si>
  <si>
    <t>STEVENSON-CARSON</t>
  </si>
  <si>
    <t>31311</t>
  </si>
  <si>
    <t>SULTAN</t>
  </si>
  <si>
    <t>SUMMIT ATLAS CHARTER</t>
  </si>
  <si>
    <t>SUMMIT SIERRA CHARTER</t>
  </si>
  <si>
    <t>33202</t>
  </si>
  <si>
    <t>SUMMIT VALLEY</t>
  </si>
  <si>
    <t>27320</t>
  </si>
  <si>
    <t>SUMNER</t>
  </si>
  <si>
    <t>39201</t>
  </si>
  <si>
    <t>SUNNYSIDE</t>
  </si>
  <si>
    <t>SUQUAMISH</t>
  </si>
  <si>
    <t>TACOMA</t>
  </si>
  <si>
    <t>14077</t>
  </si>
  <si>
    <t>TAHOLAH</t>
  </si>
  <si>
    <t>17409</t>
  </si>
  <si>
    <t>TAHOMA</t>
  </si>
  <si>
    <t>38265</t>
  </si>
  <si>
    <t>TEKOA</t>
  </si>
  <si>
    <t>34402</t>
  </si>
  <si>
    <t>TENINO</t>
  </si>
  <si>
    <t>19400</t>
  </si>
  <si>
    <t>THORP</t>
  </si>
  <si>
    <t>21237</t>
  </si>
  <si>
    <t>TOLEDO</t>
  </si>
  <si>
    <t>24404</t>
  </si>
  <si>
    <t>TONASKET</t>
  </si>
  <si>
    <t>39202</t>
  </si>
  <si>
    <t>TOPPENISH</t>
  </si>
  <si>
    <t>36300</t>
  </si>
  <si>
    <t>TOUCHET</t>
  </si>
  <si>
    <t>08130</t>
  </si>
  <si>
    <t>TOUTLE LAKE</t>
  </si>
  <si>
    <t>20400</t>
  </si>
  <si>
    <t>TROUT LAKE</t>
  </si>
  <si>
    <t>TUKWILA</t>
  </si>
  <si>
    <t>34033</t>
  </si>
  <si>
    <t>TUMWATER</t>
  </si>
  <si>
    <t>39002</t>
  </si>
  <si>
    <t>UNION GAP</t>
  </si>
  <si>
    <t>27083</t>
  </si>
  <si>
    <t>UNIVERSITY PLACE</t>
  </si>
  <si>
    <t>33070</t>
  </si>
  <si>
    <t>VALLEY</t>
  </si>
  <si>
    <t>VANCOUVER</t>
  </si>
  <si>
    <t>17402</t>
  </si>
  <si>
    <t>VASHON ISLAND</t>
  </si>
  <si>
    <t>35200</t>
  </si>
  <si>
    <t>WAHKIAKUM</t>
  </si>
  <si>
    <t>13073</t>
  </si>
  <si>
    <t>WAHLUKE</t>
  </si>
  <si>
    <t>36401</t>
  </si>
  <si>
    <t>WAITSBURG</t>
  </si>
  <si>
    <t>36140</t>
  </si>
  <si>
    <t>WALLA WALLA</t>
  </si>
  <si>
    <t>39207</t>
  </si>
  <si>
    <t>WAPATO</t>
  </si>
  <si>
    <t>13146</t>
  </si>
  <si>
    <t>WARDEN</t>
  </si>
  <si>
    <t>06112</t>
  </si>
  <si>
    <t>WASHOUGAL</t>
  </si>
  <si>
    <t>01109</t>
  </si>
  <si>
    <t>WASHTUCNA</t>
  </si>
  <si>
    <t>09209</t>
  </si>
  <si>
    <t>WATERVILLE</t>
  </si>
  <si>
    <t>33049</t>
  </si>
  <si>
    <t>WELLPINIT</t>
  </si>
  <si>
    <t>WENATCHEE</t>
  </si>
  <si>
    <t>32363</t>
  </si>
  <si>
    <t>WEST VALLEY (SPK)</t>
  </si>
  <si>
    <t>39208</t>
  </si>
  <si>
    <t>WEST VALLEY (YAK)</t>
  </si>
  <si>
    <t>WHATCOM INTERGENERATIONAL CHARTER</t>
  </si>
  <si>
    <t>21303</t>
  </si>
  <si>
    <t>WHITE PASS</t>
  </si>
  <si>
    <t>27416</t>
  </si>
  <si>
    <t>WHITE RIVER</t>
  </si>
  <si>
    <t>20405</t>
  </si>
  <si>
    <t>WHITE SALMON</t>
  </si>
  <si>
    <t>WHY NOT YOU ACADEMY CHARTER</t>
  </si>
  <si>
    <t>22200</t>
  </si>
  <si>
    <t>WILBUR</t>
  </si>
  <si>
    <t>25160</t>
  </si>
  <si>
    <t>WILLAPA VALLEY</t>
  </si>
  <si>
    <t>13167</t>
  </si>
  <si>
    <t>WILSON CREEK</t>
  </si>
  <si>
    <t>21232</t>
  </si>
  <si>
    <t>WINLOCK</t>
  </si>
  <si>
    <t>14117</t>
  </si>
  <si>
    <t>WISHKAH VALLEY</t>
  </si>
  <si>
    <t>20094</t>
  </si>
  <si>
    <t>WISHRAM</t>
  </si>
  <si>
    <t>08404</t>
  </si>
  <si>
    <t>WOODLAND</t>
  </si>
  <si>
    <t>39007</t>
  </si>
  <si>
    <t>YAKIMA</t>
  </si>
  <si>
    <t>34002</t>
  </si>
  <si>
    <t>YELM</t>
  </si>
  <si>
    <t>39205</t>
  </si>
  <si>
    <t>ZILLAH</t>
  </si>
  <si>
    <t>TOTAL LEA GRANTS</t>
  </si>
  <si>
    <t>Rev Fin  T-I State Adm  1004(b).TITLE I, PART A TOTAL LEA GRANTS</t>
  </si>
  <si>
    <t>Statewide Allocations</t>
  </si>
  <si>
    <t>Adjustment or Carryover</t>
  </si>
  <si>
    <t>Total to be allocated</t>
  </si>
  <si>
    <t>FFY16 1003(g) Grant Award &amp; 4% Set Aside:</t>
  </si>
  <si>
    <t>7% Set Aside Amount</t>
  </si>
  <si>
    <t>Percentage School Improvement Withheld</t>
  </si>
  <si>
    <t>&lt;-------(Use Hold Harmless Calc)</t>
  </si>
  <si>
    <t xml:space="preserve">       Subtotal</t>
  </si>
  <si>
    <t>Allocation under $14 B rule</t>
  </si>
  <si>
    <t>Statewide Administration (After hold Harmless)</t>
  </si>
  <si>
    <t>MOE reduction</t>
  </si>
  <si>
    <t>Net to Districts</t>
  </si>
  <si>
    <t/>
  </si>
  <si>
    <t>Column1</t>
  </si>
  <si>
    <t>1st itiration</t>
  </si>
  <si>
    <t>2nd itiration</t>
  </si>
  <si>
    <t>3rd itiration</t>
  </si>
  <si>
    <t>4th itiration</t>
  </si>
  <si>
    <t>LEANAME</t>
  </si>
  <si>
    <t xml:space="preserve">Prior Year Total Allocation After State Reservations </t>
  </si>
  <si>
    <t>Current Year Basic Before State Reservations</t>
  </si>
  <si>
    <t>Current Year Concentration Before State Reservations</t>
  </si>
  <si>
    <t>Current Year Targeted Before State Reservations</t>
  </si>
  <si>
    <t>Current Year EFIG Before State Reservations</t>
  </si>
  <si>
    <t>Current Year Total Before State Reservations</t>
  </si>
  <si>
    <t>School improvement HH Test</t>
  </si>
  <si>
    <t>State Admin</t>
  </si>
  <si>
    <t>Subtotal after admin</t>
  </si>
  <si>
    <t>Holdback for awards and recognition</t>
  </si>
  <si>
    <t>Subtotal after awards</t>
  </si>
  <si>
    <t>MOE Reduction</t>
  </si>
  <si>
    <t>NET TO DISTRICS</t>
  </si>
  <si>
    <t>Second Iteration: Hold Harmless Check</t>
  </si>
  <si>
    <t>EFIG Hold Harmless Amount</t>
  </si>
  <si>
    <t>Current Year EFIG Allocation</t>
  </si>
  <si>
    <t>Percentage of Formula Children</t>
  </si>
  <si>
    <t>Current Year Targeted Allocation</t>
  </si>
  <si>
    <t>Current Year Basic Allocation</t>
  </si>
  <si>
    <t>Basic Hold Harmless Amount</t>
  </si>
  <si>
    <t>Adj - 5-17 pop</t>
  </si>
  <si>
    <t>Adj poverty</t>
  </si>
  <si>
    <t>Adj Total formula count</t>
  </si>
  <si>
    <t>Adj poverty percentage</t>
  </si>
  <si>
    <t>BASIC eligibility</t>
  </si>
  <si>
    <t>Conc. Eligigibility</t>
  </si>
  <si>
    <t>Targeted Eligibility</t>
  </si>
  <si>
    <t>EFIG eligibility</t>
  </si>
  <si>
    <t>FRPL.TotalStudents</t>
  </si>
  <si>
    <t>SendingTotalStudents</t>
  </si>
  <si>
    <t>Sum of charter total students + Sending total students</t>
  </si>
  <si>
    <t>Share of Total Enrollment</t>
  </si>
  <si>
    <t>Sending Share of Total enrollment</t>
  </si>
  <si>
    <t>DistrictName</t>
  </si>
  <si>
    <t>SendingLEAid</t>
  </si>
  <si>
    <t>DistrictType</t>
  </si>
  <si>
    <t>poverty Multiplier</t>
  </si>
  <si>
    <t>Enrollment multiplier</t>
  </si>
  <si>
    <t>Sending</t>
  </si>
  <si>
    <t>ChartersTotalStudents</t>
  </si>
  <si>
    <t>Share of FRPL</t>
  </si>
  <si>
    <t>Sending Share of FRPL</t>
  </si>
  <si>
    <t>Total Formula Count DOE</t>
  </si>
  <si>
    <t>NEG. adj</t>
  </si>
  <si>
    <t>Adj DEL.</t>
  </si>
  <si>
    <t>Adj Foster</t>
  </si>
  <si>
    <t>Adj TANF</t>
  </si>
  <si>
    <t>BASIC Hold Harmless base (Prior year adjusted alloc)</t>
  </si>
  <si>
    <t>TARGETED Hold Harmless Base (Prior Year adjusted alloc)</t>
  </si>
  <si>
    <t>EFIG Hold Harmless base (Prior Year adjusted alloc)</t>
  </si>
  <si>
    <t>Adj Basic Allocation</t>
  </si>
  <si>
    <t>Adj Conc. Allocation</t>
  </si>
  <si>
    <t>Adj Targeted allocation</t>
  </si>
  <si>
    <t>Adj EFIG Allocation</t>
  </si>
  <si>
    <t>Adj Total Title I Allocation</t>
  </si>
  <si>
    <t>Allocation before School Improvement</t>
  </si>
  <si>
    <t>BASIC Hold Harmless Base</t>
  </si>
  <si>
    <t>Conc Hold Harmless Base</t>
  </si>
  <si>
    <t>Targeted Hold Harmless Base</t>
  </si>
  <si>
    <t>EFIG Hold Harmless Base</t>
  </si>
  <si>
    <t>Total Title I Allocation</t>
  </si>
  <si>
    <t>Initial adjusted formula count.Adj Total formula count</t>
  </si>
  <si>
    <t>Initial adjusted formula count.Adj poverty percentage</t>
  </si>
  <si>
    <t>Total Formula Count increase</t>
  </si>
  <si>
    <t>Initial adjusted allocations.BASIC Hold Harmless base (Prior year adjusted alloc</t>
  </si>
  <si>
    <t>Initial adjusted allocations.TARGETED Hold Harmless Base (Prior Year adjusted al</t>
  </si>
  <si>
    <t>Initial adjusted allocations.EFIG Hold Harmless base (Prior Year adjusted alloc)</t>
  </si>
  <si>
    <t>Initial adjusted allocations.Adj Basic Allocation</t>
  </si>
  <si>
    <t>Initial adjusted allocations.Adj Conc. Allocation</t>
  </si>
  <si>
    <t>Initial adjusted allocations.Adj Targeted allocation</t>
  </si>
  <si>
    <t>Initial adjusted allocations.Adj EFIG Allocation</t>
  </si>
  <si>
    <t>Initial adjusted allocations.Adj Total Title I Allocation</t>
  </si>
  <si>
    <t>New/Expanded Basic HH base</t>
  </si>
  <si>
    <t>New/Expanding Conc HH base</t>
  </si>
  <si>
    <t>New/Expanding Targeted HH Base</t>
  </si>
  <si>
    <t>New Expanding EFIG HH Base</t>
  </si>
  <si>
    <t>New Expanded total HH base</t>
  </si>
  <si>
    <t>Total Hold Harmless Base</t>
  </si>
  <si>
    <t>Retunring funds</t>
  </si>
  <si>
    <t>Eligibility Year</t>
  </si>
  <si>
    <t>Conc allocation</t>
  </si>
  <si>
    <t>Conc Hold Harmless Base ( 4 year lookback)</t>
  </si>
  <si>
    <t>Total Hold Harmless base</t>
  </si>
  <si>
    <t>Initial adjusted allocations.Conc Hold Harmless Base ( 4 year lookback)</t>
  </si>
  <si>
    <t>Initial adjusted allocations.Total Hold Harmless base</t>
  </si>
  <si>
    <t>Basic Hold Harmless base</t>
  </si>
  <si>
    <t>Current Year Total after School Improvment</t>
  </si>
  <si>
    <t>Set aside amount with returning funds added</t>
  </si>
  <si>
    <t>First Iteration: Hold Harmless Check</t>
  </si>
  <si>
    <t>Allocations to LEAs Above Hold harmless</t>
  </si>
  <si>
    <t>Adjusted Allocations to LEAs Above Hold harmless</t>
  </si>
  <si>
    <t>Allocations to All LEAs</t>
  </si>
  <si>
    <t>Third Iteration: Hold Harmless Check</t>
  </si>
  <si>
    <t>Fourth Iteration: Hold Harmless Check</t>
  </si>
  <si>
    <t>Fifth Iteration: Hold Harmless Check</t>
  </si>
  <si>
    <t>Conc. Hold Harmless Amount</t>
  </si>
  <si>
    <t>Prior Year's Targeted Allocation</t>
  </si>
  <si>
    <t>Targeted Hold Harmless Amount</t>
  </si>
  <si>
    <t>Prior Year's EFIG Allocation</t>
  </si>
  <si>
    <t>Current Year Conc Allocation</t>
  </si>
  <si>
    <t>Conc. Hold Harmless Base</t>
  </si>
  <si>
    <t>Prior Year Adjusted Formula counts.Adj Total formula count</t>
  </si>
  <si>
    <t>Net School Improvement taken out</t>
  </si>
  <si>
    <t>Aberdeen School District</t>
  </si>
  <si>
    <t>Whatcom Intergenerational</t>
  </si>
  <si>
    <t>Bellingham</t>
  </si>
  <si>
    <t>West Valley School District (Yakima)</t>
  </si>
  <si>
    <t>West Valley School District (Spokane)</t>
  </si>
  <si>
    <t>Columbia (Stevens) School District</t>
  </si>
  <si>
    <t>Columbia (Walla Walla) School District</t>
  </si>
  <si>
    <t>Kiona-Benton City School District</t>
  </si>
  <si>
    <t>Wenatchee</t>
  </si>
  <si>
    <t>BASIC GRANTS</t>
  </si>
  <si>
    <t>CONCENTRATION GRANTS</t>
  </si>
  <si>
    <t>TARGETED GRANTS</t>
  </si>
  <si>
    <t>EFIG GRANTS</t>
  </si>
  <si>
    <t>Catalyst Public Schools</t>
  </si>
  <si>
    <t>Impact Tacoma (Commencement Bay)</t>
  </si>
  <si>
    <t>Pinnacles Prep Wenatchee</t>
  </si>
  <si>
    <t>Walla Walla Public Schools</t>
  </si>
  <si>
    <t>DISTRICT NAME</t>
  </si>
  <si>
    <t>&lt;&lt;- Select District from drop down</t>
  </si>
  <si>
    <t>LEAId</t>
  </si>
  <si>
    <t>5-17 population</t>
  </si>
  <si>
    <t xml:space="preserve">Total Formula Count </t>
  </si>
  <si>
    <t>Poverty percentage</t>
  </si>
  <si>
    <t>Basic Before State reservations</t>
  </si>
  <si>
    <t>Conc. Before State Reservation</t>
  </si>
  <si>
    <t>Targeted Before State Reservations</t>
  </si>
  <si>
    <t>EFIG Before State Reservations</t>
  </si>
  <si>
    <t>Total before State Reservations</t>
  </si>
  <si>
    <t xml:space="preserve">School improvement </t>
  </si>
  <si>
    <t>Total After School Improvement reallocation</t>
  </si>
  <si>
    <t>Net to District</t>
  </si>
  <si>
    <t>Prior Year</t>
  </si>
  <si>
    <t>Basic Before State Reservations</t>
  </si>
  <si>
    <t>Concentration Before State Reservations</t>
  </si>
  <si>
    <t>Total Before State Reservations</t>
  </si>
  <si>
    <t>Allocation after School Improvemnt HH</t>
  </si>
  <si>
    <t>allocations subject to SI reduction</t>
  </si>
  <si>
    <t>5307790</t>
  </si>
  <si>
    <t>IMPACT RENTON CHARTER SCHOOL</t>
  </si>
  <si>
    <t>5307795</t>
  </si>
  <si>
    <t>ROOTED CHARTER SCHOOL</t>
  </si>
  <si>
    <t>Pullman School District</t>
  </si>
  <si>
    <t>Renton</t>
  </si>
  <si>
    <t>Rooted</t>
  </si>
  <si>
    <t>17919</t>
  </si>
  <si>
    <t>06901</t>
  </si>
  <si>
    <t>2687</t>
  </si>
  <si>
    <t>4980</t>
  </si>
  <si>
    <t>4512</t>
  </si>
  <si>
    <t>11420</t>
  </si>
  <si>
    <t>11868</t>
  </si>
  <si>
    <t>18640</t>
  </si>
  <si>
    <t>Impact | Black River Elementary</t>
  </si>
  <si>
    <t>7377</t>
  </si>
  <si>
    <t>15220</t>
  </si>
  <si>
    <t>16565</t>
  </si>
  <si>
    <t>51866</t>
  </si>
  <si>
    <t>17165</t>
  </si>
  <si>
    <t>30670</t>
  </si>
  <si>
    <t>15451</t>
  </si>
  <si>
    <t>28920</t>
  </si>
  <si>
    <t>11217</t>
  </si>
  <si>
    <t>21590</t>
  </si>
  <si>
    <t>4000</t>
  </si>
  <si>
    <t>7162</t>
  </si>
  <si>
    <t>1.127446697</t>
  </si>
  <si>
    <t>1.152656308</t>
  </si>
  <si>
    <t>1.003740027</t>
  </si>
  <si>
    <t>1.169448418</t>
  </si>
  <si>
    <t>0.993982112</t>
  </si>
  <si>
    <t>1.273017721</t>
  </si>
  <si>
    <t>1.141690505</t>
  </si>
  <si>
    <t>0.597028838</t>
  </si>
  <si>
    <t>1.260666667</t>
  </si>
  <si>
    <t>0.655025925</t>
  </si>
  <si>
    <t>1.583712223</t>
  </si>
  <si>
    <t>0.901497727</t>
  </si>
  <si>
    <t>0.993264458</t>
  </si>
  <si>
    <t>0.706761244</t>
  </si>
  <si>
    <t>1.055798366</t>
  </si>
  <si>
    <t>12429.30042</t>
  </si>
  <si>
    <t>50981.19834</t>
  </si>
  <si>
    <t>10322.63933</t>
  </si>
  <si>
    <t>11586.63599</t>
  </si>
  <si>
    <t>6951.981591</t>
  </si>
  <si>
    <t>40395.8348</t>
  </si>
  <si>
    <t>68122.06686</t>
  </si>
  <si>
    <t>29703.92134</t>
  </si>
  <si>
    <t>14873.0119</t>
  </si>
  <si>
    <t>286084.5758</t>
  </si>
  <si>
    <t>13482.63097</t>
  </si>
  <si>
    <t>18959.94979</t>
  </si>
  <si>
    <t>41290.55733</t>
  </si>
  <si>
    <t>36122.53329</t>
  </si>
  <si>
    <t>39918.36821</t>
  </si>
  <si>
    <t>5055.986612</t>
  </si>
  <si>
    <t>9479.974897</t>
  </si>
  <si>
    <t>46691.30456</t>
  </si>
  <si>
    <t>14535.96151</t>
  </si>
  <si>
    <t>20013.28034</t>
  </si>
  <si>
    <t>43186.55231</t>
  </si>
  <si>
    <t>16892.80364</t>
  </si>
  <si>
    <t>20197.9174</t>
  </si>
  <si>
    <t>42554.55398</t>
  </si>
  <si>
    <t>17695.95314</t>
  </si>
  <si>
    <t>20434.61256</t>
  </si>
  <si>
    <t>5898.651047</t>
  </si>
  <si>
    <t>6893.463228</t>
  </si>
  <si>
    <t>193418.1472</t>
  </si>
  <si>
    <t>2026</t>
  </si>
  <si>
    <t>This sheets records changes to the model from prior years</t>
  </si>
  <si>
    <t>Change date</t>
  </si>
  <si>
    <t>Description</t>
  </si>
  <si>
    <t>1.375904329</t>
  </si>
  <si>
    <t>1.261741993</t>
  </si>
  <si>
    <t>172122.1618</t>
  </si>
  <si>
    <t>194857.4047</t>
  </si>
  <si>
    <t>4378.431903</t>
  </si>
  <si>
    <t>706294.3882</t>
  </si>
  <si>
    <t>8546.755622</t>
  </si>
  <si>
    <t>185654.5249</t>
  </si>
  <si>
    <t>43920.8275</t>
  </si>
  <si>
    <t>118942.3491</t>
  </si>
  <si>
    <t>12345.31368</t>
  </si>
  <si>
    <t>93302.08221</t>
  </si>
  <si>
    <t>3323.738297</t>
  </si>
  <si>
    <t>15906.46185</t>
  </si>
  <si>
    <t>18517.97051</t>
  </si>
  <si>
    <t>27064.72614</t>
  </si>
  <si>
    <t>22079.11869</t>
  </si>
  <si>
    <t>62913.61777</t>
  </si>
  <si>
    <t>117992.7096</t>
  </si>
  <si>
    <t>4510.787689</t>
  </si>
  <si>
    <t>990711.4225</t>
  </si>
  <si>
    <t>376057.2474</t>
  </si>
  <si>
    <t>2468.081572</t>
  </si>
  <si>
    <t>37273.35091</t>
  </si>
  <si>
    <t>196575.3793</t>
  </si>
  <si>
    <t>7834.525987</t>
  </si>
  <si>
    <t>5935.24696</t>
  </si>
  <si>
    <t>807054.7574</t>
  </si>
  <si>
    <t>16282.7009</t>
  </si>
  <si>
    <t>5851.05755</t>
  </si>
  <si>
    <t>101611.428</t>
  </si>
  <si>
    <t>6172.656838</t>
  </si>
  <si>
    <t>26785.56891</t>
  </si>
  <si>
    <t>17973.00078</t>
  </si>
  <si>
    <t>38222.99042</t>
  </si>
  <si>
    <t>34661.84224</t>
  </si>
  <si>
    <t>477193.8556</t>
  </si>
  <si>
    <t>18280.56064</t>
  </si>
  <si>
    <t>58640.23996</t>
  </si>
  <si>
    <t>32999.9731</t>
  </si>
  <si>
    <t>14007.18283</t>
  </si>
  <si>
    <t>82791.78077</t>
  </si>
  <si>
    <t>218891.9079</t>
  </si>
  <si>
    <t>853725.9227</t>
  </si>
  <si>
    <t>14244.5927</t>
  </si>
  <si>
    <t>55553.91154</t>
  </si>
  <si>
    <t>47610.5406</t>
  </si>
  <si>
    <t>141496.2875</t>
  </si>
  <si>
    <t>31100.69407</t>
  </si>
  <si>
    <t>4035.967933</t>
  </si>
  <si>
    <t>26115.08662</t>
  </si>
  <si>
    <t>213431.4807</t>
  </si>
  <si>
    <t>17805.74088</t>
  </si>
  <si>
    <t>108845.6216</t>
  </si>
  <si>
    <t>330711.9606</t>
  </si>
  <si>
    <t>65762.53631</t>
  </si>
  <si>
    <t>171647.3421</t>
  </si>
  <si>
    <t>60064.69923</t>
  </si>
  <si>
    <t>16618.69149</t>
  </si>
  <si>
    <t>84043.09695</t>
  </si>
  <si>
    <t>207971.0535</t>
  </si>
  <si>
    <t>9258.985257</t>
  </si>
  <si>
    <t>1121761.675</t>
  </si>
  <si>
    <t>120135412</t>
  </si>
  <si>
    <t>14841207</t>
  </si>
  <si>
    <t>75454465</t>
  </si>
  <si>
    <t>100776567</t>
  </si>
  <si>
    <t>311207651</t>
  </si>
  <si>
    <t>FINAL FISCAL YEAR 2026 TITLE I ALLOCATIONS FOR SCHOOL YEAR 2026-2027</t>
  </si>
  <si>
    <t>2633</t>
  </si>
  <si>
    <t>3896</t>
  </si>
  <si>
    <t xml:space="preserve">The PQ for initial adjusted allocation table was changed to grab hold harmless base from prior year's allocation AFTER hold harmless re-allocation, rather than before.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</si>
</sst>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"/>
    <numFmt numFmtId="167" formatCode="_(&quot;$&quot;* #,##0.0000_);_(&quot;$&quot;* \(#,##0.0000\);_(&quot;$&quot;* &quot;-&quot;??_);_(@_)"/>
    <numFmt numFmtId="168" formatCode="_(&quot;$&quot;* #,##0.00000_);_(&quot;$&quot;* \(#,##0.000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2" fontId="4" fillId="0" borderId="0" xfId="2" applyNumberFormat="1"/>
    <xf numFmtId="0" fontId="4" fillId="0" borderId="0" xfId="2"/>
    <xf numFmtId="0" fontId="6" fillId="0" borderId="0" xfId="2" applyFont="1" applyAlignment="1">
      <alignment horizontal="center"/>
    </xf>
    <xf numFmtId="0" fontId="4" fillId="0" borderId="0" xfId="2" applyAlignment="1">
      <alignment horizontal="center"/>
    </xf>
    <xf numFmtId="49" fontId="4" fillId="0" borderId="0" xfId="2" applyNumberFormat="1" applyAlignment="1">
      <alignment horizontal="center"/>
    </xf>
    <xf numFmtId="0" fontId="4" fillId="0" borderId="0" xfId="2" applyAlignment="1">
      <alignment horizontal="left"/>
    </xf>
    <xf numFmtId="0" fontId="4" fillId="0" borderId="0" xfId="2" quotePrefix="1" applyAlignment="1">
      <alignment horizontal="left"/>
    </xf>
    <xf numFmtId="0" fontId="4" fillId="0" borderId="0" xfId="2" quotePrefix="1" applyAlignment="1">
      <alignment horizontal="center"/>
    </xf>
    <xf numFmtId="0" fontId="8" fillId="0" borderId="0" xfId="2" applyFont="1"/>
    <xf numFmtId="0" fontId="5" fillId="2" borderId="7" xfId="2" applyFont="1" applyFill="1" applyBorder="1" applyAlignment="1">
      <alignment horizontal="left"/>
    </xf>
    <xf numFmtId="0" fontId="0" fillId="3" borderId="0" xfId="0" applyFill="1"/>
    <xf numFmtId="4" fontId="0" fillId="4" borderId="0" xfId="0" applyNumberFormat="1" applyFill="1"/>
    <xf numFmtId="43" fontId="0" fillId="4" borderId="0" xfId="8" applyFont="1" applyFill="1"/>
    <xf numFmtId="2" fontId="4" fillId="0" borderId="0" xfId="2" applyNumberFormat="1" applyAlignment="1">
      <alignment horizontal="left" vertical="top"/>
    </xf>
    <xf numFmtId="49" fontId="4" fillId="0" borderId="0" xfId="2" applyNumberFormat="1" applyAlignment="1">
      <alignment horizontal="left" vertical="top"/>
    </xf>
    <xf numFmtId="0" fontId="6" fillId="0" borderId="0" xfId="2" applyFont="1" applyAlignment="1">
      <alignment horizontal="left" vertical="top"/>
    </xf>
    <xf numFmtId="0" fontId="5" fillId="6" borderId="1" xfId="0" applyFont="1" applyFill="1" applyBorder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/>
    <xf numFmtId="43" fontId="3" fillId="0" borderId="0" xfId="8" applyFont="1"/>
    <xf numFmtId="43" fontId="0" fillId="0" borderId="0" xfId="0" applyNumberFormat="1"/>
    <xf numFmtId="10" fontId="0" fillId="0" borderId="0" xfId="0" applyNumberFormat="1"/>
    <xf numFmtId="3" fontId="0" fillId="0" borderId="0" xfId="0" applyNumberFormat="1"/>
    <xf numFmtId="2" fontId="0" fillId="0" borderId="0" xfId="0" applyNumberFormat="1"/>
    <xf numFmtId="10" fontId="0" fillId="0" borderId="0" xfId="1" applyNumberFormat="1" applyFont="1"/>
    <xf numFmtId="0" fontId="5" fillId="0" borderId="0" xfId="0" applyFont="1" applyAlignment="1">
      <alignment horizontal="left" vertical="top" wrapText="1"/>
    </xf>
    <xf numFmtId="164" fontId="5" fillId="0" borderId="0" xfId="8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165" fontId="5" fillId="0" borderId="0" xfId="1" applyNumberFormat="1" applyFont="1" applyAlignment="1">
      <alignment horizontal="left" vertical="top" wrapText="1"/>
    </xf>
    <xf numFmtId="164" fontId="4" fillId="0" borderId="0" xfId="8" applyNumberFormat="1" applyFont="1"/>
    <xf numFmtId="164" fontId="4" fillId="0" borderId="0" xfId="8" applyNumberFormat="1" applyFont="1" applyAlignment="1">
      <alignment horizontal="center"/>
    </xf>
    <xf numFmtId="44" fontId="0" fillId="4" borderId="0" xfId="0" applyNumberFormat="1" applyFill="1"/>
    <xf numFmtId="166" fontId="3" fillId="0" borderId="0" xfId="0" applyNumberFormat="1" applyFont="1"/>
    <xf numFmtId="4" fontId="0" fillId="0" borderId="0" xfId="0" applyNumberFormat="1"/>
    <xf numFmtId="167" fontId="0" fillId="4" borderId="0" xfId="0" applyNumberFormat="1" applyFill="1"/>
    <xf numFmtId="44" fontId="0" fillId="0" borderId="0" xfId="0" applyNumberFormat="1"/>
    <xf numFmtId="166" fontId="0" fillId="0" borderId="0" xfId="0" applyNumberFormat="1"/>
    <xf numFmtId="44" fontId="0" fillId="0" borderId="0" xfId="0" applyNumberFormat="1" applyAlignment="1">
      <alignment horizontal="left" vertical="top"/>
    </xf>
    <xf numFmtId="164" fontId="0" fillId="0" borderId="0" xfId="0" applyNumberFormat="1"/>
    <xf numFmtId="0" fontId="0" fillId="0" borderId="8" xfId="0" applyBorder="1"/>
    <xf numFmtId="1" fontId="0" fillId="0" borderId="0" xfId="0" applyNumberFormat="1"/>
    <xf numFmtId="43" fontId="3" fillId="0" borderId="0" xfId="0" applyNumberFormat="1" applyFont="1" applyAlignment="1">
      <alignment horizontal="left"/>
    </xf>
    <xf numFmtId="43" fontId="0" fillId="0" borderId="0" xfId="1" applyNumberFormat="1" applyFont="1"/>
    <xf numFmtId="0" fontId="0" fillId="2" borderId="0" xfId="0" applyFill="1"/>
    <xf numFmtId="0" fontId="5" fillId="0" borderId="5" xfId="2" applyFont="1" applyBorder="1"/>
    <xf numFmtId="0" fontId="5" fillId="0" borderId="6" xfId="2" applyFont="1" applyBorder="1" applyAlignment="1">
      <alignment horizontal="left"/>
    </xf>
    <xf numFmtId="0" fontId="5" fillId="0" borderId="6" xfId="2" applyFont="1" applyBorder="1"/>
    <xf numFmtId="0" fontId="4" fillId="0" borderId="6" xfId="2" applyBorder="1"/>
    <xf numFmtId="0" fontId="9" fillId="0" borderId="6" xfId="2" applyFont="1" applyBorder="1"/>
    <xf numFmtId="0" fontId="4" fillId="0" borderId="6" xfId="2" quotePrefix="1" applyBorder="1" applyAlignment="1">
      <alignment horizontal="left"/>
    </xf>
    <xf numFmtId="0" fontId="7" fillId="0" borderId="6" xfId="2" applyFont="1" applyBorder="1" applyAlignment="1">
      <alignment horizontal="left"/>
    </xf>
    <xf numFmtId="0" fontId="5" fillId="0" borderId="0" xfId="2" applyFont="1"/>
    <xf numFmtId="0" fontId="5" fillId="0" borderId="0" xfId="2" applyFont="1" applyAlignment="1">
      <alignment horizontal="left"/>
    </xf>
    <xf numFmtId="43" fontId="0" fillId="0" borderId="0" xfId="8" applyFont="1" applyFill="1" applyBorder="1"/>
    <xf numFmtId="0" fontId="9" fillId="0" borderId="0" xfId="2" applyFont="1"/>
    <xf numFmtId="0" fontId="7" fillId="0" borderId="0" xfId="2" applyFont="1" applyAlignment="1">
      <alignment horizontal="left"/>
    </xf>
    <xf numFmtId="168" fontId="0" fillId="0" borderId="9" xfId="0" applyNumberFormat="1" applyBorder="1" applyAlignment="1">
      <alignment horizontal="right" vertical="top"/>
    </xf>
    <xf numFmtId="44" fontId="0" fillId="0" borderId="10" xfId="0" applyNumberFormat="1" applyBorder="1" applyAlignment="1">
      <alignment horizontal="right" vertical="top"/>
    </xf>
    <xf numFmtId="44" fontId="0" fillId="0" borderId="10" xfId="0" quotePrefix="1" applyNumberFormat="1" applyBorder="1" applyAlignment="1">
      <alignment horizontal="right" vertical="top"/>
    </xf>
    <xf numFmtId="167" fontId="0" fillId="0" borderId="10" xfId="1" applyNumberFormat="1" applyFont="1" applyFill="1" applyBorder="1" applyAlignment="1">
      <alignment horizontal="right" vertical="top"/>
    </xf>
    <xf numFmtId="44" fontId="0" fillId="0" borderId="10" xfId="1" applyNumberFormat="1" applyFont="1" applyFill="1" applyBorder="1" applyAlignment="1">
      <alignment horizontal="right" vertical="top"/>
    </xf>
    <xf numFmtId="44" fontId="3" fillId="2" borderId="11" xfId="0" applyNumberFormat="1" applyFont="1" applyFill="1" applyBorder="1" applyAlignment="1">
      <alignment horizontal="right" vertical="top"/>
    </xf>
    <xf numFmtId="0" fontId="10" fillId="0" borderId="0" xfId="0" applyFont="1"/>
    <xf numFmtId="0" fontId="0" fillId="0" borderId="0" xfId="8" applyNumberFormat="1" applyFont="1" applyAlignment="1">
      <alignment horizontal="right"/>
    </xf>
    <xf numFmtId="44" fontId="0" fillId="0" borderId="0" xfId="9" applyFont="1"/>
    <xf numFmtId="0" fontId="12" fillId="0" borderId="12" xfId="0" applyFont="1" applyBorder="1"/>
    <xf numFmtId="44" fontId="12" fillId="0" borderId="14" xfId="0" applyNumberFormat="1" applyFont="1" applyBorder="1"/>
    <xf numFmtId="0" fontId="3" fillId="5" borderId="0" xfId="0" applyFont="1" applyFill="1" applyAlignment="1">
      <alignment horizontal="center" vertical="top" wrapText="1"/>
    </xf>
    <xf numFmtId="1" fontId="0" fillId="0" borderId="0" xfId="0" applyNumberFormat="1" applyAlignment="1">
      <alignment horizontal="right"/>
    </xf>
    <xf numFmtId="44" fontId="4" fillId="0" borderId="0" xfId="2" applyNumberFormat="1"/>
    <xf numFmtId="164" fontId="5" fillId="0" borderId="0" xfId="8" applyNumberFormat="1" applyFont="1" applyAlignment="1">
      <alignment vertical="top" wrapText="1"/>
    </xf>
    <xf numFmtId="0" fontId="0" fillId="9" borderId="0" xfId="0" applyFill="1"/>
    <xf numFmtId="164" fontId="4" fillId="9" borderId="0" xfId="8" applyNumberFormat="1" applyFont="1" applyFill="1" applyAlignment="1">
      <alignment horizontal="center"/>
    </xf>
    <xf numFmtId="0" fontId="3" fillId="9" borderId="0" xfId="0" applyFont="1" applyFill="1"/>
    <xf numFmtId="43" fontId="5" fillId="0" borderId="0" xfId="8" applyFont="1" applyAlignment="1">
      <alignment vertical="top" wrapText="1"/>
    </xf>
    <xf numFmtId="17" fontId="0" fillId="0" borderId="0" xfId="0" applyNumberFormat="1"/>
    <xf numFmtId="0" fontId="11" fillId="8" borderId="12" xfId="0" applyFont="1" applyFill="1" applyBorder="1" applyAlignment="1">
      <alignment horizontal="center"/>
    </xf>
    <xf numFmtId="0" fontId="11" fillId="8" borderId="1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</cellXfs>
  <cellStyles count="10">
    <cellStyle name="Comma" xfId="8" builtinId="3"/>
    <cellStyle name="Comma 2" xfId="3" xr:uid="{58667097-F9FC-467E-A96D-246981B5FC30}"/>
    <cellStyle name="Comma 3" xfId="6" xr:uid="{DF7BBE39-D694-4DB0-9074-AB80CF4D9198}"/>
    <cellStyle name="Currency 2" xfId="5" xr:uid="{74D298F3-93FB-4E59-9406-E8A6E2C548E2}"/>
    <cellStyle name="Currency 3" xfId="9" xr:uid="{0F77E0BA-6282-44D4-B838-2FF072193B39}"/>
    <cellStyle name="Normal" xfId="0" builtinId="0"/>
    <cellStyle name="Normal 2" xfId="2" xr:uid="{C7484222-43CD-4219-884F-C54E354A094A}"/>
    <cellStyle name="Normal 2 3" xfId="7" xr:uid="{6F744759-43BF-474B-8995-B842CA4C44C9}"/>
    <cellStyle name="Percent" xfId="1" builtinId="5"/>
    <cellStyle name="Percent 2" xfId="4" xr:uid="{6C9C1323-1BA1-4700-83F1-FCAE340F09FB}"/>
  </cellStyles>
  <dxfs count="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4" formatCode="0.0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26" Type="http://schemas.openxmlformats.org/officeDocument/2006/relationships/customXml" Target="../customXml/item3.xml"/><Relationship Id="rId39" Type="http://schemas.openxmlformats.org/officeDocument/2006/relationships/customXml" Target="../customXml/item16.xml"/><Relationship Id="rId21" Type="http://schemas.openxmlformats.org/officeDocument/2006/relationships/sheetMetadata" Target="metadata.xml"/><Relationship Id="rId34" Type="http://schemas.openxmlformats.org/officeDocument/2006/relationships/customXml" Target="../customXml/item1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29" Type="http://schemas.openxmlformats.org/officeDocument/2006/relationships/customXml" Target="../customXml/item6.xml"/><Relationship Id="rId41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32" Type="http://schemas.openxmlformats.org/officeDocument/2006/relationships/customXml" Target="../customXml/item9.xml"/><Relationship Id="rId37" Type="http://schemas.openxmlformats.org/officeDocument/2006/relationships/customXml" Target="../customXml/item14.xml"/><Relationship Id="rId40" Type="http://schemas.openxmlformats.org/officeDocument/2006/relationships/customXml" Target="../customXml/item1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36" Type="http://schemas.openxmlformats.org/officeDocument/2006/relationships/customXml" Target="../customXml/item1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31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owerPivotData" Target="model/item.data"/><Relationship Id="rId27" Type="http://schemas.openxmlformats.org/officeDocument/2006/relationships/customXml" Target="../customXml/item4.xml"/><Relationship Id="rId30" Type="http://schemas.openxmlformats.org/officeDocument/2006/relationships/customXml" Target="../customXml/item7.xml"/><Relationship Id="rId35" Type="http://schemas.openxmlformats.org/officeDocument/2006/relationships/customXml" Target="../customXml/item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2.xml"/><Relationship Id="rId33" Type="http://schemas.openxmlformats.org/officeDocument/2006/relationships/customXml" Target="../customXml/item10.xml"/><Relationship Id="rId38" Type="http://schemas.openxmlformats.org/officeDocument/2006/relationships/customXml" Target="../customXml/item15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3" xr16:uid="{77E29913-A648-42BE-A77B-0E8F85DF31DF}" autoFormatId="16" applyNumberFormats="0" applyBorderFormats="0" applyFontFormats="0" applyPatternFormats="0" applyAlignmentFormats="0" applyWidthHeightFormats="0">
  <queryTableRefresh nextId="35">
    <queryTableFields count="7">
      <queryTableField id="10" name="Column1" tableColumnId="1"/>
      <queryTableField id="21" name="BASIC GRANTS" tableColumnId="2"/>
      <queryTableField id="22" name="CONCENTRATION GRANTS" tableColumnId="3"/>
      <queryTableField id="23" name="TARGETED GRANTS" tableColumnId="4"/>
      <queryTableField id="24" name="EFIG GRANTS" tableColumnId="5"/>
      <queryTableField id="31" name="TOTAL LEA GRANTS" tableColumnId="8"/>
      <queryTableField id="20" name="Rev Fin  T-I State Adm  1004(b).TITLE I, PART A TOTAL LEA GRANTS" tableColumnId="7"/>
    </queryTableFields>
  </queryTableRefresh>
  <extLst>
    <ext xmlns:x15="http://schemas.microsoft.com/office/spreadsheetml/2010/11/main" uri="{883FBD77-0823-4a55-B5E3-86C4891E6966}">
      <x15:queryTable sourceDataName="Query - Assumptions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0" xr16:uid="{5CB1711B-989C-481E-AF6B-B76D25F53936}" autoFormatId="16" applyNumberFormats="0" applyBorderFormats="0" applyFontFormats="0" applyPatternFormats="0" applyAlignmentFormats="0" applyWidthHeightFormats="0">
  <queryTableRefresh nextId="15">
    <queryTableFields count="5">
      <queryTableField id="1" name="LEAID" tableColumnId="1"/>
      <queryTableField id="2" name="LEANAME" tableColumnId="2"/>
      <queryTableField id="3" name="Conc. Eligigibility" tableColumnId="3"/>
      <queryTableField id="4" name="Eligibility Year" tableColumnId="4"/>
      <queryTableField id="6" name="Conc allocation" tableColumnId="6"/>
    </queryTableFields>
  </queryTableRefresh>
  <extLst>
    <ext xmlns:x15="http://schemas.microsoft.com/office/spreadsheetml/2010/11/main" uri="{883FBD77-0823-4a55-B5E3-86C4891E6966}">
      <x15:queryTable sourceDataName="Query - Conc eligibility year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DACDF6D1-3187-4684-9C1B-F2EF9D1DF51C}" autoFormatId="16" applyNumberFormats="0" applyBorderFormats="0" applyFontFormats="0" applyPatternFormats="0" applyAlignmentFormats="0" applyWidthHeightFormats="0">
  <queryTableRefresh nextId="6">
    <queryTableFields count="1">
      <queryTableField id="5" name="Column1" tableColumnId="2"/>
    </queryTableFields>
  </queryTableRefresh>
  <extLst>
    <ext xmlns:x15="http://schemas.microsoft.com/office/spreadsheetml/2010/11/main" uri="{883FBD77-0823-4a55-B5E3-86C4891E6966}">
      <x15:queryTable sourceDataName="Query - Title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8" xr16:uid="{C26CC77E-7AAF-4FF5-83EA-7F9D6E358B11}" autoFormatId="16" applyNumberFormats="0" applyBorderFormats="0" applyFontFormats="0" applyPatternFormats="0" applyAlignmentFormats="0" applyWidthHeightFormats="0">
  <queryTableRefresh nextId="23">
    <queryTableFields count="12">
      <queryTableField id="1" name="LEAID" tableColumnId="1"/>
      <queryTableField id="2" name="LEANAME" tableColumnId="2"/>
      <queryTableField id="3" name="BASIC Hold Harmless Base" tableColumnId="3"/>
      <queryTableField id="4" name="Conc Hold Harmless Base" tableColumnId="4"/>
      <queryTableField id="5" name="Targeted Hold Harmless Base" tableColumnId="5"/>
      <queryTableField id="6" name="EFIG Hold Harmless Base" tableColumnId="6"/>
      <queryTableField id="13" name="Total Hold Harmless Base" tableColumnId="12"/>
      <queryTableField id="15" name="Basic Allocation" tableColumnId="7"/>
      <queryTableField id="8" name="Conc. Allocation" tableColumnId="8"/>
      <queryTableField id="9" name="Targeted Allocation" tableColumnId="9"/>
      <queryTableField id="10" name="EFIG Allocation" tableColumnId="10"/>
      <queryTableField id="11" name="Total Title I Allocation" tableColumnId="11"/>
    </queryTableFields>
  </queryTableRefresh>
  <extLst>
    <ext xmlns:x15="http://schemas.microsoft.com/office/spreadsheetml/2010/11/main" uri="{883FBD77-0823-4a55-B5E3-86C4891E6966}">
      <x15:queryTable sourceDataName="Query - Model allocations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7" xr16:uid="{F562F35B-A02E-4AA2-A36F-7D5DEFCDDA15}" autoFormatId="16" applyNumberFormats="0" applyBorderFormats="0" applyFontFormats="0" applyPatternFormats="0" applyAlignmentFormats="0" applyWidthHeightFormats="0">
  <queryTableRefresh nextId="22">
    <queryTableFields count="12">
      <queryTableField id="1" name="LEAID" tableColumnId="1"/>
      <queryTableField id="2" name="LEANAME" tableColumnId="2"/>
      <queryTableField id="3" name="BASIC Hold Harmless base (Prior year adjusted alloc)" tableColumnId="3"/>
      <queryTableField id="13" name="Conc Hold Harmless Base ( 4 year lookback)" tableColumnId="4"/>
      <queryTableField id="5" name="TARGETED Hold Harmless Base (Prior Year adjusted alloc)" tableColumnId="5"/>
      <queryTableField id="6" name="EFIG Hold Harmless base (Prior Year adjusted alloc)" tableColumnId="6"/>
      <queryTableField id="7" name="Total Hold harmless base" tableColumnId="7"/>
      <queryTableField id="8" name="Adj Basic Allocation" tableColumnId="8"/>
      <queryTableField id="9" name="Adj Conc. Allocation" tableColumnId="9"/>
      <queryTableField id="10" name="Adj Targeted allocation" tableColumnId="10"/>
      <queryTableField id="11" name="Adj EFIG Allocation" tableColumnId="11"/>
      <queryTableField id="12" name="Adj Total Title I Allocation" tableColumnId="12"/>
    </queryTableFields>
  </queryTableRefresh>
  <extLst>
    <ext xmlns:x15="http://schemas.microsoft.com/office/spreadsheetml/2010/11/main" uri="{883FBD77-0823-4a55-B5E3-86C4891E6966}">
      <x15:queryTable sourceDataName="Query - Initial adjusted allocations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5" xr16:uid="{AA3A86F7-173F-472C-A015-A89063E9AA53}" autoFormatId="16" applyNumberFormats="0" applyBorderFormats="0" applyFontFormats="0" applyPatternFormats="0" applyAlignmentFormats="0" applyWidthHeightFormats="0">
  <queryTableRefresh nextId="65">
    <queryTableFields count="16">
      <queryTableField id="1" name="LEAid" tableColumnId="1"/>
      <queryTableField id="30" name="LEANAME" tableColumnId="2"/>
      <queryTableField id="36" name="SendingLEAid" tableColumnId="5"/>
      <queryTableField id="41" name="NEG. adj" tableColumnId="3"/>
      <queryTableField id="42" name="Adj DEL." tableColumnId="4"/>
      <queryTableField id="43" name="Adj Foster" tableColumnId="7"/>
      <queryTableField id="44" name="Adj TANF" tableColumnId="8"/>
      <queryTableField id="21" name="Adj - 5-17 pop" tableColumnId="21"/>
      <queryTableField id="22" name="Adj poverty" tableColumnId="22"/>
      <queryTableField id="23" name="Adj Total formula count" tableColumnId="23"/>
      <queryTableField id="37" name="Total Formula Count DOE" tableColumnId="6"/>
      <queryTableField id="24" name="Adj poverty percentage" tableColumnId="24"/>
      <queryTableField id="25" name="BASIC eligibility" tableColumnId="25"/>
      <queryTableField id="26" name="Conc. Eligigibility" tableColumnId="26"/>
      <queryTableField id="27" name="Targeted Eligibility" tableColumnId="27"/>
      <queryTableField id="28" name="EFIG eligibility" tableColumnId="28"/>
    </queryTableFields>
  </queryTableRefresh>
  <extLst>
    <ext xmlns:x15="http://schemas.microsoft.com/office/spreadsheetml/2010/11/main" uri="{883FBD77-0823-4a55-B5E3-86C4891E6966}">
      <x15:queryTable sourceDataName="Query - Initial adjusted formula count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F3E6E355-E8AF-4050-983B-95B550ED6E3B}" autoFormatId="16" applyNumberFormats="0" applyBorderFormats="0" applyFontFormats="0" applyPatternFormats="0" applyAlignmentFormats="0" applyWidthHeightFormats="0">
  <queryTableRefresh nextId="56">
    <queryTableFields count="25">
      <queryTableField id="1" name="CCDDD" tableColumnId="1"/>
      <queryTableField id="2" name="DistrictName" tableColumnId="2"/>
      <queryTableField id="3" name="SendingLEAid" tableColumnId="3"/>
      <queryTableField id="4" name="LEAid" tableColumnId="4"/>
      <queryTableField id="6" name="IsNew" tableColumnId="6"/>
      <queryTableField id="5" name="IsExpanded" tableColumnId="5"/>
      <queryTableField id="7" name="Initial adjusted formula count.Adj Total formula count" tableColumnId="7"/>
      <queryTableField id="8" name="Initial adjusted formula count.Adj poverty percentage" tableColumnId="8"/>
      <queryTableField id="39" name="Prior Year Adjusted Formula counts.Adj Total formula count" tableColumnId="9"/>
      <queryTableField id="10" name="Total Formula Count increase" tableColumnId="10"/>
      <queryTableField id="11" name="Initial adjusted allocations.BASIC Hold Harmless base (Prior year adjusted alloc" tableColumnId="11"/>
      <queryTableField id="13" name="Initial adjusted allocations.TARGETED Hold Harmless Base (Prior Year adjusted al" tableColumnId="13"/>
      <queryTableField id="37" name="Initial adjusted allocations.Conc Hold Harmless Base ( 4 year lookback)" tableColumnId="12"/>
      <queryTableField id="14" name="Initial adjusted allocations.EFIG Hold Harmless base (Prior Year adjusted alloc)" tableColumnId="14"/>
      <queryTableField id="15" name="Initial adjusted allocations.Total Hold harmless base" tableColumnId="15"/>
      <queryTableField id="16" name="Initial adjusted allocations.Adj Basic Allocation" tableColumnId="16"/>
      <queryTableField id="17" name="Initial adjusted allocations.Adj Conc. Allocation" tableColumnId="17"/>
      <queryTableField id="18" name="Initial adjusted allocations.Adj Targeted allocation" tableColumnId="18"/>
      <queryTableField id="19" name="Initial adjusted allocations.Adj EFIG Allocation" tableColumnId="19"/>
      <queryTableField id="20" name="Initial adjusted allocations.Adj Total Title I Allocation" tableColumnId="20"/>
      <queryTableField id="21" name="New/Expanded Basic HH base" tableColumnId="21"/>
      <queryTableField id="22" name="New/Expanding Conc HH base" tableColumnId="22"/>
      <queryTableField id="23" name="New/Expanding Targeted HH Base" tableColumnId="23"/>
      <queryTableField id="24" name="New Expanding EFIG HH Base" tableColumnId="24"/>
      <queryTableField id="25" name="New Expanded total HH base" tableColumnId="25"/>
    </queryTableFields>
  </queryTableRefresh>
  <extLst>
    <ext xmlns:x15="http://schemas.microsoft.com/office/spreadsheetml/2010/11/main" uri="{883FBD77-0823-4a55-B5E3-86C4891E6966}">
      <x15:queryTable sourceDataName="Query - New or Expanded HH check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6" xr16:uid="{09C07932-8235-4A40-B9C4-4EA9B21234FB}" autoFormatId="16" applyNumberFormats="0" applyBorderFormats="0" applyFontFormats="0" applyPatternFormats="0" applyAlignmentFormats="0" applyWidthHeightFormats="0">
  <queryTableRefresh nextId="25">
    <queryTableFields count="9">
      <queryTableField id="1" name="CCDDD" tableColumnId="1"/>
      <queryTableField id="2" name="DistrictName" tableColumnId="2"/>
      <queryTableField id="3" name="SendingLEAid" tableColumnId="3"/>
      <queryTableField id="4" name="DistrictType" tableColumnId="4"/>
      <queryTableField id="5" name="LEAid" tableColumnId="5"/>
      <queryTableField id="7" name="IsNew" tableColumnId="7"/>
      <queryTableField id="6" name="IsExpanded" tableColumnId="6"/>
      <queryTableField id="8" name="poverty Multiplier" tableColumnId="8"/>
      <queryTableField id="9" name="Enrollment multiplier" tableColumnId="9"/>
    </queryTableFields>
  </queryTableRefresh>
  <extLst>
    <ext xmlns:x15="http://schemas.microsoft.com/office/spreadsheetml/2010/11/main" uri="{883FBD77-0823-4a55-B5E3-86C4891E6966}">
      <x15:queryTable sourceDataName="Query - Multipliers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2F5B8B09-CED2-4B28-B5CC-1DB4F66706A7}" autoFormatId="16" applyNumberFormats="0" applyBorderFormats="0" applyFontFormats="0" applyPatternFormats="0" applyAlignmentFormats="0" applyWidthHeightFormats="0">
  <queryTableRefresh nextId="55">
    <queryTableFields count="19">
      <queryTableField id="1" name="CCDDD" tableColumnId="1"/>
      <queryTableField id="2" name="Charter/Tribal" tableColumnId="2"/>
      <queryTableField id="3" name="Sending District" tableColumnId="3"/>
      <queryTableField id="4" name="Sending District CCDDD" tableColumnId="4"/>
      <queryTableField id="5" name="LEAID" tableColumnId="5"/>
      <queryTableField id="6" name="IsNew" tableColumnId="6"/>
      <queryTableField id="17" name="IsExpanded" tableColumnId="7"/>
      <queryTableField id="24" name="FRPL.TotalStudents" tableColumnId="9"/>
      <queryTableField id="8" name="TotalStudentsInPoverty" tableColumnId="8"/>
      <queryTableField id="25" name="SendingTotalStudents" tableColumnId="10"/>
      <queryTableField id="11" name="SendingTotalStudentsInPoverty" tableColumnId="11"/>
      <queryTableField id="16" name="SendingLEAId" tableColumnId="17"/>
      <queryTableField id="33" name="ChartersTotalStudents" tableColumnId="20"/>
      <queryTableField id="21" name="Sum of Charters RFPL+Sending RFPL" tableColumnId="12"/>
      <queryTableField id="34" name="Share of FRPL" tableColumnId="21"/>
      <queryTableField id="35" name="Sending Share of FRPL" tableColumnId="22"/>
      <queryTableField id="27" name="Sum of charter total students + Sending total students" tableColumnId="15"/>
      <queryTableField id="28" name="Share of Total Enrollment" tableColumnId="16"/>
      <queryTableField id="29" name="Sending Share of Total enrollment" tableColumnId="19"/>
    </queryTableFields>
  </queryTableRefresh>
  <extLst>
    <ext xmlns:x15="http://schemas.microsoft.com/office/spreadsheetml/2010/11/main" uri="{883FBD77-0823-4a55-B5E3-86C4891E6966}">
      <x15:queryTable sourceDataName="Query - Split Calc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714762AA-6969-417F-AE38-B3B316E8E3A3}" autoFormatId="16" applyNumberFormats="0" applyBorderFormats="0" applyFontFormats="0" applyPatternFormats="0" applyAlignmentFormats="0" applyWidthHeightFormats="0">
  <queryTableRefresh nextId="59">
    <queryTableFields count="16">
      <queryTableField id="1" name="LEAID" tableColumnId="1"/>
      <queryTableField id="12" name="LEANAME" tableColumnId="3"/>
      <queryTableField id="55" name="CCDDD" tableColumnId="2"/>
      <queryTableField id="39" name="Basic Before State Reservations" tableColumnId="15"/>
      <queryTableField id="40" name="Concentration Before State Reservations" tableColumnId="16"/>
      <queryTableField id="41" name="Targeted Before State Reservations" tableColumnId="17"/>
      <queryTableField id="42" name="EFIG Before State Reservations" tableColumnId="18"/>
      <queryTableField id="43" name="Total Before State Reservations" tableColumnId="19"/>
      <queryTableField id="51" name="Allocation after School Improvemnt HH" tableColumnId="21"/>
      <queryTableField id="52" name="Net School Improvement taken out" tableColumnId="22"/>
      <queryTableField id="20" name="State Admin" tableColumnId="9"/>
      <queryTableField id="22" name="MOE Reduction" tableColumnId="11"/>
      <queryTableField id="13" name="NET TO DISTRICS" tableColumnId="4"/>
      <queryTableField id="36" name="Adj - 5-17 pop" tableColumnId="10"/>
      <queryTableField id="37" name="Adj Total formula count" tableColumnId="13"/>
      <queryTableField id="38" name="Adj poverty percentage" tableColumnId="14"/>
    </queryTableFields>
  </queryTableRefresh>
  <extLst>
    <ext xmlns:x15="http://schemas.microsoft.com/office/spreadsheetml/2010/11/main" uri="{883FBD77-0823-4a55-B5E3-86C4891E6966}">
      <x15:queryTable sourceDataName="Query - Prior Year Net to district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60C2BC-5429-410B-9BF6-DDB23B30E161}" name="Assumptions" displayName="Assumptions" ref="C1:I2" tableType="queryTable" totalsRowShown="0">
  <autoFilter ref="C1:I2" xr:uid="{5960C2BC-5429-410B-9BF6-DDB23B30E161}"/>
  <tableColumns count="7">
    <tableColumn id="1" xr3:uid="{4C43D153-7362-442D-965F-93F57B5EB338}" uniqueName="1" name="Column1" queryTableFieldId="10"/>
    <tableColumn id="2" xr3:uid="{176F702E-9B23-49D9-B01D-3410DCD1CBAE}" uniqueName="2" name="BASIC GRANTS" queryTableFieldId="21" dataDxfId="91"/>
    <tableColumn id="3" xr3:uid="{D156B8BB-69CF-401E-93B1-C0306FFA7125}" uniqueName="3" name="CONCENTRATION GRANTS" queryTableFieldId="22" dataDxfId="90"/>
    <tableColumn id="4" xr3:uid="{7A27A1B6-041D-4E7D-9A81-9AD80C7A0880}" uniqueName="4" name="TARGETED GRANTS" queryTableFieldId="23" dataDxfId="89"/>
    <tableColumn id="5" xr3:uid="{9624981D-3659-47C1-9C4D-E629B93ADCED}" uniqueName="5" name="EFIG GRANTS" queryTableFieldId="24" dataDxfId="88"/>
    <tableColumn id="8" xr3:uid="{8567D87E-F19A-4B8D-A516-116A36E73B8C}" uniqueName="8" name="TOTAL LEA GRANTS" queryTableFieldId="31" dataDxfId="87"/>
    <tableColumn id="7" xr3:uid="{8C8C46E0-0363-4B47-8A5E-8CC3F11260DE}" uniqueName="7" name="Rev Fin  T-I State Adm  1004(b).TITLE I, PART A TOTAL LEA GRANTS" queryTableFieldId="20" dataDxfId="86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B337D1D-C8DF-4CAF-87FD-F8C9B228595A}" name="Table_Conc_eligibility_year" displayName="Table_Conc_eligibility_year" ref="A1:E316" tableType="queryTable" totalsRowShown="0">
  <autoFilter ref="A1:E316" xr:uid="{2B337D1D-C8DF-4CAF-87FD-F8C9B228595A}"/>
  <sortState xmlns:xlrd2="http://schemas.microsoft.com/office/spreadsheetml/2017/richdata2" ref="A2:E316">
    <sortCondition ref="B1:B316"/>
  </sortState>
  <tableColumns count="5">
    <tableColumn id="1" xr3:uid="{6CF86675-12D2-4E94-9CC5-AB88A974E08A}" uniqueName="1" name="LEAID" queryTableFieldId="1"/>
    <tableColumn id="2" xr3:uid="{417E763F-84DC-4723-B21F-94132676A0BB}" uniqueName="2" name="LEANAME" queryTableFieldId="2"/>
    <tableColumn id="3" xr3:uid="{70146315-0094-43C2-80DB-34E73068048A}" uniqueName="3" name="Conc. Eligigibility" queryTableFieldId="3"/>
    <tableColumn id="4" xr3:uid="{8A58C6BF-D0A5-43F3-859C-0755FA06DCAE}" uniqueName="4" name="Eligibility Year" queryTableFieldId="4"/>
    <tableColumn id="6" xr3:uid="{2EA2D433-255C-447D-8B64-28387F2FFF7D}" uniqueName="6" name="Conc allocation" queryTableField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2E26F9-E31D-4B7A-96F9-9F6076E14753}" name="Title" displayName="Title" ref="B1:B2" tableType="queryTable" totalsRowShown="0">
  <autoFilter ref="B1:B2" xr:uid="{6C2E26F9-E31D-4B7A-96F9-9F6076E14753}"/>
  <tableColumns count="1">
    <tableColumn id="2" xr3:uid="{5A455F30-8D92-46E0-B12D-AB27650392EA}" uniqueName="2" name="Column1" queryTableFieldId="5" dataDxfId="8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FD285AD-9F01-4D8A-BCD2-8854BAE871D8}" name="Model_allocations" displayName="Model_allocations" ref="A1:L315" tableType="queryTable" totalsRowShown="0">
  <autoFilter ref="A1:L315" xr:uid="{CFD285AD-9F01-4D8A-BCD2-8854BAE871D8}"/>
  <sortState xmlns:xlrd2="http://schemas.microsoft.com/office/spreadsheetml/2017/richdata2" ref="A2:L315">
    <sortCondition ref="B1:B315"/>
  </sortState>
  <tableColumns count="12">
    <tableColumn id="1" xr3:uid="{611B6677-F2BD-4D9B-89FD-C3C60B4033F5}" uniqueName="1" name="LEAID" queryTableFieldId="1" dataDxfId="84"/>
    <tableColumn id="2" xr3:uid="{6788495D-F0A7-49F8-8054-A54649BD3378}" uniqueName="2" name="LEANAME" queryTableFieldId="2" dataDxfId="83"/>
    <tableColumn id="3" xr3:uid="{7505CC4A-EF50-4982-9C21-FFEA45C075A0}" uniqueName="3" name="BASIC Hold Harmless Base" queryTableFieldId="3" dataDxfId="82"/>
    <tableColumn id="4" xr3:uid="{FD266F2C-12C2-46CA-B4DA-0044BF30CCE8}" uniqueName="4" name="Conc Hold Harmless Base" queryTableFieldId="4" dataDxfId="81"/>
    <tableColumn id="5" xr3:uid="{1A7C4DAA-23A9-48C0-AC40-1DB58FCA39B1}" uniqueName="5" name="Targeted Hold Harmless Base" queryTableFieldId="5" dataDxfId="80"/>
    <tableColumn id="6" xr3:uid="{209E7CB3-66F1-4B6D-A71D-700AA1F3164D}" uniqueName="6" name="EFIG Hold Harmless Base" queryTableFieldId="6" dataDxfId="79"/>
    <tableColumn id="12" xr3:uid="{662121D9-6418-4ADE-9FE1-B711736E963C}" uniqueName="12" name="Total Hold Harmless Base" queryTableFieldId="13" dataDxfId="78"/>
    <tableColumn id="7" xr3:uid="{71B5EE69-600C-4933-9901-610FB7C85727}" uniqueName="7" name="Basic Allocation" queryTableFieldId="15"/>
    <tableColumn id="8" xr3:uid="{3319A4ED-43F5-4158-8136-F59BD1DEBA2E}" uniqueName="8" name="Conc. Allocation" queryTableFieldId="8" dataDxfId="77"/>
    <tableColumn id="9" xr3:uid="{F91E0153-FD90-4DFE-9321-BFAB19AB6AF0}" uniqueName="9" name="Targeted Allocation" queryTableFieldId="9" dataDxfId="76"/>
    <tableColumn id="10" xr3:uid="{DEAFA6E0-AC9F-4ED9-BFE5-21F80B208ECD}" uniqueName="10" name="EFIG Allocation" queryTableFieldId="10" dataDxfId="75"/>
    <tableColumn id="11" xr3:uid="{4ED7FCD7-2EBF-4103-9C8D-702DB30D89D1}" uniqueName="11" name="Total Title I Allocation" queryTableFieldId="11" dataDxfId="7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F32EF4C-1258-4E2D-B0B9-BE4D2282A993}" name="Initial_adjusted_allocations" displayName="Initial_adjusted_allocations" ref="A1:L315" tableType="queryTable" totalsRowShown="0">
  <autoFilter ref="A1:L315" xr:uid="{6F32EF4C-1258-4E2D-B0B9-BE4D2282A993}">
    <filterColumn colId="1">
      <filters>
        <filter val="Orchard Prairie School District"/>
        <filter val="Rainier Valley Leadership Academy (Green Dot: RV)"/>
      </filters>
    </filterColumn>
  </autoFilter>
  <sortState xmlns:xlrd2="http://schemas.microsoft.com/office/spreadsheetml/2017/richdata2" ref="A2:L315">
    <sortCondition ref="B1:B315"/>
  </sortState>
  <tableColumns count="12">
    <tableColumn id="1" xr3:uid="{BB592B86-CBB1-4B7C-9D64-5D339665B4A8}" uniqueName="1" name="LEAID" queryTableFieldId="1" dataDxfId="73"/>
    <tableColumn id="2" xr3:uid="{AF4A4BC3-D921-4DCF-9937-78D414B81BE2}" uniqueName="2" name="LEANAME" queryTableFieldId="2" dataDxfId="72"/>
    <tableColumn id="3" xr3:uid="{11229CAA-8F87-4ABD-B2CB-66865C362217}" uniqueName="3" name="BASIC Hold Harmless base (Prior year adjusted alloc)" queryTableFieldId="3" dataDxfId="71"/>
    <tableColumn id="4" xr3:uid="{877EAC2C-B599-4614-9F9E-6FC007BB07C4}" uniqueName="4" name="Conc Hold Harmless Base ( 4 year lookback)" queryTableFieldId="13" dataDxfId="70"/>
    <tableColumn id="5" xr3:uid="{3927C376-8129-4830-A597-A29B7BDB1B1B}" uniqueName="5" name="TARGETED Hold Harmless Base (Prior Year adjusted alloc)" queryTableFieldId="5" dataDxfId="69"/>
    <tableColumn id="6" xr3:uid="{B6E7B67B-B6D2-4A9D-AADA-A3FDAEDC8F2B}" uniqueName="6" name="EFIG Hold Harmless base (Prior Year adjusted alloc)" queryTableFieldId="6" dataDxfId="68"/>
    <tableColumn id="7" xr3:uid="{248C4D64-741B-4814-97AF-7C42F159548B}" uniqueName="7" name="Total Hold Harmless base" queryTableFieldId="7" dataDxfId="67"/>
    <tableColumn id="8" xr3:uid="{2283AABA-6403-4214-8A67-3EECAF8E5318}" uniqueName="8" name="Adj Basic Allocation" queryTableFieldId="8" dataDxfId="66"/>
    <tableColumn id="9" xr3:uid="{F211104A-967A-4973-A33D-410EF5757E45}" uniqueName="9" name="Adj Conc. Allocation" queryTableFieldId="9" dataDxfId="65"/>
    <tableColumn id="10" xr3:uid="{76DF5FA6-3C22-49A9-89CA-C19B88D75E68}" uniqueName="10" name="Adj Targeted allocation" queryTableFieldId="10" dataDxfId="64"/>
    <tableColumn id="11" xr3:uid="{E116C028-FADA-46D1-A46A-C491918364E2}" uniqueName="11" name="Adj EFIG Allocation" queryTableFieldId="11" dataDxfId="63"/>
    <tableColumn id="12" xr3:uid="{340F5974-2F89-4558-B5A2-F258176198FC}" uniqueName="12" name="Adj Total Title I Allocation" queryTableFieldId="12" dataDxfId="6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5B8CB27-6799-4997-8EA6-06DF76B21895}" name="Initial_adjusted_formula_count" displayName="Initial_adjusted_formula_count" ref="A1:P315" tableType="queryTable" totalsRowShown="0">
  <autoFilter ref="A1:P315" xr:uid="{85B8CB27-6799-4997-8EA6-06DF76B21895}">
    <filterColumn colId="0">
      <filters>
        <filter val="5301590"/>
      </filters>
    </filterColumn>
    <filterColumn colId="13">
      <filters>
        <filter val="0"/>
      </filters>
    </filterColumn>
  </autoFilter>
  <sortState xmlns:xlrd2="http://schemas.microsoft.com/office/spreadsheetml/2017/richdata2" ref="A2:P315">
    <sortCondition ref="B1:B315"/>
  </sortState>
  <tableColumns count="16">
    <tableColumn id="1" xr3:uid="{D4450982-D1E4-47D0-B829-97602D6DD2D7}" uniqueName="1" name="LEAID" queryTableFieldId="1" dataDxfId="61"/>
    <tableColumn id="2" xr3:uid="{A08BBAC3-99DF-47AA-9666-D57A7C658A9B}" uniqueName="2" name="LEANAME" queryTableFieldId="30"/>
    <tableColumn id="5" xr3:uid="{C3276C96-6825-4339-A7ED-0E3FC010F422}" uniqueName="5" name="SendingLEAid" queryTableFieldId="36" dataDxfId="60"/>
    <tableColumn id="3" xr3:uid="{C187E937-45FF-4B15-A3D5-099CF49E5EA2}" uniqueName="3" name="NEG. adj" queryTableFieldId="41" dataDxfId="59"/>
    <tableColumn id="4" xr3:uid="{38996AC4-6D97-4D6D-9C61-06C5D36C8838}" uniqueName="4" name="Adj DEL." queryTableFieldId="42" dataDxfId="58"/>
    <tableColumn id="7" xr3:uid="{4B33D5B5-F8BE-4B15-9324-7D10EB241113}" uniqueName="7" name="Adj Foster" queryTableFieldId="43" dataDxfId="57"/>
    <tableColumn id="8" xr3:uid="{C9B7EDC5-ED7B-4DF8-846D-249EE4653327}" uniqueName="8" name="Adj TANF" queryTableFieldId="44" dataDxfId="56"/>
    <tableColumn id="21" xr3:uid="{811D0937-E776-4C41-8989-1A7D496C7CBB}" uniqueName="21" name="Adj - 5-17 pop" queryTableFieldId="21" dataDxfId="55"/>
    <tableColumn id="22" xr3:uid="{15D21245-8488-405A-9D4C-079EA84B1718}" uniqueName="22" name="Adj poverty" queryTableFieldId="22" dataDxfId="54"/>
    <tableColumn id="23" xr3:uid="{65940B37-A5FA-45C2-9969-DFA8622DB07E}" uniqueName="23" name="Adj Total formula count" queryTableFieldId="23" dataDxfId="53"/>
    <tableColumn id="6" xr3:uid="{14835AAA-20BA-457D-8CAE-AF7D912FFBBC}" uniqueName="6" name="Total Formula Count DOE" queryTableFieldId="37" dataDxfId="52"/>
    <tableColumn id="24" xr3:uid="{2130EE01-004F-4566-A60A-D3B8CE1A3362}" uniqueName="24" name="Adj poverty percentage" queryTableFieldId="24"/>
    <tableColumn id="25" xr3:uid="{3F74F5D5-2990-4002-92CF-4625DA740D40}" uniqueName="25" name="BASIC eligibility" queryTableFieldId="25"/>
    <tableColumn id="26" xr3:uid="{2A6BAE65-83C9-40C1-809D-5BB78521E846}" uniqueName="26" name="Conc. Eligigibility" queryTableFieldId="26"/>
    <tableColumn id="27" xr3:uid="{6D7FC1DA-5A46-46F1-92F5-1B19A1197F98}" uniqueName="27" name="Targeted Eligibility" queryTableFieldId="27"/>
    <tableColumn id="28" xr3:uid="{886B5EA4-C474-40F7-8FE4-726B686EC411}" uniqueName="28" name="EFIG eligibility" queryTableFieldId="2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F6E1E93-B710-4806-80CA-97D04C2CA9C5}" name="New_or_Expanded_HH_check" displayName="New_or_Expanded_HH_check" ref="A1:Y19" tableType="queryTable" totalsRowShown="0">
  <autoFilter ref="A1:Y19" xr:uid="{BF6E1E93-B710-4806-80CA-97D04C2CA9C5}">
    <filterColumn colId="5">
      <filters>
        <filter val="1"/>
      </filters>
    </filterColumn>
  </autoFilter>
  <tableColumns count="25">
    <tableColumn id="1" xr3:uid="{05678A1B-8182-4A93-A935-7FFC88362CE1}" uniqueName="1" name="CCDDD" queryTableFieldId="1" dataDxfId="51"/>
    <tableColumn id="2" xr3:uid="{9129C4CB-F5B3-46A1-857F-364562E11239}" uniqueName="2" name="DistrictName" queryTableFieldId="2" dataDxfId="50"/>
    <tableColumn id="3" xr3:uid="{8BF1D670-3D30-4FCC-AA04-6FFB836BFE38}" uniqueName="3" name="SendingLEAid" queryTableFieldId="3" dataDxfId="49"/>
    <tableColumn id="4" xr3:uid="{42229B68-7610-4EAE-AC8A-4B35A7D29E4C}" uniqueName="4" name="LEAid" queryTableFieldId="4" dataDxfId="48"/>
    <tableColumn id="6" xr3:uid="{E53BD975-D551-456F-88F9-337E0969ABEB}" uniqueName="6" name="IsNew" queryTableFieldId="6" dataDxfId="47"/>
    <tableColumn id="5" xr3:uid="{53914E26-3AFF-49CD-AF44-AF067D18C5F1}" uniqueName="5" name="IsExpanded" queryTableFieldId="5"/>
    <tableColumn id="7" xr3:uid="{EB6AA613-17CE-433E-97F5-8B51332CFE71}" uniqueName="7" name="Initial adjusted formula count.Adj Total formula count" queryTableFieldId="7" dataDxfId="46"/>
    <tableColumn id="8" xr3:uid="{3115BD99-CD6F-4DE4-AC86-C52B0A17D5C6}" uniqueName="8" name="Initial adjusted formula count.Adj poverty percentage" queryTableFieldId="8"/>
    <tableColumn id="9" xr3:uid="{60E71B6A-2AFB-4487-9007-ECE305622211}" uniqueName="9" name="Prior Year Adjusted Formula counts.Adj Total formula count" queryTableFieldId="39"/>
    <tableColumn id="10" xr3:uid="{46F9479A-A837-4BCA-84F6-0364141169D0}" uniqueName="10" name="Total Formula Count increase" queryTableFieldId="10"/>
    <tableColumn id="11" xr3:uid="{D355C088-70CA-40E8-9EC5-7D5CA4691E4D}" uniqueName="11" name="Initial adjusted allocations.BASIC Hold Harmless base (Prior year adjusted alloc" queryTableFieldId="11"/>
    <tableColumn id="13" xr3:uid="{FF2D5A8E-5A5D-49E1-B5AE-B1A48B8B26F1}" uniqueName="13" name="Initial adjusted allocations.TARGETED Hold Harmless Base (Prior Year adjusted al" queryTableFieldId="13"/>
    <tableColumn id="12" xr3:uid="{31CCE0EA-10F3-42B4-B4E7-8F194A9E9252}" uniqueName="12" name="Initial adjusted allocations.Conc Hold Harmless Base ( 4 year lookback)" queryTableFieldId="37"/>
    <tableColumn id="14" xr3:uid="{9F1EFE74-42D5-49CA-86ED-FE074890E432}" uniqueName="14" name="Initial adjusted allocations.EFIG Hold Harmless base (Prior Year adjusted alloc)" queryTableFieldId="14"/>
    <tableColumn id="15" xr3:uid="{E3CCB486-4678-45DC-A6CA-1CD9FA45AFFF}" uniqueName="15" name="Initial adjusted allocations.Total Hold Harmless base" queryTableFieldId="15" dataDxfId="45"/>
    <tableColumn id="16" xr3:uid="{253BF4D9-5866-4C9B-8D54-E3FD927D13D5}" uniqueName="16" name="Initial adjusted allocations.Adj Basic Allocation" queryTableFieldId="16"/>
    <tableColumn id="17" xr3:uid="{17E528B7-08C5-43E3-8B96-DA0C845D634D}" uniqueName="17" name="Initial adjusted allocations.Adj Conc. Allocation" queryTableFieldId="17"/>
    <tableColumn id="18" xr3:uid="{B5942ED9-C596-4334-8257-8332DAAB9E12}" uniqueName="18" name="Initial adjusted allocations.Adj Targeted allocation" queryTableFieldId="18"/>
    <tableColumn id="19" xr3:uid="{B4F8C7B7-2909-4E7C-8902-1079B1C03B25}" uniqueName="19" name="Initial adjusted allocations.Adj EFIG Allocation" queryTableFieldId="19"/>
    <tableColumn id="20" xr3:uid="{20BCA529-F64F-4DA9-9196-0E1FB7FA7865}" uniqueName="20" name="Initial adjusted allocations.Adj Total Title I Allocation" queryTableFieldId="20"/>
    <tableColumn id="21" xr3:uid="{8A82F529-A755-4079-A67C-10B541FB2947}" uniqueName="21" name="New/Expanded Basic HH base" queryTableFieldId="21" dataDxfId="44"/>
    <tableColumn id="22" xr3:uid="{88FAA249-272C-4B55-8BA8-9E9C3E81FFE8}" uniqueName="22" name="New/Expanding Conc HH base" queryTableFieldId="22" dataDxfId="43"/>
    <tableColumn id="23" xr3:uid="{1117A25E-487A-4931-A0AB-7D76CF57B9CB}" uniqueName="23" name="New/Expanding Targeted HH Base" queryTableFieldId="23" dataDxfId="42"/>
    <tableColumn id="24" xr3:uid="{C99510BF-DAA2-4F85-9F7E-83D3284E240B}" uniqueName="24" name="New Expanding EFIG HH Base" queryTableFieldId="24" dataDxfId="41"/>
    <tableColumn id="25" xr3:uid="{F2921C0B-6A9E-48A9-81E7-AECB85D4BE69}" uniqueName="25" name="New Expanded total HH base" queryTableFieldId="25" dataDxfId="4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4827DA-6F09-4A06-92A3-4B5F97C50D43}" name="Multipliers" displayName="Multipliers" ref="A1:I29" tableType="queryTable" totalsRowShown="0">
  <autoFilter ref="A1:I29" xr:uid="{484827DA-6F09-4A06-92A3-4B5F97C50D43}"/>
  <sortState xmlns:xlrd2="http://schemas.microsoft.com/office/spreadsheetml/2017/richdata2" ref="A2:I29">
    <sortCondition ref="C1:C29"/>
  </sortState>
  <tableColumns count="9">
    <tableColumn id="1" xr3:uid="{84928E93-7480-4F08-91A6-5E0CD8893E38}" uniqueName="1" name="CCDDD" queryTableFieldId="1" dataDxfId="39"/>
    <tableColumn id="2" xr3:uid="{AC59F4DA-A1E7-4F4D-8B6B-BA5DB41B703E}" uniqueName="2" name="DistrictName" queryTableFieldId="2" dataDxfId="38"/>
    <tableColumn id="3" xr3:uid="{1C4A60BD-575B-4FE4-BA11-4CEEC045530D}" uniqueName="3" name="SendingLEAid" queryTableFieldId="3" dataDxfId="37"/>
    <tableColumn id="4" xr3:uid="{A5E8685C-666D-47D7-AB04-53248EBB2F17}" uniqueName="4" name="DistrictType" queryTableFieldId="4"/>
    <tableColumn id="5" xr3:uid="{AE31F690-E25C-4A52-82D0-B4F77192A8A1}" uniqueName="5" name="LEAid" queryTableFieldId="5" dataDxfId="36"/>
    <tableColumn id="7" xr3:uid="{FBC64837-6A24-40FC-B610-73D4EA702102}" uniqueName="7" name="IsNew" queryTableFieldId="7" dataDxfId="35"/>
    <tableColumn id="6" xr3:uid="{FE3213F8-C272-4CCB-BEF4-ED26B0444655}" uniqueName="6" name="IsExpanded" queryTableFieldId="6"/>
    <tableColumn id="8" xr3:uid="{35439A1B-AA2B-465B-BA50-AB0D3848EBB3}" uniqueName="8" name="poverty Multiplier" queryTableFieldId="8" dataDxfId="34" dataCellStyle="Percent"/>
    <tableColumn id="9" xr3:uid="{A2652D78-643D-4DD7-AC11-951305F2A8F8}" uniqueName="9" name="Enrollment multiplier" queryTableFieldId="9" dataDxfId="33" dataCellStyle="Percent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78EB4D-0B02-4958-A2CD-9C0465C6D110}" name="Split_Calc" displayName="Split_Calc" ref="A1:S19" tableType="queryTable" totalsRowShown="0">
  <autoFilter ref="A1:S19" xr:uid="{1F78EB4D-0B02-4958-A2CD-9C0465C6D110}"/>
  <tableColumns count="19">
    <tableColumn id="1" xr3:uid="{B5F7AECA-D304-4AA0-9256-EAF1EAAF3FB8}" uniqueName="1" name="CCDDD" queryTableFieldId="1" dataDxfId="32"/>
    <tableColumn id="2" xr3:uid="{F0F095AC-9FA8-4E0D-BA30-3344380C1A81}" uniqueName="2" name="Charter/Tribal" queryTableFieldId="2" dataDxfId="31"/>
    <tableColumn id="3" xr3:uid="{906E6615-D133-405E-BD4E-3F984256E693}" uniqueName="3" name="Sending District" queryTableFieldId="3" dataDxfId="30"/>
    <tableColumn id="4" xr3:uid="{6325567C-4292-4020-BCF1-FC929A17822A}" uniqueName="4" name="Sending District CCDDD" queryTableFieldId="4" dataDxfId="29"/>
    <tableColumn id="5" xr3:uid="{D50ED8F1-8953-43F7-9674-641552F905C3}" uniqueName="5" name="LEAID" queryTableFieldId="5" dataDxfId="28"/>
    <tableColumn id="6" xr3:uid="{EBC749D4-F587-4AC8-B50B-A19B79F97D81}" uniqueName="6" name="IsNew" queryTableFieldId="6" dataDxfId="27"/>
    <tableColumn id="7" xr3:uid="{3E36513F-9F0A-4B23-856E-2253CF24C489}" uniqueName="7" name="IsExpanded" queryTableFieldId="17"/>
    <tableColumn id="9" xr3:uid="{C6CFCFC5-6F6F-4E12-AAFA-1B59C2D2A5A2}" uniqueName="9" name="FRPL.TotalStudents" queryTableFieldId="24" dataDxfId="26"/>
    <tableColumn id="8" xr3:uid="{C6AEB83E-26F3-4A05-A748-DAF1F81B7EA3}" uniqueName="8" name="TotalStudentsInPoverty" queryTableFieldId="8"/>
    <tableColumn id="10" xr3:uid="{38589DCF-2BF0-465E-BA38-60719BF8C7F4}" uniqueName="10" name="SendingTotalStudents" queryTableFieldId="25" dataDxfId="25"/>
    <tableColumn id="11" xr3:uid="{2CD90EC8-1F91-4BAA-B3E5-9026141E4B1A}" uniqueName="11" name="SendingTotalStudentsInPoverty" queryTableFieldId="11"/>
    <tableColumn id="17" xr3:uid="{B646AC6A-1FBA-4D71-89E6-163042FDA3BF}" uniqueName="17" name="SendingLEAId" queryTableFieldId="16" dataDxfId="24"/>
    <tableColumn id="20" xr3:uid="{CEA2D6AD-8CCD-4A5E-97C6-3407F224D29D}" uniqueName="20" name="ChartersTotalStudents" queryTableFieldId="33"/>
    <tableColumn id="12" xr3:uid="{CCD2667B-D8AF-4FF0-A498-14B073BDFBA5}" uniqueName="12" name="Sum of Charters RFPL+Sending RFPL" queryTableFieldId="21"/>
    <tableColumn id="21" xr3:uid="{89EF60DC-7943-452D-8BCB-AFD3DD8D81A9}" uniqueName="21" name="Share of FRPL" queryTableFieldId="34"/>
    <tableColumn id="22" xr3:uid="{21596939-9B54-4755-AE20-2F8C5FA95FE1}" uniqueName="22" name="Sending Share of FRPL" queryTableFieldId="35"/>
    <tableColumn id="15" xr3:uid="{6D59F98D-E68E-4199-811D-FB83FFF7E405}" uniqueName="15" name="Sum of charter total students + Sending total students" queryTableFieldId="27" dataDxfId="23"/>
    <tableColumn id="16" xr3:uid="{777BCDC3-7ECB-48FB-A60F-78FCCD5ABA36}" uniqueName="16" name="Share of Total Enrollment" queryTableFieldId="28" dataDxfId="22"/>
    <tableColumn id="19" xr3:uid="{A2435003-4B7A-48D3-8533-2EF415147154}" uniqueName="19" name="Sending Share of Total enrollment" queryTableFieldId="29" dataDxfId="21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274DD2-59B1-4CB3-9B41-A78345DA1C37}" name="Table_Prior_Year_Net_to_district" displayName="Table_Prior_Year_Net_to_district" ref="A1:P316" tableType="queryTable" totalsRowShown="0">
  <autoFilter ref="A1:P316" xr:uid="{82274DD2-59B1-4CB3-9B41-A78345DA1C37}">
    <filterColumn colId="1">
      <filters>
        <filter val="WINLOCK"/>
      </filters>
    </filterColumn>
  </autoFilter>
  <sortState xmlns:xlrd2="http://schemas.microsoft.com/office/spreadsheetml/2017/richdata2" ref="A2:P316">
    <sortCondition ref="B1:B316"/>
  </sortState>
  <tableColumns count="16">
    <tableColumn id="1" xr3:uid="{DCE06B1D-A5CE-48E6-9A85-26D61791F6A6}" uniqueName="1" name="LEAID" queryTableFieldId="1" dataDxfId="20"/>
    <tableColumn id="3" xr3:uid="{AB650683-BA3F-4873-AEF1-1DE352F24398}" uniqueName="3" name="LEANAME" queryTableFieldId="12" dataDxfId="19"/>
    <tableColumn id="2" xr3:uid="{7FF07540-2568-4881-A27D-83D19984353F}" uniqueName="2" name="CCDDD" queryTableFieldId="55" dataDxfId="18"/>
    <tableColumn id="15" xr3:uid="{97FFD9D6-49DD-4C8B-B34C-A2A995490BFE}" uniqueName="15" name="Basic Before State Reservations" queryTableFieldId="39" dataDxfId="17"/>
    <tableColumn id="16" xr3:uid="{74EDC3A3-869E-449F-BC14-0C31B86C9408}" uniqueName="16" name="Concentration Before State Reservations" queryTableFieldId="40" dataDxfId="16"/>
    <tableColumn id="17" xr3:uid="{F2E55405-4A04-4E2F-A81A-CDE376107E4F}" uniqueName="17" name="Targeted Before State Reservations" queryTableFieldId="41" dataDxfId="15"/>
    <tableColumn id="18" xr3:uid="{78EA2C5B-F0CB-4FCC-86F7-728A88CC4D29}" uniqueName="18" name="EFIG Before State Reservations" queryTableFieldId="42" dataDxfId="14"/>
    <tableColumn id="19" xr3:uid="{BA73CEB0-384A-479F-B4B1-0FA38E0FFECE}" uniqueName="19" name="Total Before State Reservations" queryTableFieldId="43" dataDxfId="13"/>
    <tableColumn id="21" xr3:uid="{21E2C724-79EB-4C98-BE90-BF542E3A0512}" uniqueName="21" name="Allocation after School Improvemnt HH" queryTableFieldId="51" dataDxfId="12"/>
    <tableColumn id="22" xr3:uid="{7FB5F679-E1C9-4D69-869F-E1420A5DBD46}" uniqueName="22" name="Net School Improvement taken out" queryTableFieldId="52" dataDxfId="11"/>
    <tableColumn id="9" xr3:uid="{649F93AB-DB96-4519-985C-69EA02C21565}" uniqueName="9" name="State Admin" queryTableFieldId="20" dataDxfId="10"/>
    <tableColumn id="11" xr3:uid="{8164232E-1C9C-411A-978D-49FA871FD551}" uniqueName="11" name="MOE Reduction" queryTableFieldId="22" dataDxfId="9"/>
    <tableColumn id="4" xr3:uid="{5CBB891A-EF0F-47E0-90E9-8351AF936710}" uniqueName="4" name="NET TO DISTRICS" queryTableFieldId="13" dataDxfId="8"/>
    <tableColumn id="10" xr3:uid="{B7C702E7-6B34-4E57-A669-3845D4AB1B1E}" uniqueName="10" name="Adj - 5-17 pop" queryTableFieldId="36"/>
    <tableColumn id="13" xr3:uid="{AF30A016-7E3F-48A3-A5DA-92815AD2810E}" uniqueName="13" name="Adj Total formula count" queryTableFieldId="37"/>
    <tableColumn id="14" xr3:uid="{2216A8A1-F4E2-4E1A-AFA2-945E879018C7}" uniqueName="14" name="Adj poverty percentage" queryTableFieldId="3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E9700-6A66-4A00-8318-0C5AB1792D97}">
  <dimension ref="B1:E24"/>
  <sheetViews>
    <sheetView tabSelected="1" workbookViewId="0">
      <selection activeCell="C2" sqref="C2:D2"/>
    </sheetView>
    <sheetView workbookViewId="1">
      <selection activeCell="D6" sqref="D6"/>
    </sheetView>
  </sheetViews>
  <sheetFormatPr defaultRowHeight="15" x14ac:dyDescent="0.25"/>
  <cols>
    <col min="1" max="1" width="7.7109375" customWidth="1"/>
    <col min="2" max="2" width="44.5703125" customWidth="1"/>
    <col min="3" max="3" width="43.5703125" customWidth="1"/>
    <col min="4" max="4" width="44.28515625" customWidth="1"/>
    <col min="5" max="5" width="35.85546875" customWidth="1"/>
  </cols>
  <sheetData>
    <row r="1" spans="2:5" ht="15.75" thickBot="1" x14ac:dyDescent="0.3"/>
    <row r="2" spans="2:5" ht="27" thickBot="1" x14ac:dyDescent="0.45">
      <c r="B2" s="70" t="s">
        <v>1398</v>
      </c>
      <c r="C2" s="84" t="s">
        <v>661</v>
      </c>
      <c r="D2" s="85"/>
      <c r="E2" t="s">
        <v>1399</v>
      </c>
    </row>
    <row r="3" spans="2:5" ht="23.25" x14ac:dyDescent="0.35">
      <c r="B3" s="70" t="s">
        <v>0</v>
      </c>
      <c r="C3" s="86" t="str">
        <f>VLOOKUP(District!$C$2,'State Reservations'!$B$4:$C$317,2,FALSE)</f>
        <v>14005</v>
      </c>
      <c r="D3" s="86"/>
    </row>
    <row r="4" spans="2:5" x14ac:dyDescent="0.25">
      <c r="B4" t="s">
        <v>1400</v>
      </c>
      <c r="C4" s="87" t="str">
        <f>VLOOKUP($C$2,'State Reservations'!$B$4:$AG$318,32,FALSE)</f>
        <v>5300030</v>
      </c>
      <c r="D4" s="87"/>
    </row>
    <row r="6" spans="2:5" ht="30" x14ac:dyDescent="0.25">
      <c r="C6" s="75" t="str" cm="1">
        <f t="array" ref="C6">Title[Column1]</f>
        <v>FINAL FISCAL YEAR 2026 TITLE I ALLOCATIONS FOR SCHOOL YEAR 2026-2027</v>
      </c>
      <c r="D6" s="75" t="s">
        <v>1412</v>
      </c>
    </row>
    <row r="7" spans="2:5" ht="15.75" x14ac:dyDescent="0.25">
      <c r="B7" s="70" t="s">
        <v>1401</v>
      </c>
      <c r="C7" s="71">
        <f>VLOOKUP($C$4,'Initial adjusted formula count'!$A$1:$J$316,8,FALSE)</f>
        <v>3465</v>
      </c>
      <c r="D7">
        <f>VLOOKUP($C$4,Table_Prior_Year_Net_to_district[#All],14,FALSE)</f>
        <v>3496</v>
      </c>
    </row>
    <row r="8" spans="2:5" ht="15.75" x14ac:dyDescent="0.25">
      <c r="B8" s="70" t="s">
        <v>1402</v>
      </c>
      <c r="C8" s="76">
        <f>VLOOKUP($C$4,'Initial adjusted formula count'!$A$1:$J$316,10,FALSE)</f>
        <v>725</v>
      </c>
      <c r="D8">
        <f>VLOOKUP($C$4,Table_Prior_Year_Net_to_district[#All],15,FALSE)</f>
        <v>704</v>
      </c>
    </row>
    <row r="9" spans="2:5" ht="15.75" x14ac:dyDescent="0.25">
      <c r="B9" s="70" t="s">
        <v>1403</v>
      </c>
      <c r="C9" s="31">
        <f>C8/C7</f>
        <v>0.20923520923520925</v>
      </c>
      <c r="D9" s="28">
        <f>VLOOKUP($C$4,Table_Prior_Year_Net_to_district[#All],16,FALSE)</f>
        <v>0.20137299771167</v>
      </c>
    </row>
    <row r="10" spans="2:5" ht="15.75" x14ac:dyDescent="0.25">
      <c r="B10" s="70"/>
    </row>
    <row r="11" spans="2:5" ht="15.75" x14ac:dyDescent="0.25">
      <c r="B11" s="70" t="s">
        <v>1404</v>
      </c>
      <c r="C11" s="72">
        <f>VLOOKUP($C$3,'State Reservations'!$C$4:$AE$317,3,FALSE)</f>
        <v>637610.0160314336</v>
      </c>
      <c r="D11" s="72">
        <f>VLOOKUP($C$4,Table_Prior_Year_Net_to_district[#All],4,FALSE)</f>
        <v>634938.69375755591</v>
      </c>
    </row>
    <row r="12" spans="2:5" ht="15.75" x14ac:dyDescent="0.25">
      <c r="B12" s="70" t="s">
        <v>1405</v>
      </c>
      <c r="C12" s="72">
        <f>VLOOKUP($C$3,'State Reservations'!$C$4:$AE$317,4,FALSE)</f>
        <v>171883.00326930426</v>
      </c>
      <c r="D12" s="72">
        <f>VLOOKUP($C$4,Table_Prior_Year_Net_to_district[#All],5,FALSE)</f>
        <v>167295.88148094981</v>
      </c>
    </row>
    <row r="13" spans="2:5" ht="15.75" x14ac:dyDescent="0.25">
      <c r="B13" s="70" t="s">
        <v>1406</v>
      </c>
      <c r="C13" s="72">
        <f>VLOOKUP($C$3,'State Reservations'!$C$4:$AE$317,5,FALSE)</f>
        <v>367420.68392519327</v>
      </c>
      <c r="D13" s="72">
        <f>VLOOKUP($C$4,Table_Prior_Year_Net_to_district[#All],6,FALSE)</f>
        <v>392655.00860822888</v>
      </c>
    </row>
    <row r="14" spans="2:5" ht="15.75" x14ac:dyDescent="0.25">
      <c r="B14" s="70" t="s">
        <v>1407</v>
      </c>
      <c r="C14" s="72">
        <f>VLOOKUP($C$3,'State Reservations'!$C$4:$AE$317,6,FALSE)</f>
        <v>487557.97892043862</v>
      </c>
      <c r="D14" s="72">
        <f>VLOOKUP($C$4,Table_Prior_Year_Net_to_district[#All],7,FALSE)</f>
        <v>539711.39546573057</v>
      </c>
    </row>
    <row r="15" spans="2:5" ht="15.75" x14ac:dyDescent="0.25">
      <c r="B15" s="70"/>
      <c r="C15" s="72"/>
      <c r="D15" s="72"/>
    </row>
    <row r="16" spans="2:5" ht="15.75" x14ac:dyDescent="0.25">
      <c r="B16" s="70" t="s">
        <v>1408</v>
      </c>
      <c r="C16" s="72">
        <f>VLOOKUP($C$3,'State Reservations'!$C$4:$AE$317,7,FALSE)</f>
        <v>1664471.6821463697</v>
      </c>
      <c r="D16" s="72">
        <f>VLOOKUP($C$4,Table_Prior_Year_Net_to_district[#All],8,FALSE)</f>
        <v>1734600.9793124651</v>
      </c>
    </row>
    <row r="17" spans="2:4" ht="15.75" x14ac:dyDescent="0.25">
      <c r="B17" s="70"/>
      <c r="D17" s="72"/>
    </row>
    <row r="18" spans="2:4" ht="15.75" x14ac:dyDescent="0.25">
      <c r="B18" s="70" t="s">
        <v>1409</v>
      </c>
      <c r="C18" s="43">
        <f>$C$16-$C$19</f>
        <v>14613.382847383618</v>
      </c>
      <c r="D18" s="72">
        <f>VLOOKUP($C$4,Table_Prior_Year_Net_to_district[#All],10,FALSE)</f>
        <v>72010.957268084167</v>
      </c>
    </row>
    <row r="19" spans="2:4" ht="15.75" x14ac:dyDescent="0.25">
      <c r="B19" s="70" t="s">
        <v>1410</v>
      </c>
      <c r="C19" s="43">
        <f>VLOOKUP($C$3,'State Reservations'!$C$4:$AE$317,21,FALSE)</f>
        <v>1649858.2992989861</v>
      </c>
      <c r="D19" s="72">
        <f>VLOOKUP($C$4,Table_Prior_Year_Net_to_district[#All],9,FALSE)</f>
        <v>1662590.0220443809</v>
      </c>
    </row>
    <row r="20" spans="2:4" ht="15.75" x14ac:dyDescent="0.25">
      <c r="B20" s="70"/>
      <c r="C20" s="43"/>
      <c r="D20" s="72"/>
    </row>
    <row r="21" spans="2:4" ht="15.75" x14ac:dyDescent="0.25">
      <c r="B21" s="70" t="s">
        <v>1285</v>
      </c>
      <c r="C21" s="72">
        <f>VLOOKUP($C$3,'State Reservations'!$C$4:$AE$317,23,FALSE)</f>
        <v>12958.29406301324</v>
      </c>
      <c r="D21" s="72">
        <f>VLOOKUP($C$4,Table_Prior_Year_Net_to_district[#All],11,FALSE)</f>
        <v>12731.722745394822</v>
      </c>
    </row>
    <row r="22" spans="2:4" ht="15.75" x14ac:dyDescent="0.25">
      <c r="B22" s="70" t="s">
        <v>1269</v>
      </c>
      <c r="C22" s="72">
        <f>VLOOKUP($C$3,'State Reservations'!$C$4:$AE$317,28,FALSE)</f>
        <v>0</v>
      </c>
      <c r="D22" s="72">
        <f>VLOOKUP($C$4,Table_Prior_Year_Net_to_district[#All],12,FALSE)</f>
        <v>0</v>
      </c>
    </row>
    <row r="23" spans="2:4" ht="15.75" thickBot="1" x14ac:dyDescent="0.3">
      <c r="D23" s="72"/>
    </row>
    <row r="24" spans="2:4" ht="24" thickBot="1" x14ac:dyDescent="0.4">
      <c r="B24" s="73" t="s">
        <v>1411</v>
      </c>
      <c r="C24" s="74">
        <f>C16-C18-C21-C22</f>
        <v>1636900.0052359728</v>
      </c>
      <c r="D24" s="74">
        <f>VLOOKUP($C$4,Table_Prior_Year_Net_to_district[#All],13,FALSE)</f>
        <v>1649858.2992989861</v>
      </c>
    </row>
  </sheetData>
  <mergeCells count="3">
    <mergeCell ref="C2:D2"/>
    <mergeCell ref="C3:D3"/>
    <mergeCell ref="C4:D4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DFAF89-1491-4DB0-9732-1C383FE3B107}">
          <x14:formula1>
            <xm:f>'State Reservations'!$B$4:$B$317</xm:f>
          </x14:formula1>
          <xm:sqref>C2:D2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01FD-8A5A-4690-AAC1-9C9831E8E4DF}">
  <sheetPr>
    <tabColor theme="4" tint="0.79998168889431442"/>
  </sheetPr>
  <dimension ref="A1:L315"/>
  <sheetViews>
    <sheetView workbookViewId="0">
      <selection activeCell="L3" sqref="L3"/>
    </sheetView>
    <sheetView workbookViewId="1"/>
  </sheetViews>
  <sheetFormatPr defaultRowHeight="15" x14ac:dyDescent="0.25"/>
  <cols>
    <col min="1" max="1" width="8.28515625" bestFit="1" customWidth="1"/>
    <col min="2" max="2" width="47.5703125" bestFit="1" customWidth="1"/>
    <col min="3" max="3" width="50.5703125" bestFit="1" customWidth="1"/>
    <col min="4" max="4" width="42.140625" bestFit="1" customWidth="1"/>
    <col min="5" max="5" width="54.85546875" bestFit="1" customWidth="1"/>
    <col min="6" max="6" width="49.5703125" bestFit="1" customWidth="1"/>
    <col min="7" max="7" width="25.85546875" bestFit="1" customWidth="1"/>
    <col min="8" max="8" width="20.85546875" bestFit="1" customWidth="1"/>
    <col min="9" max="9" width="21.28515625" bestFit="1" customWidth="1"/>
    <col min="10" max="10" width="24.140625" bestFit="1" customWidth="1"/>
    <col min="11" max="11" width="20.42578125" bestFit="1" customWidth="1"/>
    <col min="12" max="12" width="26.42578125" bestFit="1" customWidth="1"/>
    <col min="13" max="13" width="20.42578125" bestFit="1" customWidth="1"/>
    <col min="14" max="15" width="26.42578125" customWidth="1"/>
    <col min="16" max="16" width="26.42578125" bestFit="1" customWidth="1"/>
  </cols>
  <sheetData>
    <row r="1" spans="1:12" x14ac:dyDescent="0.25">
      <c r="A1" t="s">
        <v>4</v>
      </c>
      <c r="B1" t="s">
        <v>1277</v>
      </c>
      <c r="C1" t="s">
        <v>1325</v>
      </c>
      <c r="D1" t="s">
        <v>1359</v>
      </c>
      <c r="E1" t="s">
        <v>1326</v>
      </c>
      <c r="F1" t="s">
        <v>1327</v>
      </c>
      <c r="G1" t="s">
        <v>1360</v>
      </c>
      <c r="H1" t="s">
        <v>1328</v>
      </c>
      <c r="I1" t="s">
        <v>1329</v>
      </c>
      <c r="J1" t="s">
        <v>1330</v>
      </c>
      <c r="K1" t="s">
        <v>1331</v>
      </c>
      <c r="L1" t="s">
        <v>1332</v>
      </c>
    </row>
    <row r="2" spans="1:12" hidden="1" x14ac:dyDescent="0.25">
      <c r="A2" t="s">
        <v>308</v>
      </c>
      <c r="B2" t="s">
        <v>1381</v>
      </c>
      <c r="C2">
        <v>634938.69375755591</v>
      </c>
      <c r="D2">
        <v>167295.88148094981</v>
      </c>
      <c r="E2">
        <v>392655.00860822888</v>
      </c>
      <c r="F2">
        <v>539711.39546573057</v>
      </c>
      <c r="G2">
        <v>1734600.9793124651</v>
      </c>
      <c r="H2">
        <v>638001.50844131853</v>
      </c>
      <c r="I2">
        <v>172122.16183293046</v>
      </c>
      <c r="J2">
        <v>367722.46401768707</v>
      </c>
      <c r="K2">
        <v>487991.51299356774</v>
      </c>
      <c r="L2">
        <v>1665837.6472855038</v>
      </c>
    </row>
    <row r="3" spans="1:12" hidden="1" x14ac:dyDescent="0.25">
      <c r="A3" t="s">
        <v>259</v>
      </c>
      <c r="B3" t="s">
        <v>260</v>
      </c>
      <c r="C3">
        <v>59960.521512423416</v>
      </c>
      <c r="D3">
        <v>0</v>
      </c>
      <c r="E3">
        <v>28924.902902532685</v>
      </c>
      <c r="F3">
        <v>39235.770572803085</v>
      </c>
      <c r="G3">
        <v>128121.19498775918</v>
      </c>
      <c r="H3">
        <v>50994.761653411639</v>
      </c>
      <c r="I3">
        <v>0</v>
      </c>
      <c r="J3">
        <v>24603.239078092218</v>
      </c>
      <c r="K3">
        <v>33374.281264039921</v>
      </c>
      <c r="L3">
        <v>108972.28199554377</v>
      </c>
    </row>
    <row r="4" spans="1:12" hidden="1" x14ac:dyDescent="0.25">
      <c r="A4" t="s">
        <v>261</v>
      </c>
      <c r="B4" t="s">
        <v>262</v>
      </c>
      <c r="C4">
        <v>15641.875177153936</v>
      </c>
      <c r="D4">
        <v>4208.2731321928313</v>
      </c>
      <c r="E4">
        <v>8355.4612451861758</v>
      </c>
      <c r="F4">
        <v>11333.934691181523</v>
      </c>
      <c r="G4">
        <v>39539.544245714467</v>
      </c>
      <c r="H4">
        <v>13302.981300889993</v>
      </c>
      <c r="I4">
        <v>3581.3238500886937</v>
      </c>
      <c r="J4">
        <v>7107.0734901256892</v>
      </c>
      <c r="K4">
        <v>9640.7415654007837</v>
      </c>
      <c r="L4">
        <v>33632.120206505162</v>
      </c>
    </row>
    <row r="5" spans="1:12" hidden="1" x14ac:dyDescent="0.25">
      <c r="A5" t="s">
        <v>88</v>
      </c>
      <c r="B5" t="s">
        <v>89</v>
      </c>
      <c r="C5">
        <v>202475.38423760375</v>
      </c>
      <c r="D5">
        <v>0</v>
      </c>
      <c r="E5">
        <v>97673.947482465446</v>
      </c>
      <c r="F5">
        <v>132491.80497772634</v>
      </c>
      <c r="G5">
        <v>432641.13669779547</v>
      </c>
      <c r="H5">
        <v>179520.42444417794</v>
      </c>
      <c r="I5">
        <v>0</v>
      </c>
      <c r="J5">
        <v>86836.952960064838</v>
      </c>
      <c r="K5">
        <v>115238.25766786736</v>
      </c>
      <c r="L5">
        <v>381595.6350721101</v>
      </c>
    </row>
    <row r="6" spans="1:12" hidden="1" x14ac:dyDescent="0.25">
      <c r="A6" t="s">
        <v>90</v>
      </c>
      <c r="B6" t="s">
        <v>91</v>
      </c>
      <c r="C6">
        <v>471863.23451081035</v>
      </c>
      <c r="D6">
        <v>0</v>
      </c>
      <c r="E6">
        <v>227626.40979819203</v>
      </c>
      <c r="F6">
        <v>308768.45537727629</v>
      </c>
      <c r="G6">
        <v>1008258.0996862787</v>
      </c>
      <c r="H6">
        <v>474321.1214480974</v>
      </c>
      <c r="I6">
        <v>0</v>
      </c>
      <c r="J6">
        <v>229436.85120330853</v>
      </c>
      <c r="K6">
        <v>304477.55334794358</v>
      </c>
      <c r="L6">
        <v>1008235.5259993495</v>
      </c>
    </row>
    <row r="7" spans="1:12" hidden="1" x14ac:dyDescent="0.25">
      <c r="A7" t="s">
        <v>309</v>
      </c>
      <c r="B7" t="s">
        <v>310</v>
      </c>
      <c r="C7">
        <v>37358.131662173764</v>
      </c>
      <c r="D7">
        <v>0</v>
      </c>
      <c r="E7">
        <v>18159.578573091469</v>
      </c>
      <c r="F7">
        <v>25040.854196024917</v>
      </c>
      <c r="G7">
        <v>80558.564431290142</v>
      </c>
      <c r="H7">
        <v>31643.188053258044</v>
      </c>
      <c r="I7">
        <v>0</v>
      </c>
      <c r="J7">
        <v>15381.576491901384</v>
      </c>
      <c r="K7">
        <v>21210.173611046324</v>
      </c>
      <c r="L7">
        <v>68234.938156205753</v>
      </c>
    </row>
    <row r="8" spans="1:12" hidden="1" x14ac:dyDescent="0.25">
      <c r="A8" t="s">
        <v>311</v>
      </c>
      <c r="B8" t="s">
        <v>312</v>
      </c>
      <c r="C8">
        <v>2441870.5137668084</v>
      </c>
      <c r="D8">
        <v>656958.1945256585</v>
      </c>
      <c r="E8">
        <v>1736961.3793716549</v>
      </c>
      <c r="F8">
        <v>2356136.4546146314</v>
      </c>
      <c r="G8">
        <v>7191926.5422787536</v>
      </c>
      <c r="H8">
        <v>2618006.1898109275</v>
      </c>
      <c r="I8">
        <v>706294.38821099047</v>
      </c>
      <c r="J8">
        <v>1904240.7307198523</v>
      </c>
      <c r="K8">
        <v>2527050.7141039437</v>
      </c>
      <c r="L8">
        <v>7755592.0228457144</v>
      </c>
    </row>
    <row r="9" spans="1:12" hidden="1" x14ac:dyDescent="0.25">
      <c r="A9" t="s">
        <v>92</v>
      </c>
      <c r="B9" t="s">
        <v>93</v>
      </c>
      <c r="C9">
        <v>130348.95980961616</v>
      </c>
      <c r="D9">
        <v>0</v>
      </c>
      <c r="E9">
        <v>0</v>
      </c>
      <c r="F9">
        <v>0</v>
      </c>
      <c r="G9">
        <v>130348.95980961616</v>
      </c>
      <c r="H9">
        <v>132000.31209130722</v>
      </c>
      <c r="I9">
        <v>0</v>
      </c>
      <c r="J9">
        <v>0</v>
      </c>
      <c r="K9">
        <v>0</v>
      </c>
      <c r="L9">
        <v>132000.31209130722</v>
      </c>
    </row>
    <row r="10" spans="1:12" hidden="1" x14ac:dyDescent="0.25">
      <c r="A10" t="s">
        <v>94</v>
      </c>
      <c r="B10" t="s">
        <v>95</v>
      </c>
      <c r="C10">
        <v>782093.7588576969</v>
      </c>
      <c r="D10">
        <v>0</v>
      </c>
      <c r="E10">
        <v>421087.8980520881</v>
      </c>
      <c r="F10">
        <v>571193.210730155</v>
      </c>
      <c r="G10">
        <v>1774374.86763994</v>
      </c>
      <c r="H10">
        <v>903762.13678515039</v>
      </c>
      <c r="I10">
        <v>0</v>
      </c>
      <c r="J10">
        <v>508677.24895724229</v>
      </c>
      <c r="K10">
        <v>675047.63682892884</v>
      </c>
      <c r="L10">
        <v>2087487.0225713216</v>
      </c>
    </row>
    <row r="11" spans="1:12" hidden="1" x14ac:dyDescent="0.25">
      <c r="A11" t="s">
        <v>96</v>
      </c>
      <c r="B11" t="s">
        <v>97</v>
      </c>
      <c r="C11">
        <v>1272205.8477418532</v>
      </c>
      <c r="D11">
        <v>0</v>
      </c>
      <c r="E11">
        <v>775732.35972661898</v>
      </c>
      <c r="F11">
        <v>1052257.8760140883</v>
      </c>
      <c r="G11">
        <v>3100196.0834825607</v>
      </c>
      <c r="H11">
        <v>1241682.9357388967</v>
      </c>
      <c r="I11">
        <v>0</v>
      </c>
      <c r="J11">
        <v>753863.9396680136</v>
      </c>
      <c r="K11">
        <v>1000426.2467146718</v>
      </c>
      <c r="L11">
        <v>2995973.1221215818</v>
      </c>
    </row>
    <row r="12" spans="1:12" hidden="1" x14ac:dyDescent="0.25">
      <c r="A12" t="s">
        <v>56</v>
      </c>
      <c r="B12" t="s">
        <v>1383</v>
      </c>
      <c r="C12">
        <v>1163351.4977555396</v>
      </c>
      <c r="D12">
        <v>0</v>
      </c>
      <c r="E12">
        <v>697854.1687955613</v>
      </c>
      <c r="F12">
        <v>946618.42608084786</v>
      </c>
      <c r="G12">
        <v>2807824.0926319491</v>
      </c>
      <c r="H12">
        <v>987144.67958517023</v>
      </c>
      <c r="I12">
        <v>0</v>
      </c>
      <c r="J12">
        <v>592235.92122073937</v>
      </c>
      <c r="K12">
        <v>803367.72515000845</v>
      </c>
      <c r="L12">
        <v>2382748.3259559181</v>
      </c>
    </row>
    <row r="13" spans="1:12" hidden="1" x14ac:dyDescent="0.25">
      <c r="A13" t="s">
        <v>98</v>
      </c>
      <c r="B13" t="s">
        <v>99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hidden="1" x14ac:dyDescent="0.25">
      <c r="A14" t="s">
        <v>263</v>
      </c>
      <c r="B14" t="s">
        <v>264</v>
      </c>
      <c r="C14">
        <v>2180303.6010821783</v>
      </c>
      <c r="D14">
        <v>0</v>
      </c>
      <c r="E14">
        <v>1484602.0815843407</v>
      </c>
      <c r="F14">
        <v>2013818.5722258273</v>
      </c>
      <c r="G14">
        <v>5678724.2548923455</v>
      </c>
      <c r="H14">
        <v>2450805.7944952725</v>
      </c>
      <c r="I14">
        <v>0</v>
      </c>
      <c r="J14">
        <v>1742485.6222648299</v>
      </c>
      <c r="K14">
        <v>2312391.2145265439</v>
      </c>
      <c r="L14">
        <v>6505682.6312866462</v>
      </c>
    </row>
    <row r="15" spans="1:12" hidden="1" x14ac:dyDescent="0.25">
      <c r="A15" t="s">
        <v>313</v>
      </c>
      <c r="B15" t="s">
        <v>314</v>
      </c>
      <c r="C15">
        <v>0</v>
      </c>
      <c r="D15">
        <v>2428.0895098544547</v>
      </c>
      <c r="E15">
        <v>0</v>
      </c>
      <c r="F15">
        <v>0</v>
      </c>
      <c r="G15">
        <v>2428.0895098544547</v>
      </c>
      <c r="H15">
        <v>8800.02080608715</v>
      </c>
      <c r="I15">
        <v>2063.8760833762863</v>
      </c>
      <c r="J15">
        <v>4256.7133803953338</v>
      </c>
      <c r="K15">
        <v>5648.934199405262</v>
      </c>
      <c r="L15">
        <v>20769.544469264034</v>
      </c>
    </row>
    <row r="16" spans="1:12" hidden="1" x14ac:dyDescent="0.25">
      <c r="A16" t="s">
        <v>315</v>
      </c>
      <c r="B16" t="s">
        <v>316</v>
      </c>
      <c r="C16">
        <v>266780.87107701442</v>
      </c>
      <c r="D16">
        <v>59470.207143212981</v>
      </c>
      <c r="E16">
        <v>128694.85784170337</v>
      </c>
      <c r="F16">
        <v>174570.74733116728</v>
      </c>
      <c r="G16">
        <v>629516.68339309795</v>
      </c>
      <c r="H16">
        <v>227071.48929817911</v>
      </c>
      <c r="I16">
        <v>50549.676071731032</v>
      </c>
      <c r="J16">
        <v>109554.27494674444</v>
      </c>
      <c r="K16">
        <v>148610.31810264091</v>
      </c>
      <c r="L16">
        <v>535785.75841929554</v>
      </c>
    </row>
    <row r="17" spans="1:12" hidden="1" x14ac:dyDescent="0.25">
      <c r="A17" t="s">
        <v>317</v>
      </c>
      <c r="B17" t="s">
        <v>318</v>
      </c>
      <c r="C17">
        <v>20855.833569538583</v>
      </c>
      <c r="D17">
        <v>0</v>
      </c>
      <c r="E17">
        <v>10060.835792185288</v>
      </c>
      <c r="F17">
        <v>13647.224547061936</v>
      </c>
      <c r="G17">
        <v>44563.893908785809</v>
      </c>
      <c r="H17">
        <v>21120.049934609171</v>
      </c>
      <c r="I17">
        <v>0</v>
      </c>
      <c r="J17">
        <v>10216.1121129488</v>
      </c>
      <c r="K17">
        <v>13557.442078572629</v>
      </c>
      <c r="L17">
        <v>44893.604126130595</v>
      </c>
    </row>
    <row r="18" spans="1:12" hidden="1" x14ac:dyDescent="0.25">
      <c r="A18" t="s">
        <v>55</v>
      </c>
      <c r="B18" t="s">
        <v>9</v>
      </c>
      <c r="C18">
        <v>737211.79124382534</v>
      </c>
      <c r="D18">
        <v>194243.15712184162</v>
      </c>
      <c r="E18">
        <v>412275.3155510567</v>
      </c>
      <c r="F18">
        <v>566679.8614407694</v>
      </c>
      <c r="G18">
        <v>1910410.1253574931</v>
      </c>
      <c r="H18">
        <v>722273.74341563671</v>
      </c>
      <c r="I18">
        <v>194857.40473495636</v>
      </c>
      <c r="J18">
        <v>392428.39669004199</v>
      </c>
      <c r="K18">
        <v>520777.88490289944</v>
      </c>
      <c r="L18">
        <v>1830337.4297435344</v>
      </c>
    </row>
    <row r="19" spans="1:12" hidden="1" x14ac:dyDescent="0.25">
      <c r="A19" t="s">
        <v>319</v>
      </c>
      <c r="B19" t="s">
        <v>320</v>
      </c>
      <c r="C19">
        <v>210296.32182618076</v>
      </c>
      <c r="D19">
        <v>56577.894332814707</v>
      </c>
      <c r="E19">
        <v>141162.50755631138</v>
      </c>
      <c r="F19">
        <v>191482.74338635895</v>
      </c>
      <c r="G19">
        <v>599519.4671016658</v>
      </c>
      <c r="H19">
        <v>189371.85145972818</v>
      </c>
      <c r="I19">
        <v>50981.198336556678</v>
      </c>
      <c r="J19">
        <v>127134.47243129089</v>
      </c>
      <c r="K19">
        <v>172457.84702614218</v>
      </c>
      <c r="L19">
        <v>539945.36925371794</v>
      </c>
    </row>
    <row r="20" spans="1:12" hidden="1" x14ac:dyDescent="0.25">
      <c r="A20" t="s">
        <v>321</v>
      </c>
      <c r="B20" t="s">
        <v>322</v>
      </c>
      <c r="C20">
        <v>136995.75234602395</v>
      </c>
      <c r="D20">
        <v>36237.907527216048</v>
      </c>
      <c r="E20">
        <v>99289.881649412011</v>
      </c>
      <c r="F20">
        <v>136914.16017812517</v>
      </c>
      <c r="G20">
        <v>409437.70170077716</v>
      </c>
      <c r="H20">
        <v>116446.38949412035</v>
      </c>
      <c r="I20">
        <v>30839.177597985978</v>
      </c>
      <c r="J20">
        <v>84396.399402000214</v>
      </c>
      <c r="K20">
        <v>116377.03615140638</v>
      </c>
      <c r="L20">
        <v>348059.00264551293</v>
      </c>
    </row>
    <row r="21" spans="1:12" hidden="1" x14ac:dyDescent="0.25">
      <c r="A21" t="s">
        <v>323</v>
      </c>
      <c r="B21" t="s">
        <v>324</v>
      </c>
      <c r="C21">
        <v>22593.819700333479</v>
      </c>
      <c r="D21">
        <v>6078.6167465007529</v>
      </c>
      <c r="E21">
        <v>14837.885130639725</v>
      </c>
      <c r="F21">
        <v>20460.459290849209</v>
      </c>
      <c r="G21">
        <v>63970.780868323171</v>
      </c>
      <c r="H21">
        <v>19215.417434618885</v>
      </c>
      <c r="I21">
        <v>5173.0233390170006</v>
      </c>
      <c r="J21">
        <v>12612.202361043766</v>
      </c>
      <c r="K21">
        <v>17391.390397221829</v>
      </c>
      <c r="L21">
        <v>54392.033531901485</v>
      </c>
    </row>
    <row r="22" spans="1:12" hidden="1" x14ac:dyDescent="0.25">
      <c r="A22" t="s">
        <v>325</v>
      </c>
      <c r="B22" t="s">
        <v>326</v>
      </c>
      <c r="C22">
        <v>348466.21922437387</v>
      </c>
      <c r="D22">
        <v>0</v>
      </c>
      <c r="E22">
        <v>168099.79802776244</v>
      </c>
      <c r="F22">
        <v>228022.37680715989</v>
      </c>
      <c r="G22">
        <v>744588.39405929623</v>
      </c>
      <c r="H22">
        <v>317680.75109974627</v>
      </c>
      <c r="I22">
        <v>0</v>
      </c>
      <c r="J22">
        <v>153667.35303227158</v>
      </c>
      <c r="K22">
        <v>203926.52459852997</v>
      </c>
      <c r="L22">
        <v>675274.62873054785</v>
      </c>
    </row>
    <row r="23" spans="1:12" hidden="1" x14ac:dyDescent="0.25">
      <c r="A23" t="s">
        <v>100</v>
      </c>
      <c r="B23" t="s">
        <v>101</v>
      </c>
      <c r="C23">
        <v>235497.1207227064</v>
      </c>
      <c r="D23">
        <v>0</v>
      </c>
      <c r="E23">
        <v>0</v>
      </c>
      <c r="F23">
        <v>0</v>
      </c>
      <c r="G23">
        <v>235497.1207227064</v>
      </c>
      <c r="H23">
        <v>248160.58673165765</v>
      </c>
      <c r="I23">
        <v>0</v>
      </c>
      <c r="J23">
        <v>0</v>
      </c>
      <c r="K23">
        <v>0</v>
      </c>
      <c r="L23">
        <v>248160.58673165765</v>
      </c>
    </row>
    <row r="24" spans="1:12" hidden="1" x14ac:dyDescent="0.25">
      <c r="A24" t="s">
        <v>327</v>
      </c>
      <c r="B24" t="s">
        <v>328</v>
      </c>
      <c r="C24">
        <v>86723.333781519803</v>
      </c>
      <c r="D24">
        <v>22850.169177885848</v>
      </c>
      <c r="E24">
        <v>53810.286992687623</v>
      </c>
      <c r="F24">
        <v>74200.816137153233</v>
      </c>
      <c r="G24">
        <v>237584.60608924652</v>
      </c>
      <c r="H24">
        <v>73714.833714291832</v>
      </c>
      <c r="I24">
        <v>19422.643801202968</v>
      </c>
      <c r="J24">
        <v>45738.743943784481</v>
      </c>
      <c r="K24">
        <v>63070.693716580245</v>
      </c>
      <c r="L24">
        <v>201946.91517585953</v>
      </c>
    </row>
    <row r="25" spans="1:12" hidden="1" x14ac:dyDescent="0.25">
      <c r="A25" t="s">
        <v>102</v>
      </c>
      <c r="B25" t="s">
        <v>103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hidden="1" x14ac:dyDescent="0.25">
      <c r="A26" t="s">
        <v>329</v>
      </c>
      <c r="B26" t="s">
        <v>330</v>
      </c>
      <c r="C26">
        <v>133824.9320712059</v>
      </c>
      <c r="D26">
        <v>0</v>
      </c>
      <c r="E26">
        <v>64557.029666522227</v>
      </c>
      <c r="F26">
        <v>87569.690843647462</v>
      </c>
      <c r="G26">
        <v>285951.65258137556</v>
      </c>
      <c r="H26">
        <v>113814.39557428104</v>
      </c>
      <c r="I26">
        <v>0</v>
      </c>
      <c r="J26">
        <v>54911.577072843502</v>
      </c>
      <c r="K26">
        <v>74487.526299451405</v>
      </c>
      <c r="L26">
        <v>243213.49894657597</v>
      </c>
    </row>
    <row r="27" spans="1:12" hidden="1" x14ac:dyDescent="0.25">
      <c r="A27" t="s">
        <v>331</v>
      </c>
      <c r="B27" t="s">
        <v>332</v>
      </c>
      <c r="C27">
        <v>144252.84885597508</v>
      </c>
      <c r="D27">
        <v>0</v>
      </c>
      <c r="E27">
        <v>69587.447562614863</v>
      </c>
      <c r="F27">
        <v>94393.303117178395</v>
      </c>
      <c r="G27">
        <v>308233.59953576833</v>
      </c>
      <c r="H27">
        <v>122683.04977487432</v>
      </c>
      <c r="I27">
        <v>0</v>
      </c>
      <c r="J27">
        <v>59190.401260337792</v>
      </c>
      <c r="K27">
        <v>80291.749127980074</v>
      </c>
      <c r="L27">
        <v>262165.20016319217</v>
      </c>
    </row>
    <row r="28" spans="1:12" hidden="1" x14ac:dyDescent="0.25">
      <c r="A28" t="s">
        <v>104</v>
      </c>
      <c r="B28" t="s">
        <v>105</v>
      </c>
      <c r="C28">
        <v>168584.65468710352</v>
      </c>
      <c r="D28">
        <v>0</v>
      </c>
      <c r="E28">
        <v>81325.089320164378</v>
      </c>
      <c r="F28">
        <v>110315.06508875065</v>
      </c>
      <c r="G28">
        <v>360224.80909601855</v>
      </c>
      <c r="H28">
        <v>143440.33913922054</v>
      </c>
      <c r="I28">
        <v>0</v>
      </c>
      <c r="J28">
        <v>69384.428100443954</v>
      </c>
      <c r="K28">
        <v>93834.935727880322</v>
      </c>
      <c r="L28">
        <v>306659.70296754484</v>
      </c>
    </row>
    <row r="29" spans="1:12" hidden="1" x14ac:dyDescent="0.25">
      <c r="A29" t="s">
        <v>66</v>
      </c>
      <c r="B29" t="s">
        <v>1394</v>
      </c>
      <c r="C29">
        <v>64567.633943827212</v>
      </c>
      <c r="D29">
        <v>0</v>
      </c>
      <c r="E29">
        <v>36103.249394790197</v>
      </c>
      <c r="F29">
        <v>49623.498534597646</v>
      </c>
      <c r="G29">
        <v>150294.38187321505</v>
      </c>
      <c r="H29">
        <v>68458.725312170121</v>
      </c>
      <c r="I29">
        <v>0</v>
      </c>
      <c r="J29">
        <v>37195.243574345477</v>
      </c>
      <c r="K29">
        <v>49360.495928625358</v>
      </c>
      <c r="L29">
        <v>155014.46481514093</v>
      </c>
    </row>
    <row r="30" spans="1:12" hidden="1" x14ac:dyDescent="0.25">
      <c r="A30" t="s">
        <v>333</v>
      </c>
      <c r="B30" t="s">
        <v>334</v>
      </c>
      <c r="C30">
        <v>20906.517965187813</v>
      </c>
      <c r="D30">
        <v>5611.0308429237757</v>
      </c>
      <c r="E30">
        <v>15264.804293868739</v>
      </c>
      <c r="F30">
        <v>20981.748981521883</v>
      </c>
      <c r="G30">
        <v>62764.102083502221</v>
      </c>
      <c r="H30">
        <v>31680.074901913747</v>
      </c>
      <c r="I30">
        <v>8546.7556220489623</v>
      </c>
      <c r="J30">
        <v>29459.244739599875</v>
      </c>
      <c r="K30">
        <v>39094.324711785041</v>
      </c>
      <c r="L30">
        <v>108780.39997534762</v>
      </c>
    </row>
    <row r="31" spans="1:12" hidden="1" x14ac:dyDescent="0.25">
      <c r="A31" t="s">
        <v>106</v>
      </c>
      <c r="B31" t="s">
        <v>107</v>
      </c>
      <c r="C31">
        <v>683897.54246778612</v>
      </c>
      <c r="D31">
        <v>0</v>
      </c>
      <c r="E31">
        <v>350033.24526977964</v>
      </c>
      <c r="F31">
        <v>474809.68736652989</v>
      </c>
      <c r="G31">
        <v>1508740.4751040956</v>
      </c>
      <c r="H31">
        <v>728641.72274401644</v>
      </c>
      <c r="I31">
        <v>0</v>
      </c>
      <c r="J31">
        <v>381614.3545524418</v>
      </c>
      <c r="K31">
        <v>506426.95097668166</v>
      </c>
      <c r="L31">
        <v>1616683.0282731398</v>
      </c>
    </row>
    <row r="32" spans="1:12" hidden="1" x14ac:dyDescent="0.25">
      <c r="A32" t="s">
        <v>265</v>
      </c>
      <c r="B32" t="s">
        <v>266</v>
      </c>
      <c r="C32">
        <v>1355095.1078629245</v>
      </c>
      <c r="D32">
        <v>0</v>
      </c>
      <c r="E32">
        <v>851476.57932692498</v>
      </c>
      <c r="F32">
        <v>1170369.9246415028</v>
      </c>
      <c r="G32">
        <v>3376941.6118313521</v>
      </c>
      <c r="H32">
        <v>1151669.4530269518</v>
      </c>
      <c r="I32">
        <v>0</v>
      </c>
      <c r="J32">
        <v>723653.6835596743</v>
      </c>
      <c r="K32">
        <v>994675.04762582306</v>
      </c>
      <c r="L32">
        <v>2869998.184212449</v>
      </c>
    </row>
    <row r="33" spans="1:12" hidden="1" x14ac:dyDescent="0.25">
      <c r="A33" t="s">
        <v>335</v>
      </c>
      <c r="B33" t="s">
        <v>336</v>
      </c>
      <c r="C33">
        <v>746465.04317640187</v>
      </c>
      <c r="D33">
        <v>200828.14558631339</v>
      </c>
      <c r="E33">
        <v>417869.31092172075</v>
      </c>
      <c r="F33">
        <v>566827.29300724296</v>
      </c>
      <c r="G33">
        <v>1931989.792691679</v>
      </c>
      <c r="H33">
        <v>688161.62703601539</v>
      </c>
      <c r="I33">
        <v>185654.52490117465</v>
      </c>
      <c r="J33">
        <v>376682.33308331954</v>
      </c>
      <c r="K33">
        <v>510969.39275413041</v>
      </c>
      <c r="L33">
        <v>1761467.87777464</v>
      </c>
    </row>
    <row r="34" spans="1:12" hidden="1" x14ac:dyDescent="0.25">
      <c r="A34" t="s">
        <v>337</v>
      </c>
      <c r="B34" t="s">
        <v>338</v>
      </c>
      <c r="C34">
        <v>348466.21922437387</v>
      </c>
      <c r="D34">
        <v>0</v>
      </c>
      <c r="E34">
        <v>168099.79802776244</v>
      </c>
      <c r="F34">
        <v>228022.37680715989</v>
      </c>
      <c r="G34">
        <v>744588.39405929623</v>
      </c>
      <c r="H34">
        <v>295697.61421799846</v>
      </c>
      <c r="I34">
        <v>0</v>
      </c>
      <c r="J34">
        <v>142664.04747359347</v>
      </c>
      <c r="K34">
        <v>193523.70765236858</v>
      </c>
      <c r="L34">
        <v>631885.36934396054</v>
      </c>
    </row>
    <row r="35" spans="1:12" hidden="1" x14ac:dyDescent="0.25">
      <c r="A35" t="s">
        <v>267</v>
      </c>
      <c r="B35" t="s">
        <v>268</v>
      </c>
      <c r="C35">
        <v>640617.00727896474</v>
      </c>
      <c r="D35">
        <v>0</v>
      </c>
      <c r="E35">
        <v>338806.51893102983</v>
      </c>
      <c r="F35">
        <v>465695.67461598007</v>
      </c>
      <c r="G35">
        <v>1445119.2008259746</v>
      </c>
      <c r="H35">
        <v>544440.56355708325</v>
      </c>
      <c r="I35">
        <v>0</v>
      </c>
      <c r="J35">
        <v>287957.22674287937</v>
      </c>
      <c r="K35">
        <v>395802.40484059427</v>
      </c>
      <c r="L35">
        <v>1228200.1951405569</v>
      </c>
    </row>
    <row r="36" spans="1:12" hidden="1" x14ac:dyDescent="0.25">
      <c r="A36" t="s">
        <v>339</v>
      </c>
      <c r="B36" t="s">
        <v>340</v>
      </c>
      <c r="C36">
        <v>140036.72205738933</v>
      </c>
      <c r="D36">
        <v>35770.321623639065</v>
      </c>
      <c r="E36">
        <v>78700.719305723978</v>
      </c>
      <c r="F36">
        <v>103703.32233418374</v>
      </c>
      <c r="G36">
        <v>358211.08532093611</v>
      </c>
      <c r="H36">
        <v>119031.21374878092</v>
      </c>
      <c r="I36">
        <v>30441.252725753897</v>
      </c>
      <c r="J36">
        <v>66895.611409865378</v>
      </c>
      <c r="K36">
        <v>88147.823984056173</v>
      </c>
      <c r="L36">
        <v>304515.90186845639</v>
      </c>
    </row>
    <row r="37" spans="1:12" hidden="1" x14ac:dyDescent="0.25">
      <c r="A37" t="s">
        <v>108</v>
      </c>
      <c r="B37" t="s">
        <v>109</v>
      </c>
      <c r="C37">
        <v>132086.94594041104</v>
      </c>
      <c r="D37">
        <v>33831.380503972068</v>
      </c>
      <c r="E37">
        <v>68459.040839028879</v>
      </c>
      <c r="F37">
        <v>94400.475933401656</v>
      </c>
      <c r="G37">
        <v>328777.84321681364</v>
      </c>
      <c r="H37">
        <v>162800.38491261227</v>
      </c>
      <c r="I37">
        <v>43920.827502196051</v>
      </c>
      <c r="J37">
        <v>81903.677554989466</v>
      </c>
      <c r="K37">
        <v>108691.48186680859</v>
      </c>
      <c r="L37">
        <v>397316.37183660641</v>
      </c>
    </row>
    <row r="38" spans="1:12" hidden="1" x14ac:dyDescent="0.25">
      <c r="A38" t="s">
        <v>341</v>
      </c>
      <c r="B38" t="s">
        <v>342</v>
      </c>
      <c r="C38">
        <v>469235.1809964375</v>
      </c>
      <c r="D38">
        <v>123635.73680177514</v>
      </c>
      <c r="E38">
        <v>271841.10025092715</v>
      </c>
      <c r="F38">
        <v>373650.49813423608</v>
      </c>
      <c r="G38">
        <v>1238362.5161833758</v>
      </c>
      <c r="H38">
        <v>440881.04238496628</v>
      </c>
      <c r="I38">
        <v>118942.34907351469</v>
      </c>
      <c r="J38">
        <v>244717.60322117477</v>
      </c>
      <c r="K38">
        <v>336369.02962048812</v>
      </c>
      <c r="L38">
        <v>1140910.0243001438</v>
      </c>
    </row>
    <row r="39" spans="1:12" hidden="1" x14ac:dyDescent="0.25">
      <c r="A39" t="s">
        <v>343</v>
      </c>
      <c r="B39" t="s">
        <v>344</v>
      </c>
      <c r="C39">
        <v>137300.9043327957</v>
      </c>
      <c r="D39">
        <v>0</v>
      </c>
      <c r="E39">
        <v>66233.83563188641</v>
      </c>
      <c r="F39">
        <v>89844.228268157764</v>
      </c>
      <c r="G39">
        <v>293378.96823283989</v>
      </c>
      <c r="H39">
        <v>116770.61364114548</v>
      </c>
      <c r="I39">
        <v>0</v>
      </c>
      <c r="J39">
        <v>56337.851802008263</v>
      </c>
      <c r="K39">
        <v>76422.267242294285</v>
      </c>
      <c r="L39">
        <v>249530.73268544802</v>
      </c>
    </row>
    <row r="40" spans="1:12" hidden="1" x14ac:dyDescent="0.25">
      <c r="A40" t="s">
        <v>345</v>
      </c>
      <c r="B40" t="s">
        <v>346</v>
      </c>
      <c r="C40">
        <v>1819671.4789422415</v>
      </c>
      <c r="D40">
        <v>489562.44104509923</v>
      </c>
      <c r="E40">
        <v>1171877.7690439145</v>
      </c>
      <c r="F40">
        <v>1589617.3425546517</v>
      </c>
      <c r="G40">
        <v>5070729.0315859076</v>
      </c>
      <c r="H40">
        <v>1808404.2756509099</v>
      </c>
      <c r="I40">
        <v>416627.34122698457</v>
      </c>
      <c r="J40">
        <v>1165062.4522142028</v>
      </c>
      <c r="K40">
        <v>1546113.2903772199</v>
      </c>
      <c r="L40">
        <v>4936207.3594693169</v>
      </c>
    </row>
    <row r="41" spans="1:12" hidden="1" x14ac:dyDescent="0.25">
      <c r="A41" t="s">
        <v>269</v>
      </c>
      <c r="B41" t="s">
        <v>270</v>
      </c>
      <c r="C41">
        <v>53008.576989243906</v>
      </c>
      <c r="D41">
        <v>0</v>
      </c>
      <c r="E41">
        <v>25571.290971804257</v>
      </c>
      <c r="F41">
        <v>34686.695723782432</v>
      </c>
      <c r="G41">
        <v>113266.56368483059</v>
      </c>
      <c r="H41">
        <v>57200.135239566494</v>
      </c>
      <c r="I41">
        <v>0</v>
      </c>
      <c r="J41">
        <v>27668.636972569668</v>
      </c>
      <c r="K41">
        <v>36718.072296134203</v>
      </c>
      <c r="L41">
        <v>121586.84450827035</v>
      </c>
    </row>
    <row r="42" spans="1:12" hidden="1" x14ac:dyDescent="0.25">
      <c r="A42" t="s">
        <v>347</v>
      </c>
      <c r="B42" t="s">
        <v>348</v>
      </c>
      <c r="C42">
        <v>253745.9750960528</v>
      </c>
      <c r="D42">
        <v>0</v>
      </c>
      <c r="E42">
        <v>122406.83547158758</v>
      </c>
      <c r="F42">
        <v>166041.2319892536</v>
      </c>
      <c r="G42">
        <v>542194.04255689401</v>
      </c>
      <c r="H42">
        <v>220880.52223278748</v>
      </c>
      <c r="I42">
        <v>0</v>
      </c>
      <c r="J42">
        <v>106843.50584792288</v>
      </c>
      <c r="K42">
        <v>141788.24840507205</v>
      </c>
      <c r="L42">
        <v>469512.27648578235</v>
      </c>
    </row>
    <row r="43" spans="1:12" hidden="1" x14ac:dyDescent="0.25">
      <c r="A43" t="s">
        <v>349</v>
      </c>
      <c r="B43" t="s">
        <v>350</v>
      </c>
      <c r="C43">
        <v>0</v>
      </c>
      <c r="D43">
        <v>0</v>
      </c>
      <c r="E43">
        <v>0</v>
      </c>
      <c r="F43">
        <v>0</v>
      </c>
      <c r="G43">
        <v>0</v>
      </c>
      <c r="H43">
        <v>14080.033289739442</v>
      </c>
      <c r="I43">
        <v>0</v>
      </c>
      <c r="J43">
        <v>6810.7414086325352</v>
      </c>
      <c r="K43">
        <v>9038.2947190484192</v>
      </c>
      <c r="L43">
        <v>29929.069417420396</v>
      </c>
    </row>
    <row r="44" spans="1:12" hidden="1" x14ac:dyDescent="0.25">
      <c r="A44" t="s">
        <v>351</v>
      </c>
      <c r="B44" t="s">
        <v>1386</v>
      </c>
      <c r="C44">
        <v>33295.565648262062</v>
      </c>
      <c r="D44">
        <v>8884.1321679626435</v>
      </c>
      <c r="E44">
        <v>19000.153110159124</v>
      </c>
      <c r="F44">
        <v>26116.053340295057</v>
      </c>
      <c r="G44">
        <v>87295.904266678888</v>
      </c>
      <c r="H44">
        <v>45760.108191653206</v>
      </c>
      <c r="I44">
        <v>12345.313676292941</v>
      </c>
      <c r="J44">
        <v>30670.311621672692</v>
      </c>
      <c r="K44">
        <v>40701.488858522323</v>
      </c>
      <c r="L44">
        <v>129477.22234814116</v>
      </c>
    </row>
    <row r="45" spans="1:12" hidden="1" x14ac:dyDescent="0.25">
      <c r="A45" t="s">
        <v>352</v>
      </c>
      <c r="B45" t="s">
        <v>1387</v>
      </c>
      <c r="C45">
        <v>91244.271866731317</v>
      </c>
      <c r="D45">
        <v>19187.19088165279</v>
      </c>
      <c r="E45">
        <v>44016.156590810635</v>
      </c>
      <c r="F45">
        <v>59706.607393395978</v>
      </c>
      <c r="G45">
        <v>214154.2267325907</v>
      </c>
      <c r="H45">
        <v>77600.724255191613</v>
      </c>
      <c r="I45">
        <v>16309.11224940487</v>
      </c>
      <c r="J45">
        <v>37459.07774747895</v>
      </c>
      <c r="K45">
        <v>50786.949749625943</v>
      </c>
      <c r="L45">
        <v>182155.86400170135</v>
      </c>
    </row>
    <row r="46" spans="1:12" hidden="1" x14ac:dyDescent="0.25">
      <c r="A46" t="s">
        <v>353</v>
      </c>
      <c r="B46" t="s">
        <v>354</v>
      </c>
      <c r="C46">
        <v>305016.56595450174</v>
      </c>
      <c r="D46">
        <v>82061.326077760212</v>
      </c>
      <c r="E46">
        <v>158939.32319867943</v>
      </c>
      <c r="F46">
        <v>215596.46513018876</v>
      </c>
      <c r="G46">
        <v>761613.68036113004</v>
      </c>
      <c r="H46">
        <v>345840.81767922512</v>
      </c>
      <c r="I46">
        <v>93302.082207367857</v>
      </c>
      <c r="J46">
        <v>193475.02982024982</v>
      </c>
      <c r="K46">
        <v>256753.88850847608</v>
      </c>
      <c r="L46">
        <v>889371.81821531896</v>
      </c>
    </row>
    <row r="47" spans="1:12" hidden="1" x14ac:dyDescent="0.25">
      <c r="A47" t="s">
        <v>355</v>
      </c>
      <c r="B47" t="s">
        <v>356</v>
      </c>
      <c r="C47">
        <v>103113.01144558682</v>
      </c>
      <c r="D47">
        <v>27168.579126682715</v>
      </c>
      <c r="E47">
        <v>57051.519527593788</v>
      </c>
      <c r="F47">
        <v>78418.343183290577</v>
      </c>
      <c r="G47">
        <v>265751.45328315388</v>
      </c>
      <c r="H47">
        <v>87646.059728748791</v>
      </c>
      <c r="I47">
        <v>23093.292257680307</v>
      </c>
      <c r="J47">
        <v>48493.791598454722</v>
      </c>
      <c r="K47">
        <v>66655.591705796993</v>
      </c>
      <c r="L47">
        <v>225888.73529068084</v>
      </c>
    </row>
    <row r="48" spans="1:12" hidden="1" x14ac:dyDescent="0.25">
      <c r="A48" t="s">
        <v>110</v>
      </c>
      <c r="B48" t="s">
        <v>111</v>
      </c>
      <c r="C48">
        <v>43146.579257373196</v>
      </c>
      <c r="D48">
        <v>0</v>
      </c>
      <c r="E48">
        <v>20639.736310718396</v>
      </c>
      <c r="F48">
        <v>28369.690038557383</v>
      </c>
      <c r="G48">
        <v>92156.005606648978</v>
      </c>
      <c r="H48">
        <v>42240.099869218342</v>
      </c>
      <c r="I48">
        <v>0</v>
      </c>
      <c r="J48">
        <v>20432.224225897604</v>
      </c>
      <c r="K48">
        <v>27114.884157145261</v>
      </c>
      <c r="L48">
        <v>89787.208252261204</v>
      </c>
    </row>
    <row r="49" spans="1:12" hidden="1" x14ac:dyDescent="0.25">
      <c r="A49" t="s">
        <v>112</v>
      </c>
      <c r="B49" t="s">
        <v>113</v>
      </c>
      <c r="C49">
        <v>35256.076009036762</v>
      </c>
      <c r="D49">
        <v>9283.4182705683652</v>
      </c>
      <c r="E49">
        <v>16887.134576443703</v>
      </c>
      <c r="F49">
        <v>23211.171070619268</v>
      </c>
      <c r="G49">
        <v>84637.7999266681</v>
      </c>
      <c r="H49">
        <v>30084.695680454312</v>
      </c>
      <c r="I49">
        <v>7926.8214906895264</v>
      </c>
      <c r="J49">
        <v>14412.922370280125</v>
      </c>
      <c r="K49">
        <v>19810.821903877557</v>
      </c>
      <c r="L49">
        <v>72235.261445301527</v>
      </c>
    </row>
    <row r="50" spans="1:12" hidden="1" x14ac:dyDescent="0.25">
      <c r="A50" t="s">
        <v>357</v>
      </c>
      <c r="B50" t="s">
        <v>358</v>
      </c>
      <c r="C50">
        <v>42580.660204474625</v>
      </c>
      <c r="D50">
        <v>11455.854637636043</v>
      </c>
      <c r="E50">
        <v>23798.571705221217</v>
      </c>
      <c r="F50">
        <v>32282.054758590108</v>
      </c>
      <c r="G50">
        <v>110117.14130592199</v>
      </c>
      <c r="H50">
        <v>38343.88727903588</v>
      </c>
      <c r="I50">
        <v>10322.639332608589</v>
      </c>
      <c r="J50">
        <v>21433.586798212629</v>
      </c>
      <c r="K50">
        <v>29074.649562614773</v>
      </c>
      <c r="L50">
        <v>99174.762972471857</v>
      </c>
    </row>
    <row r="51" spans="1:12" hidden="1" x14ac:dyDescent="0.25">
      <c r="A51" t="s">
        <v>359</v>
      </c>
      <c r="B51" t="s">
        <v>360</v>
      </c>
      <c r="C51">
        <v>95589.237193718509</v>
      </c>
      <c r="D51">
        <v>0</v>
      </c>
      <c r="E51">
        <v>46112.164047515886</v>
      </c>
      <c r="F51">
        <v>62549.779174033887</v>
      </c>
      <c r="G51">
        <v>204251.18041526829</v>
      </c>
      <c r="H51">
        <v>91520.216383306411</v>
      </c>
      <c r="I51">
        <v>0</v>
      </c>
      <c r="J51">
        <v>44269.819156111473</v>
      </c>
      <c r="K51">
        <v>58748.915673814729</v>
      </c>
      <c r="L51">
        <v>194538.95121323259</v>
      </c>
    </row>
    <row r="52" spans="1:12" hidden="1" x14ac:dyDescent="0.25">
      <c r="A52" t="s">
        <v>361</v>
      </c>
      <c r="B52" t="s">
        <v>362</v>
      </c>
      <c r="C52">
        <v>53877.570054641335</v>
      </c>
      <c r="D52">
        <v>14495.163010886417</v>
      </c>
      <c r="E52">
        <v>28730.938372489185</v>
      </c>
      <c r="F52">
        <v>39170.579762045498</v>
      </c>
      <c r="G52">
        <v>136274.25120006243</v>
      </c>
      <c r="H52">
        <v>58960.139400783926</v>
      </c>
      <c r="I52">
        <v>15906.461852146678</v>
      </c>
      <c r="J52">
        <v>33048.207492012567</v>
      </c>
      <c r="K52">
        <v>43857.11060332958</v>
      </c>
      <c r="L52">
        <v>151771.91934827276</v>
      </c>
    </row>
    <row r="53" spans="1:12" hidden="1" x14ac:dyDescent="0.25">
      <c r="A53" t="s">
        <v>363</v>
      </c>
      <c r="B53" t="s">
        <v>364</v>
      </c>
      <c r="C53">
        <v>14772.882111756497</v>
      </c>
      <c r="D53">
        <v>2904.7144877147721</v>
      </c>
      <c r="E53">
        <v>7126.4253527979108</v>
      </c>
      <c r="F53">
        <v>9666.7840541688765</v>
      </c>
      <c r="G53">
        <v>34470.806006438055</v>
      </c>
      <c r="H53">
        <v>31680.074901913747</v>
      </c>
      <c r="I53">
        <v>8546.7556220489623</v>
      </c>
      <c r="J53">
        <v>25109.607306110505</v>
      </c>
      <c r="K53">
        <v>33322.074278806736</v>
      </c>
      <c r="L53">
        <v>98658.51210887995</v>
      </c>
    </row>
    <row r="54" spans="1:12" hidden="1" x14ac:dyDescent="0.25">
      <c r="A54" t="s">
        <v>365</v>
      </c>
      <c r="B54" t="s">
        <v>366</v>
      </c>
      <c r="C54">
        <v>47794.618596859254</v>
      </c>
      <c r="D54">
        <v>12858.612348366985</v>
      </c>
      <c r="E54">
        <v>39734.275357693819</v>
      </c>
      <c r="F54">
        <v>53898.362842025301</v>
      </c>
      <c r="G54">
        <v>154285.86914494535</v>
      </c>
      <c r="H54">
        <v>43039.057149938206</v>
      </c>
      <c r="I54">
        <v>11586.635985581066</v>
      </c>
      <c r="J54">
        <v>35785.678665596846</v>
      </c>
      <c r="K54">
        <v>48543.254862472815</v>
      </c>
      <c r="L54">
        <v>138954.62666358895</v>
      </c>
    </row>
    <row r="55" spans="1:12" hidden="1" x14ac:dyDescent="0.25">
      <c r="A55" t="s">
        <v>367</v>
      </c>
      <c r="B55" t="s">
        <v>368</v>
      </c>
      <c r="C55">
        <v>66128.452082656062</v>
      </c>
      <c r="D55">
        <v>17534.471384136803</v>
      </c>
      <c r="E55">
        <v>50892.080166789652</v>
      </c>
      <c r="F55">
        <v>67060.096023923572</v>
      </c>
      <c r="G55">
        <v>201615.0996575061</v>
      </c>
      <c r="H55">
        <v>68640.162287479776</v>
      </c>
      <c r="I55">
        <v>18517.970514439417</v>
      </c>
      <c r="J55">
        <v>45802.872150110685</v>
      </c>
      <c r="K55">
        <v>60354.086421531218</v>
      </c>
      <c r="L55">
        <v>193315.0913735611</v>
      </c>
    </row>
    <row r="56" spans="1:12" hidden="1" x14ac:dyDescent="0.25">
      <c r="A56" t="s">
        <v>114</v>
      </c>
      <c r="B56" t="s">
        <v>115</v>
      </c>
      <c r="C56">
        <v>0</v>
      </c>
      <c r="D56">
        <v>0</v>
      </c>
      <c r="E56">
        <v>0</v>
      </c>
      <c r="F56">
        <v>0</v>
      </c>
      <c r="G56">
        <v>0</v>
      </c>
      <c r="H56">
        <v>8800.02080608715</v>
      </c>
      <c r="I56">
        <v>0</v>
      </c>
      <c r="J56">
        <v>4256.7133803953338</v>
      </c>
      <c r="K56">
        <v>5648.934199405262</v>
      </c>
      <c r="L56">
        <v>18705.668385887748</v>
      </c>
    </row>
    <row r="57" spans="1:12" hidden="1" x14ac:dyDescent="0.25">
      <c r="A57" t="s">
        <v>271</v>
      </c>
      <c r="B57" t="s">
        <v>272</v>
      </c>
      <c r="C57">
        <v>48448.826999381577</v>
      </c>
      <c r="D57">
        <v>12689.015920017166</v>
      </c>
      <c r="E57">
        <v>24304.467844468891</v>
      </c>
      <c r="F57">
        <v>33514.248866278242</v>
      </c>
      <c r="G57">
        <v>118956.55963014587</v>
      </c>
      <c r="H57">
        <v>41181.502949474343</v>
      </c>
      <c r="I57">
        <v>10785.663532014591</v>
      </c>
      <c r="J57">
        <v>20658.797667798557</v>
      </c>
      <c r="K57">
        <v>28487.111536336506</v>
      </c>
      <c r="L57">
        <v>101113.075685624</v>
      </c>
    </row>
    <row r="58" spans="1:12" hidden="1" x14ac:dyDescent="0.25">
      <c r="A58" t="s">
        <v>369</v>
      </c>
      <c r="B58" t="s">
        <v>370</v>
      </c>
      <c r="C58">
        <v>71257.431362590156</v>
      </c>
      <c r="D58">
        <v>13705.13634403771</v>
      </c>
      <c r="E58">
        <v>34374.522289966379</v>
      </c>
      <c r="F58">
        <v>46628.017202461626</v>
      </c>
      <c r="G58">
        <v>165965.10719905587</v>
      </c>
      <c r="H58">
        <v>100320.23718939352</v>
      </c>
      <c r="I58">
        <v>27064.726136488374</v>
      </c>
      <c r="J58">
        <v>55674.490779134263</v>
      </c>
      <c r="K58">
        <v>73883.653159545269</v>
      </c>
      <c r="L58">
        <v>256943.10726456143</v>
      </c>
    </row>
    <row r="59" spans="1:12" hidden="1" x14ac:dyDescent="0.25">
      <c r="A59" t="s">
        <v>371</v>
      </c>
      <c r="B59" t="s">
        <v>372</v>
      </c>
      <c r="C59">
        <v>80816.355081962014</v>
      </c>
      <c r="D59">
        <v>21742.744516329625</v>
      </c>
      <c r="E59">
        <v>42900.472781680961</v>
      </c>
      <c r="F59">
        <v>58193.21548628022</v>
      </c>
      <c r="G59">
        <v>203652.78786625282</v>
      </c>
      <c r="H59">
        <v>81840.193496610504</v>
      </c>
      <c r="I59">
        <v>22079.118690293148</v>
      </c>
      <c r="J59">
        <v>43711.806599075448</v>
      </c>
      <c r="K59">
        <v>58008.396889614683</v>
      </c>
      <c r="L59">
        <v>205639.51567559381</v>
      </c>
    </row>
    <row r="60" spans="1:12" hidden="1" x14ac:dyDescent="0.25">
      <c r="A60" t="s">
        <v>373</v>
      </c>
      <c r="B60" t="s">
        <v>374</v>
      </c>
      <c r="C60">
        <v>247178.7082880025</v>
      </c>
      <c r="D60">
        <v>0</v>
      </c>
      <c r="E60">
        <v>118241.20123767485</v>
      </c>
      <c r="F60">
        <v>162524.66496665069</v>
      </c>
      <c r="G60">
        <v>527944.57449232799</v>
      </c>
      <c r="H60">
        <v>210320.49726548296</v>
      </c>
      <c r="I60">
        <v>0</v>
      </c>
      <c r="J60">
        <v>101735.4497914485</v>
      </c>
      <c r="K60">
        <v>138145.96522165308</v>
      </c>
      <c r="L60">
        <v>450201.91227858455</v>
      </c>
    </row>
    <row r="61" spans="1:12" hidden="1" x14ac:dyDescent="0.25">
      <c r="A61" t="s">
        <v>273</v>
      </c>
      <c r="B61" t="s">
        <v>274</v>
      </c>
      <c r="C61">
        <v>88637.292670538998</v>
      </c>
      <c r="D61">
        <v>0</v>
      </c>
      <c r="E61">
        <v>0</v>
      </c>
      <c r="F61">
        <v>0</v>
      </c>
      <c r="G61">
        <v>88637.292670538998</v>
      </c>
      <c r="H61">
        <v>113520.26839852426</v>
      </c>
      <c r="I61">
        <v>0</v>
      </c>
      <c r="J61">
        <v>54911.602607099827</v>
      </c>
      <c r="K61">
        <v>72871.251172327888</v>
      </c>
      <c r="L61">
        <v>241303.12217795197</v>
      </c>
    </row>
    <row r="62" spans="1:12" hidden="1" x14ac:dyDescent="0.25">
      <c r="A62" t="s">
        <v>375</v>
      </c>
      <c r="B62" t="s">
        <v>376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hidden="1" x14ac:dyDescent="0.25">
      <c r="A63" t="s">
        <v>377</v>
      </c>
      <c r="B63" t="s">
        <v>378</v>
      </c>
      <c r="C63">
        <v>592351.34234698792</v>
      </c>
      <c r="D63">
        <v>156074.81625966655</v>
      </c>
      <c r="E63">
        <v>304614.11956312542</v>
      </c>
      <c r="F63">
        <v>418697.60462424892</v>
      </c>
      <c r="G63">
        <v>1471737.8827940291</v>
      </c>
      <c r="H63">
        <v>503283.51660229074</v>
      </c>
      <c r="I63">
        <v>132606.91208868462</v>
      </c>
      <c r="J63">
        <v>258811.37483881315</v>
      </c>
      <c r="K63">
        <v>355740.90541152138</v>
      </c>
      <c r="L63">
        <v>1250442.7089413099</v>
      </c>
    </row>
    <row r="64" spans="1:12" hidden="1" x14ac:dyDescent="0.25">
      <c r="A64" t="s">
        <v>379</v>
      </c>
      <c r="B64" t="s">
        <v>380</v>
      </c>
      <c r="C64">
        <v>425806.60204474605</v>
      </c>
      <c r="D64">
        <v>0</v>
      </c>
      <c r="E64">
        <v>205408.73075711617</v>
      </c>
      <c r="F64">
        <v>278630.83450251451</v>
      </c>
      <c r="G64">
        <v>909846.16730437661</v>
      </c>
      <c r="H64">
        <v>462001.09231957549</v>
      </c>
      <c r="I64">
        <v>0</v>
      </c>
      <c r="J64">
        <v>223477.45247075506</v>
      </c>
      <c r="K64">
        <v>296569.0454687762</v>
      </c>
      <c r="L64">
        <v>982047.59025910683</v>
      </c>
    </row>
    <row r="65" spans="1:12" hidden="1" x14ac:dyDescent="0.25">
      <c r="A65" t="s">
        <v>381</v>
      </c>
      <c r="B65" t="s">
        <v>382</v>
      </c>
      <c r="C65">
        <v>769927.855942133</v>
      </c>
      <c r="D65">
        <v>0</v>
      </c>
      <c r="E65">
        <v>412284.66673392605</v>
      </c>
      <c r="F65">
        <v>559251.8892514758</v>
      </c>
      <c r="G65">
        <v>1741464.4119275347</v>
      </c>
      <c r="H65">
        <v>733921.73522766866</v>
      </c>
      <c r="I65">
        <v>0</v>
      </c>
      <c r="J65">
        <v>385445.39659479755</v>
      </c>
      <c r="K65">
        <v>511510.99175614642</v>
      </c>
      <c r="L65">
        <v>1630878.1235786127</v>
      </c>
    </row>
    <row r="66" spans="1:12" hidden="1" x14ac:dyDescent="0.25">
      <c r="A66" t="s">
        <v>116</v>
      </c>
      <c r="B66" t="s">
        <v>117</v>
      </c>
      <c r="C66">
        <v>18248.854373346257</v>
      </c>
      <c r="D66">
        <v>0</v>
      </c>
      <c r="E66">
        <v>8803.2313181621212</v>
      </c>
      <c r="F66">
        <v>11941.321478679196</v>
      </c>
      <c r="G66">
        <v>38993.407170187573</v>
      </c>
      <c r="H66">
        <v>15520.144851038323</v>
      </c>
      <c r="I66">
        <v>0</v>
      </c>
      <c r="J66">
        <v>7487.9423281150212</v>
      </c>
      <c r="K66">
        <v>10157.389949925189</v>
      </c>
      <c r="L66">
        <v>33165.477129078528</v>
      </c>
    </row>
    <row r="67" spans="1:12" hidden="1" x14ac:dyDescent="0.25">
      <c r="A67" t="s">
        <v>118</v>
      </c>
      <c r="B67" t="s">
        <v>119</v>
      </c>
      <c r="C67">
        <v>139677.90912132675</v>
      </c>
      <c r="D67">
        <v>0</v>
      </c>
      <c r="E67">
        <v>66816.773480461226</v>
      </c>
      <c r="F67">
        <v>91840.860972278955</v>
      </c>
      <c r="G67">
        <v>298335.54357406695</v>
      </c>
      <c r="H67">
        <v>161040.38075139487</v>
      </c>
      <c r="I67">
        <v>0</v>
      </c>
      <c r="J67">
        <v>77897.85486123462</v>
      </c>
      <c r="K67">
        <v>103375.4958491163</v>
      </c>
      <c r="L67">
        <v>342313.7314617458</v>
      </c>
    </row>
    <row r="68" spans="1:12" hidden="1" x14ac:dyDescent="0.25">
      <c r="A68" t="s">
        <v>120</v>
      </c>
      <c r="B68" t="s">
        <v>121</v>
      </c>
      <c r="C68">
        <v>2048216.655141768</v>
      </c>
      <c r="D68">
        <v>0</v>
      </c>
      <c r="E68">
        <v>1357164.8282166605</v>
      </c>
      <c r="F68">
        <v>1840953.7279630427</v>
      </c>
      <c r="G68">
        <v>5246335.2113214713</v>
      </c>
      <c r="H68">
        <v>2019604.774997001</v>
      </c>
      <c r="I68">
        <v>0</v>
      </c>
      <c r="J68">
        <v>1325327.7109860876</v>
      </c>
      <c r="K68">
        <v>1758795.662984828</v>
      </c>
      <c r="L68">
        <v>5103728.1489679161</v>
      </c>
    </row>
    <row r="69" spans="1:12" hidden="1" x14ac:dyDescent="0.25">
      <c r="A69" t="s">
        <v>383</v>
      </c>
      <c r="B69" t="s">
        <v>384</v>
      </c>
      <c r="C69">
        <v>386701.91410186124</v>
      </c>
      <c r="D69">
        <v>0</v>
      </c>
      <c r="E69">
        <v>186544.66364676872</v>
      </c>
      <c r="F69">
        <v>253042.28847677345</v>
      </c>
      <c r="G69">
        <v>826288.86622540338</v>
      </c>
      <c r="H69">
        <v>381920.90298418235</v>
      </c>
      <c r="I69">
        <v>0</v>
      </c>
      <c r="J69">
        <v>184741.36070915751</v>
      </c>
      <c r="K69">
        <v>245163.74425418835</v>
      </c>
      <c r="L69">
        <v>811826.00794752827</v>
      </c>
    </row>
    <row r="70" spans="1:12" hidden="1" x14ac:dyDescent="0.25">
      <c r="A70" t="s">
        <v>385</v>
      </c>
      <c r="B70" t="s">
        <v>386</v>
      </c>
      <c r="C70">
        <v>253975.4775030223</v>
      </c>
      <c r="D70">
        <v>66918.352592379961</v>
      </c>
      <c r="E70">
        <v>143880.5607569252</v>
      </c>
      <c r="F70">
        <v>197766.42733211923</v>
      </c>
      <c r="G70">
        <v>662540.81818444666</v>
      </c>
      <c r="H70">
        <v>233200.55136130951</v>
      </c>
      <c r="I70">
        <v>62913.617773415957</v>
      </c>
      <c r="J70">
        <v>129492.50468123269</v>
      </c>
      <c r="K70">
        <v>177989.78459890731</v>
      </c>
      <c r="L70">
        <v>603596.45841486542</v>
      </c>
    </row>
    <row r="71" spans="1:12" hidden="1" x14ac:dyDescent="0.25">
      <c r="A71" t="s">
        <v>387</v>
      </c>
      <c r="B71" t="s">
        <v>388</v>
      </c>
      <c r="C71">
        <v>19117.847438743713</v>
      </c>
      <c r="D71">
        <v>5143.4449393467949</v>
      </c>
      <c r="E71">
        <v>12391.281682923032</v>
      </c>
      <c r="F71">
        <v>16808.405091364191</v>
      </c>
      <c r="G71">
        <v>53460.979152377731</v>
      </c>
      <c r="H71">
        <v>16259.19936775444</v>
      </c>
      <c r="I71">
        <v>4377.173594552849</v>
      </c>
      <c r="J71">
        <v>10539.902822015907</v>
      </c>
      <c r="K71">
        <v>14297.372803682199</v>
      </c>
      <c r="L71">
        <v>45473.648588005395</v>
      </c>
    </row>
    <row r="72" spans="1:12" hidden="1" x14ac:dyDescent="0.25">
      <c r="A72" t="s">
        <v>389</v>
      </c>
      <c r="B72" t="s">
        <v>390</v>
      </c>
      <c r="C72">
        <v>60829.514577820883</v>
      </c>
      <c r="D72">
        <v>16365.506625194343</v>
      </c>
      <c r="E72">
        <v>31317.851735629403</v>
      </c>
      <c r="F72">
        <v>42481.734499603961</v>
      </c>
      <c r="G72">
        <v>150994.60743824858</v>
      </c>
      <c r="H72">
        <v>51733.81617012775</v>
      </c>
      <c r="I72">
        <v>13927.370528122694</v>
      </c>
      <c r="J72">
        <v>26638.657915649157</v>
      </c>
      <c r="K72">
        <v>36135.325879309225</v>
      </c>
      <c r="L72">
        <v>128435.17049320882</v>
      </c>
    </row>
    <row r="73" spans="1:12" hidden="1" x14ac:dyDescent="0.25">
      <c r="A73" t="s">
        <v>122</v>
      </c>
      <c r="B73" t="s">
        <v>123</v>
      </c>
      <c r="C73">
        <v>252876.98203065534</v>
      </c>
      <c r="D73">
        <v>0</v>
      </c>
      <c r="E73">
        <v>121987.63398024654</v>
      </c>
      <c r="F73">
        <v>165472.59763312602</v>
      </c>
      <c r="G73">
        <v>540337.21364402794</v>
      </c>
      <c r="H73">
        <v>234960.55552252699</v>
      </c>
      <c r="I73">
        <v>0</v>
      </c>
      <c r="J73">
        <v>113654.24725655541</v>
      </c>
      <c r="K73">
        <v>150826.54312412048</v>
      </c>
      <c r="L73">
        <v>499441.34590320289</v>
      </c>
    </row>
    <row r="74" spans="1:12" hidden="1" x14ac:dyDescent="0.25">
      <c r="A74" t="s">
        <v>391</v>
      </c>
      <c r="B74" t="s">
        <v>392</v>
      </c>
      <c r="C74">
        <v>373667.01812089974</v>
      </c>
      <c r="D74">
        <v>89598.505630549393</v>
      </c>
      <c r="E74">
        <v>180256.64127665295</v>
      </c>
      <c r="F74">
        <v>244512.77313485972</v>
      </c>
      <c r="G74">
        <v>888034.93816296186</v>
      </c>
      <c r="H74">
        <v>437361.03406253143</v>
      </c>
      <c r="I74">
        <v>117992.70955995373</v>
      </c>
      <c r="J74">
        <v>226231.22677436733</v>
      </c>
      <c r="K74">
        <v>300223.48222572665</v>
      </c>
      <c r="L74">
        <v>1081808.4526225792</v>
      </c>
    </row>
    <row r="75" spans="1:12" hidden="1" x14ac:dyDescent="0.25">
      <c r="A75" t="s">
        <v>393</v>
      </c>
      <c r="B75" t="s">
        <v>394</v>
      </c>
      <c r="C75">
        <v>23296.575491200263</v>
      </c>
      <c r="D75">
        <v>5916.8666470503276</v>
      </c>
      <c r="E75">
        <v>15667.910951663496</v>
      </c>
      <c r="F75">
        <v>20645.483726925377</v>
      </c>
      <c r="G75">
        <v>65526.836816839466</v>
      </c>
      <c r="H75">
        <v>19802.089167520222</v>
      </c>
      <c r="I75">
        <v>5029.3366499927788</v>
      </c>
      <c r="J75">
        <v>13317.724308913972</v>
      </c>
      <c r="K75">
        <v>17548.66116788657</v>
      </c>
      <c r="L75">
        <v>55697.811294313549</v>
      </c>
    </row>
    <row r="76" spans="1:12" hidden="1" x14ac:dyDescent="0.25">
      <c r="A76" t="s">
        <v>124</v>
      </c>
      <c r="B76" t="s">
        <v>125</v>
      </c>
      <c r="C76">
        <v>2124688.0448967423</v>
      </c>
      <c r="D76">
        <v>0</v>
      </c>
      <c r="E76">
        <v>1430944.2906926852</v>
      </c>
      <c r="F76">
        <v>1941033.3746414965</v>
      </c>
      <c r="G76">
        <v>5496665.7102309242</v>
      </c>
      <c r="H76">
        <v>1994964.716739957</v>
      </c>
      <c r="I76">
        <v>0</v>
      </c>
      <c r="J76">
        <v>1301490.1160558732</v>
      </c>
      <c r="K76">
        <v>1727161.6314681587</v>
      </c>
      <c r="L76">
        <v>5023616.4642639887</v>
      </c>
    </row>
    <row r="77" spans="1:12" hidden="1" x14ac:dyDescent="0.25">
      <c r="A77" t="s">
        <v>275</v>
      </c>
      <c r="B77" t="s">
        <v>276</v>
      </c>
      <c r="C77">
        <v>2298486.6579762315</v>
      </c>
      <c r="D77">
        <v>0</v>
      </c>
      <c r="E77">
        <v>1598624.8872291071</v>
      </c>
      <c r="F77">
        <v>2168487.1170925293</v>
      </c>
      <c r="G77">
        <v>6065598.6622978682</v>
      </c>
      <c r="H77">
        <v>2360165.5801925734</v>
      </c>
      <c r="I77">
        <v>0</v>
      </c>
      <c r="J77">
        <v>1654797.3266286859</v>
      </c>
      <c r="K77">
        <v>2196023.1700187959</v>
      </c>
      <c r="L77">
        <v>6210986.0768400552</v>
      </c>
    </row>
    <row r="78" spans="1:12" hidden="1" x14ac:dyDescent="0.25">
      <c r="A78" t="s">
        <v>395</v>
      </c>
      <c r="B78" t="s">
        <v>396</v>
      </c>
      <c r="C78">
        <v>15641.875177153936</v>
      </c>
      <c r="D78">
        <v>4208.2731321928313</v>
      </c>
      <c r="E78">
        <v>12363.981185799445</v>
      </c>
      <c r="F78">
        <v>16771.372778921381</v>
      </c>
      <c r="G78">
        <v>48985.502274067592</v>
      </c>
      <c r="H78">
        <v>16720.039531565581</v>
      </c>
      <c r="I78">
        <v>4510.7876894147294</v>
      </c>
      <c r="J78">
        <v>14154.849003828609</v>
      </c>
      <c r="K78">
        <v>18784.400893282324</v>
      </c>
      <c r="L78">
        <v>54170.077118091242</v>
      </c>
    </row>
    <row r="79" spans="1:12" hidden="1" x14ac:dyDescent="0.25">
      <c r="A79" t="s">
        <v>397</v>
      </c>
      <c r="B79" t="s">
        <v>398</v>
      </c>
      <c r="C79">
        <v>3686268.5834159455</v>
      </c>
      <c r="D79">
        <v>991749.70148677728</v>
      </c>
      <c r="E79">
        <v>2937554.4505724316</v>
      </c>
      <c r="F79">
        <v>3984705.2505640211</v>
      </c>
      <c r="G79">
        <v>11600277.986039177</v>
      </c>
      <c r="H79">
        <v>3672248.6823801687</v>
      </c>
      <c r="I79">
        <v>990711.42252250912</v>
      </c>
      <c r="J79">
        <v>2924149.2566625746</v>
      </c>
      <c r="K79">
        <v>3880535.348281445</v>
      </c>
      <c r="L79">
        <v>11467644.709846698</v>
      </c>
    </row>
    <row r="80" spans="1:12" hidden="1" x14ac:dyDescent="0.25">
      <c r="A80" t="s">
        <v>126</v>
      </c>
      <c r="B80" t="s">
        <v>127</v>
      </c>
      <c r="C80">
        <v>682159.55633699137</v>
      </c>
      <c r="D80">
        <v>157618.98088599634</v>
      </c>
      <c r="E80">
        <v>348775.64079575642</v>
      </c>
      <c r="F80">
        <v>473103.78429814702</v>
      </c>
      <c r="G80">
        <v>1661657.9623168912</v>
      </c>
      <c r="H80">
        <v>579769.14528175374</v>
      </c>
      <c r="I80">
        <v>133886.38253303117</v>
      </c>
      <c r="J80">
        <v>296466.4063400841</v>
      </c>
      <c r="K80">
        <v>402156.52902968629</v>
      </c>
      <c r="L80">
        <v>1412278.4631845553</v>
      </c>
    </row>
    <row r="81" spans="1:12" hidden="1" x14ac:dyDescent="0.25">
      <c r="A81" t="s">
        <v>128</v>
      </c>
      <c r="B81" t="s">
        <v>129</v>
      </c>
      <c r="C81">
        <v>345859.24002818146</v>
      </c>
      <c r="D81">
        <v>0</v>
      </c>
      <c r="E81">
        <v>166842.19355373929</v>
      </c>
      <c r="F81">
        <v>226316.4737387771</v>
      </c>
      <c r="G81">
        <v>739017.90732069779</v>
      </c>
      <c r="H81">
        <v>417120.98620853096</v>
      </c>
      <c r="I81">
        <v>0</v>
      </c>
      <c r="J81">
        <v>201768.21423073875</v>
      </c>
      <c r="K81">
        <v>267759.48105180945</v>
      </c>
      <c r="L81">
        <v>886648.68149107904</v>
      </c>
    </row>
    <row r="82" spans="1:12" hidden="1" x14ac:dyDescent="0.25">
      <c r="A82" t="s">
        <v>399</v>
      </c>
      <c r="B82" t="s">
        <v>400</v>
      </c>
      <c r="C82">
        <v>106886.14704388524</v>
      </c>
      <c r="D82">
        <v>26632.893843933394</v>
      </c>
      <c r="E82">
        <v>51561.783434949568</v>
      </c>
      <c r="F82">
        <v>69942.02580369245</v>
      </c>
      <c r="G82">
        <v>255022.85012646066</v>
      </c>
      <c r="H82">
        <v>90903.705556081622</v>
      </c>
      <c r="I82">
        <v>22637.959767343385</v>
      </c>
      <c r="J82">
        <v>43857.947921816565</v>
      </c>
      <c r="K82">
        <v>59493.28399241899</v>
      </c>
      <c r="L82">
        <v>216892.89723766057</v>
      </c>
    </row>
    <row r="83" spans="1:12" hidden="1" x14ac:dyDescent="0.25">
      <c r="A83" t="s">
        <v>401</v>
      </c>
      <c r="B83" t="s">
        <v>402</v>
      </c>
      <c r="C83">
        <v>1227018.2083411864</v>
      </c>
      <c r="D83">
        <v>330115.64792534889</v>
      </c>
      <c r="E83">
        <v>743034.64340201719</v>
      </c>
      <c r="F83">
        <v>1007904.396236137</v>
      </c>
      <c r="G83">
        <v>3308072.8959046896</v>
      </c>
      <c r="H83">
        <v>1393923.2956842049</v>
      </c>
      <c r="I83">
        <v>376057.24737015431</v>
      </c>
      <c r="J83">
        <v>864325.65188927273</v>
      </c>
      <c r="K83">
        <v>1147016.0891892386</v>
      </c>
      <c r="L83">
        <v>3781322.2841328708</v>
      </c>
    </row>
    <row r="84" spans="1:12" hidden="1" x14ac:dyDescent="0.25">
      <c r="A84" t="s">
        <v>130</v>
      </c>
      <c r="B84" t="s">
        <v>131</v>
      </c>
      <c r="C84">
        <v>36564.897675740009</v>
      </c>
      <c r="D84">
        <v>0</v>
      </c>
      <c r="E84">
        <v>0</v>
      </c>
      <c r="F84">
        <v>0</v>
      </c>
      <c r="G84">
        <v>36564.897675740009</v>
      </c>
      <c r="H84">
        <v>31080.163024379006</v>
      </c>
      <c r="I84">
        <v>0</v>
      </c>
      <c r="J84">
        <v>0</v>
      </c>
      <c r="K84">
        <v>0</v>
      </c>
      <c r="L84">
        <v>31080.163024379006</v>
      </c>
    </row>
    <row r="85" spans="1:12" hidden="1" x14ac:dyDescent="0.25">
      <c r="A85" t="s">
        <v>403</v>
      </c>
      <c r="B85" t="s">
        <v>404</v>
      </c>
      <c r="C85">
        <v>28676.771158115545</v>
      </c>
      <c r="D85">
        <v>7715.1674090201896</v>
      </c>
      <c r="E85">
        <v>19112.950400887334</v>
      </c>
      <c r="F85">
        <v>26271.095252021722</v>
      </c>
      <c r="G85">
        <v>81775.984220044789</v>
      </c>
      <c r="H85">
        <v>25823.43428996293</v>
      </c>
      <c r="I85">
        <v>6951.98159134864</v>
      </c>
      <c r="J85">
        <v>17201.655360798602</v>
      </c>
      <c r="K85">
        <v>23643.985726819548</v>
      </c>
      <c r="L85">
        <v>73621.056968929726</v>
      </c>
    </row>
    <row r="86" spans="1:12" hidden="1" x14ac:dyDescent="0.25">
      <c r="A86" t="s">
        <v>132</v>
      </c>
      <c r="B86" t="s">
        <v>133</v>
      </c>
      <c r="C86">
        <v>10470.618216733825</v>
      </c>
      <c r="D86">
        <v>2742.3128581885594</v>
      </c>
      <c r="E86">
        <v>7149.1800423581171</v>
      </c>
      <c r="F86">
        <v>9858.245021560786</v>
      </c>
      <c r="G86">
        <v>30220.356138841289</v>
      </c>
      <c r="H86">
        <v>9423.5563950604428</v>
      </c>
      <c r="I86">
        <v>2468.0815723697037</v>
      </c>
      <c r="J86">
        <v>6434.262038122306</v>
      </c>
      <c r="K86">
        <v>8872.4205194047081</v>
      </c>
      <c r="L86">
        <v>27198.320524957162</v>
      </c>
    </row>
    <row r="87" spans="1:12" hidden="1" x14ac:dyDescent="0.25">
      <c r="A87" t="s">
        <v>405</v>
      </c>
      <c r="B87" t="s">
        <v>406</v>
      </c>
      <c r="C87">
        <v>170349.40564227104</v>
      </c>
      <c r="D87">
        <v>44884.260885132906</v>
      </c>
      <c r="E87">
        <v>101972.00712497588</v>
      </c>
      <c r="F87">
        <v>140612.63328413441</v>
      </c>
      <c r="G87">
        <v>457818.30693651421</v>
      </c>
      <c r="H87">
        <v>153314.46507804396</v>
      </c>
      <c r="I87">
        <v>40395.834796619616</v>
      </c>
      <c r="J87">
        <v>91774.806412478298</v>
      </c>
      <c r="K87">
        <v>126551.36995572098</v>
      </c>
      <c r="L87">
        <v>412036.47624286287</v>
      </c>
    </row>
    <row r="88" spans="1:12" hidden="1" x14ac:dyDescent="0.25">
      <c r="A88" t="s">
        <v>407</v>
      </c>
      <c r="B88" t="s">
        <v>408</v>
      </c>
      <c r="C88">
        <v>99065.209455308272</v>
      </c>
      <c r="D88">
        <v>26652.396503887925</v>
      </c>
      <c r="E88">
        <v>50713.654977668346</v>
      </c>
      <c r="F88">
        <v>68791.564774375103</v>
      </c>
      <c r="G88">
        <v>245222.82571123965</v>
      </c>
      <c r="H88">
        <v>138160.32665556818</v>
      </c>
      <c r="I88">
        <v>37273.350907269072</v>
      </c>
      <c r="J88">
        <v>86457.147708699078</v>
      </c>
      <c r="K88">
        <v>114734.23151392544</v>
      </c>
      <c r="L88">
        <v>376625.05678546178</v>
      </c>
    </row>
    <row r="89" spans="1:12" hidden="1" x14ac:dyDescent="0.25">
      <c r="A89" t="s">
        <v>409</v>
      </c>
      <c r="B89" t="s">
        <v>410</v>
      </c>
      <c r="C89">
        <v>713443.30669129919</v>
      </c>
      <c r="D89">
        <v>191944.01341835075</v>
      </c>
      <c r="E89">
        <v>419382.62830546184</v>
      </c>
      <c r="F89">
        <v>568880.06303286355</v>
      </c>
      <c r="G89">
        <v>1893650.0114479754</v>
      </c>
      <c r="H89">
        <v>728641.72274401644</v>
      </c>
      <c r="I89">
        <v>196575.37930712613</v>
      </c>
      <c r="J89">
        <v>434487.16171886737</v>
      </c>
      <c r="K89">
        <v>576592.58862486249</v>
      </c>
      <c r="L89">
        <v>1936296.8523948723</v>
      </c>
    </row>
    <row r="90" spans="1:12" hidden="1" x14ac:dyDescent="0.25">
      <c r="A90" t="s">
        <v>411</v>
      </c>
      <c r="B90" t="s">
        <v>412</v>
      </c>
      <c r="C90">
        <v>287271.04315128434</v>
      </c>
      <c r="D90">
        <v>75691.185401746814</v>
      </c>
      <c r="E90">
        <v>177384.56009816015</v>
      </c>
      <c r="F90">
        <v>243818.27906383268</v>
      </c>
      <c r="G90">
        <v>784165.06771502399</v>
      </c>
      <c r="H90">
        <v>258543.9388361559</v>
      </c>
      <c r="I90">
        <v>68122.066861572137</v>
      </c>
      <c r="J90">
        <v>159646.10408834415</v>
      </c>
      <c r="K90">
        <v>219436.45115744942</v>
      </c>
      <c r="L90">
        <v>705748.56094352156</v>
      </c>
    </row>
    <row r="91" spans="1:12" hidden="1" x14ac:dyDescent="0.25">
      <c r="A91" t="s">
        <v>134</v>
      </c>
      <c r="B91" t="s">
        <v>135</v>
      </c>
      <c r="C91">
        <v>158691.65591271158</v>
      </c>
      <c r="D91">
        <v>0</v>
      </c>
      <c r="E91">
        <v>76294.671424071668</v>
      </c>
      <c r="F91">
        <v>104342.75827740594</v>
      </c>
      <c r="G91">
        <v>339329.08561418916</v>
      </c>
      <c r="H91">
        <v>166320.3932350472</v>
      </c>
      <c r="I91">
        <v>0</v>
      </c>
      <c r="J91">
        <v>80451.882889471832</v>
      </c>
      <c r="K91">
        <v>106764.85636875946</v>
      </c>
      <c r="L91">
        <v>353537.13249327848</v>
      </c>
    </row>
    <row r="92" spans="1:12" hidden="1" x14ac:dyDescent="0.25">
      <c r="A92" t="s">
        <v>413</v>
      </c>
      <c r="B92" t="s">
        <v>414</v>
      </c>
      <c r="C92">
        <v>30414.757288910441</v>
      </c>
      <c r="D92">
        <v>0</v>
      </c>
      <c r="E92">
        <v>14672.052196936864</v>
      </c>
      <c r="F92">
        <v>19902.202464465328</v>
      </c>
      <c r="G92">
        <v>64989.011950312633</v>
      </c>
      <c r="H92">
        <v>30800.072821305028</v>
      </c>
      <c r="I92">
        <v>0</v>
      </c>
      <c r="J92">
        <v>14898.496831383667</v>
      </c>
      <c r="K92">
        <v>19771.269697918415</v>
      </c>
      <c r="L92">
        <v>65469.839350607115</v>
      </c>
    </row>
    <row r="93" spans="1:12" hidden="1" x14ac:dyDescent="0.25">
      <c r="A93" t="s">
        <v>415</v>
      </c>
      <c r="B93" t="s">
        <v>416</v>
      </c>
      <c r="C93">
        <v>33295.565648262062</v>
      </c>
      <c r="D93">
        <v>8772.8328093668861</v>
      </c>
      <c r="E93">
        <v>20238.793484930913</v>
      </c>
      <c r="F93">
        <v>27818.586888810871</v>
      </c>
      <c r="G93">
        <v>90125.778831370728</v>
      </c>
      <c r="H93">
        <v>29731.89963747151</v>
      </c>
      <c r="I93">
        <v>7834.5259868782123</v>
      </c>
      <c r="J93">
        <v>18072.610119746903</v>
      </c>
      <c r="K93">
        <v>24841.128760867832</v>
      </c>
      <c r="L93">
        <v>80480.164504964458</v>
      </c>
    </row>
    <row r="94" spans="1:12" hidden="1" x14ac:dyDescent="0.25">
      <c r="A94" t="s">
        <v>136</v>
      </c>
      <c r="B94" t="s">
        <v>137</v>
      </c>
      <c r="C94">
        <v>11700.767256236799</v>
      </c>
      <c r="D94">
        <v>0</v>
      </c>
      <c r="E94">
        <v>5597.2166266354961</v>
      </c>
      <c r="F94">
        <v>7693.4752646935249</v>
      </c>
      <c r="G94">
        <v>24991.459147565816</v>
      </c>
      <c r="H94">
        <v>11440.027047913301</v>
      </c>
      <c r="I94">
        <v>0</v>
      </c>
      <c r="J94">
        <v>5533.7273945139341</v>
      </c>
      <c r="K94">
        <v>7343.6144592268411</v>
      </c>
      <c r="L94">
        <v>24317.368901654074</v>
      </c>
    </row>
    <row r="95" spans="1:12" hidden="1" x14ac:dyDescent="0.25">
      <c r="A95" t="s">
        <v>138</v>
      </c>
      <c r="B95" t="s">
        <v>139</v>
      </c>
      <c r="C95">
        <v>41444.177312723994</v>
      </c>
      <c r="D95">
        <v>0</v>
      </c>
      <c r="E95">
        <v>20145.782479523343</v>
      </c>
      <c r="F95">
        <v>27779.697623715147</v>
      </c>
      <c r="G95">
        <v>89369.657415962487</v>
      </c>
      <c r="H95">
        <v>44880.106111044486</v>
      </c>
      <c r="I95">
        <v>0</v>
      </c>
      <c r="J95">
        <v>21709.23824001621</v>
      </c>
      <c r="K95">
        <v>28809.564416966841</v>
      </c>
      <c r="L95">
        <v>95398.908768027526</v>
      </c>
    </row>
    <row r="96" spans="1:12" hidden="1" x14ac:dyDescent="0.25">
      <c r="A96" t="s">
        <v>417</v>
      </c>
      <c r="B96" t="s">
        <v>418</v>
      </c>
      <c r="C96">
        <v>21724.826634936035</v>
      </c>
      <c r="D96">
        <v>5844.8237947122652</v>
      </c>
      <c r="E96">
        <v>11700.313370201611</v>
      </c>
      <c r="F96">
        <v>15846.282597067166</v>
      </c>
      <c r="G96">
        <v>55116.246396917079</v>
      </c>
      <c r="H96">
        <v>22000.052015217883</v>
      </c>
      <c r="I96">
        <v>5935.2469597562231</v>
      </c>
      <c r="J96">
        <v>11410.865140991258</v>
      </c>
      <c r="K96">
        <v>15142.956684990701</v>
      </c>
      <c r="L96">
        <v>54489.120800956065</v>
      </c>
    </row>
    <row r="97" spans="1:12" hidden="1" x14ac:dyDescent="0.25">
      <c r="A97" t="s">
        <v>419</v>
      </c>
      <c r="B97" t="s">
        <v>420</v>
      </c>
      <c r="C97">
        <v>171855.01907597794</v>
      </c>
      <c r="D97">
        <v>45280.96521113786</v>
      </c>
      <c r="E97">
        <v>91870.194962113019</v>
      </c>
      <c r="F97">
        <v>126277.24093081043</v>
      </c>
      <c r="G97">
        <v>435283.42018003925</v>
      </c>
      <c r="H97">
        <v>146076.76621458124</v>
      </c>
      <c r="I97">
        <v>38488.820429467181</v>
      </c>
      <c r="J97">
        <v>78089.665717796059</v>
      </c>
      <c r="K97">
        <v>107335.65479118886</v>
      </c>
      <c r="L97">
        <v>369990.9071530333</v>
      </c>
    </row>
    <row r="98" spans="1:12" hidden="1" x14ac:dyDescent="0.25">
      <c r="A98" t="s">
        <v>57</v>
      </c>
      <c r="B98" t="s">
        <v>17</v>
      </c>
      <c r="C98">
        <v>2880022.5196760688</v>
      </c>
      <c r="D98">
        <v>774838.13496767276</v>
      </c>
      <c r="E98">
        <v>2177077.1852041204</v>
      </c>
      <c r="F98">
        <v>2953140.4563668706</v>
      </c>
      <c r="G98">
        <v>8785078.2962147333</v>
      </c>
      <c r="H98">
        <v>2991492.4789871057</v>
      </c>
      <c r="I98">
        <v>807054.75735967164</v>
      </c>
      <c r="J98">
        <v>2277993.1113465126</v>
      </c>
      <c r="K98">
        <v>3023044.3167634201</v>
      </c>
      <c r="L98">
        <v>9099584.6644567102</v>
      </c>
    </row>
    <row r="99" spans="1:12" hidden="1" x14ac:dyDescent="0.25">
      <c r="A99" t="s">
        <v>140</v>
      </c>
      <c r="B99" t="s">
        <v>141</v>
      </c>
      <c r="C99">
        <v>92113.264932128732</v>
      </c>
      <c r="D99">
        <v>0</v>
      </c>
      <c r="E99">
        <v>0</v>
      </c>
      <c r="F99">
        <v>0</v>
      </c>
      <c r="G99">
        <v>92113.264932128732</v>
      </c>
      <c r="H99">
        <v>102080.24135061096</v>
      </c>
      <c r="I99">
        <v>0</v>
      </c>
      <c r="J99">
        <v>49377.875212585881</v>
      </c>
      <c r="K99">
        <v>65527.636713101034</v>
      </c>
      <c r="L99">
        <v>216985.75327629788</v>
      </c>
    </row>
    <row r="100" spans="1:12" hidden="1" x14ac:dyDescent="0.25">
      <c r="A100" t="s">
        <v>421</v>
      </c>
      <c r="B100" t="s">
        <v>422</v>
      </c>
      <c r="C100">
        <v>122528.02222103919</v>
      </c>
      <c r="D100">
        <v>32964.806202177162</v>
      </c>
      <c r="E100">
        <v>68953.447227110679</v>
      </c>
      <c r="F100">
        <v>93533.300516971052</v>
      </c>
      <c r="G100">
        <v>317979.57616729807</v>
      </c>
      <c r="H100">
        <v>110336.49196620524</v>
      </c>
      <c r="I100">
        <v>29703.921344853276</v>
      </c>
      <c r="J100">
        <v>62101.193066725355</v>
      </c>
      <c r="K100">
        <v>84240.236729108321</v>
      </c>
      <c r="L100">
        <v>286381.84310689219</v>
      </c>
    </row>
    <row r="101" spans="1:12" hidden="1" x14ac:dyDescent="0.25">
      <c r="A101" t="s">
        <v>423</v>
      </c>
      <c r="B101" t="s">
        <v>424</v>
      </c>
      <c r="C101">
        <v>387157.74009607045</v>
      </c>
      <c r="D101">
        <v>102009.6838298475</v>
      </c>
      <c r="E101">
        <v>272862.65607709519</v>
      </c>
      <c r="F101">
        <v>375054.64505303261</v>
      </c>
      <c r="G101">
        <v>1137084.7250560457</v>
      </c>
      <c r="H101">
        <v>376640.89050053013</v>
      </c>
      <c r="I101">
        <v>101611.42795102655</v>
      </c>
      <c r="J101">
        <v>245576.39046938569</v>
      </c>
      <c r="K101">
        <v>337549.18054772937</v>
      </c>
      <c r="L101">
        <v>1061377.8894686718</v>
      </c>
    </row>
    <row r="102" spans="1:12" hidden="1" x14ac:dyDescent="0.25">
      <c r="A102" t="s">
        <v>1418</v>
      </c>
      <c r="B102" t="s">
        <v>1433</v>
      </c>
      <c r="C102">
        <v>50124.997550765933</v>
      </c>
      <c r="D102">
        <v>0</v>
      </c>
      <c r="E102">
        <v>33403.598722200455</v>
      </c>
      <c r="F102">
        <v>45310.988257646903</v>
      </c>
      <c r="G102">
        <v>128839.5845306133</v>
      </c>
      <c r="H102">
        <v>64974.97807618761</v>
      </c>
      <c r="I102">
        <v>0</v>
      </c>
      <c r="J102">
        <v>42673.790348357194</v>
      </c>
      <c r="K102">
        <v>56630.88213251908</v>
      </c>
      <c r="L102">
        <v>164279.65055706387</v>
      </c>
    </row>
    <row r="103" spans="1:12" hidden="1" x14ac:dyDescent="0.25">
      <c r="A103" t="s">
        <v>74</v>
      </c>
      <c r="B103" t="s">
        <v>41</v>
      </c>
      <c r="C103">
        <v>71141.390794823077</v>
      </c>
      <c r="D103">
        <v>19139.802618163929</v>
      </c>
      <c r="E103">
        <v>41562.54733437689</v>
      </c>
      <c r="F103">
        <v>56378.359406353986</v>
      </c>
      <c r="G103">
        <v>188222.10015371788</v>
      </c>
      <c r="H103">
        <v>99285.491104485089</v>
      </c>
      <c r="I103">
        <v>26785.568907663452</v>
      </c>
      <c r="J103">
        <v>57851.150625883281</v>
      </c>
      <c r="K103">
        <v>76772.221674729401</v>
      </c>
      <c r="L103">
        <v>260694.43231276123</v>
      </c>
    </row>
    <row r="104" spans="1:12" hidden="1" x14ac:dyDescent="0.25">
      <c r="A104" t="s">
        <v>75</v>
      </c>
      <c r="B104" t="s">
        <v>45</v>
      </c>
      <c r="C104">
        <v>52353.308359394985</v>
      </c>
      <c r="D104">
        <v>14085.077297639906</v>
      </c>
      <c r="E104">
        <v>30586.088246069608</v>
      </c>
      <c r="F104">
        <v>41489.119088355408</v>
      </c>
      <c r="G104">
        <v>138513.59299145988</v>
      </c>
      <c r="H104">
        <v>66620.134723788651</v>
      </c>
      <c r="I104">
        <v>17973.000782198407</v>
      </c>
      <c r="J104">
        <v>38817.871632086164</v>
      </c>
      <c r="K104">
        <v>51513.828396463417</v>
      </c>
      <c r="L104">
        <v>174924.83553453663</v>
      </c>
    </row>
    <row r="105" spans="1:12" hidden="1" x14ac:dyDescent="0.25">
      <c r="A105" t="s">
        <v>79</v>
      </c>
      <c r="B105" t="s">
        <v>1395</v>
      </c>
      <c r="C105">
        <v>43210.804977040636</v>
      </c>
      <c r="D105">
        <v>0</v>
      </c>
      <c r="E105">
        <v>34774.986756522994</v>
      </c>
      <c r="F105">
        <v>47171.235341700361</v>
      </c>
      <c r="G105">
        <v>125157.02707526399</v>
      </c>
      <c r="H105">
        <v>50234.501011192318</v>
      </c>
      <c r="I105">
        <v>0</v>
      </c>
      <c r="J105">
        <v>41366.515670705536</v>
      </c>
      <c r="K105">
        <v>54896.04401336977</v>
      </c>
      <c r="L105">
        <v>146497.06069526763</v>
      </c>
    </row>
    <row r="106" spans="1:12" hidden="1" x14ac:dyDescent="0.25">
      <c r="A106" t="s">
        <v>425</v>
      </c>
      <c r="B106" t="s">
        <v>426</v>
      </c>
      <c r="C106">
        <v>51270.590858449024</v>
      </c>
      <c r="D106">
        <v>13793.78415552094</v>
      </c>
      <c r="E106">
        <v>38369.659222968599</v>
      </c>
      <c r="F106">
        <v>52047.301638382109</v>
      </c>
      <c r="G106">
        <v>155481.33587532066</v>
      </c>
      <c r="H106">
        <v>46169.17039720645</v>
      </c>
      <c r="I106">
        <v>12429.300420896048</v>
      </c>
      <c r="J106">
        <v>34556.671364984024</v>
      </c>
      <c r="K106">
        <v>46876.107085872361</v>
      </c>
      <c r="L106">
        <v>140031.24926895887</v>
      </c>
    </row>
    <row r="107" spans="1:12" hidden="1" x14ac:dyDescent="0.25">
      <c r="A107" t="s">
        <v>427</v>
      </c>
      <c r="B107" t="s">
        <v>428</v>
      </c>
      <c r="C107">
        <v>0</v>
      </c>
      <c r="D107">
        <v>1940.8330033006239</v>
      </c>
      <c r="E107">
        <v>0</v>
      </c>
      <c r="F107">
        <v>0</v>
      </c>
      <c r="G107">
        <v>1940.8330033006239</v>
      </c>
      <c r="H107">
        <v>0</v>
      </c>
      <c r="I107">
        <v>1649.7080528055303</v>
      </c>
      <c r="J107">
        <v>0</v>
      </c>
      <c r="K107">
        <v>0</v>
      </c>
      <c r="L107">
        <v>1649.7080528055303</v>
      </c>
    </row>
    <row r="108" spans="1:12" hidden="1" x14ac:dyDescent="0.25">
      <c r="A108" t="s">
        <v>142</v>
      </c>
      <c r="B108" t="s">
        <v>143</v>
      </c>
      <c r="C108">
        <v>809032.5438850174</v>
      </c>
      <c r="D108">
        <v>0</v>
      </c>
      <c r="E108">
        <v>0</v>
      </c>
      <c r="F108">
        <v>0</v>
      </c>
      <c r="G108">
        <v>809032.5438850174</v>
      </c>
      <c r="H108">
        <v>736561.74146949453</v>
      </c>
      <c r="I108">
        <v>0</v>
      </c>
      <c r="J108">
        <v>0</v>
      </c>
      <c r="K108">
        <v>0</v>
      </c>
      <c r="L108">
        <v>736561.74146949453</v>
      </c>
    </row>
    <row r="109" spans="1:12" hidden="1" x14ac:dyDescent="0.25">
      <c r="A109" t="s">
        <v>144</v>
      </c>
      <c r="B109" t="s">
        <v>145</v>
      </c>
      <c r="C109">
        <v>0</v>
      </c>
      <c r="D109">
        <v>4239.0690835958831</v>
      </c>
      <c r="E109">
        <v>0</v>
      </c>
      <c r="F109">
        <v>0</v>
      </c>
      <c r="G109">
        <v>4239.0690835958831</v>
      </c>
      <c r="H109">
        <v>0</v>
      </c>
      <c r="I109">
        <v>3603.2087210565005</v>
      </c>
      <c r="J109">
        <v>0</v>
      </c>
      <c r="K109">
        <v>0</v>
      </c>
      <c r="L109">
        <v>3603.2087210565005</v>
      </c>
    </row>
    <row r="110" spans="1:12" hidden="1" x14ac:dyDescent="0.25">
      <c r="A110" t="s">
        <v>146</v>
      </c>
      <c r="B110" t="s">
        <v>147</v>
      </c>
      <c r="C110">
        <v>92113.264932128732</v>
      </c>
      <c r="D110">
        <v>0</v>
      </c>
      <c r="E110">
        <v>44435.358082151652</v>
      </c>
      <c r="F110">
        <v>60275.24174952355</v>
      </c>
      <c r="G110">
        <v>196823.86476380395</v>
      </c>
      <c r="H110">
        <v>81840.193496610504</v>
      </c>
      <c r="I110">
        <v>0</v>
      </c>
      <c r="J110">
        <v>39587.434437676595</v>
      </c>
      <c r="K110">
        <v>52535.088054468935</v>
      </c>
      <c r="L110">
        <v>173962.71598875604</v>
      </c>
    </row>
    <row r="111" spans="1:12" hidden="1" x14ac:dyDescent="0.25">
      <c r="A111" t="s">
        <v>429</v>
      </c>
      <c r="B111" t="s">
        <v>430</v>
      </c>
      <c r="C111">
        <v>24003.779885956374</v>
      </c>
      <c r="D111">
        <v>6324.6003974505466</v>
      </c>
      <c r="E111">
        <v>17921.805084332831</v>
      </c>
      <c r="F111">
        <v>24633.844518155445</v>
      </c>
      <c r="G111">
        <v>72884.029885895201</v>
      </c>
      <c r="H111">
        <v>22880.054095826603</v>
      </c>
      <c r="I111">
        <v>6172.6568381464704</v>
      </c>
      <c r="J111">
        <v>16129.624575899548</v>
      </c>
      <c r="K111">
        <v>22170.4600663399</v>
      </c>
      <c r="L111">
        <v>67352.79557621252</v>
      </c>
    </row>
    <row r="112" spans="1:12" hidden="1" x14ac:dyDescent="0.25">
      <c r="A112" t="s">
        <v>431</v>
      </c>
      <c r="B112" t="s">
        <v>432</v>
      </c>
      <c r="C112">
        <v>789914.69644627383</v>
      </c>
      <c r="D112">
        <v>212517.79317573787</v>
      </c>
      <c r="E112">
        <v>426747.11818519246</v>
      </c>
      <c r="F112">
        <v>578869.7745378773</v>
      </c>
      <c r="G112">
        <v>2008049.3823450813</v>
      </c>
      <c r="H112">
        <v>671554.29449417663</v>
      </c>
      <c r="I112">
        <v>180790.55792858839</v>
      </c>
      <c r="J112">
        <v>362853.85885154881</v>
      </c>
      <c r="K112">
        <v>492211.07450998516</v>
      </c>
      <c r="L112">
        <v>1707409.785784299</v>
      </c>
    </row>
    <row r="113" spans="1:12" hidden="1" x14ac:dyDescent="0.25">
      <c r="A113" t="s">
        <v>433</v>
      </c>
      <c r="B113" t="s">
        <v>434</v>
      </c>
      <c r="C113">
        <v>2625228.0505656688</v>
      </c>
      <c r="D113">
        <v>0</v>
      </c>
      <c r="E113">
        <v>1913864.4087175792</v>
      </c>
      <c r="F113">
        <v>2596100.1529004704</v>
      </c>
      <c r="G113">
        <v>7135192.612183718</v>
      </c>
      <c r="H113">
        <v>2232420.8871958279</v>
      </c>
      <c r="I113">
        <v>0</v>
      </c>
      <c r="J113">
        <v>1627722.698222494</v>
      </c>
      <c r="K113">
        <v>2208005.0101497392</v>
      </c>
      <c r="L113">
        <v>6068148.5955680609</v>
      </c>
    </row>
    <row r="114" spans="1:12" hidden="1" x14ac:dyDescent="0.25">
      <c r="A114" t="s">
        <v>435</v>
      </c>
      <c r="B114" t="s">
        <v>436</v>
      </c>
      <c r="C114">
        <v>3868757.1271494087</v>
      </c>
      <c r="D114">
        <v>0</v>
      </c>
      <c r="E114">
        <v>3113619.0769356736</v>
      </c>
      <c r="F114">
        <v>4223531.6801376045</v>
      </c>
      <c r="G114">
        <v>11205907.884222686</v>
      </c>
      <c r="H114">
        <v>3963529.3710616534</v>
      </c>
      <c r="I114">
        <v>0</v>
      </c>
      <c r="J114">
        <v>3205943.6824447457</v>
      </c>
      <c r="K114">
        <v>4254494.7922820719</v>
      </c>
      <c r="L114">
        <v>11423967.845788471</v>
      </c>
    </row>
    <row r="115" spans="1:12" hidden="1" x14ac:dyDescent="0.25">
      <c r="A115" t="s">
        <v>437</v>
      </c>
      <c r="B115" t="s">
        <v>438</v>
      </c>
      <c r="C115">
        <v>128610.97367882126</v>
      </c>
      <c r="D115">
        <v>34601.356864696594</v>
      </c>
      <c r="E115">
        <v>62185.627790080478</v>
      </c>
      <c r="F115">
        <v>84352.954722751558</v>
      </c>
      <c r="G115">
        <v>309750.91305634991</v>
      </c>
      <c r="H115">
        <v>141680.33497800314</v>
      </c>
      <c r="I115">
        <v>38222.99042083008</v>
      </c>
      <c r="J115">
        <v>73127.845697864352</v>
      </c>
      <c r="K115">
        <v>97045.384919275792</v>
      </c>
      <c r="L115">
        <v>350076.55601597333</v>
      </c>
    </row>
    <row r="116" spans="1:12" hidden="1" x14ac:dyDescent="0.25">
      <c r="A116" t="s">
        <v>439</v>
      </c>
      <c r="B116" t="s">
        <v>1388</v>
      </c>
      <c r="C116">
        <v>182824.48837869993</v>
      </c>
      <c r="D116">
        <v>41889.040507044614</v>
      </c>
      <c r="E116">
        <v>87456.509791179604</v>
      </c>
      <c r="F116">
        <v>120210.55101083637</v>
      </c>
      <c r="G116">
        <v>432380.58968776051</v>
      </c>
      <c r="H116">
        <v>155591.79471509115</v>
      </c>
      <c r="I116">
        <v>35605.684430987923</v>
      </c>
      <c r="J116">
        <v>74455.259718350033</v>
      </c>
      <c r="K116">
        <v>102337.98590540318</v>
      </c>
      <c r="L116">
        <v>367990.72476983233</v>
      </c>
    </row>
    <row r="117" spans="1:12" hidden="1" x14ac:dyDescent="0.25">
      <c r="A117" t="s">
        <v>277</v>
      </c>
      <c r="B117" t="s">
        <v>278</v>
      </c>
      <c r="C117">
        <v>61698.507643218327</v>
      </c>
      <c r="D117">
        <v>0</v>
      </c>
      <c r="E117">
        <v>29763.305885214799</v>
      </c>
      <c r="F117">
        <v>40373.039285058243</v>
      </c>
      <c r="G117">
        <v>131834.85281349136</v>
      </c>
      <c r="H117">
        <v>56320.133158957768</v>
      </c>
      <c r="I117">
        <v>0</v>
      </c>
      <c r="J117">
        <v>27242.965634530141</v>
      </c>
      <c r="K117">
        <v>36153.178876193677</v>
      </c>
      <c r="L117">
        <v>119716.27766968159</v>
      </c>
    </row>
    <row r="118" spans="1:12" hidden="1" x14ac:dyDescent="0.25">
      <c r="A118" t="s">
        <v>440</v>
      </c>
      <c r="B118" t="s">
        <v>441</v>
      </c>
      <c r="C118">
        <v>0</v>
      </c>
      <c r="D118">
        <v>2697.5894168337459</v>
      </c>
      <c r="E118">
        <v>0</v>
      </c>
      <c r="F118">
        <v>0</v>
      </c>
      <c r="G118">
        <v>2697.5894168337459</v>
      </c>
      <c r="H118">
        <v>12320.029128522014</v>
      </c>
      <c r="I118">
        <v>3323.7382974634843</v>
      </c>
      <c r="J118">
        <v>6350.2927222751705</v>
      </c>
      <c r="K118">
        <v>8427.2495066987558</v>
      </c>
      <c r="L118">
        <v>30421.309654959427</v>
      </c>
    </row>
    <row r="119" spans="1:12" hidden="1" x14ac:dyDescent="0.25">
      <c r="A119" t="s">
        <v>148</v>
      </c>
      <c r="B119" t="s">
        <v>149</v>
      </c>
      <c r="C119">
        <v>92143.542142864768</v>
      </c>
      <c r="D119">
        <v>0</v>
      </c>
      <c r="E119">
        <v>0</v>
      </c>
      <c r="F119">
        <v>0</v>
      </c>
      <c r="G119">
        <v>92143.542142864768</v>
      </c>
      <c r="H119">
        <v>104720.24759243711</v>
      </c>
      <c r="I119">
        <v>0</v>
      </c>
      <c r="J119">
        <v>50654.889226704465</v>
      </c>
      <c r="K119">
        <v>67222.316972922621</v>
      </c>
      <c r="L119">
        <v>222597.45379206419</v>
      </c>
    </row>
    <row r="120" spans="1:12" hidden="1" x14ac:dyDescent="0.25">
      <c r="A120" t="s">
        <v>279</v>
      </c>
      <c r="B120" t="s">
        <v>280</v>
      </c>
      <c r="C120">
        <v>84673.853565184225</v>
      </c>
      <c r="D120">
        <v>22176.550856670681</v>
      </c>
      <c r="E120">
        <v>51773.721280946986</v>
      </c>
      <c r="F120">
        <v>71392.5271208052</v>
      </c>
      <c r="G120">
        <v>230016.65282360709</v>
      </c>
      <c r="H120">
        <v>71972.775530406594</v>
      </c>
      <c r="I120">
        <v>18850.068228170079</v>
      </c>
      <c r="J120">
        <v>44007.663088804933</v>
      </c>
      <c r="K120">
        <v>60683.648052684417</v>
      </c>
      <c r="L120">
        <v>195514.154900066</v>
      </c>
    </row>
    <row r="121" spans="1:12" hidden="1" x14ac:dyDescent="0.25">
      <c r="A121" t="s">
        <v>442</v>
      </c>
      <c r="B121" t="s">
        <v>443</v>
      </c>
      <c r="C121">
        <v>14772.882111756497</v>
      </c>
      <c r="D121">
        <v>3974.48018040434</v>
      </c>
      <c r="E121">
        <v>8062.7118837081507</v>
      </c>
      <c r="F121">
        <v>10936.828888579819</v>
      </c>
      <c r="G121">
        <v>37746.903064448808</v>
      </c>
      <c r="H121">
        <v>12563.92678417388</v>
      </c>
      <c r="I121">
        <v>3382.3614139726546</v>
      </c>
      <c r="J121">
        <v>6858.063750847632</v>
      </c>
      <c r="K121">
        <v>9302.9599810421951</v>
      </c>
      <c r="L121">
        <v>32107.311930036361</v>
      </c>
    </row>
    <row r="122" spans="1:12" hidden="1" x14ac:dyDescent="0.25">
      <c r="A122" t="s">
        <v>281</v>
      </c>
      <c r="B122" t="s">
        <v>282</v>
      </c>
      <c r="C122">
        <v>145121.84192137272</v>
      </c>
      <c r="D122">
        <v>0</v>
      </c>
      <c r="E122">
        <v>70006.649053955858</v>
      </c>
      <c r="F122">
        <v>94961.937473305996</v>
      </c>
      <c r="G122">
        <v>310090.42844863457</v>
      </c>
      <c r="H122">
        <v>123422.10429159051</v>
      </c>
      <c r="I122">
        <v>0</v>
      </c>
      <c r="J122">
        <v>59546.969942628974</v>
      </c>
      <c r="K122">
        <v>80775.434363690816</v>
      </c>
      <c r="L122">
        <v>263744.50859791029</v>
      </c>
    </row>
    <row r="123" spans="1:12" hidden="1" x14ac:dyDescent="0.25">
      <c r="A123" t="s">
        <v>444</v>
      </c>
      <c r="B123" t="s">
        <v>445</v>
      </c>
      <c r="C123">
        <v>30972.619207685653</v>
      </c>
      <c r="D123">
        <v>8160.7747063877987</v>
      </c>
      <c r="E123">
        <v>18821.91468540447</v>
      </c>
      <c r="F123">
        <v>25871.061408851401</v>
      </c>
      <c r="G123">
        <v>83826.370008329322</v>
      </c>
      <c r="H123">
        <v>26326.726326532804</v>
      </c>
      <c r="I123">
        <v>6936.6585004296285</v>
      </c>
      <c r="J123">
        <v>15998.6274825938</v>
      </c>
      <c r="K123">
        <v>21990.40219752369</v>
      </c>
      <c r="L123">
        <v>71252.414507079928</v>
      </c>
    </row>
    <row r="124" spans="1:12" hidden="1" x14ac:dyDescent="0.25">
      <c r="A124" t="s">
        <v>150</v>
      </c>
      <c r="B124" t="s">
        <v>151</v>
      </c>
      <c r="C124">
        <v>590046.29140486242</v>
      </c>
      <c r="D124">
        <v>0</v>
      </c>
      <c r="E124">
        <v>284637.81262057513</v>
      </c>
      <c r="F124">
        <v>386102.72781062726</v>
      </c>
      <c r="G124">
        <v>1260786.8318360648</v>
      </c>
      <c r="H124">
        <v>587841.38984662155</v>
      </c>
      <c r="I124">
        <v>0</v>
      </c>
      <c r="J124">
        <v>284348.45381040836</v>
      </c>
      <c r="K124">
        <v>377348.80452027143</v>
      </c>
      <c r="L124">
        <v>1249538.6481773013</v>
      </c>
    </row>
    <row r="125" spans="1:12" hidden="1" x14ac:dyDescent="0.25">
      <c r="A125" t="s">
        <v>152</v>
      </c>
      <c r="B125" t="s">
        <v>153</v>
      </c>
      <c r="C125">
        <v>1264384.9101532765</v>
      </c>
      <c r="D125">
        <v>0</v>
      </c>
      <c r="E125">
        <v>0</v>
      </c>
      <c r="F125">
        <v>0</v>
      </c>
      <c r="G125">
        <v>1264384.9101532765</v>
      </c>
      <c r="H125">
        <v>1308563.0938651597</v>
      </c>
      <c r="I125">
        <v>0</v>
      </c>
      <c r="J125">
        <v>0</v>
      </c>
      <c r="K125">
        <v>0</v>
      </c>
      <c r="L125">
        <v>1308563.0938651597</v>
      </c>
    </row>
    <row r="126" spans="1:12" hidden="1" x14ac:dyDescent="0.25">
      <c r="A126" t="s">
        <v>154</v>
      </c>
      <c r="B126" t="s">
        <v>155</v>
      </c>
      <c r="C126">
        <v>292850.66303893761</v>
      </c>
      <c r="D126">
        <v>0</v>
      </c>
      <c r="E126">
        <v>141270.90258193499</v>
      </c>
      <c r="F126">
        <v>191629.77801499469</v>
      </c>
      <c r="G126">
        <v>625751.34363586735</v>
      </c>
      <c r="H126">
        <v>259600.61377957097</v>
      </c>
      <c r="I126">
        <v>0</v>
      </c>
      <c r="J126">
        <v>125573.04472166231</v>
      </c>
      <c r="K126">
        <v>166643.55888245523</v>
      </c>
      <c r="L126">
        <v>551817.21738368855</v>
      </c>
    </row>
    <row r="127" spans="1:12" hidden="1" x14ac:dyDescent="0.25">
      <c r="A127" t="s">
        <v>156</v>
      </c>
      <c r="B127" t="s">
        <v>157</v>
      </c>
      <c r="C127">
        <v>8689.9306539744121</v>
      </c>
      <c r="D127">
        <v>2337.9295178849061</v>
      </c>
      <c r="E127">
        <v>7651.0560192112389</v>
      </c>
      <c r="F127">
        <v>10378.429950862539</v>
      </c>
      <c r="G127">
        <v>29057.3461419331</v>
      </c>
      <c r="H127">
        <v>0</v>
      </c>
      <c r="I127">
        <v>2106.661088287467</v>
      </c>
      <c r="J127">
        <v>0</v>
      </c>
      <c r="K127">
        <v>0</v>
      </c>
      <c r="L127">
        <v>2106.661088287467</v>
      </c>
    </row>
    <row r="128" spans="1:12" hidden="1" x14ac:dyDescent="0.25">
      <c r="A128" t="s">
        <v>158</v>
      </c>
      <c r="B128" t="s">
        <v>159</v>
      </c>
      <c r="C128">
        <v>56309.942420639585</v>
      </c>
      <c r="D128">
        <v>0</v>
      </c>
      <c r="E128">
        <v>0</v>
      </c>
      <c r="F128">
        <v>0</v>
      </c>
      <c r="G128">
        <v>56309.942420639585</v>
      </c>
      <c r="H128">
        <v>47863.451057543643</v>
      </c>
      <c r="I128">
        <v>0</v>
      </c>
      <c r="J128">
        <v>0</v>
      </c>
      <c r="K128">
        <v>0</v>
      </c>
      <c r="L128">
        <v>47863.451057543643</v>
      </c>
    </row>
    <row r="129" spans="1:12" hidden="1" x14ac:dyDescent="0.25">
      <c r="A129" t="s">
        <v>446</v>
      </c>
      <c r="B129" t="s">
        <v>447</v>
      </c>
      <c r="C129">
        <v>62719.553895563447</v>
      </c>
      <c r="D129">
        <v>16525.568780435282</v>
      </c>
      <c r="E129">
        <v>42862.701933786979</v>
      </c>
      <c r="F129">
        <v>58915.557339031031</v>
      </c>
      <c r="G129">
        <v>181023.38194881676</v>
      </c>
      <c r="H129">
        <v>56447.598506007103</v>
      </c>
      <c r="I129">
        <v>14873.011902391754</v>
      </c>
      <c r="J129">
        <v>38576.431740408283</v>
      </c>
      <c r="K129">
        <v>53024.001605127931</v>
      </c>
      <c r="L129">
        <v>162921.04375393508</v>
      </c>
    </row>
    <row r="130" spans="1:12" hidden="1" x14ac:dyDescent="0.25">
      <c r="A130" t="s">
        <v>448</v>
      </c>
      <c r="B130" t="s">
        <v>449</v>
      </c>
      <c r="C130">
        <v>1180092.5828097248</v>
      </c>
      <c r="D130">
        <v>317490.82852877019</v>
      </c>
      <c r="E130">
        <v>709079.32260339148</v>
      </c>
      <c r="F130">
        <v>961845.01338980312</v>
      </c>
      <c r="G130">
        <v>3168507.7473316896</v>
      </c>
      <c r="H130">
        <v>1062673.4474475652</v>
      </c>
      <c r="I130">
        <v>286084.57578943792</v>
      </c>
      <c r="J130">
        <v>638614.5099835241</v>
      </c>
      <c r="K130">
        <v>866280.25715790561</v>
      </c>
      <c r="L130">
        <v>2853652.7903784327</v>
      </c>
    </row>
    <row r="131" spans="1:12" hidden="1" x14ac:dyDescent="0.25">
      <c r="A131" t="s">
        <v>450</v>
      </c>
      <c r="B131" t="s">
        <v>451</v>
      </c>
      <c r="C131">
        <v>55615.556185436246</v>
      </c>
      <c r="D131">
        <v>14962.748914463398</v>
      </c>
      <c r="E131">
        <v>36618.30875240665</v>
      </c>
      <c r="F131">
        <v>49671.64680949341</v>
      </c>
      <c r="G131">
        <v>156868.26066179969</v>
      </c>
      <c r="H131">
        <v>50081.811956291742</v>
      </c>
      <c r="I131">
        <v>13482.630965039789</v>
      </c>
      <c r="J131">
        <v>32979.361483120629</v>
      </c>
      <c r="K131">
        <v>44736.487035407859</v>
      </c>
      <c r="L131">
        <v>141280.29143986001</v>
      </c>
    </row>
    <row r="132" spans="1:12" hidden="1" x14ac:dyDescent="0.25">
      <c r="A132" t="s">
        <v>452</v>
      </c>
      <c r="B132" t="s">
        <v>453</v>
      </c>
      <c r="C132">
        <v>42580.660204474625</v>
      </c>
      <c r="D132">
        <v>11455.854637636043</v>
      </c>
      <c r="E132">
        <v>22231.093488798739</v>
      </c>
      <c r="F132">
        <v>30155.817174157859</v>
      </c>
      <c r="G132">
        <v>106423.42550506727</v>
      </c>
      <c r="H132">
        <v>36213.671319089437</v>
      </c>
      <c r="I132">
        <v>9749.159369685889</v>
      </c>
      <c r="J132">
        <v>18909.550359266472</v>
      </c>
      <c r="K132">
        <v>25650.795420211081</v>
      </c>
      <c r="L132">
        <v>90523.176468252888</v>
      </c>
    </row>
    <row r="133" spans="1:12" hidden="1" x14ac:dyDescent="0.25">
      <c r="A133" t="s">
        <v>76</v>
      </c>
      <c r="B133" t="s">
        <v>30</v>
      </c>
      <c r="C133">
        <v>0</v>
      </c>
      <c r="D133">
        <v>1873.703092925892</v>
      </c>
      <c r="E133">
        <v>0</v>
      </c>
      <c r="F133">
        <v>0</v>
      </c>
      <c r="G133">
        <v>1873.703092925892</v>
      </c>
      <c r="H133">
        <v>0</v>
      </c>
      <c r="I133">
        <v>1190.2528482514217</v>
      </c>
      <c r="J133">
        <v>0</v>
      </c>
      <c r="K133">
        <v>0</v>
      </c>
      <c r="L133">
        <v>1190.2528482514217</v>
      </c>
    </row>
    <row r="134" spans="1:12" hidden="1" x14ac:dyDescent="0.25">
      <c r="A134" t="s">
        <v>454</v>
      </c>
      <c r="B134" t="s">
        <v>455</v>
      </c>
      <c r="C134">
        <v>78209.375885769739</v>
      </c>
      <c r="D134">
        <v>21041.365660964169</v>
      </c>
      <c r="E134">
        <v>45549.050684197457</v>
      </c>
      <c r="F134">
        <v>61785.932643447697</v>
      </c>
      <c r="G134">
        <v>206585.72487437906</v>
      </c>
      <c r="H134">
        <v>70427.548063535287</v>
      </c>
      <c r="I134">
        <v>18959.949794587214</v>
      </c>
      <c r="J134">
        <v>41022.610243527532</v>
      </c>
      <c r="K134">
        <v>55647.149877581673</v>
      </c>
      <c r="L134">
        <v>186057.25797923171</v>
      </c>
    </row>
    <row r="135" spans="1:12" hidden="1" x14ac:dyDescent="0.25">
      <c r="A135" t="s">
        <v>160</v>
      </c>
      <c r="B135" t="s">
        <v>161</v>
      </c>
      <c r="C135">
        <v>302409.58675830951</v>
      </c>
      <c r="D135">
        <v>0</v>
      </c>
      <c r="E135">
        <v>145882.11898668663</v>
      </c>
      <c r="F135">
        <v>197884.75593239808</v>
      </c>
      <c r="G135">
        <v>646176.46167739423</v>
      </c>
      <c r="H135">
        <v>257190.9718172065</v>
      </c>
      <c r="I135">
        <v>0</v>
      </c>
      <c r="J135">
        <v>124085.90143733469</v>
      </c>
      <c r="K135">
        <v>168322.46202733176</v>
      </c>
      <c r="L135">
        <v>549599.33528187289</v>
      </c>
    </row>
    <row r="136" spans="1:12" hidden="1" x14ac:dyDescent="0.25">
      <c r="A136" t="s">
        <v>456</v>
      </c>
      <c r="B136" t="s">
        <v>457</v>
      </c>
      <c r="C136">
        <v>147894.2567166989</v>
      </c>
      <c r="D136">
        <v>38967.699223001749</v>
      </c>
      <c r="E136">
        <v>96245.878736191982</v>
      </c>
      <c r="F136">
        <v>132291.69724500761</v>
      </c>
      <c r="G136">
        <v>415399.53192090022</v>
      </c>
      <c r="H136">
        <v>125710.11820919406</v>
      </c>
      <c r="I136">
        <v>33122.544339551489</v>
      </c>
      <c r="J136">
        <v>81808.996925763189</v>
      </c>
      <c r="K136">
        <v>112447.94265825646</v>
      </c>
      <c r="L136">
        <v>353089.60213276517</v>
      </c>
    </row>
    <row r="137" spans="1:12" hidden="1" x14ac:dyDescent="0.25">
      <c r="A137" t="s">
        <v>458</v>
      </c>
      <c r="B137" t="s">
        <v>459</v>
      </c>
      <c r="C137">
        <v>16687.547782919519</v>
      </c>
      <c r="D137">
        <v>4370.5611177380197</v>
      </c>
      <c r="E137">
        <v>12909.3573260377</v>
      </c>
      <c r="F137">
        <v>17801.147381509105</v>
      </c>
      <c r="G137">
        <v>51768.613608204338</v>
      </c>
      <c r="H137">
        <v>0</v>
      </c>
      <c r="I137">
        <v>3714.9769500773168</v>
      </c>
      <c r="J137">
        <v>0</v>
      </c>
      <c r="K137">
        <v>0</v>
      </c>
      <c r="L137">
        <v>3714.9769500773168</v>
      </c>
    </row>
    <row r="138" spans="1:12" hidden="1" x14ac:dyDescent="0.25">
      <c r="A138" t="s">
        <v>283</v>
      </c>
      <c r="B138" t="s">
        <v>284</v>
      </c>
      <c r="C138">
        <v>92917.857623056945</v>
      </c>
      <c r="D138">
        <v>24482.324119163404</v>
      </c>
      <c r="E138">
        <v>51426.28595082165</v>
      </c>
      <c r="F138">
        <v>70686.358115020295</v>
      </c>
      <c r="G138">
        <v>239512.82580806231</v>
      </c>
      <c r="H138">
        <v>78980.178979598408</v>
      </c>
      <c r="I138">
        <v>20809.975501288893</v>
      </c>
      <c r="J138">
        <v>43712.343058198399</v>
      </c>
      <c r="K138">
        <v>60083.404397767248</v>
      </c>
      <c r="L138">
        <v>203585.90193685293</v>
      </c>
    </row>
    <row r="139" spans="1:12" hidden="1" x14ac:dyDescent="0.25">
      <c r="A139" t="s">
        <v>460</v>
      </c>
      <c r="B139" t="s">
        <v>461</v>
      </c>
      <c r="C139">
        <v>35163.541980459959</v>
      </c>
      <c r="D139">
        <v>8930.8400204539357</v>
      </c>
      <c r="E139">
        <v>19146.525998981546</v>
      </c>
      <c r="F139">
        <v>25229.227569560473</v>
      </c>
      <c r="G139">
        <v>88470.135569455917</v>
      </c>
      <c r="H139">
        <v>29889.010683390963</v>
      </c>
      <c r="I139">
        <v>7591.2140173858452</v>
      </c>
      <c r="J139">
        <v>16274.547099134314</v>
      </c>
      <c r="K139">
        <v>21444.8434341264</v>
      </c>
      <c r="L139">
        <v>75199.615234037512</v>
      </c>
    </row>
    <row r="140" spans="1:12" hidden="1" x14ac:dyDescent="0.25">
      <c r="A140" t="s">
        <v>462</v>
      </c>
      <c r="B140" t="s">
        <v>463</v>
      </c>
      <c r="C140">
        <v>113050.06010805261</v>
      </c>
      <c r="D140">
        <v>29786.827678315462</v>
      </c>
      <c r="E140">
        <v>68186.939185857918</v>
      </c>
      <c r="F140">
        <v>93724.178461339106</v>
      </c>
      <c r="G140">
        <v>304748.00543356512</v>
      </c>
      <c r="H140">
        <v>128480.3037688724</v>
      </c>
      <c r="I140">
        <v>34661.842244976338</v>
      </c>
      <c r="J140">
        <v>78481.311922501947</v>
      </c>
      <c r="K140">
        <v>104149.78113749329</v>
      </c>
      <c r="L140">
        <v>345773.23907384399</v>
      </c>
    </row>
    <row r="141" spans="1:12" hidden="1" x14ac:dyDescent="0.25">
      <c r="A141" t="s">
        <v>162</v>
      </c>
      <c r="B141" t="s">
        <v>163</v>
      </c>
      <c r="C141">
        <v>1255694.9794993023</v>
      </c>
      <c r="D141">
        <v>0</v>
      </c>
      <c r="E141">
        <v>763785.11722339946</v>
      </c>
      <c r="F141">
        <v>1036051.7968644522</v>
      </c>
      <c r="G141">
        <v>3055531.8935871539</v>
      </c>
      <c r="H141">
        <v>1237282.9253358536</v>
      </c>
      <c r="I141">
        <v>0</v>
      </c>
      <c r="J141">
        <v>750671.40463271725</v>
      </c>
      <c r="K141">
        <v>996189.54606511781</v>
      </c>
      <c r="L141">
        <v>2984143.8760336884</v>
      </c>
    </row>
    <row r="142" spans="1:12" hidden="1" x14ac:dyDescent="0.25">
      <c r="A142" t="s">
        <v>464</v>
      </c>
      <c r="B142" t="s">
        <v>465</v>
      </c>
      <c r="C142">
        <v>54847.346513609977</v>
      </c>
      <c r="D142">
        <v>0</v>
      </c>
      <c r="E142">
        <v>26236.952937353883</v>
      </c>
      <c r="F142">
        <v>36063.165303250906</v>
      </c>
      <c r="G142">
        <v>117147.46475421476</v>
      </c>
      <c r="H142">
        <v>46620.244536568476</v>
      </c>
      <c r="I142">
        <v>0</v>
      </c>
      <c r="J142">
        <v>22301.409996750801</v>
      </c>
      <c r="K142">
        <v>30653.690507763269</v>
      </c>
      <c r="L142">
        <v>99575.345041082546</v>
      </c>
    </row>
    <row r="143" spans="1:12" hidden="1" x14ac:dyDescent="0.25">
      <c r="A143" t="s">
        <v>164</v>
      </c>
      <c r="B143" t="s">
        <v>165</v>
      </c>
      <c r="C143">
        <v>776879.80046531197</v>
      </c>
      <c r="D143">
        <v>0</v>
      </c>
      <c r="E143">
        <v>420665.8120955741</v>
      </c>
      <c r="F143">
        <v>578212.75036212301</v>
      </c>
      <c r="G143">
        <v>1775758.3629230089</v>
      </c>
      <c r="H143">
        <v>669681.5833432324</v>
      </c>
      <c r="I143">
        <v>0</v>
      </c>
      <c r="J143">
        <v>357676.56707108143</v>
      </c>
      <c r="K143">
        <v>491632.89632689481</v>
      </c>
      <c r="L143">
        <v>1518991.0467412088</v>
      </c>
    </row>
    <row r="144" spans="1:12" hidden="1" x14ac:dyDescent="0.25">
      <c r="A144" t="s">
        <v>166</v>
      </c>
      <c r="B144" t="s">
        <v>167</v>
      </c>
      <c r="C144">
        <v>153572.57023810799</v>
      </c>
      <c r="D144">
        <v>0</v>
      </c>
      <c r="E144">
        <v>73463.468224590892</v>
      </c>
      <c r="F144">
        <v>100976.86284910253</v>
      </c>
      <c r="G144">
        <v>328012.9013118014</v>
      </c>
      <c r="H144">
        <v>130519.44877488032</v>
      </c>
      <c r="I144">
        <v>0</v>
      </c>
      <c r="J144">
        <v>62448.09262944838</v>
      </c>
      <c r="K144">
        <v>85836.030302215921</v>
      </c>
      <c r="L144">
        <v>278803.57170654461</v>
      </c>
    </row>
    <row r="145" spans="1:12" hidden="1" x14ac:dyDescent="0.25">
      <c r="A145" t="s">
        <v>168</v>
      </c>
      <c r="B145" t="s">
        <v>169</v>
      </c>
      <c r="C145">
        <v>132086.94594041104</v>
      </c>
      <c r="D145">
        <v>0</v>
      </c>
      <c r="E145">
        <v>0</v>
      </c>
      <c r="F145">
        <v>0</v>
      </c>
      <c r="G145">
        <v>132086.94594041104</v>
      </c>
      <c r="H145">
        <v>120560.28504339393</v>
      </c>
      <c r="I145">
        <v>0</v>
      </c>
      <c r="J145">
        <v>0</v>
      </c>
      <c r="K145">
        <v>0</v>
      </c>
      <c r="L145">
        <v>120560.28504339393</v>
      </c>
    </row>
    <row r="146" spans="1:12" hidden="1" x14ac:dyDescent="0.25">
      <c r="A146" t="s">
        <v>170</v>
      </c>
      <c r="B146" t="s">
        <v>171</v>
      </c>
      <c r="C146">
        <v>187702.50212584724</v>
      </c>
      <c r="D146">
        <v>0</v>
      </c>
      <c r="E146">
        <v>90547.522129667603</v>
      </c>
      <c r="F146">
        <v>122825.02092355747</v>
      </c>
      <c r="G146">
        <v>401075.0451790723</v>
      </c>
      <c r="H146">
        <v>160024.42595107321</v>
      </c>
      <c r="I146">
        <v>0</v>
      </c>
      <c r="J146">
        <v>77217.57270108485</v>
      </c>
      <c r="K146">
        <v>104745.59799515171</v>
      </c>
      <c r="L146">
        <v>341987.59664730978</v>
      </c>
    </row>
    <row r="147" spans="1:12" hidden="1" x14ac:dyDescent="0.25">
      <c r="A147" t="s">
        <v>466</v>
      </c>
      <c r="B147" t="s">
        <v>467</v>
      </c>
      <c r="C147">
        <v>112100.10543626989</v>
      </c>
      <c r="D147">
        <v>30159.290780715281</v>
      </c>
      <c r="E147">
        <v>54076.992382995872</v>
      </c>
      <c r="F147">
        <v>73353.831940457923</v>
      </c>
      <c r="G147">
        <v>269690.22054043901</v>
      </c>
      <c r="H147">
        <v>95338.032656378302</v>
      </c>
      <c r="I147">
        <v>25666.154258968967</v>
      </c>
      <c r="J147">
        <v>45997.360015563703</v>
      </c>
      <c r="K147">
        <v>62395.395406683325</v>
      </c>
      <c r="L147">
        <v>229396.94233759429</v>
      </c>
    </row>
    <row r="148" spans="1:12" hidden="1" x14ac:dyDescent="0.25">
      <c r="A148" t="s">
        <v>468</v>
      </c>
      <c r="B148" t="s">
        <v>469</v>
      </c>
      <c r="C148">
        <v>13937.678643458541</v>
      </c>
      <c r="D148">
        <v>3672.3486178745097</v>
      </c>
      <c r="E148">
        <v>8920.0886468471053</v>
      </c>
      <c r="F148">
        <v>12260.822823404522</v>
      </c>
      <c r="G148">
        <v>38790.938731584683</v>
      </c>
      <c r="H148">
        <v>0</v>
      </c>
      <c r="I148">
        <v>3121.4963251933332</v>
      </c>
      <c r="J148">
        <v>0</v>
      </c>
      <c r="K148">
        <v>0</v>
      </c>
      <c r="L148">
        <v>3121.4963251933332</v>
      </c>
    </row>
    <row r="149" spans="1:12" hidden="1" x14ac:dyDescent="0.25">
      <c r="A149" t="s">
        <v>172</v>
      </c>
      <c r="B149" t="s">
        <v>173</v>
      </c>
      <c r="C149">
        <v>402343.78927901515</v>
      </c>
      <c r="D149">
        <v>0</v>
      </c>
      <c r="E149">
        <v>194090.29049090773</v>
      </c>
      <c r="F149">
        <v>263277.70688706986</v>
      </c>
      <c r="G149">
        <v>859711.78665699274</v>
      </c>
      <c r="H149">
        <v>363440.85929139954</v>
      </c>
      <c r="I149">
        <v>0</v>
      </c>
      <c r="J149">
        <v>175802.26261032731</v>
      </c>
      <c r="K149">
        <v>233300.98243543738</v>
      </c>
      <c r="L149">
        <v>772544.1043371642</v>
      </c>
    </row>
    <row r="150" spans="1:12" hidden="1" x14ac:dyDescent="0.25">
      <c r="A150" t="s">
        <v>470</v>
      </c>
      <c r="B150" t="s">
        <v>471</v>
      </c>
      <c r="C150">
        <v>155766.46409865239</v>
      </c>
      <c r="D150">
        <v>41041.896127541957</v>
      </c>
      <c r="E150">
        <v>75867.507748334785</v>
      </c>
      <c r="F150">
        <v>104281.25855950882</v>
      </c>
      <c r="G150">
        <v>376957.12653403799</v>
      </c>
      <c r="H150">
        <v>132179.5569300671</v>
      </c>
      <c r="I150">
        <v>34827.134820705389</v>
      </c>
      <c r="J150">
        <v>64425.226360112261</v>
      </c>
      <c r="K150">
        <v>88553.636295785807</v>
      </c>
      <c r="L150">
        <v>319985.55440667056</v>
      </c>
    </row>
    <row r="151" spans="1:12" hidden="1" x14ac:dyDescent="0.25">
      <c r="A151" t="s">
        <v>472</v>
      </c>
      <c r="B151" t="s">
        <v>473</v>
      </c>
      <c r="C151">
        <v>38525.573276616677</v>
      </c>
      <c r="D151">
        <v>10090.060852061843</v>
      </c>
      <c r="E151">
        <v>21764.765657997483</v>
      </c>
      <c r="F151">
        <v>30012.168027960117</v>
      </c>
      <c r="G151">
        <v>100392.56781463612</v>
      </c>
      <c r="H151">
        <v>32746.737285124174</v>
      </c>
      <c r="I151">
        <v>8576.5517242525657</v>
      </c>
      <c r="J151">
        <v>18500.05080929786</v>
      </c>
      <c r="K151">
        <v>25510.342823766099</v>
      </c>
      <c r="L151">
        <v>85333.682642440705</v>
      </c>
    </row>
    <row r="152" spans="1:12" hidden="1" x14ac:dyDescent="0.25">
      <c r="A152" t="s">
        <v>474</v>
      </c>
      <c r="B152" t="s">
        <v>475</v>
      </c>
      <c r="C152">
        <v>1419934.6688594187</v>
      </c>
      <c r="D152">
        <v>382017.68322239362</v>
      </c>
      <c r="E152">
        <v>882628.74001858779</v>
      </c>
      <c r="F152">
        <v>1197259.6368266214</v>
      </c>
      <c r="G152">
        <v>3881840.7289270218</v>
      </c>
      <c r="H152">
        <v>1768804.1820235176</v>
      </c>
      <c r="I152">
        <v>477193.85556440032</v>
      </c>
      <c r="J152">
        <v>1136329.6368965344</v>
      </c>
      <c r="K152">
        <v>1507982.9845312347</v>
      </c>
      <c r="L152">
        <v>4890310.6590156872</v>
      </c>
    </row>
    <row r="153" spans="1:12" hidden="1" x14ac:dyDescent="0.25">
      <c r="A153" t="s">
        <v>476</v>
      </c>
      <c r="B153" t="s">
        <v>477</v>
      </c>
      <c r="C153">
        <v>90680.946235835188</v>
      </c>
      <c r="D153">
        <v>23892.934834813172</v>
      </c>
      <c r="E153">
        <v>47339.106797942179</v>
      </c>
      <c r="F153">
        <v>65068.456609222972</v>
      </c>
      <c r="G153">
        <v>226981.44447781352</v>
      </c>
      <c r="H153">
        <v>77078.804300459902</v>
      </c>
      <c r="I153">
        <v>20308.994609591195</v>
      </c>
      <c r="J153">
        <v>40238.240778250853</v>
      </c>
      <c r="K153">
        <v>55308.188117839527</v>
      </c>
      <c r="L153">
        <v>192934.22780614148</v>
      </c>
    </row>
    <row r="154" spans="1:12" hidden="1" x14ac:dyDescent="0.25">
      <c r="A154" t="s">
        <v>478</v>
      </c>
      <c r="B154" t="s">
        <v>479</v>
      </c>
      <c r="C154">
        <v>194525.25563493677</v>
      </c>
      <c r="D154">
        <v>51254.198919841154</v>
      </c>
      <c r="E154">
        <v>133945.01457489276</v>
      </c>
      <c r="F154">
        <v>184109.83980092793</v>
      </c>
      <c r="G154">
        <v>563834.30893059855</v>
      </c>
      <c r="H154">
        <v>165510.3855186468</v>
      </c>
      <c r="I154">
        <v>43609.528651608613</v>
      </c>
      <c r="J154">
        <v>113958.7119161391</v>
      </c>
      <c r="K154">
        <v>156638.30610932811</v>
      </c>
      <c r="L154">
        <v>479716.93219572265</v>
      </c>
    </row>
    <row r="155" spans="1:12" hidden="1" x14ac:dyDescent="0.25">
      <c r="A155" t="s">
        <v>480</v>
      </c>
      <c r="B155" t="s">
        <v>481</v>
      </c>
      <c r="C155">
        <v>247497.62226190107</v>
      </c>
      <c r="D155">
        <v>64820.996989003354</v>
      </c>
      <c r="E155">
        <v>128279.02185841523</v>
      </c>
      <c r="F155">
        <v>176888.26146687521</v>
      </c>
      <c r="G155">
        <v>617485.90257619484</v>
      </c>
      <c r="H155">
        <v>210372.9789226159</v>
      </c>
      <c r="I155">
        <v>55097.847440652848</v>
      </c>
      <c r="J155">
        <v>109037.16857965295</v>
      </c>
      <c r="K155">
        <v>150355.02224684393</v>
      </c>
      <c r="L155">
        <v>524863.0171897657</v>
      </c>
    </row>
    <row r="156" spans="1:12" hidden="1" x14ac:dyDescent="0.25">
      <c r="A156" t="s">
        <v>174</v>
      </c>
      <c r="B156" t="s">
        <v>175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hidden="1" x14ac:dyDescent="0.25">
      <c r="A157" t="s">
        <v>482</v>
      </c>
      <c r="B157" t="s">
        <v>483</v>
      </c>
      <c r="C157">
        <v>788176.71031547908</v>
      </c>
      <c r="D157">
        <v>0</v>
      </c>
      <c r="E157">
        <v>425489.51371116948</v>
      </c>
      <c r="F157">
        <v>577163.87146949442</v>
      </c>
      <c r="G157">
        <v>1790830.095496143</v>
      </c>
      <c r="H157">
        <v>681121.6103911458</v>
      </c>
      <c r="I157">
        <v>0</v>
      </c>
      <c r="J157">
        <v>361954.57443870272</v>
      </c>
      <c r="K157">
        <v>490991.19566251169</v>
      </c>
      <c r="L157">
        <v>1534067.3804923603</v>
      </c>
    </row>
    <row r="158" spans="1:12" hidden="1" x14ac:dyDescent="0.25">
      <c r="A158" t="s">
        <v>285</v>
      </c>
      <c r="B158" t="s">
        <v>286</v>
      </c>
      <c r="C158">
        <v>2137722.9408777049</v>
      </c>
      <c r="D158">
        <v>0</v>
      </c>
      <c r="E158">
        <v>1443520.3354329171</v>
      </c>
      <c r="F158">
        <v>1958092.4053253245</v>
      </c>
      <c r="G158">
        <v>5539335.681635946</v>
      </c>
      <c r="H158">
        <v>2086484.9331232633</v>
      </c>
      <c r="I158">
        <v>0</v>
      </c>
      <c r="J158">
        <v>1390029.7543680964</v>
      </c>
      <c r="K158">
        <v>1844659.4628157886</v>
      </c>
      <c r="L158">
        <v>5321174.1503071487</v>
      </c>
    </row>
    <row r="159" spans="1:12" hidden="1" x14ac:dyDescent="0.25">
      <c r="A159" t="s">
        <v>484</v>
      </c>
      <c r="B159" t="s">
        <v>485</v>
      </c>
      <c r="C159">
        <v>160154.25181974118</v>
      </c>
      <c r="D159">
        <v>0</v>
      </c>
      <c r="E159">
        <v>76611.902577073372</v>
      </c>
      <c r="F159">
        <v>105304.44268549263</v>
      </c>
      <c r="G159">
        <v>342070.59708230721</v>
      </c>
      <c r="H159">
        <v>166320.3932350472</v>
      </c>
      <c r="I159">
        <v>0</v>
      </c>
      <c r="J159">
        <v>80451.882889471832</v>
      </c>
      <c r="K159">
        <v>106764.85636875946</v>
      </c>
      <c r="L159">
        <v>353537.13249327848</v>
      </c>
    </row>
    <row r="160" spans="1:12" hidden="1" x14ac:dyDescent="0.25">
      <c r="A160" t="s">
        <v>486</v>
      </c>
      <c r="B160" t="s">
        <v>487</v>
      </c>
      <c r="C160">
        <v>76471.389754974851</v>
      </c>
      <c r="D160">
        <v>0</v>
      </c>
      <c r="E160">
        <v>36889.731238012711</v>
      </c>
      <c r="F160">
        <v>50039.823339227099</v>
      </c>
      <c r="G160">
        <v>163400.94433221465</v>
      </c>
      <c r="H160">
        <v>74800.176851740805</v>
      </c>
      <c r="I160">
        <v>0</v>
      </c>
      <c r="J160">
        <v>36182.063733360337</v>
      </c>
      <c r="K160">
        <v>48015.940694944722</v>
      </c>
      <c r="L160">
        <v>158998.18128004586</v>
      </c>
    </row>
    <row r="161" spans="1:12" hidden="1" x14ac:dyDescent="0.25">
      <c r="A161" t="s">
        <v>488</v>
      </c>
      <c r="B161" t="s">
        <v>489</v>
      </c>
      <c r="C161">
        <v>34759.722615897648</v>
      </c>
      <c r="D161">
        <v>0</v>
      </c>
      <c r="E161">
        <v>16768.059653642144</v>
      </c>
      <c r="F161">
        <v>22745.37424510323</v>
      </c>
      <c r="G161">
        <v>74273.156514643022</v>
      </c>
      <c r="H161">
        <v>36080.08530495732</v>
      </c>
      <c r="I161">
        <v>0</v>
      </c>
      <c r="J161">
        <v>17452.524859620869</v>
      </c>
      <c r="K161">
        <v>23160.630217561571</v>
      </c>
      <c r="L161">
        <v>76693.24038213976</v>
      </c>
    </row>
    <row r="162" spans="1:12" hidden="1" x14ac:dyDescent="0.25">
      <c r="A162" t="s">
        <v>490</v>
      </c>
      <c r="B162" t="s">
        <v>491</v>
      </c>
      <c r="C162">
        <v>60829.514577820883</v>
      </c>
      <c r="D162">
        <v>16365.506625194343</v>
      </c>
      <c r="E162">
        <v>44209.806719735629</v>
      </c>
      <c r="F162">
        <v>59969.288034209123</v>
      </c>
      <c r="G162">
        <v>181374.11595695998</v>
      </c>
      <c r="H162">
        <v>67760.160206871064</v>
      </c>
      <c r="I162">
        <v>18280.560636049173</v>
      </c>
      <c r="J162">
        <v>53453.944318900678</v>
      </c>
      <c r="K162">
        <v>70936.844267419045</v>
      </c>
      <c r="L162">
        <v>210431.50942923996</v>
      </c>
    </row>
    <row r="163" spans="1:12" hidden="1" x14ac:dyDescent="0.25">
      <c r="A163" t="s">
        <v>492</v>
      </c>
      <c r="B163" t="s">
        <v>493</v>
      </c>
      <c r="C163">
        <v>241580.07218048867</v>
      </c>
      <c r="D163">
        <v>64994.440597200388</v>
      </c>
      <c r="E163">
        <v>133894.84274104345</v>
      </c>
      <c r="F163">
        <v>181624.37220175189</v>
      </c>
      <c r="G163">
        <v>622093.72772048437</v>
      </c>
      <c r="H163">
        <v>217542.87068514226</v>
      </c>
      <c r="I163">
        <v>58640.23996239149</v>
      </c>
      <c r="J163">
        <v>120589.03237010495</v>
      </c>
      <c r="K163">
        <v>163578.96092071666</v>
      </c>
      <c r="L163">
        <v>560351.10393835534</v>
      </c>
    </row>
    <row r="164" spans="1:12" hidden="1" x14ac:dyDescent="0.25">
      <c r="A164" t="s">
        <v>494</v>
      </c>
      <c r="B164" t="s">
        <v>495</v>
      </c>
      <c r="C164">
        <v>155911.9256559964</v>
      </c>
      <c r="D164">
        <v>40538.350659732583</v>
      </c>
      <c r="E164">
        <v>72591.647621933953</v>
      </c>
      <c r="F164">
        <v>98314.269542001392</v>
      </c>
      <c r="G164">
        <v>367356.19347966439</v>
      </c>
      <c r="H164">
        <v>132822.17715100295</v>
      </c>
      <c r="I164">
        <v>34535.863295785268</v>
      </c>
      <c r="J164">
        <v>61882.062451775171</v>
      </c>
      <c r="K164">
        <v>83813.390476055545</v>
      </c>
      <c r="L164">
        <v>313053.49337461893</v>
      </c>
    </row>
    <row r="165" spans="1:12" hidden="1" x14ac:dyDescent="0.25">
      <c r="A165" t="s">
        <v>176</v>
      </c>
      <c r="B165" t="s">
        <v>177</v>
      </c>
      <c r="C165">
        <v>216379.2732839628</v>
      </c>
      <c r="D165">
        <v>0</v>
      </c>
      <c r="E165">
        <v>104381.17134392231</v>
      </c>
      <c r="F165">
        <v>141589.95467576757</v>
      </c>
      <c r="G165">
        <v>462350.3993036527</v>
      </c>
      <c r="H165">
        <v>183842.82199597836</v>
      </c>
      <c r="I165">
        <v>0</v>
      </c>
      <c r="J165">
        <v>88697.912407158074</v>
      </c>
      <c r="K165">
        <v>120318.67295252123</v>
      </c>
      <c r="L165">
        <v>392859.40735565766</v>
      </c>
    </row>
    <row r="166" spans="1:12" hidden="1" x14ac:dyDescent="0.25">
      <c r="A166" t="s">
        <v>496</v>
      </c>
      <c r="B166" t="s">
        <v>497</v>
      </c>
      <c r="C166">
        <v>123890.47683074261</v>
      </c>
      <c r="D166">
        <v>32643.098825551195</v>
      </c>
      <c r="E166">
        <v>74554.731004663045</v>
      </c>
      <c r="F166">
        <v>102476.823234022</v>
      </c>
      <c r="G166">
        <v>333565.12989497883</v>
      </c>
      <c r="H166">
        <v>122320.28920461138</v>
      </c>
      <c r="I166">
        <v>32999.973096244605</v>
      </c>
      <c r="J166">
        <v>68826.245274872694</v>
      </c>
      <c r="K166">
        <v>92229.140910619797</v>
      </c>
      <c r="L166">
        <v>316375.64848634851</v>
      </c>
    </row>
    <row r="167" spans="1:12" hidden="1" x14ac:dyDescent="0.25">
      <c r="A167" t="s">
        <v>498</v>
      </c>
      <c r="B167" t="s">
        <v>499</v>
      </c>
      <c r="C167">
        <v>302757.35275512718</v>
      </c>
      <c r="D167">
        <v>79771.572754940731</v>
      </c>
      <c r="E167">
        <v>163069.53658732405</v>
      </c>
      <c r="F167">
        <v>224142.02090901378</v>
      </c>
      <c r="G167">
        <v>769740.48300640576</v>
      </c>
      <c r="H167">
        <v>257343.74984185811</v>
      </c>
      <c r="I167">
        <v>67805.836841699624</v>
      </c>
      <c r="J167">
        <v>138609.10609922544</v>
      </c>
      <c r="K167">
        <v>190520.71777266171</v>
      </c>
      <c r="L167">
        <v>654279.41055544489</v>
      </c>
    </row>
    <row r="168" spans="1:12" hidden="1" x14ac:dyDescent="0.25">
      <c r="A168" t="s">
        <v>178</v>
      </c>
      <c r="B168" t="s">
        <v>179</v>
      </c>
      <c r="C168">
        <v>433627.53963332315</v>
      </c>
      <c r="D168">
        <v>0</v>
      </c>
      <c r="E168">
        <v>209181.54417918567</v>
      </c>
      <c r="F168">
        <v>283748.54370766284</v>
      </c>
      <c r="G168">
        <v>926557.62752017169</v>
      </c>
      <c r="H168">
        <v>480481.13601235859</v>
      </c>
      <c r="I168">
        <v>0</v>
      </c>
      <c r="J168">
        <v>232416.55056958523</v>
      </c>
      <c r="K168">
        <v>308431.80728752731</v>
      </c>
      <c r="L168">
        <v>1021329.4938694711</v>
      </c>
    </row>
    <row r="169" spans="1:12" hidden="1" x14ac:dyDescent="0.25">
      <c r="A169" t="s">
        <v>500</v>
      </c>
      <c r="B169" t="s">
        <v>501</v>
      </c>
      <c r="C169">
        <v>323265.42032784806</v>
      </c>
      <c r="D169">
        <v>86970.978065318501</v>
      </c>
      <c r="E169">
        <v>155942.95477887194</v>
      </c>
      <c r="F169">
        <v>211531.98047946003</v>
      </c>
      <c r="G169">
        <v>777711.33365149843</v>
      </c>
      <c r="H169">
        <v>320320.75734157232</v>
      </c>
      <c r="I169">
        <v>74014.026235166326</v>
      </c>
      <c r="J169">
        <v>154944.36704639017</v>
      </c>
      <c r="K169">
        <v>205621.2048583515</v>
      </c>
      <c r="L169">
        <v>754900.35548148036</v>
      </c>
    </row>
    <row r="170" spans="1:12" hidden="1" x14ac:dyDescent="0.25">
      <c r="A170" t="s">
        <v>502</v>
      </c>
      <c r="B170" t="s">
        <v>503</v>
      </c>
      <c r="C170">
        <v>8689.9306539744121</v>
      </c>
      <c r="D170">
        <v>2337.9295178849061</v>
      </c>
      <c r="E170">
        <v>4837.8576910451293</v>
      </c>
      <c r="F170">
        <v>6562.4100820437679</v>
      </c>
      <c r="G170">
        <v>22428.127944948214</v>
      </c>
      <c r="H170">
        <v>0</v>
      </c>
      <c r="I170">
        <v>2106.661088287467</v>
      </c>
      <c r="J170">
        <v>0</v>
      </c>
      <c r="K170">
        <v>0</v>
      </c>
      <c r="L170">
        <v>2106.661088287467</v>
      </c>
    </row>
    <row r="171" spans="1:12" hidden="1" x14ac:dyDescent="0.25">
      <c r="A171" t="s">
        <v>180</v>
      </c>
      <c r="B171" t="s">
        <v>181</v>
      </c>
      <c r="C171">
        <v>1397340.849159085</v>
      </c>
      <c r="D171">
        <v>0</v>
      </c>
      <c r="E171">
        <v>866279.8818562869</v>
      </c>
      <c r="F171">
        <v>1175082.8969376455</v>
      </c>
      <c r="G171">
        <v>3438703.6279530176</v>
      </c>
      <c r="H171">
        <v>1286563.0418499417</v>
      </c>
      <c r="I171">
        <v>0</v>
      </c>
      <c r="J171">
        <v>786427.79702803784</v>
      </c>
      <c r="K171">
        <v>1043640.5933401221</v>
      </c>
      <c r="L171">
        <v>3116631.4322181018</v>
      </c>
    </row>
    <row r="172" spans="1:12" hidden="1" x14ac:dyDescent="0.25">
      <c r="A172" t="s">
        <v>504</v>
      </c>
      <c r="B172" t="s">
        <v>505</v>
      </c>
      <c r="C172">
        <v>54202.083613449875</v>
      </c>
      <c r="D172">
        <v>14281.355736178652</v>
      </c>
      <c r="E172">
        <v>41856.814198572982</v>
      </c>
      <c r="F172">
        <v>57532.946494008349</v>
      </c>
      <c r="G172">
        <v>167873.20004220985</v>
      </c>
      <c r="H172">
        <v>51920.122755914184</v>
      </c>
      <c r="I172">
        <v>14007.182825024685</v>
      </c>
      <c r="J172">
        <v>37671.132778715684</v>
      </c>
      <c r="K172">
        <v>51779.651844607513</v>
      </c>
      <c r="L172">
        <v>155378.09020426209</v>
      </c>
    </row>
    <row r="173" spans="1:12" hidden="1" x14ac:dyDescent="0.25">
      <c r="A173" t="s">
        <v>182</v>
      </c>
      <c r="B173" t="s">
        <v>183</v>
      </c>
      <c r="C173">
        <v>908966.74640572292</v>
      </c>
      <c r="D173">
        <v>0</v>
      </c>
      <c r="E173">
        <v>0</v>
      </c>
      <c r="F173">
        <v>0</v>
      </c>
      <c r="G173">
        <v>908966.74640572292</v>
      </c>
      <c r="H173">
        <v>931042.20128402067</v>
      </c>
      <c r="I173">
        <v>0</v>
      </c>
      <c r="J173">
        <v>0</v>
      </c>
      <c r="K173">
        <v>0</v>
      </c>
      <c r="L173">
        <v>931042.20128402067</v>
      </c>
    </row>
    <row r="174" spans="1:12" hidden="1" x14ac:dyDescent="0.25">
      <c r="A174" t="s">
        <v>184</v>
      </c>
      <c r="B174" t="s">
        <v>185</v>
      </c>
      <c r="C174">
        <v>499671.01260352839</v>
      </c>
      <c r="D174">
        <v>0</v>
      </c>
      <c r="E174">
        <v>241040.85752110562</v>
      </c>
      <c r="F174">
        <v>326964.75477335899</v>
      </c>
      <c r="G174">
        <v>1067676.6248979929</v>
      </c>
      <c r="H174">
        <v>462001.09231957549</v>
      </c>
      <c r="I174">
        <v>0</v>
      </c>
      <c r="J174">
        <v>223477.45247075506</v>
      </c>
      <c r="K174">
        <v>296569.0454687762</v>
      </c>
      <c r="L174">
        <v>982047.59025910683</v>
      </c>
    </row>
    <row r="175" spans="1:12" hidden="1" x14ac:dyDescent="0.25">
      <c r="A175" t="s">
        <v>186</v>
      </c>
      <c r="B175" t="s">
        <v>187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9680.022886695866</v>
      </c>
      <c r="I175">
        <v>0</v>
      </c>
      <c r="J175">
        <v>4682.3847184348688</v>
      </c>
      <c r="K175">
        <v>6213.8276193457878</v>
      </c>
      <c r="L175">
        <v>20576.235224476521</v>
      </c>
    </row>
    <row r="176" spans="1:12" hidden="1" x14ac:dyDescent="0.25">
      <c r="A176" t="s">
        <v>506</v>
      </c>
      <c r="B176" t="s">
        <v>507</v>
      </c>
      <c r="C176">
        <v>86723.333781519803</v>
      </c>
      <c r="D176">
        <v>22850.169177885848</v>
      </c>
      <c r="E176">
        <v>56596.348521235188</v>
      </c>
      <c r="F176">
        <v>77792.702420708491</v>
      </c>
      <c r="G176">
        <v>243962.55390134934</v>
      </c>
      <c r="H176">
        <v>73714.833714291832</v>
      </c>
      <c r="I176">
        <v>19422.643801202968</v>
      </c>
      <c r="J176">
        <v>48106.896243049909</v>
      </c>
      <c r="K176">
        <v>66123.79705760222</v>
      </c>
      <c r="L176">
        <v>207368.17081614694</v>
      </c>
    </row>
    <row r="177" spans="1:12" hidden="1" x14ac:dyDescent="0.25">
      <c r="A177" t="s">
        <v>508</v>
      </c>
      <c r="B177" t="s">
        <v>509</v>
      </c>
      <c r="C177">
        <v>170322.6408178985</v>
      </c>
      <c r="D177">
        <v>45823.418550544171</v>
      </c>
      <c r="E177">
        <v>93675.792298725588</v>
      </c>
      <c r="F177">
        <v>127068.42637444173</v>
      </c>
      <c r="G177">
        <v>436890.27804160997</v>
      </c>
      <c r="H177">
        <v>153375.54911614352</v>
      </c>
      <c r="I177">
        <v>41290.557330434356</v>
      </c>
      <c r="J177">
        <v>84366.753181476684</v>
      </c>
      <c r="K177">
        <v>114443.45767137785</v>
      </c>
      <c r="L177">
        <v>393476.31729943241</v>
      </c>
    </row>
    <row r="178" spans="1:12" hidden="1" x14ac:dyDescent="0.25">
      <c r="A178" t="s">
        <v>510</v>
      </c>
      <c r="B178" t="s">
        <v>511</v>
      </c>
      <c r="C178">
        <v>152540.14959785176</v>
      </c>
      <c r="D178">
        <v>40191.815428959919</v>
      </c>
      <c r="E178">
        <v>113319.37522465261</v>
      </c>
      <c r="F178">
        <v>155759.52628895175</v>
      </c>
      <c r="G178">
        <v>461810.86654041603</v>
      </c>
      <c r="H178">
        <v>137095.98763718284</v>
      </c>
      <c r="I178">
        <v>36122.533285113706</v>
      </c>
      <c r="J178">
        <v>101846.18086326466</v>
      </c>
      <c r="K178">
        <v>139989.41358573519</v>
      </c>
      <c r="L178">
        <v>415054.11537129642</v>
      </c>
    </row>
    <row r="179" spans="1:12" hidden="1" x14ac:dyDescent="0.25">
      <c r="A179" t="s">
        <v>287</v>
      </c>
      <c r="B179" t="s">
        <v>288</v>
      </c>
      <c r="C179">
        <v>39104.68794288487</v>
      </c>
      <c r="D179">
        <v>0</v>
      </c>
      <c r="E179">
        <v>18864.067110347409</v>
      </c>
      <c r="F179">
        <v>25588.546025741136</v>
      </c>
      <c r="G179">
        <v>83557.301078973411</v>
      </c>
      <c r="H179">
        <v>33440.079063131161</v>
      </c>
      <c r="I179">
        <v>0</v>
      </c>
      <c r="J179">
        <v>16175.510845502266</v>
      </c>
      <c r="K179">
        <v>21765.835606982553</v>
      </c>
      <c r="L179">
        <v>71381.425515615978</v>
      </c>
    </row>
    <row r="180" spans="1:12" hidden="1" x14ac:dyDescent="0.25">
      <c r="A180" t="s">
        <v>512</v>
      </c>
      <c r="B180" t="s">
        <v>513</v>
      </c>
      <c r="C180">
        <v>170586.05700778941</v>
      </c>
      <c r="D180">
        <v>44353.742457781889</v>
      </c>
      <c r="E180">
        <v>107691.39484693202</v>
      </c>
      <c r="F180">
        <v>145851.50175233488</v>
      </c>
      <c r="G180">
        <v>468482.69606483821</v>
      </c>
      <c r="H180">
        <v>153527.45130701046</v>
      </c>
      <c r="I180">
        <v>39918.368212003705</v>
      </c>
      <c r="J180">
        <v>96922.255362238822</v>
      </c>
      <c r="K180">
        <v>131266.35157710139</v>
      </c>
      <c r="L180">
        <v>421634.42645835434</v>
      </c>
    </row>
    <row r="181" spans="1:12" hidden="1" x14ac:dyDescent="0.25">
      <c r="A181" t="s">
        <v>188</v>
      </c>
      <c r="B181" t="s">
        <v>189</v>
      </c>
      <c r="C181">
        <v>797846.06728464679</v>
      </c>
      <c r="D181">
        <v>0</v>
      </c>
      <c r="E181">
        <v>451625.41656165157</v>
      </c>
      <c r="F181">
        <v>620767.28541995888</v>
      </c>
      <c r="G181">
        <v>1870238.7692662573</v>
      </c>
      <c r="H181">
        <v>710161.67905123311</v>
      </c>
      <c r="I181">
        <v>0</v>
      </c>
      <c r="J181">
        <v>383681.26924592617</v>
      </c>
      <c r="K181">
        <v>527376.82876571314</v>
      </c>
      <c r="L181">
        <v>1621219.7770628724</v>
      </c>
    </row>
    <row r="182" spans="1:12" hidden="1" x14ac:dyDescent="0.25">
      <c r="A182" t="s">
        <v>514</v>
      </c>
      <c r="B182" t="s">
        <v>515</v>
      </c>
      <c r="C182">
        <v>341514.27470119431</v>
      </c>
      <c r="D182">
        <v>91880.630052876819</v>
      </c>
      <c r="E182">
        <v>211370.53613208703</v>
      </c>
      <c r="F182">
        <v>286269.02051811712</v>
      </c>
      <c r="G182">
        <v>931034.46140427527</v>
      </c>
      <c r="H182">
        <v>307533.62654410402</v>
      </c>
      <c r="I182">
        <v>82791.780769697449</v>
      </c>
      <c r="J182">
        <v>190233.48251887833</v>
      </c>
      <c r="K182">
        <v>257642.1184663054</v>
      </c>
      <c r="L182">
        <v>838201.00829898519</v>
      </c>
    </row>
    <row r="183" spans="1:12" hidden="1" x14ac:dyDescent="0.25">
      <c r="A183" t="s">
        <v>516</v>
      </c>
      <c r="B183" t="s">
        <v>517</v>
      </c>
      <c r="C183">
        <v>101672.18865150066</v>
      </c>
      <c r="D183">
        <v>22320.43764243984</v>
      </c>
      <c r="E183">
        <v>49046.574486903235</v>
      </c>
      <c r="F183">
        <v>66530.219666926947</v>
      </c>
      <c r="G183">
        <v>239569.42044777068</v>
      </c>
      <c r="H183">
        <v>88000.208060871533</v>
      </c>
      <c r="I183">
        <v>18972.371996073864</v>
      </c>
      <c r="J183">
        <v>42567.133803953337</v>
      </c>
      <c r="K183">
        <v>56591.172578154634</v>
      </c>
      <c r="L183">
        <v>206130.88643905337</v>
      </c>
    </row>
    <row r="184" spans="1:12" hidden="1" x14ac:dyDescent="0.25">
      <c r="A184" t="s">
        <v>518</v>
      </c>
      <c r="B184" t="s">
        <v>519</v>
      </c>
      <c r="C184">
        <v>20855.833569538583</v>
      </c>
      <c r="D184">
        <v>5611.0308429237757</v>
      </c>
      <c r="E184">
        <v>19258.483313512916</v>
      </c>
      <c r="F184">
        <v>26123.559875562667</v>
      </c>
      <c r="G184">
        <v>71848.90760153794</v>
      </c>
      <c r="H184">
        <v>18780.679483609405</v>
      </c>
      <c r="I184">
        <v>5055.9866118899208</v>
      </c>
      <c r="J184">
        <v>17344.670042175188</v>
      </c>
      <c r="K184">
        <v>23528.036068021989</v>
      </c>
      <c r="L184">
        <v>64709.372205696505</v>
      </c>
    </row>
    <row r="185" spans="1:12" hidden="1" x14ac:dyDescent="0.25">
      <c r="A185" t="s">
        <v>520</v>
      </c>
      <c r="B185" t="s">
        <v>521</v>
      </c>
      <c r="C185">
        <v>72995.41749338503</v>
      </c>
      <c r="D185">
        <v>0</v>
      </c>
      <c r="E185">
        <v>35212.925272648485</v>
      </c>
      <c r="F185">
        <v>47765.285914716784</v>
      </c>
      <c r="G185">
        <v>155973.62868075029</v>
      </c>
      <c r="H185">
        <v>62080.579404153294</v>
      </c>
      <c r="I185">
        <v>0</v>
      </c>
      <c r="J185">
        <v>29951.769312460085</v>
      </c>
      <c r="K185">
        <v>40629.559799700757</v>
      </c>
      <c r="L185">
        <v>132661.90851631411</v>
      </c>
    </row>
    <row r="186" spans="1:12" x14ac:dyDescent="0.25">
      <c r="A186" t="s">
        <v>289</v>
      </c>
      <c r="B186" t="s">
        <v>290</v>
      </c>
      <c r="C186">
        <v>16088.554977325603</v>
      </c>
      <c r="D186">
        <v>0</v>
      </c>
      <c r="E186">
        <v>7696.1728616238088</v>
      </c>
      <c r="F186">
        <v>10578.5284889536</v>
      </c>
      <c r="G186">
        <v>34363.256327903007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hidden="1" x14ac:dyDescent="0.25">
      <c r="A187" t="s">
        <v>522</v>
      </c>
      <c r="B187" t="s">
        <v>523</v>
      </c>
      <c r="C187">
        <v>39104.68794288487</v>
      </c>
      <c r="D187">
        <v>10520.682830482085</v>
      </c>
      <c r="E187">
        <v>33576.467450825847</v>
      </c>
      <c r="F187">
        <v>45545.479546983734</v>
      </c>
      <c r="G187">
        <v>128747.31777117655</v>
      </c>
      <c r="H187">
        <v>35213.774031767643</v>
      </c>
      <c r="I187">
        <v>9479.9748972936068</v>
      </c>
      <c r="J187">
        <v>30239.803396552088</v>
      </c>
      <c r="K187">
        <v>41020.277887900615</v>
      </c>
      <c r="L187">
        <v>115953.83021351395</v>
      </c>
    </row>
    <row r="188" spans="1:12" hidden="1" x14ac:dyDescent="0.25">
      <c r="A188" t="s">
        <v>524</v>
      </c>
      <c r="B188" t="s">
        <v>525</v>
      </c>
      <c r="C188">
        <v>43473.871671297296</v>
      </c>
      <c r="D188">
        <v>11303.555176630483</v>
      </c>
      <c r="E188">
        <v>21880.423920906869</v>
      </c>
      <c r="F188">
        <v>29633.683288975371</v>
      </c>
      <c r="G188">
        <v>106291.53405781001</v>
      </c>
      <c r="H188">
        <v>36952.790920602703</v>
      </c>
      <c r="I188">
        <v>9608.021900135911</v>
      </c>
      <c r="J188">
        <v>18598.360332770837</v>
      </c>
      <c r="K188">
        <v>25188.630795629066</v>
      </c>
      <c r="L188">
        <v>90347.803949138528</v>
      </c>
    </row>
    <row r="189" spans="1:12" hidden="1" x14ac:dyDescent="0.25">
      <c r="A189" t="s">
        <v>526</v>
      </c>
      <c r="B189" t="s">
        <v>527</v>
      </c>
      <c r="C189">
        <v>199529.33695055248</v>
      </c>
      <c r="D189">
        <v>51879.227289207352</v>
      </c>
      <c r="E189">
        <v>175697.61470436701</v>
      </c>
      <c r="F189">
        <v>237955.51162986047</v>
      </c>
      <c r="G189">
        <v>665061.69057398732</v>
      </c>
      <c r="H189">
        <v>179576.40325549722</v>
      </c>
      <c r="I189">
        <v>46691.304560286619</v>
      </c>
      <c r="J189">
        <v>158127.85323393031</v>
      </c>
      <c r="K189">
        <v>214159.96046687441</v>
      </c>
      <c r="L189">
        <v>598555.52151658852</v>
      </c>
    </row>
    <row r="190" spans="1:12" hidden="1" x14ac:dyDescent="0.25">
      <c r="A190" t="s">
        <v>291</v>
      </c>
      <c r="B190" t="s">
        <v>292</v>
      </c>
      <c r="C190">
        <v>146859.82805216758</v>
      </c>
      <c r="D190">
        <v>0</v>
      </c>
      <c r="E190">
        <v>70845.052036637993</v>
      </c>
      <c r="F190">
        <v>96099.206185561125</v>
      </c>
      <c r="G190">
        <v>313804.08627436671</v>
      </c>
      <c r="H190">
        <v>186560.44108904761</v>
      </c>
      <c r="I190">
        <v>0</v>
      </c>
      <c r="J190">
        <v>90242.323664381081</v>
      </c>
      <c r="K190">
        <v>119757.40502739153</v>
      </c>
      <c r="L190">
        <v>396560.16978082026</v>
      </c>
    </row>
    <row r="191" spans="1:12" hidden="1" x14ac:dyDescent="0.25">
      <c r="A191" t="s">
        <v>528</v>
      </c>
      <c r="B191" t="s">
        <v>529</v>
      </c>
      <c r="C191">
        <v>784700.73805388925</v>
      </c>
      <c r="D191">
        <v>211115.03546500692</v>
      </c>
      <c r="E191">
        <v>440253.11951381498</v>
      </c>
      <c r="F191">
        <v>597190.26367733802</v>
      </c>
      <c r="G191">
        <v>2033259.1567100491</v>
      </c>
      <c r="H191">
        <v>811361.91832123534</v>
      </c>
      <c r="I191">
        <v>218891.90787580947</v>
      </c>
      <c r="J191">
        <v>460156.90993870399</v>
      </c>
      <c r="K191">
        <v>610658.00615496875</v>
      </c>
      <c r="L191">
        <v>2101068.7422907175</v>
      </c>
    </row>
    <row r="192" spans="1:12" hidden="1" x14ac:dyDescent="0.25">
      <c r="A192" t="s">
        <v>530</v>
      </c>
      <c r="B192" t="s">
        <v>531</v>
      </c>
      <c r="C192">
        <v>0</v>
      </c>
      <c r="D192">
        <v>2102.5690869090085</v>
      </c>
      <c r="E192">
        <v>0</v>
      </c>
      <c r="F192">
        <v>0</v>
      </c>
      <c r="G192">
        <v>2102.5690869090085</v>
      </c>
      <c r="H192">
        <v>0</v>
      </c>
      <c r="I192">
        <v>1787.1837238726573</v>
      </c>
      <c r="J192">
        <v>0</v>
      </c>
      <c r="K192">
        <v>0</v>
      </c>
      <c r="L192">
        <v>1787.1837238726573</v>
      </c>
    </row>
    <row r="193" spans="1:12" hidden="1" x14ac:dyDescent="0.25">
      <c r="A193" t="s">
        <v>532</v>
      </c>
      <c r="B193" t="s">
        <v>533</v>
      </c>
      <c r="C193">
        <v>13425.578566093693</v>
      </c>
      <c r="D193">
        <v>0</v>
      </c>
      <c r="E193">
        <v>0</v>
      </c>
      <c r="F193">
        <v>0</v>
      </c>
      <c r="G193">
        <v>13425.578566093693</v>
      </c>
      <c r="H193">
        <v>12320.029128522014</v>
      </c>
      <c r="I193">
        <v>0</v>
      </c>
      <c r="J193">
        <v>5959.3987325534672</v>
      </c>
      <c r="K193">
        <v>7908.5078791673659</v>
      </c>
      <c r="L193">
        <v>26187.935740242847</v>
      </c>
    </row>
    <row r="194" spans="1:12" hidden="1" x14ac:dyDescent="0.25">
      <c r="A194" t="s">
        <v>650</v>
      </c>
      <c r="B194" t="s">
        <v>651</v>
      </c>
      <c r="C194">
        <v>823555.38067352574</v>
      </c>
      <c r="D194">
        <v>203598.04963984294</v>
      </c>
      <c r="E194">
        <v>392116.44266631908</v>
      </c>
      <c r="F194">
        <v>520958.44262796786</v>
      </c>
      <c r="G194">
        <v>1940228.3156076556</v>
      </c>
      <c r="H194">
        <v>782377.61163984938</v>
      </c>
      <c r="I194">
        <v>193418.14715785079</v>
      </c>
      <c r="J194">
        <v>372510.62053300312</v>
      </c>
      <c r="K194">
        <v>494910.52049656946</v>
      </c>
      <c r="L194">
        <v>1843216.8998272726</v>
      </c>
    </row>
    <row r="195" spans="1:12" hidden="1" x14ac:dyDescent="0.25">
      <c r="A195" t="s">
        <v>534</v>
      </c>
      <c r="B195" t="s">
        <v>535</v>
      </c>
      <c r="C195">
        <v>2773825.8647486325</v>
      </c>
      <c r="D195">
        <v>746267.10210886225</v>
      </c>
      <c r="E195">
        <v>2057231.3187562202</v>
      </c>
      <c r="F195">
        <v>2790573.1026961021</v>
      </c>
      <c r="G195">
        <v>8367897.3883098168</v>
      </c>
      <c r="H195">
        <v>3164487.4818689381</v>
      </c>
      <c r="I195">
        <v>853725.92269133485</v>
      </c>
      <c r="J195">
        <v>2432924.5325649534</v>
      </c>
      <c r="K195">
        <v>3228648.3416700773</v>
      </c>
      <c r="L195">
        <v>9679786.2787953038</v>
      </c>
    </row>
    <row r="196" spans="1:12" hidden="1" x14ac:dyDescent="0.25">
      <c r="A196" t="s">
        <v>536</v>
      </c>
      <c r="B196" t="s">
        <v>537</v>
      </c>
      <c r="C196">
        <v>37729.576315330087</v>
      </c>
      <c r="D196">
        <v>9809.9923304690983</v>
      </c>
      <c r="E196">
        <v>23767.028483033719</v>
      </c>
      <c r="F196">
        <v>32188.800241356883</v>
      </c>
      <c r="G196">
        <v>103495.39737018978</v>
      </c>
      <c r="H196">
        <v>52800.124836522926</v>
      </c>
      <c r="I196">
        <v>14244.592703414935</v>
      </c>
      <c r="J196">
        <v>30469.937481074045</v>
      </c>
      <c r="K196">
        <v>40435.57940342083</v>
      </c>
      <c r="L196">
        <v>137950.23442443274</v>
      </c>
    </row>
    <row r="197" spans="1:12" hidden="1" x14ac:dyDescent="0.25">
      <c r="A197" t="s">
        <v>190</v>
      </c>
      <c r="B197" t="s">
        <v>191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 hidden="1" x14ac:dyDescent="0.25">
      <c r="A198" t="s">
        <v>293</v>
      </c>
      <c r="B198" t="s">
        <v>294</v>
      </c>
      <c r="C198">
        <v>23858.408552341083</v>
      </c>
      <c r="D198">
        <v>0</v>
      </c>
      <c r="E198">
        <v>10844.106621815814</v>
      </c>
      <c r="F198">
        <v>14686.681681506079</v>
      </c>
      <c r="G198">
        <v>49389.19685566298</v>
      </c>
      <c r="H198">
        <v>22000.052015217883</v>
      </c>
      <c r="I198">
        <v>0</v>
      </c>
      <c r="J198">
        <v>10641.783450988338</v>
      </c>
      <c r="K198">
        <v>14122.335498513155</v>
      </c>
      <c r="L198">
        <v>46764.170964719378</v>
      </c>
    </row>
    <row r="199" spans="1:12" hidden="1" x14ac:dyDescent="0.25">
      <c r="A199" t="s">
        <v>192</v>
      </c>
      <c r="B199" t="s">
        <v>193</v>
      </c>
      <c r="C199">
        <v>454483.37320286146</v>
      </c>
      <c r="D199">
        <v>0</v>
      </c>
      <c r="E199">
        <v>0</v>
      </c>
      <c r="F199">
        <v>0</v>
      </c>
      <c r="G199">
        <v>454483.37320286146</v>
      </c>
      <c r="H199">
        <v>554401.31078349019</v>
      </c>
      <c r="I199">
        <v>0</v>
      </c>
      <c r="J199">
        <v>268172.94296490605</v>
      </c>
      <c r="K199">
        <v>355882.85456253152</v>
      </c>
      <c r="L199">
        <v>1178457.1083109276</v>
      </c>
    </row>
    <row r="200" spans="1:12" hidden="1" x14ac:dyDescent="0.25">
      <c r="A200" t="s">
        <v>82</v>
      </c>
      <c r="B200" t="s">
        <v>1396</v>
      </c>
      <c r="C200">
        <v>20466.22775472542</v>
      </c>
      <c r="D200">
        <v>0</v>
      </c>
      <c r="E200">
        <v>11685.632508271046</v>
      </c>
      <c r="F200">
        <v>15851.212971659306</v>
      </c>
      <c r="G200">
        <v>48003.073234655771</v>
      </c>
      <c r="H200">
        <v>26625.342950897295</v>
      </c>
      <c r="I200">
        <v>0</v>
      </c>
      <c r="J200">
        <v>15027.7006022239</v>
      </c>
      <c r="K200">
        <v>19942.731465382712</v>
      </c>
      <c r="L200">
        <v>61595.775018503911</v>
      </c>
    </row>
    <row r="201" spans="1:12" hidden="1" x14ac:dyDescent="0.25">
      <c r="A201" t="s">
        <v>538</v>
      </c>
      <c r="B201" t="s">
        <v>539</v>
      </c>
      <c r="C201">
        <v>146859.82805216758</v>
      </c>
      <c r="D201">
        <v>38067.047760051493</v>
      </c>
      <c r="E201">
        <v>73775.444403139627</v>
      </c>
      <c r="F201">
        <v>101731.44377278694</v>
      </c>
      <c r="G201">
        <v>360433.76398814563</v>
      </c>
      <c r="H201">
        <v>205920.48686243937</v>
      </c>
      <c r="I201">
        <v>55553.911543318252</v>
      </c>
      <c r="J201">
        <v>99607.093101250823</v>
      </c>
      <c r="K201">
        <v>132185.06026608314</v>
      </c>
      <c r="L201">
        <v>493266.55177309155</v>
      </c>
    </row>
    <row r="202" spans="1:12" hidden="1" x14ac:dyDescent="0.25">
      <c r="A202" t="s">
        <v>540</v>
      </c>
      <c r="B202" t="s">
        <v>541</v>
      </c>
      <c r="C202">
        <v>51270.590858449024</v>
      </c>
      <c r="D202">
        <v>13793.78415552094</v>
      </c>
      <c r="E202">
        <v>25816.25420045463</v>
      </c>
      <c r="F202">
        <v>35484.907297151942</v>
      </c>
      <c r="G202">
        <v>126365.53651157653</v>
      </c>
      <c r="H202">
        <v>51920.122755914184</v>
      </c>
      <c r="I202">
        <v>14007.182825024685</v>
      </c>
      <c r="J202">
        <v>25944.795754910971</v>
      </c>
      <c r="K202">
        <v>34430.423413401062</v>
      </c>
      <c r="L202">
        <v>126302.52474925091</v>
      </c>
    </row>
    <row r="203" spans="1:12" hidden="1" x14ac:dyDescent="0.25">
      <c r="A203" t="s">
        <v>542</v>
      </c>
      <c r="B203" t="s">
        <v>543</v>
      </c>
      <c r="C203">
        <v>527478.79069624643</v>
      </c>
      <c r="D203">
        <v>108605.78014303076</v>
      </c>
      <c r="E203">
        <v>254455.3052440194</v>
      </c>
      <c r="F203">
        <v>345161.05416944157</v>
      </c>
      <c r="G203">
        <v>1235700.9302527383</v>
      </c>
      <c r="H203">
        <v>469041.10896444524</v>
      </c>
      <c r="I203">
        <v>92314.913121576144</v>
      </c>
      <c r="J203">
        <v>226882.82317507119</v>
      </c>
      <c r="K203">
        <v>301088.19282830047</v>
      </c>
      <c r="L203">
        <v>1089327.0380893929</v>
      </c>
    </row>
    <row r="204" spans="1:12" hidden="1" x14ac:dyDescent="0.25">
      <c r="A204" t="s">
        <v>544</v>
      </c>
      <c r="B204" t="s">
        <v>545</v>
      </c>
      <c r="C204">
        <v>196392.43277982171</v>
      </c>
      <c r="D204">
        <v>52837.20710419886</v>
      </c>
      <c r="E204">
        <v>101870.46881190789</v>
      </c>
      <c r="F204">
        <v>138184.26135833055</v>
      </c>
      <c r="G204">
        <v>489284.37005425902</v>
      </c>
      <c r="H204">
        <v>176851.39847065523</v>
      </c>
      <c r="I204">
        <v>47610.540595296734</v>
      </c>
      <c r="J204">
        <v>91747.0830812762</v>
      </c>
      <c r="K204">
        <v>124454.87141716557</v>
      </c>
      <c r="L204">
        <v>440663.89356439374</v>
      </c>
    </row>
    <row r="205" spans="1:12" hidden="1" x14ac:dyDescent="0.25">
      <c r="A205" t="s">
        <v>546</v>
      </c>
      <c r="B205" t="s">
        <v>547</v>
      </c>
      <c r="C205">
        <v>59960.521512423416</v>
      </c>
      <c r="D205">
        <v>16131.713673405853</v>
      </c>
      <c r="E205">
        <v>33670.22186436427</v>
      </c>
      <c r="F205">
        <v>45672.654620731671</v>
      </c>
      <c r="G205">
        <v>155435.11167092522</v>
      </c>
      <c r="H205">
        <v>53994.453515377027</v>
      </c>
      <c r="I205">
        <v>14535.961509183519</v>
      </c>
      <c r="J205">
        <v>30324.240957981485</v>
      </c>
      <c r="K205">
        <v>41134.817396924191</v>
      </c>
      <c r="L205">
        <v>139989.47337946622</v>
      </c>
    </row>
    <row r="206" spans="1:12" hidden="1" x14ac:dyDescent="0.25">
      <c r="A206" t="s">
        <v>77</v>
      </c>
      <c r="B206" t="s">
        <v>34</v>
      </c>
      <c r="C206">
        <v>46802.418223052831</v>
      </c>
      <c r="D206">
        <v>12331.665858523715</v>
      </c>
      <c r="E206">
        <v>39444.524193136269</v>
      </c>
      <c r="F206">
        <v>54217.210347621163</v>
      </c>
      <c r="G206">
        <v>152795.81862233399</v>
      </c>
      <c r="H206">
        <v>15489.808086869176</v>
      </c>
      <c r="I206">
        <v>4080.8669082905976</v>
      </c>
      <c r="J206">
        <v>13053.806484792109</v>
      </c>
      <c r="K206">
        <v>17942.692591694864</v>
      </c>
      <c r="L206">
        <v>50567.174071646747</v>
      </c>
    </row>
    <row r="207" spans="1:12" hidden="1" x14ac:dyDescent="0.25">
      <c r="A207" t="s">
        <v>548</v>
      </c>
      <c r="B207" t="s">
        <v>549</v>
      </c>
      <c r="C207">
        <v>311099.51741228387</v>
      </c>
      <c r="D207">
        <v>0</v>
      </c>
      <c r="E207">
        <v>150074.13390009711</v>
      </c>
      <c r="F207">
        <v>203571.09949367392</v>
      </c>
      <c r="G207">
        <v>664744.75080605492</v>
      </c>
      <c r="H207">
        <v>264581.51698436768</v>
      </c>
      <c r="I207">
        <v>0</v>
      </c>
      <c r="J207">
        <v>127651.58826024662</v>
      </c>
      <c r="K207">
        <v>173159.31438443897</v>
      </c>
      <c r="L207">
        <v>565392.41962905321</v>
      </c>
    </row>
    <row r="208" spans="1:12" hidden="1" x14ac:dyDescent="0.25">
      <c r="A208" t="s">
        <v>58</v>
      </c>
      <c r="B208" t="s">
        <v>1422</v>
      </c>
      <c r="C208">
        <v>364108.09440152778</v>
      </c>
      <c r="D208">
        <v>0</v>
      </c>
      <c r="E208">
        <v>175645.42487190137</v>
      </c>
      <c r="F208">
        <v>238257.79521745627</v>
      </c>
      <c r="G208">
        <v>778011.31449088547</v>
      </c>
      <c r="H208">
        <v>379280.89674235624</v>
      </c>
      <c r="I208">
        <v>0</v>
      </c>
      <c r="J208">
        <v>183464.3466950389</v>
      </c>
      <c r="K208">
        <v>243469.06399436682</v>
      </c>
      <c r="L208">
        <v>806214.30743176199</v>
      </c>
    </row>
    <row r="209" spans="1:12" hidden="1" x14ac:dyDescent="0.25">
      <c r="A209" t="s">
        <v>194</v>
      </c>
      <c r="B209" t="s">
        <v>195</v>
      </c>
      <c r="C209">
        <v>1817933.4928114458</v>
      </c>
      <c r="D209">
        <v>0</v>
      </c>
      <c r="E209">
        <v>1170620.1645698915</v>
      </c>
      <c r="F209">
        <v>1587911.4394862689</v>
      </c>
      <c r="G209">
        <v>4576465.096867606</v>
      </c>
      <c r="H209">
        <v>2060964.8727856106</v>
      </c>
      <c r="I209">
        <v>0</v>
      </c>
      <c r="J209">
        <v>1365340.8167618036</v>
      </c>
      <c r="K209">
        <v>1811895.6444592378</v>
      </c>
      <c r="L209">
        <v>5238201.3340066522</v>
      </c>
    </row>
    <row r="210" spans="1:12" hidden="1" x14ac:dyDescent="0.25">
      <c r="A210" t="s">
        <v>550</v>
      </c>
      <c r="B210" t="s">
        <v>551</v>
      </c>
      <c r="C210">
        <v>0</v>
      </c>
      <c r="D210">
        <v>2358.8185889551291</v>
      </c>
      <c r="E210">
        <v>0</v>
      </c>
      <c r="F210">
        <v>0</v>
      </c>
      <c r="G210">
        <v>2358.8185889551291</v>
      </c>
      <c r="H210">
        <v>12320.029128522014</v>
      </c>
      <c r="I210">
        <v>3323.7382974634843</v>
      </c>
      <c r="J210">
        <v>13338.017631481085</v>
      </c>
      <c r="K210">
        <v>17700.412787422938</v>
      </c>
      <c r="L210">
        <v>46682.197844889524</v>
      </c>
    </row>
    <row r="211" spans="1:12" hidden="1" x14ac:dyDescent="0.25">
      <c r="A211" t="s">
        <v>552</v>
      </c>
      <c r="B211" t="s">
        <v>553</v>
      </c>
      <c r="C211">
        <v>26938.785027320668</v>
      </c>
      <c r="D211">
        <v>7247.5815054432087</v>
      </c>
      <c r="E211">
        <v>13287.827912454144</v>
      </c>
      <c r="F211">
        <v>18024.543388814254</v>
      </c>
      <c r="G211">
        <v>65498.737834032276</v>
      </c>
      <c r="H211">
        <v>22910.690018199432</v>
      </c>
      <c r="I211">
        <v>6167.8355195971935</v>
      </c>
      <c r="J211">
        <v>11302.496262832077</v>
      </c>
      <c r="K211">
        <v>15331.830417296729</v>
      </c>
      <c r="L211">
        <v>55712.852217925436</v>
      </c>
    </row>
    <row r="212" spans="1:12" hidden="1" x14ac:dyDescent="0.25">
      <c r="A212" t="s">
        <v>554</v>
      </c>
      <c r="B212" t="s">
        <v>555</v>
      </c>
      <c r="C212">
        <v>221959.46413754844</v>
      </c>
      <c r="D212">
        <v>57711.240186380295</v>
      </c>
      <c r="E212">
        <v>143895.93089905556</v>
      </c>
      <c r="F212">
        <v>194885.00123438935</v>
      </c>
      <c r="G212">
        <v>618451.63645737362</v>
      </c>
      <c r="H212">
        <v>188665.54451691615</v>
      </c>
      <c r="I212">
        <v>49054.554158423249</v>
      </c>
      <c r="J212">
        <v>122311.54126419722</v>
      </c>
      <c r="K212">
        <v>165652.25104923095</v>
      </c>
      <c r="L212">
        <v>525683.89098876761</v>
      </c>
    </row>
    <row r="213" spans="1:12" hidden="1" x14ac:dyDescent="0.25">
      <c r="A213" t="s">
        <v>556</v>
      </c>
      <c r="B213" t="s">
        <v>557</v>
      </c>
      <c r="C213">
        <v>383225.94184027147</v>
      </c>
      <c r="D213">
        <v>82038.824787116231</v>
      </c>
      <c r="E213">
        <v>184867.85768140454</v>
      </c>
      <c r="F213">
        <v>250767.75105226313</v>
      </c>
      <c r="G213">
        <v>900900.37536105537</v>
      </c>
      <c r="H213">
        <v>524481.24004279403</v>
      </c>
      <c r="I213">
        <v>141496.28752058835</v>
      </c>
      <c r="J213">
        <v>288488.91634838498</v>
      </c>
      <c r="K213">
        <v>382843.46632669098</v>
      </c>
      <c r="L213">
        <v>1337309.9102384583</v>
      </c>
    </row>
    <row r="214" spans="1:12" hidden="1" x14ac:dyDescent="0.25">
      <c r="A214" t="s">
        <v>69</v>
      </c>
      <c r="B214" t="s">
        <v>16</v>
      </c>
      <c r="C214">
        <v>59718.402170953057</v>
      </c>
      <c r="D214">
        <v>16066.574148383796</v>
      </c>
      <c r="E214">
        <v>45142.553579007857</v>
      </c>
      <c r="F214">
        <v>61234.531409311487</v>
      </c>
      <c r="G214">
        <v>182162.0613076562</v>
      </c>
      <c r="H214">
        <v>60354.736563919032</v>
      </c>
      <c r="I214">
        <v>16282.700897711511</v>
      </c>
      <c r="J214">
        <v>45959.558680319067</v>
      </c>
      <c r="K214">
        <v>60991.309401883096</v>
      </c>
      <c r="L214">
        <v>183588.30554383271</v>
      </c>
    </row>
    <row r="215" spans="1:12" hidden="1" x14ac:dyDescent="0.25">
      <c r="A215" t="s">
        <v>196</v>
      </c>
      <c r="B215" t="s">
        <v>197</v>
      </c>
      <c r="C215">
        <v>93979.049962655801</v>
      </c>
      <c r="D215">
        <v>24613.633290635702</v>
      </c>
      <c r="E215">
        <v>45682.689847933238</v>
      </c>
      <c r="F215">
        <v>62993.39883687516</v>
      </c>
      <c r="G215">
        <v>227268.7719380999</v>
      </c>
      <c r="H215">
        <v>79795.174829403113</v>
      </c>
      <c r="I215">
        <v>20898.797895845313</v>
      </c>
      <c r="J215">
        <v>38787.987583847018</v>
      </c>
      <c r="K215">
        <v>53486.061790198633</v>
      </c>
      <c r="L215">
        <v>192968.02209929409</v>
      </c>
    </row>
    <row r="216" spans="1:12" x14ac:dyDescent="0.25">
      <c r="A216" t="s">
        <v>71</v>
      </c>
      <c r="B216" t="s">
        <v>22</v>
      </c>
      <c r="C216">
        <v>40758.682908389936</v>
      </c>
      <c r="D216">
        <v>9791.4235986432614</v>
      </c>
      <c r="E216">
        <v>34328.351836556714</v>
      </c>
      <c r="F216">
        <v>47184.939113389206</v>
      </c>
      <c r="G216">
        <v>132063.39745697912</v>
      </c>
      <c r="H216">
        <v>23669.691942259891</v>
      </c>
      <c r="I216">
        <v>5851.0575501990634</v>
      </c>
      <c r="J216">
        <v>20124.780745653636</v>
      </c>
      <c r="K216">
        <v>26706.886757570974</v>
      </c>
      <c r="L216">
        <v>76352.416995683569</v>
      </c>
    </row>
    <row r="217" spans="1:12" hidden="1" x14ac:dyDescent="0.25">
      <c r="A217" t="s">
        <v>558</v>
      </c>
      <c r="B217" t="s">
        <v>559</v>
      </c>
      <c r="C217">
        <v>104279.16784769295</v>
      </c>
      <c r="D217">
        <v>28055.154214618866</v>
      </c>
      <c r="E217">
        <v>57907.341209751925</v>
      </c>
      <c r="F217">
        <v>78549.586210984635</v>
      </c>
      <c r="G217">
        <v>268791.24948304839</v>
      </c>
      <c r="H217">
        <v>115280.2725597417</v>
      </c>
      <c r="I217">
        <v>31100.694069122608</v>
      </c>
      <c r="J217">
        <v>68775.622310996347</v>
      </c>
      <c r="K217">
        <v>91269.702758771338</v>
      </c>
      <c r="L217">
        <v>306426.29169863201</v>
      </c>
    </row>
    <row r="218" spans="1:12" hidden="1" x14ac:dyDescent="0.25">
      <c r="A218" t="s">
        <v>560</v>
      </c>
      <c r="B218" t="s">
        <v>561</v>
      </c>
      <c r="C218">
        <v>93606.138049894391</v>
      </c>
      <c r="D218">
        <v>19042.926288557661</v>
      </c>
      <c r="E218">
        <v>44777.733013083969</v>
      </c>
      <c r="F218">
        <v>61547.802117548199</v>
      </c>
      <c r="G218">
        <v>218974.59946908423</v>
      </c>
      <c r="H218">
        <v>79827.734556492462</v>
      </c>
      <c r="I218">
        <v>16186.487345274012</v>
      </c>
      <c r="J218">
        <v>38186.651639283067</v>
      </c>
      <c r="K218">
        <v>52488.241821880249</v>
      </c>
      <c r="L218">
        <v>186689.11536292979</v>
      </c>
    </row>
    <row r="219" spans="1:12" hidden="1" x14ac:dyDescent="0.25">
      <c r="A219" t="s">
        <v>562</v>
      </c>
      <c r="B219" t="s">
        <v>1423</v>
      </c>
      <c r="C219">
        <v>2024161.4495529251</v>
      </c>
      <c r="D219">
        <v>0</v>
      </c>
      <c r="E219">
        <v>1348913.3189749229</v>
      </c>
      <c r="F219">
        <v>1829760.8010730494</v>
      </c>
      <c r="G219">
        <v>5202835.5696008969</v>
      </c>
      <c r="H219">
        <v>1958149.8052432481</v>
      </c>
      <c r="I219">
        <v>0</v>
      </c>
      <c r="J219">
        <v>1286059.2913420466</v>
      </c>
      <c r="K219">
        <v>1706683.9282118329</v>
      </c>
      <c r="L219">
        <v>4950893.0247971276</v>
      </c>
    </row>
    <row r="220" spans="1:12" hidden="1" x14ac:dyDescent="0.25">
      <c r="A220" t="s">
        <v>563</v>
      </c>
      <c r="B220" t="s">
        <v>564</v>
      </c>
      <c r="C220">
        <v>82554.341212756932</v>
      </c>
      <c r="D220">
        <v>22210.330419906608</v>
      </c>
      <c r="E220">
        <v>55123.686106688081</v>
      </c>
      <c r="F220">
        <v>74773.640848413983</v>
      </c>
      <c r="G220">
        <v>234661.99858776561</v>
      </c>
      <c r="H220">
        <v>74340.189622620572</v>
      </c>
      <c r="I220">
        <v>20013.280338730936</v>
      </c>
      <c r="J220">
        <v>49645.765529110104</v>
      </c>
      <c r="K220">
        <v>67344.455625457282</v>
      </c>
      <c r="L220">
        <v>211343.69111591889</v>
      </c>
    </row>
    <row r="221" spans="1:12" hidden="1" x14ac:dyDescent="0.25">
      <c r="A221" t="s">
        <v>198</v>
      </c>
      <c r="B221" t="s">
        <v>199</v>
      </c>
      <c r="C221">
        <v>1318262.4802079184</v>
      </c>
      <c r="D221">
        <v>0</v>
      </c>
      <c r="E221">
        <v>809058.87828823272</v>
      </c>
      <c r="F221">
        <v>1097464.3073262309</v>
      </c>
      <c r="G221">
        <v>3224785.6658223821</v>
      </c>
      <c r="H221">
        <v>1121217.5300686869</v>
      </c>
      <c r="I221">
        <v>0</v>
      </c>
      <c r="J221">
        <v>688251.95120409352</v>
      </c>
      <c r="K221">
        <v>933613.4208630725</v>
      </c>
      <c r="L221">
        <v>2743082.9021358527</v>
      </c>
    </row>
    <row r="222" spans="1:12" hidden="1" x14ac:dyDescent="0.25">
      <c r="A222" t="s">
        <v>200</v>
      </c>
      <c r="B222" t="s">
        <v>201</v>
      </c>
      <c r="C222">
        <v>154686.01391368813</v>
      </c>
      <c r="D222">
        <v>0</v>
      </c>
      <c r="E222">
        <v>0</v>
      </c>
      <c r="F222">
        <v>0</v>
      </c>
      <c r="G222">
        <v>154686.01391368813</v>
      </c>
      <c r="H222">
        <v>142560.33705861185</v>
      </c>
      <c r="I222">
        <v>0</v>
      </c>
      <c r="J222">
        <v>0</v>
      </c>
      <c r="K222">
        <v>0</v>
      </c>
      <c r="L222">
        <v>142560.33705861185</v>
      </c>
    </row>
    <row r="223" spans="1:12" hidden="1" x14ac:dyDescent="0.25">
      <c r="A223" t="s">
        <v>202</v>
      </c>
      <c r="B223" t="s">
        <v>203</v>
      </c>
      <c r="C223">
        <v>43146.579257373196</v>
      </c>
      <c r="D223">
        <v>0</v>
      </c>
      <c r="E223">
        <v>20639.736310718396</v>
      </c>
      <c r="F223">
        <v>28369.690038557383</v>
      </c>
      <c r="G223">
        <v>92156.005606648978</v>
      </c>
      <c r="H223">
        <v>47520.112352870616</v>
      </c>
      <c r="I223">
        <v>0</v>
      </c>
      <c r="J223">
        <v>22986.252254134801</v>
      </c>
      <c r="K223">
        <v>30504.244676788421</v>
      </c>
      <c r="L223">
        <v>101010.60928379383</v>
      </c>
    </row>
    <row r="224" spans="1:12" hidden="1" x14ac:dyDescent="0.25">
      <c r="A224" t="s">
        <v>295</v>
      </c>
      <c r="B224" t="s">
        <v>296</v>
      </c>
      <c r="C224">
        <v>210296.32182618076</v>
      </c>
      <c r="D224">
        <v>0</v>
      </c>
      <c r="E224">
        <v>101446.76090453488</v>
      </c>
      <c r="F224">
        <v>137609.5141828745</v>
      </c>
      <c r="G224">
        <v>449352.5969135901</v>
      </c>
      <c r="H224">
        <v>187440.44316965633</v>
      </c>
      <c r="I224">
        <v>0</v>
      </c>
      <c r="J224">
        <v>90667.995002420634</v>
      </c>
      <c r="K224">
        <v>120322.2984473321</v>
      </c>
      <c r="L224">
        <v>398430.73661940906</v>
      </c>
    </row>
    <row r="225" spans="1:12" hidden="1" x14ac:dyDescent="0.25">
      <c r="A225" t="s">
        <v>204</v>
      </c>
      <c r="B225" t="s">
        <v>205</v>
      </c>
      <c r="C225">
        <v>121997.64870928614</v>
      </c>
      <c r="D225">
        <v>0</v>
      </c>
      <c r="E225">
        <v>0</v>
      </c>
      <c r="F225">
        <v>0</v>
      </c>
      <c r="G225">
        <v>121997.64870928614</v>
      </c>
      <c r="H225">
        <v>115280.2725597417</v>
      </c>
      <c r="I225">
        <v>0</v>
      </c>
      <c r="J225">
        <v>0</v>
      </c>
      <c r="K225">
        <v>0</v>
      </c>
      <c r="L225">
        <v>115280.2725597417</v>
      </c>
    </row>
    <row r="226" spans="1:12" hidden="1" x14ac:dyDescent="0.25">
      <c r="A226" t="s">
        <v>565</v>
      </c>
      <c r="B226" t="s">
        <v>566</v>
      </c>
      <c r="C226">
        <v>223331.21780714233</v>
      </c>
      <c r="D226">
        <v>0</v>
      </c>
      <c r="E226">
        <v>107734.78327465076</v>
      </c>
      <c r="F226">
        <v>146139.0295247882</v>
      </c>
      <c r="G226">
        <v>477205.03060658131</v>
      </c>
      <c r="H226">
        <v>231440.54720009211</v>
      </c>
      <c r="I226">
        <v>0</v>
      </c>
      <c r="J226">
        <v>111951.56190439728</v>
      </c>
      <c r="K226">
        <v>148566.96944435837</v>
      </c>
      <c r="L226">
        <v>491959.07854884776</v>
      </c>
    </row>
    <row r="227" spans="1:12" hidden="1" x14ac:dyDescent="0.25">
      <c r="A227" t="s">
        <v>297</v>
      </c>
      <c r="B227" t="s">
        <v>298</v>
      </c>
      <c r="C227">
        <v>0</v>
      </c>
      <c r="D227">
        <v>1528.7970987972483</v>
      </c>
      <c r="E227">
        <v>0</v>
      </c>
      <c r="F227">
        <v>0</v>
      </c>
      <c r="G227">
        <v>1528.7970987972483</v>
      </c>
      <c r="H227">
        <v>0</v>
      </c>
      <c r="I227">
        <v>1299.4775339776611</v>
      </c>
      <c r="J227">
        <v>0</v>
      </c>
      <c r="K227">
        <v>0</v>
      </c>
      <c r="L227">
        <v>1299.4775339776611</v>
      </c>
    </row>
    <row r="228" spans="1:12" hidden="1" x14ac:dyDescent="0.25">
      <c r="A228" t="s">
        <v>1420</v>
      </c>
      <c r="B228" t="s">
        <v>1424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11149.360407220123</v>
      </c>
      <c r="I228">
        <v>0</v>
      </c>
      <c r="J228">
        <v>7939.2925539221214</v>
      </c>
      <c r="K228">
        <v>10535.955141703478</v>
      </c>
      <c r="L228">
        <v>29624.608102845723</v>
      </c>
    </row>
    <row r="229" spans="1:12" hidden="1" x14ac:dyDescent="0.25">
      <c r="A229" t="s">
        <v>567</v>
      </c>
      <c r="B229" t="s">
        <v>568</v>
      </c>
      <c r="C229">
        <v>40842.674073679715</v>
      </c>
      <c r="D229">
        <v>10988.268734059058</v>
      </c>
      <c r="E229">
        <v>22380.350179790723</v>
      </c>
      <c r="F229">
        <v>30358.279436657092</v>
      </c>
      <c r="G229">
        <v>104569.57242418658</v>
      </c>
      <c r="H229">
        <v>34735.562285657186</v>
      </c>
      <c r="I229">
        <v>9351.23449745381</v>
      </c>
      <c r="J229">
        <v>19036.506638596249</v>
      </c>
      <c r="K229">
        <v>25823.01154838589</v>
      </c>
      <c r="L229">
        <v>88946.314970093139</v>
      </c>
    </row>
    <row r="230" spans="1:12" hidden="1" x14ac:dyDescent="0.25">
      <c r="A230" t="s">
        <v>569</v>
      </c>
      <c r="B230" t="s">
        <v>570</v>
      </c>
      <c r="C230">
        <v>206820.3495645909</v>
      </c>
      <c r="D230">
        <v>52370.564365381637</v>
      </c>
      <c r="E230">
        <v>104555.24047984883</v>
      </c>
      <c r="F230">
        <v>137771.62268479104</v>
      </c>
      <c r="G230">
        <v>501517.77709461242</v>
      </c>
      <c r="H230">
        <v>212080.50142670039</v>
      </c>
      <c r="I230">
        <v>44514.979710574393</v>
      </c>
      <c r="J230">
        <v>102586.79246752756</v>
      </c>
      <c r="K230">
        <v>136139.3142056668</v>
      </c>
      <c r="L230">
        <v>495321.58781046909</v>
      </c>
    </row>
    <row r="231" spans="1:12" hidden="1" x14ac:dyDescent="0.25">
      <c r="A231" t="s">
        <v>206</v>
      </c>
      <c r="B231" t="s">
        <v>207</v>
      </c>
      <c r="C231">
        <v>74733.403624179948</v>
      </c>
      <c r="D231">
        <v>0</v>
      </c>
      <c r="E231">
        <v>36051.328255330583</v>
      </c>
      <c r="F231">
        <v>48902.554626971949</v>
      </c>
      <c r="G231">
        <v>159687.28650648249</v>
      </c>
      <c r="H231">
        <v>66000.15604565361</v>
      </c>
      <c r="I231">
        <v>0</v>
      </c>
      <c r="J231">
        <v>31925.350352965001</v>
      </c>
      <c r="K231">
        <v>42367.006495539463</v>
      </c>
      <c r="L231">
        <v>140292.51289415808</v>
      </c>
    </row>
    <row r="232" spans="1:12" hidden="1" x14ac:dyDescent="0.25">
      <c r="A232" t="s">
        <v>571</v>
      </c>
      <c r="B232" t="s">
        <v>572</v>
      </c>
      <c r="C232">
        <v>13597.261156452951</v>
      </c>
      <c r="D232">
        <v>3561.1979477865334</v>
      </c>
      <c r="E232">
        <v>7634.8743479050181</v>
      </c>
      <c r="F232">
        <v>10527.985249291687</v>
      </c>
      <c r="G232">
        <v>35321.31870143619</v>
      </c>
      <c r="H232">
        <v>14960.035370348154</v>
      </c>
      <c r="I232">
        <v>4035.9679326342316</v>
      </c>
      <c r="J232">
        <v>7242.0954590348974</v>
      </c>
      <c r="K232">
        <v>9610.7294661451524</v>
      </c>
      <c r="L232">
        <v>35848.828228162434</v>
      </c>
    </row>
    <row r="233" spans="1:12" hidden="1" x14ac:dyDescent="0.25">
      <c r="A233" t="s">
        <v>81</v>
      </c>
      <c r="B233" t="s">
        <v>51</v>
      </c>
      <c r="C233">
        <v>17446.121632891569</v>
      </c>
      <c r="D233">
        <v>0</v>
      </c>
      <c r="E233">
        <v>12323.201297372489</v>
      </c>
      <c r="F233">
        <v>16716.056073046999</v>
      </c>
      <c r="G233">
        <v>46485.379003311056</v>
      </c>
      <c r="H233">
        <v>15866.397502582486</v>
      </c>
      <c r="I233">
        <v>0</v>
      </c>
      <c r="J233">
        <v>11298.22401904302</v>
      </c>
      <c r="K233">
        <v>14993.474624731874</v>
      </c>
      <c r="L233">
        <v>42158.096146357384</v>
      </c>
    </row>
    <row r="234" spans="1:12" hidden="1" x14ac:dyDescent="0.25">
      <c r="A234" t="s">
        <v>80</v>
      </c>
      <c r="B234" t="s">
        <v>47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hidden="1" x14ac:dyDescent="0.25">
      <c r="A235" t="s">
        <v>59</v>
      </c>
      <c r="B235" t="s">
        <v>23</v>
      </c>
      <c r="C235">
        <v>5651489.4695779271</v>
      </c>
      <c r="D235">
        <v>1520470.5971846825</v>
      </c>
      <c r="E235">
        <v>4848413.4014268834</v>
      </c>
      <c r="F235">
        <v>6576728.5892542154</v>
      </c>
      <c r="G235">
        <v>18597102.057443708</v>
      </c>
      <c r="H235">
        <v>5228391.1844220888</v>
      </c>
      <c r="I235">
        <v>1292438.3549068831</v>
      </c>
      <c r="J235">
        <v>4445356.80885405</v>
      </c>
      <c r="K235">
        <v>5899276.2401499748</v>
      </c>
      <c r="L235">
        <v>16865462.588332996</v>
      </c>
    </row>
    <row r="236" spans="1:12" hidden="1" x14ac:dyDescent="0.25">
      <c r="A236" t="s">
        <v>299</v>
      </c>
      <c r="B236" t="s">
        <v>300</v>
      </c>
      <c r="C236">
        <v>497064.03340733645</v>
      </c>
      <c r="D236">
        <v>0</v>
      </c>
      <c r="E236">
        <v>239783.25304708249</v>
      </c>
      <c r="F236">
        <v>325258.85170497623</v>
      </c>
      <c r="G236">
        <v>1062106.1381593952</v>
      </c>
      <c r="H236">
        <v>422739.18356161535</v>
      </c>
      <c r="I236">
        <v>0</v>
      </c>
      <c r="J236">
        <v>203957.2862705616</v>
      </c>
      <c r="K236">
        <v>276667.95482653379</v>
      </c>
      <c r="L236">
        <v>903364.42465871072</v>
      </c>
    </row>
    <row r="237" spans="1:12" hidden="1" x14ac:dyDescent="0.25">
      <c r="A237" t="s">
        <v>573</v>
      </c>
      <c r="B237" t="s">
        <v>574</v>
      </c>
      <c r="C237">
        <v>439710.49109110521</v>
      </c>
      <c r="D237">
        <v>0</v>
      </c>
      <c r="E237">
        <v>212115.95461857293</v>
      </c>
      <c r="F237">
        <v>287728.98420055583</v>
      </c>
      <c r="G237">
        <v>939555.42991023394</v>
      </c>
      <c r="H237">
        <v>476961.12768992357</v>
      </c>
      <c r="I237">
        <v>0</v>
      </c>
      <c r="J237">
        <v>230713.86521742711</v>
      </c>
      <c r="K237">
        <v>306172.23360776505</v>
      </c>
      <c r="L237">
        <v>1013847.2265151157</v>
      </c>
    </row>
    <row r="238" spans="1:12" hidden="1" x14ac:dyDescent="0.25">
      <c r="A238" t="s">
        <v>575</v>
      </c>
      <c r="B238" t="s">
        <v>576</v>
      </c>
      <c r="C238">
        <v>72126.424427987542</v>
      </c>
      <c r="D238">
        <v>19404.81499844473</v>
      </c>
      <c r="E238">
        <v>49065.019352522257</v>
      </c>
      <c r="F238">
        <v>66555.239578596578</v>
      </c>
      <c r="G238">
        <v>207151.49835755109</v>
      </c>
      <c r="H238">
        <v>96800.228866958714</v>
      </c>
      <c r="I238">
        <v>26115.086622927378</v>
      </c>
      <c r="J238">
        <v>82427.955658485866</v>
      </c>
      <c r="K238">
        <v>109387.23284747836</v>
      </c>
      <c r="L238">
        <v>314730.50399585033</v>
      </c>
    </row>
    <row r="239" spans="1:12" hidden="1" x14ac:dyDescent="0.25">
      <c r="A239" t="s">
        <v>577</v>
      </c>
      <c r="B239" t="s">
        <v>578</v>
      </c>
      <c r="C239">
        <v>399736.81008282286</v>
      </c>
      <c r="D239">
        <v>76286.975229982709</v>
      </c>
      <c r="E239">
        <v>192832.68601688457</v>
      </c>
      <c r="F239">
        <v>261571.80381868707</v>
      </c>
      <c r="G239">
        <v>930428.27514837729</v>
      </c>
      <c r="H239">
        <v>347600.82184044254</v>
      </c>
      <c r="I239">
        <v>64843.928945485299</v>
      </c>
      <c r="J239">
        <v>168140.17852561575</v>
      </c>
      <c r="K239">
        <v>223132.9008765078</v>
      </c>
      <c r="L239">
        <v>803717.83018805133</v>
      </c>
    </row>
    <row r="240" spans="1:12" hidden="1" x14ac:dyDescent="0.25">
      <c r="A240" t="s">
        <v>208</v>
      </c>
      <c r="B240" t="s">
        <v>209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 hidden="1" x14ac:dyDescent="0.25">
      <c r="A241" t="s">
        <v>579</v>
      </c>
      <c r="B241" t="s">
        <v>580</v>
      </c>
      <c r="C241">
        <v>657827.75050586276</v>
      </c>
      <c r="D241">
        <v>176981.26450388736</v>
      </c>
      <c r="E241">
        <v>350487.36624534952</v>
      </c>
      <c r="F241">
        <v>475425.68896452303</v>
      </c>
      <c r="G241">
        <v>1660722.0702196225</v>
      </c>
      <c r="H241">
        <v>791121.87046723452</v>
      </c>
      <c r="I241">
        <v>213431.48067283371</v>
      </c>
      <c r="J241">
        <v>458741.38247118739</v>
      </c>
      <c r="K241">
        <v>608779.50957629853</v>
      </c>
      <c r="L241">
        <v>2072074.2431875542</v>
      </c>
    </row>
    <row r="242" spans="1:12" hidden="1" x14ac:dyDescent="0.25">
      <c r="A242" t="s">
        <v>210</v>
      </c>
      <c r="B242" t="s">
        <v>211</v>
      </c>
      <c r="C242">
        <v>585701.32607787522</v>
      </c>
      <c r="D242">
        <v>0</v>
      </c>
      <c r="E242">
        <v>282541.80516386998</v>
      </c>
      <c r="F242">
        <v>383259.55602998938</v>
      </c>
      <c r="G242">
        <v>1251502.6872717347</v>
      </c>
      <c r="H242">
        <v>607201.43562001339</v>
      </c>
      <c r="I242">
        <v>0</v>
      </c>
      <c r="J242">
        <v>293713.22324727819</v>
      </c>
      <c r="K242">
        <v>389776.45975896297</v>
      </c>
      <c r="L242">
        <v>1290691.1186262546</v>
      </c>
    </row>
    <row r="243" spans="1:12" hidden="1" x14ac:dyDescent="0.25">
      <c r="A243" t="s">
        <v>301</v>
      </c>
      <c r="B243" t="s">
        <v>302</v>
      </c>
      <c r="C243">
        <v>13903.889046359061</v>
      </c>
      <c r="D243">
        <v>0</v>
      </c>
      <c r="E243">
        <v>6707.2238614568541</v>
      </c>
      <c r="F243">
        <v>9098.1496980412903</v>
      </c>
      <c r="G243">
        <v>29709.262605857206</v>
      </c>
      <c r="H243">
        <v>14960.035370348154</v>
      </c>
      <c r="I243">
        <v>0</v>
      </c>
      <c r="J243">
        <v>7236.4127466720674</v>
      </c>
      <c r="K243">
        <v>9603.188138988944</v>
      </c>
      <c r="L243">
        <v>31799.636256009166</v>
      </c>
    </row>
    <row r="244" spans="1:12" hidden="1" x14ac:dyDescent="0.25">
      <c r="A244" t="s">
        <v>212</v>
      </c>
      <c r="B244" t="s">
        <v>213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 hidden="1" x14ac:dyDescent="0.25">
      <c r="A245" t="s">
        <v>214</v>
      </c>
      <c r="B245" t="s">
        <v>215</v>
      </c>
      <c r="C245">
        <v>500540.00566892594</v>
      </c>
      <c r="D245">
        <v>0</v>
      </c>
      <c r="E245">
        <v>241460.05901244679</v>
      </c>
      <c r="F245">
        <v>327533.38912948652</v>
      </c>
      <c r="G245">
        <v>1069533.4538108592</v>
      </c>
      <c r="H245">
        <v>491041.16097966296</v>
      </c>
      <c r="I245">
        <v>0</v>
      </c>
      <c r="J245">
        <v>237524.60662605963</v>
      </c>
      <c r="K245">
        <v>315210.5283268136</v>
      </c>
      <c r="L245">
        <v>1043776.2959325362</v>
      </c>
    </row>
    <row r="246" spans="1:12" hidden="1" x14ac:dyDescent="0.25">
      <c r="A246" t="s">
        <v>216</v>
      </c>
      <c r="B246" t="s">
        <v>217</v>
      </c>
      <c r="C246">
        <v>231153.43965970015</v>
      </c>
      <c r="D246">
        <v>0</v>
      </c>
      <c r="E246">
        <v>0</v>
      </c>
      <c r="F246">
        <v>0</v>
      </c>
      <c r="G246">
        <v>231153.43965970015</v>
      </c>
      <c r="H246">
        <v>196452.92854929666</v>
      </c>
      <c r="I246">
        <v>0</v>
      </c>
      <c r="J246">
        <v>0</v>
      </c>
      <c r="K246">
        <v>0</v>
      </c>
      <c r="L246">
        <v>196452.92854929666</v>
      </c>
    </row>
    <row r="247" spans="1:12" hidden="1" x14ac:dyDescent="0.25">
      <c r="A247" t="s">
        <v>581</v>
      </c>
      <c r="B247" t="s">
        <v>582</v>
      </c>
      <c r="C247">
        <v>178143.57840647543</v>
      </c>
      <c r="D247">
        <v>47927.555116640571</v>
      </c>
      <c r="E247">
        <v>149167.08667320799</v>
      </c>
      <c r="F247">
        <v>202340.71690560295</v>
      </c>
      <c r="G247">
        <v>577578.93710192689</v>
      </c>
      <c r="H247">
        <v>160418.30392249697</v>
      </c>
      <c r="I247">
        <v>43186.552309893064</v>
      </c>
      <c r="J247">
        <v>134343.59587828844</v>
      </c>
      <c r="K247">
        <v>182237.01930600349</v>
      </c>
      <c r="L247">
        <v>520185.471416682</v>
      </c>
    </row>
    <row r="248" spans="1:12" hidden="1" x14ac:dyDescent="0.25">
      <c r="A248" t="s">
        <v>583</v>
      </c>
      <c r="B248" t="s">
        <v>584</v>
      </c>
      <c r="C248">
        <v>71237.024177676998</v>
      </c>
      <c r="D248">
        <v>18769.781824691938</v>
      </c>
      <c r="E248">
        <v>44986.60796766854</v>
      </c>
      <c r="F248">
        <v>61834.904512131849</v>
      </c>
      <c r="G248">
        <v>196828.31848216933</v>
      </c>
      <c r="H248">
        <v>64113.321759909297</v>
      </c>
      <c r="I248">
        <v>16892.803642222745</v>
      </c>
      <c r="J248">
        <v>40487.947170901687</v>
      </c>
      <c r="K248">
        <v>55651.414060918665</v>
      </c>
      <c r="L248">
        <v>177145.48663395242</v>
      </c>
    </row>
    <row r="249" spans="1:12" hidden="1" x14ac:dyDescent="0.25">
      <c r="A249" t="s">
        <v>218</v>
      </c>
      <c r="B249" t="s">
        <v>219</v>
      </c>
      <c r="C249">
        <v>861172.12780886411</v>
      </c>
      <c r="D249">
        <v>0</v>
      </c>
      <c r="E249">
        <v>483109.76008647622</v>
      </c>
      <c r="F249">
        <v>664043.08378385974</v>
      </c>
      <c r="G249">
        <v>2008324.9716792</v>
      </c>
      <c r="H249">
        <v>856242.02443227987</v>
      </c>
      <c r="I249">
        <v>0</v>
      </c>
      <c r="J249">
        <v>474197.87057604012</v>
      </c>
      <c r="K249">
        <v>629291.26981374621</v>
      </c>
      <c r="L249">
        <v>1959731.1648220662</v>
      </c>
    </row>
    <row r="250" spans="1:12" hidden="1" x14ac:dyDescent="0.25">
      <c r="A250" t="s">
        <v>220</v>
      </c>
      <c r="B250" t="s">
        <v>221</v>
      </c>
      <c r="C250">
        <v>130348.95980961616</v>
      </c>
      <c r="D250">
        <v>0</v>
      </c>
      <c r="E250">
        <v>62880.223701158022</v>
      </c>
      <c r="F250">
        <v>85295.153419137103</v>
      </c>
      <c r="G250">
        <v>278524.33692991128</v>
      </c>
      <c r="H250">
        <v>124960.29544643755</v>
      </c>
      <c r="I250">
        <v>0</v>
      </c>
      <c r="J250">
        <v>60445.330001613744</v>
      </c>
      <c r="K250">
        <v>80214.865631554727</v>
      </c>
      <c r="L250">
        <v>265620.491079606</v>
      </c>
    </row>
    <row r="251" spans="1:12" hidden="1" x14ac:dyDescent="0.25">
      <c r="A251" t="s">
        <v>585</v>
      </c>
      <c r="B251" t="s">
        <v>586</v>
      </c>
      <c r="C251">
        <v>59960.521512423416</v>
      </c>
      <c r="D251">
        <v>16131.713673405853</v>
      </c>
      <c r="E251">
        <v>33131.401227469054</v>
      </c>
      <c r="F251">
        <v>44941.760451083115</v>
      </c>
      <c r="G251">
        <v>154165.39686438144</v>
      </c>
      <c r="H251">
        <v>66000.15604565361</v>
      </c>
      <c r="I251">
        <v>17805.740879268666</v>
      </c>
      <c r="J251">
        <v>37863.593220017916</v>
      </c>
      <c r="K251">
        <v>50247.439171735794</v>
      </c>
      <c r="L251">
        <v>171916.92931667599</v>
      </c>
    </row>
    <row r="252" spans="1:12" hidden="1" x14ac:dyDescent="0.25">
      <c r="A252" t="s">
        <v>61</v>
      </c>
      <c r="B252" t="s">
        <v>31</v>
      </c>
      <c r="C252">
        <v>4414149.4521885253</v>
      </c>
      <c r="D252">
        <v>1162307.3328683204</v>
      </c>
      <c r="E252">
        <v>3719677.172166246</v>
      </c>
      <c r="F252">
        <v>5112653.2319499152</v>
      </c>
      <c r="G252">
        <v>14408787.189173006</v>
      </c>
      <c r="H252">
        <v>3738734.3885995536</v>
      </c>
      <c r="I252">
        <v>984988.15219393873</v>
      </c>
      <c r="J252">
        <v>3150763.0651788535</v>
      </c>
      <c r="K252">
        <v>4330780.6940169102</v>
      </c>
      <c r="L252">
        <v>12205266.299989257</v>
      </c>
    </row>
    <row r="253" spans="1:12" hidden="1" x14ac:dyDescent="0.25">
      <c r="A253" t="s">
        <v>78</v>
      </c>
      <c r="B253" t="s">
        <v>36</v>
      </c>
      <c r="C253">
        <v>86915.03389674965</v>
      </c>
      <c r="D253">
        <v>0</v>
      </c>
      <c r="E253">
        <v>73240.806865636594</v>
      </c>
      <c r="F253">
        <v>100668.64155153101</v>
      </c>
      <c r="G253">
        <v>260824.48231391725</v>
      </c>
      <c r="H253">
        <v>94875.074532073733</v>
      </c>
      <c r="I253">
        <v>0</v>
      </c>
      <c r="J253">
        <v>79954.564719351692</v>
      </c>
      <c r="K253">
        <v>109898.99212413108</v>
      </c>
      <c r="L253">
        <v>284728.63137555652</v>
      </c>
    </row>
    <row r="254" spans="1:12" hidden="1" x14ac:dyDescent="0.25">
      <c r="A254" t="s">
        <v>587</v>
      </c>
      <c r="B254" t="s">
        <v>588</v>
      </c>
      <c r="C254">
        <v>17379.861307948824</v>
      </c>
      <c r="D254">
        <v>4675.8590357698122</v>
      </c>
      <c r="E254">
        <v>8677.2147168561896</v>
      </c>
      <c r="F254">
        <v>11926.988223554987</v>
      </c>
      <c r="G254">
        <v>42659.923284129814</v>
      </c>
      <c r="H254">
        <v>31680.074901913747</v>
      </c>
      <c r="I254">
        <v>8546.7556220489623</v>
      </c>
      <c r="J254">
        <v>22788.283156596062</v>
      </c>
      <c r="K254">
        <v>30241.526869509573</v>
      </c>
      <c r="L254">
        <v>93256.640550068347</v>
      </c>
    </row>
    <row r="255" spans="1:12" hidden="1" x14ac:dyDescent="0.25">
      <c r="A255" t="s">
        <v>589</v>
      </c>
      <c r="B255" t="s">
        <v>590</v>
      </c>
      <c r="C255">
        <v>20855.833569538583</v>
      </c>
      <c r="D255">
        <v>0</v>
      </c>
      <c r="E255">
        <v>10060.835792185284</v>
      </c>
      <c r="F255">
        <v>13647.224547061936</v>
      </c>
      <c r="G255">
        <v>44563.893908785802</v>
      </c>
      <c r="H255">
        <v>17737.308401186659</v>
      </c>
      <c r="I255">
        <v>0</v>
      </c>
      <c r="J255">
        <v>8557.6483749885992</v>
      </c>
      <c r="K255">
        <v>11608.44565705736</v>
      </c>
      <c r="L255">
        <v>37903.402433232623</v>
      </c>
    </row>
    <row r="256" spans="1:12" hidden="1" x14ac:dyDescent="0.25">
      <c r="A256" t="s">
        <v>222</v>
      </c>
      <c r="B256" t="s">
        <v>223</v>
      </c>
      <c r="C256">
        <v>371929.0319901047</v>
      </c>
      <c r="D256">
        <v>0</v>
      </c>
      <c r="E256">
        <v>179418.23829397091</v>
      </c>
      <c r="F256">
        <v>243375.5044226046</v>
      </c>
      <c r="G256">
        <v>794722.77470668021</v>
      </c>
      <c r="H256">
        <v>356400.84264652972</v>
      </c>
      <c r="I256">
        <v>0</v>
      </c>
      <c r="J256">
        <v>172396.89190601109</v>
      </c>
      <c r="K256">
        <v>228781.83507591311</v>
      </c>
      <c r="L256">
        <v>757579.56962845393</v>
      </c>
    </row>
    <row r="257" spans="1:12" hidden="1" x14ac:dyDescent="0.25">
      <c r="A257" t="s">
        <v>224</v>
      </c>
      <c r="B257" t="s">
        <v>225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 hidden="1" x14ac:dyDescent="0.25">
      <c r="A258" t="s">
        <v>591</v>
      </c>
      <c r="B258" t="s">
        <v>592</v>
      </c>
      <c r="C258">
        <v>0</v>
      </c>
      <c r="D258">
        <v>3230.306654611838</v>
      </c>
      <c r="E258">
        <v>0</v>
      </c>
      <c r="F258">
        <v>0</v>
      </c>
      <c r="G258">
        <v>3230.306654611838</v>
      </c>
      <c r="H258">
        <v>0</v>
      </c>
      <c r="I258">
        <v>3068.7913218812459</v>
      </c>
      <c r="J258">
        <v>0</v>
      </c>
      <c r="K258">
        <v>0</v>
      </c>
      <c r="L258">
        <v>3068.7913218812459</v>
      </c>
    </row>
    <row r="259" spans="1:12" hidden="1" x14ac:dyDescent="0.25">
      <c r="A259" t="s">
        <v>226</v>
      </c>
      <c r="B259" t="s">
        <v>227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 hidden="1" x14ac:dyDescent="0.25">
      <c r="A260" t="s">
        <v>228</v>
      </c>
      <c r="B260" t="s">
        <v>229</v>
      </c>
      <c r="C260">
        <v>217248.26634936035</v>
      </c>
      <c r="D260">
        <v>0</v>
      </c>
      <c r="E260">
        <v>104800.37283526333</v>
      </c>
      <c r="F260">
        <v>142158.58903189519</v>
      </c>
      <c r="G260">
        <v>464207.22821651888</v>
      </c>
      <c r="H260">
        <v>234080.55344191825</v>
      </c>
      <c r="I260">
        <v>0</v>
      </c>
      <c r="J260">
        <v>113228.57591851587</v>
      </c>
      <c r="K260">
        <v>150261.64970417999</v>
      </c>
      <c r="L260">
        <v>497570.77906461409</v>
      </c>
    </row>
    <row r="261" spans="1:12" hidden="1" x14ac:dyDescent="0.25">
      <c r="A261" t="s">
        <v>593</v>
      </c>
      <c r="B261" t="s">
        <v>594</v>
      </c>
      <c r="C261">
        <v>0</v>
      </c>
      <c r="D261">
        <v>1617.3608360838525</v>
      </c>
      <c r="E261">
        <v>0</v>
      </c>
      <c r="F261">
        <v>0</v>
      </c>
      <c r="G261">
        <v>1617.3608360838525</v>
      </c>
      <c r="H261">
        <v>0</v>
      </c>
      <c r="I261">
        <v>1374.7567106712745</v>
      </c>
      <c r="J261">
        <v>0</v>
      </c>
      <c r="K261">
        <v>0</v>
      </c>
      <c r="L261">
        <v>1374.7567106712745</v>
      </c>
    </row>
    <row r="262" spans="1:12" hidden="1" x14ac:dyDescent="0.25">
      <c r="A262" t="s">
        <v>595</v>
      </c>
      <c r="B262" t="s">
        <v>596</v>
      </c>
      <c r="C262">
        <v>123397.01528643665</v>
      </c>
      <c r="D262">
        <v>33198.599153965675</v>
      </c>
      <c r="E262">
        <v>59596.408818737858</v>
      </c>
      <c r="F262">
        <v>80840.756190411703</v>
      </c>
      <c r="G262">
        <v>297032.77944955189</v>
      </c>
      <c r="H262">
        <v>104945.74137368771</v>
      </c>
      <c r="I262">
        <v>28252.665928477476</v>
      </c>
      <c r="J262">
        <v>50692.121570950687</v>
      </c>
      <c r="K262">
        <v>68763.83706266855</v>
      </c>
      <c r="L262">
        <v>252654.36593578442</v>
      </c>
    </row>
    <row r="263" spans="1:12" hidden="1" x14ac:dyDescent="0.25">
      <c r="A263" t="s">
        <v>230</v>
      </c>
      <c r="B263" t="s">
        <v>231</v>
      </c>
      <c r="C263">
        <v>187702.50212584724</v>
      </c>
      <c r="D263">
        <v>0</v>
      </c>
      <c r="E263">
        <v>90547.522129667603</v>
      </c>
      <c r="F263">
        <v>122825.02092355747</v>
      </c>
      <c r="G263">
        <v>401075.0451790723</v>
      </c>
      <c r="H263">
        <v>182160.43068600411</v>
      </c>
      <c r="I263">
        <v>0</v>
      </c>
      <c r="J263">
        <v>88113.966974183451</v>
      </c>
      <c r="K263">
        <v>116932.93792768894</v>
      </c>
      <c r="L263">
        <v>387207.3355878765</v>
      </c>
    </row>
    <row r="264" spans="1:12" hidden="1" x14ac:dyDescent="0.25">
      <c r="A264" t="s">
        <v>597</v>
      </c>
      <c r="B264" t="s">
        <v>598</v>
      </c>
      <c r="C264">
        <v>22593.819700333479</v>
      </c>
      <c r="D264">
        <v>6078.6167465007529</v>
      </c>
      <c r="E264">
        <v>13739.349838777591</v>
      </c>
      <c r="F264">
        <v>18637.019453799265</v>
      </c>
      <c r="G264">
        <v>61048.805739411087</v>
      </c>
      <c r="H264">
        <v>22880.054095826603</v>
      </c>
      <c r="I264">
        <v>6172.6568381464704</v>
      </c>
      <c r="J264">
        <v>14071.726033292931</v>
      </c>
      <c r="K264">
        <v>18674.091330703432</v>
      </c>
      <c r="L264">
        <v>61798.528297969431</v>
      </c>
    </row>
    <row r="265" spans="1:12" hidden="1" x14ac:dyDescent="0.25">
      <c r="A265" t="s">
        <v>72</v>
      </c>
      <c r="B265" t="s">
        <v>26</v>
      </c>
      <c r="C265">
        <v>87908.76148636383</v>
      </c>
      <c r="D265">
        <v>23650.877842814029</v>
      </c>
      <c r="E265">
        <v>75416.93558621408</v>
      </c>
      <c r="F265">
        <v>102300.83025466157</v>
      </c>
      <c r="G265">
        <v>289277.40517005348</v>
      </c>
      <c r="H265">
        <v>88281.553730591055</v>
      </c>
      <c r="I265">
        <v>21822.863295337072</v>
      </c>
      <c r="J265">
        <v>75059.993051356898</v>
      </c>
      <c r="K265">
        <v>99609.469528237794</v>
      </c>
      <c r="L265">
        <v>284773.87960552284</v>
      </c>
    </row>
    <row r="266" spans="1:12" hidden="1" x14ac:dyDescent="0.25">
      <c r="A266" t="s">
        <v>73</v>
      </c>
      <c r="B266" t="s">
        <v>28</v>
      </c>
      <c r="C266">
        <v>31495.345883755865</v>
      </c>
      <c r="D266">
        <v>0</v>
      </c>
      <c r="E266">
        <v>26599.334127917802</v>
      </c>
      <c r="F266">
        <v>36461.089314891666</v>
      </c>
      <c r="G266">
        <v>94555.769326565336</v>
      </c>
      <c r="H266">
        <v>22390.249134570171</v>
      </c>
      <c r="I266">
        <v>0</v>
      </c>
      <c r="J266">
        <v>19036.954759402091</v>
      </c>
      <c r="K266">
        <v>25263.27125716173</v>
      </c>
      <c r="L266">
        <v>66690.475151133985</v>
      </c>
    </row>
    <row r="267" spans="1:12" hidden="1" x14ac:dyDescent="0.25">
      <c r="A267" t="s">
        <v>232</v>
      </c>
      <c r="B267" t="s">
        <v>233</v>
      </c>
      <c r="C267">
        <v>486636.11662256706</v>
      </c>
      <c r="D267">
        <v>0</v>
      </c>
      <c r="E267">
        <v>234752.83515098982</v>
      </c>
      <c r="F267">
        <v>318435.23943144525</v>
      </c>
      <c r="G267">
        <v>1039824.1912050021</v>
      </c>
      <c r="H267">
        <v>571121.35031505616</v>
      </c>
      <c r="I267">
        <v>0</v>
      </c>
      <c r="J267">
        <v>276260.69838765712</v>
      </c>
      <c r="K267">
        <v>366615.82954140147</v>
      </c>
      <c r="L267">
        <v>1213997.8782441148</v>
      </c>
    </row>
    <row r="268" spans="1:12" hidden="1" x14ac:dyDescent="0.25">
      <c r="A268" t="s">
        <v>599</v>
      </c>
      <c r="B268" t="s">
        <v>600</v>
      </c>
      <c r="C268">
        <v>1140118.9018014425</v>
      </c>
      <c r="D268">
        <v>306736.3527464997</v>
      </c>
      <c r="E268">
        <v>680154.41970085911</v>
      </c>
      <c r="F268">
        <v>922609.2428169999</v>
      </c>
      <c r="G268">
        <v>3049618.9170658016</v>
      </c>
      <c r="H268">
        <v>1225842.8982879398</v>
      </c>
      <c r="I268">
        <v>330711.96059761674</v>
      </c>
      <c r="J268">
        <v>742370.81354094623</v>
      </c>
      <c r="K268">
        <v>985174.12437627779</v>
      </c>
      <c r="L268">
        <v>3284099.7968027806</v>
      </c>
    </row>
    <row r="269" spans="1:12" hidden="1" x14ac:dyDescent="0.25">
      <c r="A269" t="s">
        <v>67</v>
      </c>
      <c r="B269" t="s">
        <v>12</v>
      </c>
      <c r="C269">
        <v>14741.468936946862</v>
      </c>
      <c r="D269">
        <v>3881.0824915780217</v>
      </c>
      <c r="E269">
        <v>8242.751003376763</v>
      </c>
      <c r="F269">
        <v>11329.565875478922</v>
      </c>
      <c r="G269">
        <v>38194.868307380573</v>
      </c>
      <c r="H269">
        <v>16229.439190385176</v>
      </c>
      <c r="I269">
        <v>4378.4319030996658</v>
      </c>
      <c r="J269">
        <v>8817.8379163319114</v>
      </c>
      <c r="K269">
        <v>11701.841707217232</v>
      </c>
      <c r="L269">
        <v>41127.550717033984</v>
      </c>
    </row>
    <row r="270" spans="1:12" hidden="1" x14ac:dyDescent="0.25">
      <c r="A270" t="s">
        <v>62</v>
      </c>
      <c r="B270" t="s">
        <v>38</v>
      </c>
      <c r="C270">
        <v>3824677.3291069693</v>
      </c>
      <c r="D270">
        <v>0</v>
      </c>
      <c r="E270">
        <v>3078005.6871964685</v>
      </c>
      <c r="F270">
        <v>4175223.1760836504</v>
      </c>
      <c r="G270">
        <v>11077906.192387089</v>
      </c>
      <c r="H270">
        <v>4315455.8208886422</v>
      </c>
      <c r="I270">
        <v>0</v>
      </c>
      <c r="J270">
        <v>3553640.7697421736</v>
      </c>
      <c r="K270">
        <v>4715911.3340943456</v>
      </c>
      <c r="L270">
        <v>12585007.924725162</v>
      </c>
    </row>
    <row r="271" spans="1:12" hidden="1" x14ac:dyDescent="0.25">
      <c r="A271" t="s">
        <v>601</v>
      </c>
      <c r="B271" t="s">
        <v>602</v>
      </c>
      <c r="C271">
        <v>67365.446776716301</v>
      </c>
      <c r="D271">
        <v>17749.684986393455</v>
      </c>
      <c r="E271">
        <v>44335.308021352357</v>
      </c>
      <c r="F271">
        <v>60939.680982094593</v>
      </c>
      <c r="G271">
        <v>190390.12076655671</v>
      </c>
      <c r="H271">
        <v>57260.629760208853</v>
      </c>
      <c r="I271">
        <v>15087.232238434437</v>
      </c>
      <c r="J271">
        <v>37685.011818149505</v>
      </c>
      <c r="K271">
        <v>51798.728834780406</v>
      </c>
      <c r="L271">
        <v>161831.60265157319</v>
      </c>
    </row>
    <row r="272" spans="1:12" hidden="1" x14ac:dyDescent="0.25">
      <c r="A272" t="s">
        <v>234</v>
      </c>
      <c r="B272" t="s">
        <v>235</v>
      </c>
      <c r="C272">
        <v>361501.11520533566</v>
      </c>
      <c r="D272">
        <v>0</v>
      </c>
      <c r="E272">
        <v>0</v>
      </c>
      <c r="F272">
        <v>0</v>
      </c>
      <c r="G272">
        <v>361501.11520533566</v>
      </c>
      <c r="H272">
        <v>353760.83640470367</v>
      </c>
      <c r="I272">
        <v>0</v>
      </c>
      <c r="J272">
        <v>0</v>
      </c>
      <c r="K272">
        <v>0</v>
      </c>
      <c r="L272">
        <v>353760.83640470367</v>
      </c>
    </row>
    <row r="273" spans="1:12" hidden="1" x14ac:dyDescent="0.25">
      <c r="A273" t="s">
        <v>236</v>
      </c>
      <c r="B273" t="s">
        <v>237</v>
      </c>
      <c r="C273">
        <v>20476.342698414395</v>
      </c>
      <c r="D273">
        <v>5395.1788336674917</v>
      </c>
      <c r="E273">
        <v>10478.496772818438</v>
      </c>
      <c r="F273">
        <v>14402.882916702147</v>
      </c>
      <c r="G273">
        <v>50752.901221602471</v>
      </c>
      <c r="H273">
        <v>17404.891293652236</v>
      </c>
      <c r="I273">
        <v>4585.9020086173678</v>
      </c>
      <c r="J273">
        <v>8906.7222568956731</v>
      </c>
      <c r="K273">
        <v>12242.450479196825</v>
      </c>
      <c r="L273">
        <v>43139.966038362094</v>
      </c>
    </row>
    <row r="274" spans="1:12" hidden="1" x14ac:dyDescent="0.25">
      <c r="A274" t="s">
        <v>303</v>
      </c>
      <c r="B274" t="s">
        <v>304</v>
      </c>
      <c r="C274">
        <v>142603.10093538597</v>
      </c>
      <c r="D274">
        <v>0</v>
      </c>
      <c r="E274">
        <v>68216.077637120121</v>
      </c>
      <c r="F274">
        <v>93764.229788452358</v>
      </c>
      <c r="G274">
        <v>304583.40836095845</v>
      </c>
      <c r="H274">
        <v>121212.63579507807</v>
      </c>
      <c r="I274">
        <v>0</v>
      </c>
      <c r="J274">
        <v>58316.973311416063</v>
      </c>
      <c r="K274">
        <v>79699.595320184497</v>
      </c>
      <c r="L274">
        <v>259229.2044266786</v>
      </c>
    </row>
    <row r="275" spans="1:12" hidden="1" x14ac:dyDescent="0.25">
      <c r="A275" t="s">
        <v>238</v>
      </c>
      <c r="B275" t="s">
        <v>239</v>
      </c>
      <c r="C275">
        <v>26938.785027320668</v>
      </c>
      <c r="D275">
        <v>4739.2710062714723</v>
      </c>
      <c r="E275">
        <v>12995.246231572653</v>
      </c>
      <c r="F275">
        <v>17627.665039955002</v>
      </c>
      <c r="G275">
        <v>62300.96730511979</v>
      </c>
      <c r="H275">
        <v>25520.06033765274</v>
      </c>
      <c r="I275">
        <v>4028.3803553307512</v>
      </c>
      <c r="J275">
        <v>12344.46880314647</v>
      </c>
      <c r="K275">
        <v>16381.909178275258</v>
      </c>
      <c r="L275">
        <v>58274.818674405222</v>
      </c>
    </row>
    <row r="276" spans="1:12" hidden="1" x14ac:dyDescent="0.25">
      <c r="A276" t="s">
        <v>240</v>
      </c>
      <c r="B276" t="s">
        <v>241</v>
      </c>
      <c r="C276">
        <v>66043.472970205519</v>
      </c>
      <c r="D276">
        <v>0</v>
      </c>
      <c r="E276">
        <v>31859.313341920057</v>
      </c>
      <c r="F276">
        <v>43216.211065696123</v>
      </c>
      <c r="G276">
        <v>141118.99737782171</v>
      </c>
      <c r="H276">
        <v>64240.1518844362</v>
      </c>
      <c r="I276">
        <v>0</v>
      </c>
      <c r="J276">
        <v>31074.007676885944</v>
      </c>
      <c r="K276">
        <v>41237.219655658417</v>
      </c>
      <c r="L276">
        <v>136551.37921698057</v>
      </c>
    </row>
    <row r="277" spans="1:12" hidden="1" x14ac:dyDescent="0.25">
      <c r="A277" t="s">
        <v>603</v>
      </c>
      <c r="B277" t="s">
        <v>604</v>
      </c>
      <c r="C277">
        <v>233759.13459191163</v>
      </c>
      <c r="D277">
        <v>62890.304031103966</v>
      </c>
      <c r="E277">
        <v>171591.55535728298</v>
      </c>
      <c r="F277">
        <v>232394.48307314407</v>
      </c>
      <c r="G277">
        <v>700635.47705344262</v>
      </c>
      <c r="H277">
        <v>243760.57632861409</v>
      </c>
      <c r="I277">
        <v>65762.536314098921</v>
      </c>
      <c r="J277">
        <v>163019.72479142086</v>
      </c>
      <c r="K277">
        <v>216337.72731636575</v>
      </c>
      <c r="L277">
        <v>688880.56475049956</v>
      </c>
    </row>
    <row r="278" spans="1:12" hidden="1" x14ac:dyDescent="0.25">
      <c r="A278" t="s">
        <v>605</v>
      </c>
      <c r="B278" t="s">
        <v>606</v>
      </c>
      <c r="C278">
        <v>585701.32607787522</v>
      </c>
      <c r="D278">
        <v>157576.44950544261</v>
      </c>
      <c r="E278">
        <v>324376.77255493478</v>
      </c>
      <c r="F278">
        <v>440007.44514158223</v>
      </c>
      <c r="G278">
        <v>1507661.993279835</v>
      </c>
      <c r="H278">
        <v>636241.50428010116</v>
      </c>
      <c r="I278">
        <v>171647.34207614994</v>
      </c>
      <c r="J278">
        <v>366978.70977229741</v>
      </c>
      <c r="K278">
        <v>487004.5029655766</v>
      </c>
      <c r="L278">
        <v>1661872.0590941249</v>
      </c>
    </row>
    <row r="279" spans="1:12" hidden="1" x14ac:dyDescent="0.25">
      <c r="A279" t="s">
        <v>242</v>
      </c>
      <c r="B279" t="s">
        <v>243</v>
      </c>
      <c r="C279">
        <v>20855.833569538583</v>
      </c>
      <c r="D279">
        <v>0</v>
      </c>
      <c r="E279">
        <v>10060.835792185284</v>
      </c>
      <c r="F279">
        <v>13647.224547061936</v>
      </c>
      <c r="G279">
        <v>44563.893908785802</v>
      </c>
      <c r="H279">
        <v>18480.04369278302</v>
      </c>
      <c r="I279">
        <v>0</v>
      </c>
      <c r="J279">
        <v>8939.0980988301999</v>
      </c>
      <c r="K279">
        <v>11862.761818751051</v>
      </c>
      <c r="L279">
        <v>39281.903610364272</v>
      </c>
    </row>
    <row r="280" spans="1:12" hidden="1" x14ac:dyDescent="0.25">
      <c r="A280" t="s">
        <v>244</v>
      </c>
      <c r="B280" t="s">
        <v>245</v>
      </c>
      <c r="C280">
        <v>63436.493774013201</v>
      </c>
      <c r="D280">
        <v>0</v>
      </c>
      <c r="E280">
        <v>30601.708867896894</v>
      </c>
      <c r="F280">
        <v>41510.307997313401</v>
      </c>
      <c r="G280">
        <v>135548.5106392235</v>
      </c>
      <c r="H280">
        <v>70400.1664486972</v>
      </c>
      <c r="I280">
        <v>0</v>
      </c>
      <c r="J280">
        <v>34053.707043162671</v>
      </c>
      <c r="K280">
        <v>45191.473595242096</v>
      </c>
      <c r="L280">
        <v>149645.34708710198</v>
      </c>
    </row>
    <row r="281" spans="1:12" hidden="1" x14ac:dyDescent="0.25">
      <c r="A281" t="s">
        <v>607</v>
      </c>
      <c r="B281" t="s">
        <v>608</v>
      </c>
      <c r="C281">
        <v>39104.68794288487</v>
      </c>
      <c r="D281">
        <v>10520.682830482085</v>
      </c>
      <c r="E281">
        <v>23223.615899772383</v>
      </c>
      <c r="F281">
        <v>31502.14430744333</v>
      </c>
      <c r="G281">
        <v>104351.13098058267</v>
      </c>
      <c r="H281">
        <v>35213.774031767643</v>
      </c>
      <c r="I281">
        <v>9479.9748972936068</v>
      </c>
      <c r="J281">
        <v>20915.767270475168</v>
      </c>
      <c r="K281">
        <v>28372.227637279313</v>
      </c>
      <c r="L281">
        <v>93981.743836815731</v>
      </c>
    </row>
    <row r="282" spans="1:12" hidden="1" x14ac:dyDescent="0.25">
      <c r="A282" t="s">
        <v>60</v>
      </c>
      <c r="B282" t="s">
        <v>42</v>
      </c>
      <c r="C282">
        <v>438743.81415792613</v>
      </c>
      <c r="D282">
        <v>118039.15989134953</v>
      </c>
      <c r="E282">
        <v>256324.90930906625</v>
      </c>
      <c r="F282">
        <v>347697.11648243648</v>
      </c>
      <c r="G282">
        <v>1160804.9998407783</v>
      </c>
      <c r="H282">
        <v>403455.72032556549</v>
      </c>
      <c r="I282">
        <v>108845.62162862933</v>
      </c>
      <c r="J282">
        <v>235083.46877053581</v>
      </c>
      <c r="K282">
        <v>311970.9803739161</v>
      </c>
      <c r="L282">
        <v>1059355.7910986468</v>
      </c>
    </row>
    <row r="283" spans="1:12" hidden="1" x14ac:dyDescent="0.25">
      <c r="A283" t="s">
        <v>246</v>
      </c>
      <c r="B283" t="s">
        <v>247</v>
      </c>
      <c r="C283">
        <v>556155.56185436237</v>
      </c>
      <c r="D283">
        <v>0</v>
      </c>
      <c r="E283">
        <v>268288.9544582743</v>
      </c>
      <c r="F283">
        <v>363925.98792165169</v>
      </c>
      <c r="G283">
        <v>1188370.5042342884</v>
      </c>
      <c r="H283">
        <v>485761.14849601063</v>
      </c>
      <c r="I283">
        <v>0</v>
      </c>
      <c r="J283">
        <v>234970.57859782243</v>
      </c>
      <c r="K283">
        <v>311821.16780717048</v>
      </c>
      <c r="L283">
        <v>1032552.8949010035</v>
      </c>
    </row>
    <row r="284" spans="1:12" hidden="1" x14ac:dyDescent="0.25">
      <c r="A284" t="s">
        <v>609</v>
      </c>
      <c r="B284" t="s">
        <v>610</v>
      </c>
      <c r="C284">
        <v>220724.23861095007</v>
      </c>
      <c r="D284">
        <v>59383.409754276603</v>
      </c>
      <c r="E284">
        <v>173260.69238803495</v>
      </c>
      <c r="F284">
        <v>235022.97652403562</v>
      </c>
      <c r="G284">
        <v>688391.31727729726</v>
      </c>
      <c r="H284">
        <v>222640.52639400493</v>
      </c>
      <c r="I284">
        <v>60064.699232732979</v>
      </c>
      <c r="J284">
        <v>175634.38847638795</v>
      </c>
      <c r="K284">
        <v>233078.20259294825</v>
      </c>
      <c r="L284">
        <v>691417.81669607409</v>
      </c>
    </row>
    <row r="285" spans="1:12" hidden="1" x14ac:dyDescent="0.25">
      <c r="A285" t="s">
        <v>248</v>
      </c>
      <c r="B285" t="s">
        <v>249</v>
      </c>
      <c r="C285">
        <v>412771.70606378443</v>
      </c>
      <c r="D285">
        <v>0</v>
      </c>
      <c r="E285">
        <v>199120.7083870004</v>
      </c>
      <c r="F285">
        <v>270101.31916060083</v>
      </c>
      <c r="G285">
        <v>881993.73361138557</v>
      </c>
      <c r="H285">
        <v>485761.14849601063</v>
      </c>
      <c r="I285">
        <v>0</v>
      </c>
      <c r="J285">
        <v>234970.57859782243</v>
      </c>
      <c r="K285">
        <v>311821.16780717048</v>
      </c>
      <c r="L285">
        <v>1032552.8949010035</v>
      </c>
    </row>
    <row r="286" spans="1:12" hidden="1" x14ac:dyDescent="0.25">
      <c r="A286" t="s">
        <v>611</v>
      </c>
      <c r="B286" t="s">
        <v>612</v>
      </c>
      <c r="C286">
        <v>66912.466035602949</v>
      </c>
      <c r="D286">
        <v>18002.057287713775</v>
      </c>
      <c r="E286">
        <v>46331.930429351429</v>
      </c>
      <c r="F286">
        <v>62847.885735233744</v>
      </c>
      <c r="G286">
        <v>194094.33948790192</v>
      </c>
      <c r="H286">
        <v>61600.145642610056</v>
      </c>
      <c r="I286">
        <v>16618.691487317425</v>
      </c>
      <c r="J286">
        <v>41727.691253352954</v>
      </c>
      <c r="K286">
        <v>56603.591907883318</v>
      </c>
      <c r="L286">
        <v>176550.12029116374</v>
      </c>
    </row>
    <row r="287" spans="1:12" hidden="1" x14ac:dyDescent="0.25">
      <c r="A287" t="s">
        <v>63</v>
      </c>
      <c r="B287" t="s">
        <v>48</v>
      </c>
      <c r="C287">
        <v>2367199.2490119534</v>
      </c>
      <c r="D287">
        <v>0</v>
      </c>
      <c r="E287">
        <v>1672089.2740748546</v>
      </c>
      <c r="F287">
        <v>2268139.3730487283</v>
      </c>
      <c r="G287">
        <v>6307427.896135536</v>
      </c>
      <c r="H287">
        <v>2428775.3813491641</v>
      </c>
      <c r="I287">
        <v>0</v>
      </c>
      <c r="J287">
        <v>1729494.5715278531</v>
      </c>
      <c r="K287">
        <v>2295151.24926783</v>
      </c>
      <c r="L287">
        <v>6453421.2021448473</v>
      </c>
    </row>
    <row r="288" spans="1:12" hidden="1" x14ac:dyDescent="0.25">
      <c r="A288" t="s">
        <v>250</v>
      </c>
      <c r="B288" t="s">
        <v>251</v>
      </c>
      <c r="C288">
        <v>99065.209455308272</v>
      </c>
      <c r="D288">
        <v>0</v>
      </c>
      <c r="E288">
        <v>47788.970012880083</v>
      </c>
      <c r="F288">
        <v>64824.31659854421</v>
      </c>
      <c r="G288">
        <v>211678.49606673256</v>
      </c>
      <c r="H288">
        <v>100320.23718939352</v>
      </c>
      <c r="I288">
        <v>0</v>
      </c>
      <c r="J288">
        <v>48526.53253650682</v>
      </c>
      <c r="K288">
        <v>64397.849873219981</v>
      </c>
      <c r="L288">
        <v>213244.61959912034</v>
      </c>
    </row>
    <row r="289" spans="1:12" hidden="1" x14ac:dyDescent="0.25">
      <c r="A289" t="s">
        <v>613</v>
      </c>
      <c r="B289" t="s">
        <v>614</v>
      </c>
      <c r="C289">
        <v>85174.702821135521</v>
      </c>
      <c r="D289">
        <v>22442.130442566453</v>
      </c>
      <c r="E289">
        <v>50032.650004897354</v>
      </c>
      <c r="F289">
        <v>68770.780356794188</v>
      </c>
      <c r="G289">
        <v>226420.26362539351</v>
      </c>
      <c r="H289">
        <v>76657.232539021978</v>
      </c>
      <c r="I289">
        <v>20197.917398309808</v>
      </c>
      <c r="J289">
        <v>45029.385004407617</v>
      </c>
      <c r="K289">
        <v>61893.702321114768</v>
      </c>
      <c r="L289">
        <v>203778.23726285418</v>
      </c>
    </row>
    <row r="290" spans="1:12" hidden="1" x14ac:dyDescent="0.25">
      <c r="A290" t="s">
        <v>615</v>
      </c>
      <c r="B290" t="s">
        <v>616</v>
      </c>
      <c r="C290">
        <v>271784.73354744149</v>
      </c>
      <c r="D290">
        <v>71610.798048552926</v>
      </c>
      <c r="E290">
        <v>140437.87743390026</v>
      </c>
      <c r="F290">
        <v>193034.39697549067</v>
      </c>
      <c r="G290">
        <v>676867.80600538536</v>
      </c>
      <c r="H290">
        <v>311520.73653548514</v>
      </c>
      <c r="I290">
        <v>84043.09695014813</v>
      </c>
      <c r="J290">
        <v>163975.30373640236</v>
      </c>
      <c r="K290">
        <v>217605.84243245475</v>
      </c>
      <c r="L290">
        <v>777144.97965449025</v>
      </c>
    </row>
    <row r="291" spans="1:12" hidden="1" x14ac:dyDescent="0.25">
      <c r="A291" t="s">
        <v>617</v>
      </c>
      <c r="B291" t="s">
        <v>618</v>
      </c>
      <c r="C291">
        <v>32152.743419705315</v>
      </c>
      <c r="D291">
        <v>0</v>
      </c>
      <c r="E291">
        <v>15510.455179618972</v>
      </c>
      <c r="F291">
        <v>21039.47117672049</v>
      </c>
      <c r="G291">
        <v>68702.669776044771</v>
      </c>
      <c r="H291">
        <v>27345.017118496093</v>
      </c>
      <c r="I291">
        <v>0</v>
      </c>
      <c r="J291">
        <v>13193.041244774087</v>
      </c>
      <c r="K291">
        <v>17896.353721296764</v>
      </c>
      <c r="L291">
        <v>58434.412084566946</v>
      </c>
    </row>
    <row r="292" spans="1:12" hidden="1" x14ac:dyDescent="0.25">
      <c r="A292" t="s">
        <v>619</v>
      </c>
      <c r="B292" t="s">
        <v>1397</v>
      </c>
      <c r="C292">
        <v>924608.62158287689</v>
      </c>
      <c r="D292">
        <v>248755.70070295394</v>
      </c>
      <c r="E292">
        <v>524211.46492198692</v>
      </c>
      <c r="F292">
        <v>711077.26233753958</v>
      </c>
      <c r="G292">
        <v>2408653.049545357</v>
      </c>
      <c r="H292">
        <v>786354.0057859415</v>
      </c>
      <c r="I292">
        <v>211696.03202746488</v>
      </c>
      <c r="J292">
        <v>445889.1372051349</v>
      </c>
      <c r="K292">
        <v>604848.38725625945</v>
      </c>
      <c r="L292">
        <v>2048787.5622748006</v>
      </c>
    </row>
    <row r="293" spans="1:12" hidden="1" x14ac:dyDescent="0.25">
      <c r="A293" t="s">
        <v>620</v>
      </c>
      <c r="B293" t="s">
        <v>621</v>
      </c>
      <c r="C293">
        <v>661265.42008408858</v>
      </c>
      <c r="D293">
        <v>175110.92088957946</v>
      </c>
      <c r="E293">
        <v>425395.79968211905</v>
      </c>
      <c r="F293">
        <v>584714.20366057509</v>
      </c>
      <c r="G293">
        <v>1846486.3443163624</v>
      </c>
      <c r="H293">
        <v>770881.82261323475</v>
      </c>
      <c r="I293">
        <v>207971.0534698581</v>
      </c>
      <c r="J293">
        <v>514807.09713533038</v>
      </c>
      <c r="K293">
        <v>683182.34215577587</v>
      </c>
      <c r="L293">
        <v>2176842.3153741993</v>
      </c>
    </row>
    <row r="294" spans="1:12" hidden="1" x14ac:dyDescent="0.25">
      <c r="A294" t="s">
        <v>622</v>
      </c>
      <c r="B294" t="s">
        <v>623</v>
      </c>
      <c r="C294">
        <v>175536.59921028311</v>
      </c>
      <c r="D294">
        <v>47226.176261275112</v>
      </c>
      <c r="E294">
        <v>108959.17651052236</v>
      </c>
      <c r="F294">
        <v>147799.88253630677</v>
      </c>
      <c r="G294">
        <v>479521.83451838733</v>
      </c>
      <c r="H294">
        <v>158070.71898704581</v>
      </c>
      <c r="I294">
        <v>42554.553983406826</v>
      </c>
      <c r="J294">
        <v>98131.349903140901</v>
      </c>
      <c r="K294">
        <v>133115.12610563531</v>
      </c>
      <c r="L294">
        <v>431871.74897922884</v>
      </c>
    </row>
    <row r="295" spans="1:12" hidden="1" x14ac:dyDescent="0.25">
      <c r="A295" t="s">
        <v>252</v>
      </c>
      <c r="B295" t="s">
        <v>253</v>
      </c>
      <c r="C295">
        <v>221593.23167634747</v>
      </c>
      <c r="D295">
        <v>0</v>
      </c>
      <c r="E295">
        <v>106896.38029196864</v>
      </c>
      <c r="F295">
        <v>145001.76081253309</v>
      </c>
      <c r="G295">
        <v>473491.37278084923</v>
      </c>
      <c r="H295">
        <v>241120.57008678786</v>
      </c>
      <c r="I295">
        <v>0</v>
      </c>
      <c r="J295">
        <v>116633.94662283213</v>
      </c>
      <c r="K295">
        <v>154780.7970637042</v>
      </c>
      <c r="L295">
        <v>512535.31377332425</v>
      </c>
    </row>
    <row r="296" spans="1:12" hidden="1" x14ac:dyDescent="0.25">
      <c r="A296" t="s">
        <v>624</v>
      </c>
      <c r="B296" t="s">
        <v>625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 hidden="1" x14ac:dyDescent="0.25">
      <c r="A297" t="s">
        <v>626</v>
      </c>
      <c r="B297" t="s">
        <v>627</v>
      </c>
      <c r="C297">
        <v>33890.729550500218</v>
      </c>
      <c r="D297">
        <v>7949.7449137456952</v>
      </c>
      <c r="E297">
        <v>16348.85816230107</v>
      </c>
      <c r="F297">
        <v>22176.739888975648</v>
      </c>
      <c r="G297">
        <v>80366.072515522625</v>
      </c>
      <c r="H297">
        <v>39600.093627392176</v>
      </c>
      <c r="I297">
        <v>6757.2831766838408</v>
      </c>
      <c r="J297">
        <v>19155.210211778998</v>
      </c>
      <c r="K297">
        <v>25420.203897323681</v>
      </c>
      <c r="L297">
        <v>90932.790913178702</v>
      </c>
    </row>
    <row r="298" spans="1:12" hidden="1" x14ac:dyDescent="0.25">
      <c r="A298" t="s">
        <v>628</v>
      </c>
      <c r="B298" t="s">
        <v>629</v>
      </c>
      <c r="C298">
        <v>72995.41749338503</v>
      </c>
      <c r="D298">
        <v>19638.60795023321</v>
      </c>
      <c r="E298">
        <v>50468.516425569396</v>
      </c>
      <c r="F298">
        <v>68459.041618770614</v>
      </c>
      <c r="G298">
        <v>211561.58348795824</v>
      </c>
      <c r="H298">
        <v>65732.37819263291</v>
      </c>
      <c r="I298">
        <v>17695.953141614718</v>
      </c>
      <c r="J298">
        <v>45453.203695713397</v>
      </c>
      <c r="K298">
        <v>61657.247636276101</v>
      </c>
      <c r="L298">
        <v>190538.78266623712</v>
      </c>
    </row>
    <row r="299" spans="1:12" hidden="1" x14ac:dyDescent="0.25">
      <c r="A299" t="s">
        <v>64</v>
      </c>
      <c r="B299" t="s">
        <v>1389</v>
      </c>
      <c r="C299">
        <v>928474.19965927966</v>
      </c>
      <c r="D299">
        <v>0</v>
      </c>
      <c r="E299">
        <v>530132.29505004059</v>
      </c>
      <c r="F299">
        <v>719108.69232323871</v>
      </c>
      <c r="G299">
        <v>2177715.187032559</v>
      </c>
      <c r="H299">
        <v>885936.81464034063</v>
      </c>
      <c r="I299">
        <v>0</v>
      </c>
      <c r="J299">
        <v>500034.61842561141</v>
      </c>
      <c r="K299">
        <v>663578.30666265381</v>
      </c>
      <c r="L299">
        <v>2049549.7397286058</v>
      </c>
    </row>
    <row r="300" spans="1:12" hidden="1" x14ac:dyDescent="0.25">
      <c r="A300" t="s">
        <v>305</v>
      </c>
      <c r="B300" t="s">
        <v>1385</v>
      </c>
      <c r="C300">
        <v>318114.609778938</v>
      </c>
      <c r="D300">
        <v>0</v>
      </c>
      <c r="E300">
        <v>152174.3270366526</v>
      </c>
      <c r="F300">
        <v>209166.35875885526</v>
      </c>
      <c r="G300">
        <v>679455.29557444586</v>
      </c>
      <c r="H300">
        <v>270737.56707876752</v>
      </c>
      <c r="I300">
        <v>0</v>
      </c>
      <c r="J300">
        <v>129634.85133619899</v>
      </c>
      <c r="K300">
        <v>178185.4426450482</v>
      </c>
      <c r="L300">
        <v>578557.86106001469</v>
      </c>
    </row>
    <row r="301" spans="1:12" hidden="1" x14ac:dyDescent="0.25">
      <c r="A301" t="s">
        <v>254</v>
      </c>
      <c r="B301" t="s">
        <v>1384</v>
      </c>
      <c r="C301">
        <v>636971.91693632398</v>
      </c>
      <c r="D301">
        <v>0</v>
      </c>
      <c r="E301">
        <v>316077.92447115429</v>
      </c>
      <c r="F301">
        <v>428750.30452019587</v>
      </c>
      <c r="G301">
        <v>1381800.1459276741</v>
      </c>
      <c r="H301">
        <v>669681.5833432324</v>
      </c>
      <c r="I301">
        <v>0</v>
      </c>
      <c r="J301">
        <v>338834.3850794686</v>
      </c>
      <c r="K301">
        <v>449655.16227265878</v>
      </c>
      <c r="L301">
        <v>1458171.1306953598</v>
      </c>
    </row>
    <row r="302" spans="1:12" hidden="1" x14ac:dyDescent="0.25">
      <c r="A302" t="s">
        <v>68</v>
      </c>
      <c r="B302" t="s">
        <v>1382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 hidden="1" x14ac:dyDescent="0.25">
      <c r="A303" t="s">
        <v>630</v>
      </c>
      <c r="B303" t="s">
        <v>631</v>
      </c>
      <c r="C303">
        <v>84292.327343551762</v>
      </c>
      <c r="D303">
        <v>22677.916323483594</v>
      </c>
      <c r="E303">
        <v>47892.198380122827</v>
      </c>
      <c r="F303">
        <v>64964.342808740621</v>
      </c>
      <c r="G303">
        <v>219826.78485589882</v>
      </c>
      <c r="H303">
        <v>75905.246246254668</v>
      </c>
      <c r="I303">
        <v>20434.612556388431</v>
      </c>
      <c r="J303">
        <v>43132.90745563418</v>
      </c>
      <c r="K303">
        <v>58509.76696974659</v>
      </c>
      <c r="L303">
        <v>197982.53322802388</v>
      </c>
    </row>
    <row r="304" spans="1:12" hidden="1" x14ac:dyDescent="0.25">
      <c r="A304" t="s">
        <v>255</v>
      </c>
      <c r="B304" t="s">
        <v>256</v>
      </c>
      <c r="C304">
        <v>172929.62001409073</v>
      </c>
      <c r="D304">
        <v>0</v>
      </c>
      <c r="E304">
        <v>0</v>
      </c>
      <c r="F304">
        <v>0</v>
      </c>
      <c r="G304">
        <v>172929.62001409073</v>
      </c>
      <c r="H304">
        <v>215600.50974913524</v>
      </c>
      <c r="I304">
        <v>0</v>
      </c>
      <c r="J304">
        <v>104289.47781968568</v>
      </c>
      <c r="K304">
        <v>138398.88788542894</v>
      </c>
      <c r="L304">
        <v>458288.87545424991</v>
      </c>
    </row>
    <row r="305" spans="1:12" hidden="1" x14ac:dyDescent="0.25">
      <c r="A305" t="s">
        <v>306</v>
      </c>
      <c r="B305" t="s">
        <v>307</v>
      </c>
      <c r="C305">
        <v>131217.95287501361</v>
      </c>
      <c r="D305">
        <v>0</v>
      </c>
      <c r="E305">
        <v>63299.42519249906</v>
      </c>
      <c r="F305">
        <v>85863.787775264675</v>
      </c>
      <c r="G305">
        <v>280381.16584277735</v>
      </c>
      <c r="H305">
        <v>123200.29128522011</v>
      </c>
      <c r="I305">
        <v>0</v>
      </c>
      <c r="J305">
        <v>59593.987325534668</v>
      </c>
      <c r="K305">
        <v>79085.078791673659</v>
      </c>
      <c r="L305">
        <v>261879.35740242846</v>
      </c>
    </row>
    <row r="306" spans="1:12" hidden="1" x14ac:dyDescent="0.25">
      <c r="A306" t="s">
        <v>257</v>
      </c>
      <c r="B306" t="s">
        <v>258</v>
      </c>
      <c r="C306">
        <v>25200.798896525794</v>
      </c>
      <c r="D306">
        <v>0</v>
      </c>
      <c r="E306">
        <v>12156.843248890547</v>
      </c>
      <c r="F306">
        <v>16490.396327699844</v>
      </c>
      <c r="G306">
        <v>53848.03847311619</v>
      </c>
      <c r="H306">
        <v>34320.081143739888</v>
      </c>
      <c r="I306">
        <v>9258.9852572197087</v>
      </c>
      <c r="J306">
        <v>17810.897559116354</v>
      </c>
      <c r="K306">
        <v>23636.213987809497</v>
      </c>
      <c r="L306">
        <v>85026.177947885444</v>
      </c>
    </row>
    <row r="307" spans="1:12" hidden="1" x14ac:dyDescent="0.25">
      <c r="A307" t="s">
        <v>632</v>
      </c>
      <c r="B307" t="s">
        <v>633</v>
      </c>
      <c r="C307">
        <v>37011.539395834203</v>
      </c>
      <c r="D307">
        <v>9623.296974698922</v>
      </c>
      <c r="E307">
        <v>19756.00479126177</v>
      </c>
      <c r="F307">
        <v>24933.148748039624</v>
      </c>
      <c r="G307">
        <v>91323.989909834519</v>
      </c>
      <c r="H307">
        <v>33440.079063131161</v>
      </c>
      <c r="I307">
        <v>8179.8024284940839</v>
      </c>
      <c r="J307">
        <v>16792.604072572503</v>
      </c>
      <c r="K307">
        <v>21465.949957739998</v>
      </c>
      <c r="L307">
        <v>79878.435521937747</v>
      </c>
    </row>
    <row r="308" spans="1:12" hidden="1" x14ac:dyDescent="0.25">
      <c r="A308" t="s">
        <v>634</v>
      </c>
      <c r="B308" t="s">
        <v>635</v>
      </c>
      <c r="C308">
        <v>13903.889046359061</v>
      </c>
      <c r="D308">
        <v>0</v>
      </c>
      <c r="E308">
        <v>6707.2238614568541</v>
      </c>
      <c r="F308">
        <v>9098.1496980412903</v>
      </c>
      <c r="G308">
        <v>29709.262605857206</v>
      </c>
      <c r="H308">
        <v>22000.052015217883</v>
      </c>
      <c r="I308">
        <v>5935.2469597562231</v>
      </c>
      <c r="J308">
        <v>13248.20097915475</v>
      </c>
      <c r="K308">
        <v>17581.220275815493</v>
      </c>
      <c r="L308">
        <v>58764.720229944345</v>
      </c>
    </row>
    <row r="309" spans="1:12" hidden="1" x14ac:dyDescent="0.25">
      <c r="A309" t="s">
        <v>636</v>
      </c>
      <c r="B309" t="s">
        <v>637</v>
      </c>
      <c r="C309">
        <v>86899.306539744139</v>
      </c>
      <c r="D309">
        <v>18754.397102367388</v>
      </c>
      <c r="E309">
        <v>41920.149134105348</v>
      </c>
      <c r="F309">
        <v>56863.435612758076</v>
      </c>
      <c r="G309">
        <v>204437.28838897494</v>
      </c>
      <c r="H309">
        <v>74800.176851740805</v>
      </c>
      <c r="I309">
        <v>15941.237537012279</v>
      </c>
      <c r="J309">
        <v>36182.063733360337</v>
      </c>
      <c r="K309">
        <v>48368.523571072335</v>
      </c>
      <c r="L309">
        <v>175292.00169318577</v>
      </c>
    </row>
    <row r="310" spans="1:12" hidden="1" x14ac:dyDescent="0.25">
      <c r="A310" t="s">
        <v>638</v>
      </c>
      <c r="B310" t="s">
        <v>639</v>
      </c>
      <c r="C310">
        <v>24331.805831128342</v>
      </c>
      <c r="D310">
        <v>6546.2026500777365</v>
      </c>
      <c r="E310">
        <v>13340.270019020911</v>
      </c>
      <c r="F310">
        <v>18095.679546765808</v>
      </c>
      <c r="G310">
        <v>62313.958046992797</v>
      </c>
      <c r="H310">
        <v>21910.792730877627</v>
      </c>
      <c r="I310">
        <v>5898.6510472049076</v>
      </c>
      <c r="J310">
        <v>12014.579652338865</v>
      </c>
      <c r="K310">
        <v>16297.771172065555</v>
      </c>
      <c r="L310">
        <v>56121.79460248696</v>
      </c>
    </row>
    <row r="311" spans="1:12" hidden="1" x14ac:dyDescent="0.25">
      <c r="A311" t="s">
        <v>640</v>
      </c>
      <c r="B311" t="s">
        <v>641</v>
      </c>
      <c r="C311">
        <v>26938.785027320668</v>
      </c>
      <c r="D311">
        <v>7247.5815054432087</v>
      </c>
      <c r="E311">
        <v>37304.866474887727</v>
      </c>
      <c r="F311">
        <v>50602.941942100253</v>
      </c>
      <c r="G311">
        <v>122094.17494975186</v>
      </c>
      <c r="H311">
        <v>25606.065314458188</v>
      </c>
      <c r="I311">
        <v>6893.4632277850988</v>
      </c>
      <c r="J311">
        <v>35464.230949779914</v>
      </c>
      <c r="K311">
        <v>48107.211199875994</v>
      </c>
      <c r="L311">
        <v>116070.9706918992</v>
      </c>
    </row>
    <row r="312" spans="1:12" hidden="1" x14ac:dyDescent="0.25">
      <c r="A312" t="s">
        <v>642</v>
      </c>
      <c r="B312" t="s">
        <v>643</v>
      </c>
      <c r="C312">
        <v>232021.14846111674</v>
      </c>
      <c r="D312">
        <v>0</v>
      </c>
      <c r="E312">
        <v>111926.79818806124</v>
      </c>
      <c r="F312">
        <v>151825.37308606409</v>
      </c>
      <c r="G312">
        <v>495773.31973524205</v>
      </c>
      <c r="H312">
        <v>197327.55596320151</v>
      </c>
      <c r="I312">
        <v>0</v>
      </c>
      <c r="J312">
        <v>95203.838171748153</v>
      </c>
      <c r="K312">
        <v>129143.95793476315</v>
      </c>
      <c r="L312">
        <v>421675.35206971283</v>
      </c>
    </row>
    <row r="313" spans="1:12" hidden="1" x14ac:dyDescent="0.25">
      <c r="A313" t="s">
        <v>644</v>
      </c>
      <c r="B313" t="s">
        <v>645</v>
      </c>
      <c r="C313">
        <v>3867888.1340840105</v>
      </c>
      <c r="D313">
        <v>1040612.4284105719</v>
      </c>
      <c r="E313">
        <v>3112780.6739529921</v>
      </c>
      <c r="F313">
        <v>4222394.4114253521</v>
      </c>
      <c r="G313">
        <v>12243675.647872927</v>
      </c>
      <c r="H313">
        <v>4158009.8308761795</v>
      </c>
      <c r="I313">
        <v>1121761.675393926</v>
      </c>
      <c r="J313">
        <v>3394090.413858219</v>
      </c>
      <c r="K313">
        <v>4504177.6838957863</v>
      </c>
      <c r="L313">
        <v>13178039.604024108</v>
      </c>
    </row>
    <row r="314" spans="1:12" hidden="1" x14ac:dyDescent="0.25">
      <c r="A314" t="s">
        <v>646</v>
      </c>
      <c r="B314" t="s">
        <v>647</v>
      </c>
      <c r="C314">
        <v>468387.26224922074</v>
      </c>
      <c r="D314">
        <v>0</v>
      </c>
      <c r="E314">
        <v>225949.60383282774</v>
      </c>
      <c r="F314">
        <v>306493.91795276606</v>
      </c>
      <c r="G314">
        <v>1000830.7840348146</v>
      </c>
      <c r="H314">
        <v>488401.15473783686</v>
      </c>
      <c r="I314">
        <v>0</v>
      </c>
      <c r="J314">
        <v>236247.59261194113</v>
      </c>
      <c r="K314">
        <v>313515.84806699213</v>
      </c>
      <c r="L314">
        <v>1038164.5954167701</v>
      </c>
    </row>
    <row r="315" spans="1:12" hidden="1" x14ac:dyDescent="0.25">
      <c r="A315" t="s">
        <v>648</v>
      </c>
      <c r="B315" t="s">
        <v>649</v>
      </c>
      <c r="C315">
        <v>139038.89046359059</v>
      </c>
      <c r="D315">
        <v>0</v>
      </c>
      <c r="E315">
        <v>67072.238614568574</v>
      </c>
      <c r="F315">
        <v>90981.496980412921</v>
      </c>
      <c r="G315">
        <v>297092.62605857209</v>
      </c>
      <c r="H315">
        <v>118800.28088217655</v>
      </c>
      <c r="I315">
        <v>0</v>
      </c>
      <c r="J315">
        <v>57465.630635337002</v>
      </c>
      <c r="K315">
        <v>77389.63771371574</v>
      </c>
      <c r="L315">
        <v>253655.54923122929</v>
      </c>
    </row>
  </sheetData>
  <sheetProtection algorithmName="SHA-512" hashValue="JkM0QZbUd47VJ1D8MAo1D4Us5GaAShKAliYxa/LD6K760LPoRao5Zi52JNj3T2npm5LzkDmo6Dt/wfAaJw1I3w==" saltValue="e6SzgmVWqcWrHyOAFDjOHw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FF0D-1EFE-4C9C-9C20-84011A9B7705}">
  <sheetPr>
    <tabColor theme="4" tint="0.79998168889431442"/>
  </sheetPr>
  <dimension ref="A1:P315"/>
  <sheetViews>
    <sheetView workbookViewId="0">
      <selection activeCell="K14" sqref="K14"/>
    </sheetView>
    <sheetView workbookViewId="1"/>
  </sheetViews>
  <sheetFormatPr defaultRowHeight="15" x14ac:dyDescent="0.25"/>
  <cols>
    <col min="1" max="1" width="8.28515625" bestFit="1" customWidth="1"/>
    <col min="2" max="2" width="47.5703125" bestFit="1" customWidth="1"/>
    <col min="3" max="3" width="15.42578125" bestFit="1" customWidth="1"/>
    <col min="4" max="4" width="10.85546875" bestFit="1" customWidth="1"/>
    <col min="5" max="5" width="10.42578125" bestFit="1" customWidth="1"/>
    <col min="6" max="6" width="12.28515625" bestFit="1" customWidth="1"/>
    <col min="7" max="7" width="11.42578125" bestFit="1" customWidth="1"/>
    <col min="8" max="8" width="15.5703125" bestFit="1" customWidth="1"/>
    <col min="9" max="9" width="13.5703125" bestFit="1" customWidth="1"/>
    <col min="10" max="10" width="24.42578125" bestFit="1" customWidth="1"/>
    <col min="11" max="11" width="25.7109375" bestFit="1" customWidth="1"/>
    <col min="12" max="12" width="24.42578125" bestFit="1" customWidth="1"/>
    <col min="13" max="13" width="17.42578125" bestFit="1" customWidth="1"/>
    <col min="14" max="14" width="18.5703125" bestFit="1" customWidth="1"/>
    <col min="15" max="15" width="20.140625" bestFit="1" customWidth="1"/>
    <col min="16" max="16" width="16.28515625" bestFit="1" customWidth="1"/>
    <col min="17" max="17" width="20.140625" bestFit="1" customWidth="1"/>
    <col min="18" max="18" width="16.28515625" customWidth="1"/>
    <col min="19" max="19" width="20.140625" bestFit="1" customWidth="1"/>
    <col min="20" max="20" width="16.28515625" bestFit="1" customWidth="1"/>
    <col min="21" max="21" width="20.85546875" bestFit="1" customWidth="1"/>
    <col min="22" max="22" width="17.42578125" bestFit="1" customWidth="1"/>
    <col min="23" max="23" width="18" bestFit="1" customWidth="1"/>
    <col min="24" max="24" width="28.28515625" bestFit="1" customWidth="1"/>
    <col min="25" max="25" width="20.5703125" bestFit="1" customWidth="1"/>
    <col min="26" max="26" width="15.140625" bestFit="1" customWidth="1"/>
    <col min="27" max="27" width="47.5703125" bestFit="1" customWidth="1"/>
    <col min="28" max="28" width="16.85546875" bestFit="1" customWidth="1"/>
    <col min="29" max="29" width="21.140625" bestFit="1" customWidth="1"/>
    <col min="30" max="30" width="38" bestFit="1" customWidth="1"/>
    <col min="31" max="31" width="24.28515625" bestFit="1" customWidth="1"/>
    <col min="32" max="32" width="15.5703125" bestFit="1" customWidth="1"/>
    <col min="33" max="33" width="13.5703125" bestFit="1" customWidth="1"/>
    <col min="34" max="35" width="24.42578125" bestFit="1" customWidth="1"/>
    <col min="36" max="36" width="17.42578125" bestFit="1" customWidth="1"/>
    <col min="37" max="37" width="18.5703125" bestFit="1" customWidth="1"/>
    <col min="38" max="38" width="20.140625" bestFit="1" customWidth="1"/>
    <col min="39" max="39" width="16.28515625" bestFit="1" customWidth="1"/>
    <col min="40" max="40" width="22.7109375" bestFit="1" customWidth="1"/>
  </cols>
  <sheetData>
    <row r="1" spans="1:16" x14ac:dyDescent="0.25">
      <c r="A1" t="s">
        <v>4</v>
      </c>
      <c r="B1" t="s">
        <v>1277</v>
      </c>
      <c r="C1" t="s">
        <v>1312</v>
      </c>
      <c r="D1" t="s">
        <v>1321</v>
      </c>
      <c r="E1" t="s">
        <v>1322</v>
      </c>
      <c r="F1" t="s">
        <v>1323</v>
      </c>
      <c r="G1" t="s">
        <v>1324</v>
      </c>
      <c r="H1" t="s">
        <v>1298</v>
      </c>
      <c r="I1" t="s">
        <v>1299</v>
      </c>
      <c r="J1" t="s">
        <v>1300</v>
      </c>
      <c r="K1" t="s">
        <v>1320</v>
      </c>
      <c r="L1" t="s">
        <v>1301</v>
      </c>
      <c r="M1" t="s">
        <v>1302</v>
      </c>
      <c r="N1" t="s">
        <v>1303</v>
      </c>
      <c r="O1" t="s">
        <v>1304</v>
      </c>
      <c r="P1" t="s">
        <v>1305</v>
      </c>
    </row>
    <row r="2" spans="1:16" hidden="1" x14ac:dyDescent="0.25">
      <c r="A2" t="s">
        <v>308</v>
      </c>
      <c r="B2" t="s">
        <v>1381</v>
      </c>
      <c r="D2">
        <v>0</v>
      </c>
      <c r="F2">
        <v>16</v>
      </c>
      <c r="G2">
        <v>0</v>
      </c>
      <c r="H2">
        <v>3465</v>
      </c>
      <c r="I2">
        <v>709</v>
      </c>
      <c r="J2">
        <v>725</v>
      </c>
      <c r="K2">
        <v>725</v>
      </c>
      <c r="L2">
        <v>0.209235209235209</v>
      </c>
      <c r="M2" t="s">
        <v>652</v>
      </c>
      <c r="N2" t="s">
        <v>652</v>
      </c>
      <c r="O2" t="s">
        <v>652</v>
      </c>
      <c r="P2" t="s">
        <v>652</v>
      </c>
    </row>
    <row r="3" spans="1:16" hidden="1" x14ac:dyDescent="0.25">
      <c r="A3" t="s">
        <v>259</v>
      </c>
      <c r="B3" t="s">
        <v>260</v>
      </c>
      <c r="D3">
        <v>0</v>
      </c>
      <c r="F3">
        <v>3</v>
      </c>
      <c r="G3">
        <v>0</v>
      </c>
      <c r="H3">
        <v>758</v>
      </c>
      <c r="I3">
        <v>45</v>
      </c>
      <c r="J3">
        <v>48</v>
      </c>
      <c r="K3">
        <v>48</v>
      </c>
      <c r="L3">
        <v>6.3324538258575203E-2</v>
      </c>
      <c r="M3" t="s">
        <v>652</v>
      </c>
      <c r="N3" t="s">
        <v>87</v>
      </c>
      <c r="O3" t="s">
        <v>652</v>
      </c>
      <c r="P3" t="s">
        <v>652</v>
      </c>
    </row>
    <row r="4" spans="1:16" hidden="1" x14ac:dyDescent="0.25">
      <c r="A4" t="s">
        <v>261</v>
      </c>
      <c r="B4" t="s">
        <v>262</v>
      </c>
      <c r="D4">
        <v>0</v>
      </c>
      <c r="F4">
        <v>0</v>
      </c>
      <c r="G4">
        <v>0</v>
      </c>
      <c r="H4">
        <v>98</v>
      </c>
      <c r="I4">
        <v>11</v>
      </c>
      <c r="J4">
        <v>11</v>
      </c>
      <c r="K4">
        <v>11</v>
      </c>
      <c r="L4">
        <v>0.11224489795918401</v>
      </c>
      <c r="M4" t="s">
        <v>652</v>
      </c>
      <c r="N4" t="s">
        <v>87</v>
      </c>
      <c r="O4" t="s">
        <v>652</v>
      </c>
      <c r="P4" t="s">
        <v>652</v>
      </c>
    </row>
    <row r="5" spans="1:16" hidden="1" x14ac:dyDescent="0.25">
      <c r="A5" t="s">
        <v>88</v>
      </c>
      <c r="B5" t="s">
        <v>89</v>
      </c>
      <c r="D5">
        <v>0</v>
      </c>
      <c r="F5">
        <v>9</v>
      </c>
      <c r="G5">
        <v>0</v>
      </c>
      <c r="H5">
        <v>2785</v>
      </c>
      <c r="I5">
        <v>195</v>
      </c>
      <c r="J5">
        <v>204</v>
      </c>
      <c r="K5">
        <v>204</v>
      </c>
      <c r="L5">
        <v>7.3249551166965896E-2</v>
      </c>
      <c r="M5" t="s">
        <v>652</v>
      </c>
      <c r="N5" t="s">
        <v>87</v>
      </c>
      <c r="O5" t="s">
        <v>652</v>
      </c>
      <c r="P5" t="s">
        <v>652</v>
      </c>
    </row>
    <row r="6" spans="1:16" hidden="1" x14ac:dyDescent="0.25">
      <c r="A6" t="s">
        <v>90</v>
      </c>
      <c r="B6" t="s">
        <v>91</v>
      </c>
      <c r="D6">
        <v>0</v>
      </c>
      <c r="F6">
        <v>6</v>
      </c>
      <c r="G6">
        <v>0</v>
      </c>
      <c r="H6">
        <v>6002</v>
      </c>
      <c r="I6">
        <v>533</v>
      </c>
      <c r="J6">
        <v>539</v>
      </c>
      <c r="K6">
        <v>539</v>
      </c>
      <c r="L6">
        <v>8.9803398867044304E-2</v>
      </c>
      <c r="M6" t="s">
        <v>652</v>
      </c>
      <c r="N6" t="s">
        <v>87</v>
      </c>
      <c r="O6" t="s">
        <v>652</v>
      </c>
      <c r="P6" t="s">
        <v>652</v>
      </c>
    </row>
    <row r="7" spans="1:16" hidden="1" x14ac:dyDescent="0.25">
      <c r="A7" t="s">
        <v>309</v>
      </c>
      <c r="B7" t="s">
        <v>310</v>
      </c>
      <c r="D7">
        <v>0</v>
      </c>
      <c r="F7">
        <v>1</v>
      </c>
      <c r="G7">
        <v>0</v>
      </c>
      <c r="H7">
        <v>485</v>
      </c>
      <c r="I7">
        <v>29</v>
      </c>
      <c r="J7">
        <v>30</v>
      </c>
      <c r="K7">
        <v>30</v>
      </c>
      <c r="L7">
        <v>6.18556701030928E-2</v>
      </c>
      <c r="M7" t="s">
        <v>652</v>
      </c>
      <c r="N7" t="s">
        <v>87</v>
      </c>
      <c r="O7" t="s">
        <v>652</v>
      </c>
      <c r="P7" t="s">
        <v>652</v>
      </c>
    </row>
    <row r="8" spans="1:16" hidden="1" x14ac:dyDescent="0.25">
      <c r="A8" t="s">
        <v>311</v>
      </c>
      <c r="B8" t="s">
        <v>312</v>
      </c>
      <c r="D8">
        <v>0</v>
      </c>
      <c r="F8">
        <v>42</v>
      </c>
      <c r="G8">
        <v>0</v>
      </c>
      <c r="H8">
        <v>18575</v>
      </c>
      <c r="I8">
        <v>2933</v>
      </c>
      <c r="J8">
        <v>2975</v>
      </c>
      <c r="K8">
        <v>2975</v>
      </c>
      <c r="L8">
        <v>0.16016150740242299</v>
      </c>
      <c r="M8" t="s">
        <v>652</v>
      </c>
      <c r="N8" t="s">
        <v>652</v>
      </c>
      <c r="O8" t="s">
        <v>652</v>
      </c>
      <c r="P8" t="s">
        <v>652</v>
      </c>
    </row>
    <row r="9" spans="1:16" hidden="1" x14ac:dyDescent="0.25">
      <c r="A9" t="s">
        <v>92</v>
      </c>
      <c r="B9" t="s">
        <v>93</v>
      </c>
      <c r="D9">
        <v>0</v>
      </c>
      <c r="F9">
        <v>0</v>
      </c>
      <c r="G9">
        <v>0</v>
      </c>
      <c r="H9">
        <v>3995</v>
      </c>
      <c r="I9">
        <v>150</v>
      </c>
      <c r="J9">
        <v>150</v>
      </c>
      <c r="K9">
        <v>150</v>
      </c>
      <c r="L9">
        <v>3.75469336670839E-2</v>
      </c>
      <c r="M9" t="s">
        <v>652</v>
      </c>
      <c r="N9" t="s">
        <v>87</v>
      </c>
      <c r="O9" t="s">
        <v>87</v>
      </c>
      <c r="P9" t="s">
        <v>87</v>
      </c>
    </row>
    <row r="10" spans="1:16" hidden="1" x14ac:dyDescent="0.25">
      <c r="A10" t="s">
        <v>94</v>
      </c>
      <c r="B10" t="s">
        <v>95</v>
      </c>
      <c r="D10">
        <v>0</v>
      </c>
      <c r="F10">
        <v>39</v>
      </c>
      <c r="G10">
        <v>0</v>
      </c>
      <c r="H10">
        <v>15849</v>
      </c>
      <c r="I10">
        <v>988</v>
      </c>
      <c r="J10">
        <v>1027</v>
      </c>
      <c r="K10">
        <v>1027</v>
      </c>
      <c r="L10">
        <v>6.4799040948955805E-2</v>
      </c>
      <c r="M10" t="s">
        <v>652</v>
      </c>
      <c r="N10" t="s">
        <v>87</v>
      </c>
      <c r="O10" t="s">
        <v>652</v>
      </c>
      <c r="P10" t="s">
        <v>652</v>
      </c>
    </row>
    <row r="11" spans="1:16" hidden="1" x14ac:dyDescent="0.25">
      <c r="A11" t="s">
        <v>96</v>
      </c>
      <c r="B11" t="s">
        <v>97</v>
      </c>
      <c r="D11">
        <v>0</v>
      </c>
      <c r="F11">
        <v>10</v>
      </c>
      <c r="G11">
        <v>0</v>
      </c>
      <c r="H11">
        <v>22751</v>
      </c>
      <c r="I11">
        <v>1401</v>
      </c>
      <c r="J11">
        <v>1411</v>
      </c>
      <c r="K11">
        <v>1411</v>
      </c>
      <c r="L11">
        <v>6.2019251901015301E-2</v>
      </c>
      <c r="M11" t="s">
        <v>652</v>
      </c>
      <c r="N11" t="s">
        <v>87</v>
      </c>
      <c r="O11" t="s">
        <v>652</v>
      </c>
      <c r="P11" t="s">
        <v>652</v>
      </c>
    </row>
    <row r="12" spans="1:16" hidden="1" x14ac:dyDescent="0.25">
      <c r="A12" t="s">
        <v>56</v>
      </c>
      <c r="B12" t="s">
        <v>1383</v>
      </c>
      <c r="C12" t="s">
        <v>56</v>
      </c>
      <c r="D12">
        <v>0</v>
      </c>
      <c r="F12">
        <v>27</v>
      </c>
      <c r="G12">
        <v>0</v>
      </c>
      <c r="H12">
        <v>12300.173029772322</v>
      </c>
      <c r="I12">
        <v>920.97007978723457</v>
      </c>
      <c r="J12">
        <v>947.97007978723457</v>
      </c>
      <c r="K12">
        <v>956</v>
      </c>
      <c r="L12">
        <v>7.70696540197192E-2</v>
      </c>
      <c r="M12" t="s">
        <v>652</v>
      </c>
      <c r="N12" t="s">
        <v>87</v>
      </c>
      <c r="O12" t="s">
        <v>652</v>
      </c>
      <c r="P12" t="s">
        <v>652</v>
      </c>
    </row>
    <row r="13" spans="1:16" hidden="1" x14ac:dyDescent="0.25">
      <c r="A13" t="s">
        <v>98</v>
      </c>
      <c r="B13" t="s">
        <v>99</v>
      </c>
      <c r="D13">
        <v>0</v>
      </c>
      <c r="F13">
        <v>0</v>
      </c>
      <c r="G13">
        <v>0</v>
      </c>
      <c r="H13">
        <v>16</v>
      </c>
      <c r="I13">
        <v>1</v>
      </c>
      <c r="J13">
        <v>1</v>
      </c>
      <c r="K13">
        <v>1</v>
      </c>
      <c r="L13">
        <v>6.25E-2</v>
      </c>
      <c r="M13" t="s">
        <v>87</v>
      </c>
      <c r="N13" t="s">
        <v>87</v>
      </c>
      <c r="O13" t="s">
        <v>87</v>
      </c>
      <c r="P13" t="s">
        <v>87</v>
      </c>
    </row>
    <row r="14" spans="1:16" hidden="1" x14ac:dyDescent="0.25">
      <c r="A14" t="s">
        <v>263</v>
      </c>
      <c r="B14" t="s">
        <v>264</v>
      </c>
      <c r="D14">
        <v>0</v>
      </c>
      <c r="F14">
        <v>81</v>
      </c>
      <c r="G14">
        <v>0</v>
      </c>
      <c r="H14">
        <v>24343</v>
      </c>
      <c r="I14">
        <v>2704</v>
      </c>
      <c r="J14">
        <v>2785</v>
      </c>
      <c r="K14">
        <v>2785</v>
      </c>
      <c r="L14">
        <v>0.114406605595038</v>
      </c>
      <c r="M14" t="s">
        <v>652</v>
      </c>
      <c r="N14" t="s">
        <v>87</v>
      </c>
      <c r="O14" t="s">
        <v>652</v>
      </c>
      <c r="P14" t="s">
        <v>652</v>
      </c>
    </row>
    <row r="15" spans="1:16" hidden="1" x14ac:dyDescent="0.25">
      <c r="A15" t="s">
        <v>313</v>
      </c>
      <c r="B15" t="s">
        <v>314</v>
      </c>
      <c r="D15">
        <v>0</v>
      </c>
      <c r="F15">
        <v>0</v>
      </c>
      <c r="G15">
        <v>0</v>
      </c>
      <c r="H15">
        <v>79</v>
      </c>
      <c r="I15">
        <v>10</v>
      </c>
      <c r="J15">
        <v>10</v>
      </c>
      <c r="K15">
        <v>10</v>
      </c>
      <c r="L15">
        <v>0.126582278481013</v>
      </c>
      <c r="M15" t="s">
        <v>652</v>
      </c>
      <c r="N15" t="s">
        <v>87</v>
      </c>
      <c r="O15" t="s">
        <v>652</v>
      </c>
      <c r="P15" t="s">
        <v>652</v>
      </c>
    </row>
    <row r="16" spans="1:16" hidden="1" x14ac:dyDescent="0.25">
      <c r="A16" t="s">
        <v>315</v>
      </c>
      <c r="B16" t="s">
        <v>316</v>
      </c>
      <c r="D16">
        <v>0</v>
      </c>
      <c r="F16">
        <v>8</v>
      </c>
      <c r="G16">
        <v>0</v>
      </c>
      <c r="H16">
        <v>2450</v>
      </c>
      <c r="I16">
        <v>204</v>
      </c>
      <c r="J16">
        <v>212</v>
      </c>
      <c r="K16">
        <v>212</v>
      </c>
      <c r="L16">
        <v>8.6530612244897998E-2</v>
      </c>
      <c r="M16" t="s">
        <v>652</v>
      </c>
      <c r="N16" t="s">
        <v>87</v>
      </c>
      <c r="O16" t="s">
        <v>652</v>
      </c>
      <c r="P16" t="s">
        <v>652</v>
      </c>
    </row>
    <row r="17" spans="1:16" hidden="1" x14ac:dyDescent="0.25">
      <c r="A17" t="s">
        <v>317</v>
      </c>
      <c r="B17" t="s">
        <v>318</v>
      </c>
      <c r="D17">
        <v>0</v>
      </c>
      <c r="F17">
        <v>2</v>
      </c>
      <c r="G17">
        <v>0</v>
      </c>
      <c r="H17">
        <v>221</v>
      </c>
      <c r="I17">
        <v>22</v>
      </c>
      <c r="J17">
        <v>24</v>
      </c>
      <c r="K17">
        <v>24</v>
      </c>
      <c r="L17">
        <v>0.108597285067873</v>
      </c>
      <c r="M17" t="s">
        <v>652</v>
      </c>
      <c r="N17" t="s">
        <v>87</v>
      </c>
      <c r="O17" t="s">
        <v>652</v>
      </c>
      <c r="P17" t="s">
        <v>652</v>
      </c>
    </row>
    <row r="18" spans="1:16" hidden="1" x14ac:dyDescent="0.25">
      <c r="A18" t="s">
        <v>55</v>
      </c>
      <c r="B18" t="s">
        <v>9</v>
      </c>
      <c r="C18" t="s">
        <v>55</v>
      </c>
      <c r="D18">
        <v>0</v>
      </c>
      <c r="F18">
        <v>16</v>
      </c>
      <c r="G18">
        <v>0</v>
      </c>
      <c r="H18">
        <v>4879.7132530120507</v>
      </c>
      <c r="I18">
        <v>804.76367696315594</v>
      </c>
      <c r="J18">
        <v>820.76367696315594</v>
      </c>
      <c r="K18">
        <v>917</v>
      </c>
      <c r="L18">
        <v>0.16819916138648799</v>
      </c>
      <c r="M18" t="s">
        <v>652</v>
      </c>
      <c r="N18" t="s">
        <v>652</v>
      </c>
      <c r="O18" t="s">
        <v>652</v>
      </c>
      <c r="P18" t="s">
        <v>652</v>
      </c>
    </row>
    <row r="19" spans="1:16" hidden="1" x14ac:dyDescent="0.25">
      <c r="A19" t="s">
        <v>319</v>
      </c>
      <c r="B19" t="s">
        <v>320</v>
      </c>
      <c r="D19">
        <v>0</v>
      </c>
      <c r="F19">
        <v>0</v>
      </c>
      <c r="G19">
        <v>0</v>
      </c>
      <c r="H19">
        <v>942</v>
      </c>
      <c r="I19">
        <v>214</v>
      </c>
      <c r="J19">
        <v>214</v>
      </c>
      <c r="K19">
        <v>214</v>
      </c>
      <c r="L19">
        <v>0.227176220806794</v>
      </c>
      <c r="M19" t="s">
        <v>652</v>
      </c>
      <c r="N19" t="s">
        <v>652</v>
      </c>
      <c r="O19" t="s">
        <v>652</v>
      </c>
      <c r="P19" t="s">
        <v>652</v>
      </c>
    </row>
    <row r="20" spans="1:16" hidden="1" x14ac:dyDescent="0.25">
      <c r="A20" t="s">
        <v>321</v>
      </c>
      <c r="B20" t="s">
        <v>322</v>
      </c>
      <c r="D20">
        <v>0</v>
      </c>
      <c r="F20">
        <v>0</v>
      </c>
      <c r="G20">
        <v>0</v>
      </c>
      <c r="H20">
        <v>673</v>
      </c>
      <c r="I20">
        <v>82</v>
      </c>
      <c r="J20">
        <v>82</v>
      </c>
      <c r="K20">
        <v>82</v>
      </c>
      <c r="L20">
        <v>0.12184249628528999</v>
      </c>
      <c r="M20" t="s">
        <v>652</v>
      </c>
      <c r="N20" t="s">
        <v>87</v>
      </c>
      <c r="O20" t="s">
        <v>652</v>
      </c>
      <c r="P20" t="s">
        <v>652</v>
      </c>
    </row>
    <row r="21" spans="1:16" hidden="1" x14ac:dyDescent="0.25">
      <c r="A21" t="s">
        <v>323</v>
      </c>
      <c r="B21" t="s">
        <v>324</v>
      </c>
      <c r="D21">
        <v>0</v>
      </c>
      <c r="F21">
        <v>0</v>
      </c>
      <c r="G21">
        <v>0</v>
      </c>
      <c r="H21">
        <v>113</v>
      </c>
      <c r="I21">
        <v>13</v>
      </c>
      <c r="J21">
        <v>13</v>
      </c>
      <c r="K21">
        <v>13</v>
      </c>
      <c r="L21">
        <v>0.11504424778761101</v>
      </c>
      <c r="M21" t="s">
        <v>652</v>
      </c>
      <c r="N21" t="s">
        <v>87</v>
      </c>
      <c r="O21" t="s">
        <v>652</v>
      </c>
      <c r="P21" t="s">
        <v>652</v>
      </c>
    </row>
    <row r="22" spans="1:16" hidden="1" x14ac:dyDescent="0.25">
      <c r="A22" t="s">
        <v>325</v>
      </c>
      <c r="B22" t="s">
        <v>326</v>
      </c>
      <c r="D22">
        <v>0</v>
      </c>
      <c r="F22">
        <v>5</v>
      </c>
      <c r="G22">
        <v>0</v>
      </c>
      <c r="H22">
        <v>3664</v>
      </c>
      <c r="I22">
        <v>356</v>
      </c>
      <c r="J22">
        <v>361</v>
      </c>
      <c r="K22">
        <v>361</v>
      </c>
      <c r="L22">
        <v>9.8526200873362405E-2</v>
      </c>
      <c r="M22" t="s">
        <v>652</v>
      </c>
      <c r="N22" t="s">
        <v>87</v>
      </c>
      <c r="O22" t="s">
        <v>652</v>
      </c>
      <c r="P22" t="s">
        <v>652</v>
      </c>
    </row>
    <row r="23" spans="1:16" hidden="1" x14ac:dyDescent="0.25">
      <c r="A23" t="s">
        <v>100</v>
      </c>
      <c r="B23" t="s">
        <v>101</v>
      </c>
      <c r="D23">
        <v>0</v>
      </c>
      <c r="F23">
        <v>9</v>
      </c>
      <c r="G23">
        <v>0</v>
      </c>
      <c r="H23">
        <v>7419</v>
      </c>
      <c r="I23">
        <v>273</v>
      </c>
      <c r="J23">
        <v>282</v>
      </c>
      <c r="K23">
        <v>282</v>
      </c>
      <c r="L23">
        <v>3.8010513546300001E-2</v>
      </c>
      <c r="M23" t="s">
        <v>652</v>
      </c>
      <c r="N23" t="s">
        <v>87</v>
      </c>
      <c r="O23" t="s">
        <v>87</v>
      </c>
      <c r="P23" t="s">
        <v>87</v>
      </c>
    </row>
    <row r="24" spans="1:16" hidden="1" x14ac:dyDescent="0.25">
      <c r="A24" t="s">
        <v>327</v>
      </c>
      <c r="B24" t="s">
        <v>328</v>
      </c>
      <c r="D24">
        <v>0</v>
      </c>
      <c r="F24">
        <v>12</v>
      </c>
      <c r="G24">
        <v>0</v>
      </c>
      <c r="H24">
        <v>541</v>
      </c>
      <c r="I24">
        <v>69</v>
      </c>
      <c r="J24">
        <v>81</v>
      </c>
      <c r="K24">
        <v>81</v>
      </c>
      <c r="L24">
        <v>0.149722735674677</v>
      </c>
      <c r="M24" t="s">
        <v>652</v>
      </c>
      <c r="N24" t="s">
        <v>87</v>
      </c>
      <c r="O24" t="s">
        <v>652</v>
      </c>
      <c r="P24" t="s">
        <v>652</v>
      </c>
    </row>
    <row r="25" spans="1:16" hidden="1" x14ac:dyDescent="0.25">
      <c r="A25" t="s">
        <v>102</v>
      </c>
      <c r="B25" t="s">
        <v>103</v>
      </c>
      <c r="D25">
        <v>0</v>
      </c>
      <c r="F25">
        <v>0</v>
      </c>
      <c r="G25">
        <v>0</v>
      </c>
      <c r="H25">
        <v>210</v>
      </c>
      <c r="I25">
        <v>4</v>
      </c>
      <c r="J25">
        <v>4</v>
      </c>
      <c r="K25">
        <v>4</v>
      </c>
      <c r="L25">
        <v>1.9047619047619001E-2</v>
      </c>
      <c r="M25" t="s">
        <v>87</v>
      </c>
      <c r="N25" t="s">
        <v>87</v>
      </c>
      <c r="O25" t="s">
        <v>87</v>
      </c>
      <c r="P25" t="s">
        <v>87</v>
      </c>
    </row>
    <row r="26" spans="1:16" hidden="1" x14ac:dyDescent="0.25">
      <c r="A26" t="s">
        <v>329</v>
      </c>
      <c r="B26" t="s">
        <v>330</v>
      </c>
      <c r="D26">
        <v>0</v>
      </c>
      <c r="F26">
        <v>0</v>
      </c>
      <c r="G26">
        <v>0</v>
      </c>
      <c r="H26">
        <v>1596</v>
      </c>
      <c r="I26">
        <v>123</v>
      </c>
      <c r="J26">
        <v>123</v>
      </c>
      <c r="K26">
        <v>123</v>
      </c>
      <c r="L26">
        <v>7.7067669172932299E-2</v>
      </c>
      <c r="M26" t="s">
        <v>652</v>
      </c>
      <c r="N26" t="s">
        <v>87</v>
      </c>
      <c r="O26" t="s">
        <v>652</v>
      </c>
      <c r="P26" t="s">
        <v>652</v>
      </c>
    </row>
    <row r="27" spans="1:16" hidden="1" x14ac:dyDescent="0.25">
      <c r="A27" t="s">
        <v>331</v>
      </c>
      <c r="B27" t="s">
        <v>332</v>
      </c>
      <c r="D27">
        <v>0</v>
      </c>
      <c r="F27">
        <v>6</v>
      </c>
      <c r="G27">
        <v>0</v>
      </c>
      <c r="H27">
        <v>1536</v>
      </c>
      <c r="I27">
        <v>129</v>
      </c>
      <c r="J27">
        <v>135</v>
      </c>
      <c r="K27">
        <v>135</v>
      </c>
      <c r="L27">
        <v>8.7890625E-2</v>
      </c>
      <c r="M27" t="s">
        <v>652</v>
      </c>
      <c r="N27" t="s">
        <v>87</v>
      </c>
      <c r="O27" t="s">
        <v>652</v>
      </c>
      <c r="P27" t="s">
        <v>652</v>
      </c>
    </row>
    <row r="28" spans="1:16" hidden="1" x14ac:dyDescent="0.25">
      <c r="A28" t="s">
        <v>104</v>
      </c>
      <c r="B28" t="s">
        <v>105</v>
      </c>
      <c r="D28">
        <v>0</v>
      </c>
      <c r="F28">
        <v>7</v>
      </c>
      <c r="G28">
        <v>0</v>
      </c>
      <c r="H28">
        <v>1662</v>
      </c>
      <c r="I28">
        <v>156</v>
      </c>
      <c r="J28">
        <v>163</v>
      </c>
      <c r="K28">
        <v>163</v>
      </c>
      <c r="L28">
        <v>9.8074608904933802E-2</v>
      </c>
      <c r="M28" t="s">
        <v>652</v>
      </c>
      <c r="N28" t="s">
        <v>87</v>
      </c>
      <c r="O28" t="s">
        <v>652</v>
      </c>
      <c r="P28" t="s">
        <v>652</v>
      </c>
    </row>
    <row r="29" spans="1:16" hidden="1" x14ac:dyDescent="0.25">
      <c r="A29" t="s">
        <v>66</v>
      </c>
      <c r="B29" t="s">
        <v>1394</v>
      </c>
      <c r="C29" t="s">
        <v>55</v>
      </c>
      <c r="D29">
        <v>0</v>
      </c>
      <c r="E29">
        <v>0</v>
      </c>
      <c r="F29">
        <v>0</v>
      </c>
      <c r="G29">
        <v>0</v>
      </c>
      <c r="H29">
        <v>618.38132530120197</v>
      </c>
      <c r="I29">
        <v>77.793822106438455</v>
      </c>
      <c r="J29">
        <v>77.793822106438455</v>
      </c>
      <c r="K29">
        <v>0</v>
      </c>
      <c r="L29">
        <v>0.12580234706885199</v>
      </c>
      <c r="M29" t="s">
        <v>652</v>
      </c>
      <c r="N29" t="s">
        <v>87</v>
      </c>
      <c r="O29" t="s">
        <v>652</v>
      </c>
      <c r="P29" t="s">
        <v>652</v>
      </c>
    </row>
    <row r="30" spans="1:16" hidden="1" x14ac:dyDescent="0.25">
      <c r="A30" t="s">
        <v>333</v>
      </c>
      <c r="B30" t="s">
        <v>334</v>
      </c>
      <c r="D30">
        <v>0</v>
      </c>
      <c r="F30">
        <v>0</v>
      </c>
      <c r="G30">
        <v>0</v>
      </c>
      <c r="H30">
        <v>94</v>
      </c>
      <c r="I30">
        <v>36</v>
      </c>
      <c r="J30">
        <v>36</v>
      </c>
      <c r="K30">
        <v>36</v>
      </c>
      <c r="L30">
        <v>0.38297872340425498</v>
      </c>
      <c r="M30" t="s">
        <v>652</v>
      </c>
      <c r="N30" t="s">
        <v>652</v>
      </c>
      <c r="O30" t="s">
        <v>652</v>
      </c>
      <c r="P30" t="s">
        <v>652</v>
      </c>
    </row>
    <row r="31" spans="1:16" hidden="1" x14ac:dyDescent="0.25">
      <c r="A31" t="s">
        <v>106</v>
      </c>
      <c r="B31" t="s">
        <v>107</v>
      </c>
      <c r="D31">
        <v>0</v>
      </c>
      <c r="F31">
        <v>33</v>
      </c>
      <c r="G31">
        <v>0</v>
      </c>
      <c r="H31">
        <v>11204</v>
      </c>
      <c r="I31">
        <v>795</v>
      </c>
      <c r="J31">
        <v>828</v>
      </c>
      <c r="K31">
        <v>828</v>
      </c>
      <c r="L31">
        <v>7.3902177793645094E-2</v>
      </c>
      <c r="M31" t="s">
        <v>652</v>
      </c>
      <c r="N31" t="s">
        <v>87</v>
      </c>
      <c r="O31" t="s">
        <v>652</v>
      </c>
      <c r="P31" t="s">
        <v>652</v>
      </c>
    </row>
    <row r="32" spans="1:16" hidden="1" x14ac:dyDescent="0.25">
      <c r="A32" t="s">
        <v>265</v>
      </c>
      <c r="B32" t="s">
        <v>266</v>
      </c>
      <c r="D32">
        <v>0</v>
      </c>
      <c r="F32">
        <v>87</v>
      </c>
      <c r="G32">
        <v>0</v>
      </c>
      <c r="H32">
        <v>17085</v>
      </c>
      <c r="I32">
        <v>1218</v>
      </c>
      <c r="J32">
        <v>1305</v>
      </c>
      <c r="K32">
        <v>1305</v>
      </c>
      <c r="L32">
        <v>7.6382791922739196E-2</v>
      </c>
      <c r="M32" t="s">
        <v>652</v>
      </c>
      <c r="N32" t="s">
        <v>87</v>
      </c>
      <c r="O32" t="s">
        <v>652</v>
      </c>
      <c r="P32" t="s">
        <v>652</v>
      </c>
    </row>
    <row r="33" spans="1:16" hidden="1" x14ac:dyDescent="0.25">
      <c r="A33" t="s">
        <v>335</v>
      </c>
      <c r="B33" t="s">
        <v>336</v>
      </c>
      <c r="D33">
        <v>0</v>
      </c>
      <c r="F33">
        <v>17</v>
      </c>
      <c r="G33">
        <v>0</v>
      </c>
      <c r="H33">
        <v>4393</v>
      </c>
      <c r="I33">
        <v>765</v>
      </c>
      <c r="J33">
        <v>782</v>
      </c>
      <c r="K33">
        <v>782</v>
      </c>
      <c r="L33">
        <v>0.178010471204188</v>
      </c>
      <c r="M33" t="s">
        <v>652</v>
      </c>
      <c r="N33" t="s">
        <v>652</v>
      </c>
      <c r="O33" t="s">
        <v>652</v>
      </c>
      <c r="P33" t="s">
        <v>652</v>
      </c>
    </row>
    <row r="34" spans="1:16" hidden="1" x14ac:dyDescent="0.25">
      <c r="A34" t="s">
        <v>337</v>
      </c>
      <c r="B34" t="s">
        <v>338</v>
      </c>
      <c r="D34">
        <v>0</v>
      </c>
      <c r="F34">
        <v>13</v>
      </c>
      <c r="G34">
        <v>0</v>
      </c>
      <c r="H34">
        <v>2949</v>
      </c>
      <c r="I34">
        <v>320</v>
      </c>
      <c r="J34">
        <v>333</v>
      </c>
      <c r="K34">
        <v>333</v>
      </c>
      <c r="L34">
        <v>0.112919633774161</v>
      </c>
      <c r="M34" t="s">
        <v>652</v>
      </c>
      <c r="N34" t="s">
        <v>87</v>
      </c>
      <c r="O34" t="s">
        <v>652</v>
      </c>
      <c r="P34" t="s">
        <v>652</v>
      </c>
    </row>
    <row r="35" spans="1:16" hidden="1" x14ac:dyDescent="0.25">
      <c r="A35" t="s">
        <v>267</v>
      </c>
      <c r="B35" t="s">
        <v>268</v>
      </c>
      <c r="D35">
        <v>0</v>
      </c>
      <c r="F35">
        <v>32</v>
      </c>
      <c r="G35">
        <v>0</v>
      </c>
      <c r="H35">
        <v>6266</v>
      </c>
      <c r="I35">
        <v>566</v>
      </c>
      <c r="J35">
        <v>598</v>
      </c>
      <c r="K35">
        <v>598</v>
      </c>
      <c r="L35">
        <v>9.5435684647302899E-2</v>
      </c>
      <c r="M35" t="s">
        <v>652</v>
      </c>
      <c r="N35" t="s">
        <v>87</v>
      </c>
      <c r="O35" t="s">
        <v>652</v>
      </c>
      <c r="P35" t="s">
        <v>652</v>
      </c>
    </row>
    <row r="36" spans="1:16" hidden="1" x14ac:dyDescent="0.25">
      <c r="A36" t="s">
        <v>339</v>
      </c>
      <c r="B36" t="s">
        <v>340</v>
      </c>
      <c r="D36">
        <v>0</v>
      </c>
      <c r="F36">
        <v>2</v>
      </c>
      <c r="G36">
        <v>0</v>
      </c>
      <c r="H36">
        <v>937</v>
      </c>
      <c r="I36">
        <v>133</v>
      </c>
      <c r="J36">
        <v>135</v>
      </c>
      <c r="K36">
        <v>135</v>
      </c>
      <c r="L36">
        <v>0.144076840981857</v>
      </c>
      <c r="M36" t="s">
        <v>652</v>
      </c>
      <c r="N36" t="s">
        <v>87</v>
      </c>
      <c r="O36" t="s">
        <v>652</v>
      </c>
      <c r="P36" t="s">
        <v>652</v>
      </c>
    </row>
    <row r="37" spans="1:16" hidden="1" x14ac:dyDescent="0.25">
      <c r="A37" t="s">
        <v>108</v>
      </c>
      <c r="B37" t="s">
        <v>109</v>
      </c>
      <c r="D37">
        <v>0</v>
      </c>
      <c r="F37">
        <v>1</v>
      </c>
      <c r="G37">
        <v>0</v>
      </c>
      <c r="H37">
        <v>1124</v>
      </c>
      <c r="I37">
        <v>184</v>
      </c>
      <c r="J37">
        <v>185</v>
      </c>
      <c r="K37">
        <v>185</v>
      </c>
      <c r="L37">
        <v>0.16459074733096099</v>
      </c>
      <c r="M37" t="s">
        <v>652</v>
      </c>
      <c r="N37" t="s">
        <v>652</v>
      </c>
      <c r="O37" t="s">
        <v>652</v>
      </c>
      <c r="P37" t="s">
        <v>652</v>
      </c>
    </row>
    <row r="38" spans="1:16" hidden="1" x14ac:dyDescent="0.25">
      <c r="A38" t="s">
        <v>341</v>
      </c>
      <c r="B38" t="s">
        <v>342</v>
      </c>
      <c r="D38">
        <v>0</v>
      </c>
      <c r="F38">
        <v>14</v>
      </c>
      <c r="G38">
        <v>0</v>
      </c>
      <c r="H38">
        <v>2751</v>
      </c>
      <c r="I38">
        <v>487</v>
      </c>
      <c r="J38">
        <v>501</v>
      </c>
      <c r="K38">
        <v>501</v>
      </c>
      <c r="L38">
        <v>0.182115594329335</v>
      </c>
      <c r="M38" t="s">
        <v>652</v>
      </c>
      <c r="N38" t="s">
        <v>652</v>
      </c>
      <c r="O38" t="s">
        <v>652</v>
      </c>
      <c r="P38" t="s">
        <v>652</v>
      </c>
    </row>
    <row r="39" spans="1:16" hidden="1" x14ac:dyDescent="0.25">
      <c r="A39" t="s">
        <v>343</v>
      </c>
      <c r="B39" t="s">
        <v>344</v>
      </c>
      <c r="D39">
        <v>0</v>
      </c>
      <c r="F39">
        <v>10</v>
      </c>
      <c r="G39">
        <v>0</v>
      </c>
      <c r="H39">
        <v>1097</v>
      </c>
      <c r="I39">
        <v>119</v>
      </c>
      <c r="J39">
        <v>129</v>
      </c>
      <c r="K39">
        <v>129</v>
      </c>
      <c r="L39">
        <v>0.117593436645397</v>
      </c>
      <c r="M39" t="s">
        <v>652</v>
      </c>
      <c r="N39" t="s">
        <v>87</v>
      </c>
      <c r="O39" t="s">
        <v>652</v>
      </c>
      <c r="P39" t="s">
        <v>652</v>
      </c>
    </row>
    <row r="40" spans="1:16" hidden="1" x14ac:dyDescent="0.25">
      <c r="A40" t="s">
        <v>345</v>
      </c>
      <c r="B40" t="s">
        <v>346</v>
      </c>
      <c r="D40">
        <v>0</v>
      </c>
      <c r="F40">
        <v>47</v>
      </c>
      <c r="G40">
        <v>0</v>
      </c>
      <c r="H40">
        <v>13799</v>
      </c>
      <c r="I40">
        <v>2008</v>
      </c>
      <c r="J40">
        <v>2055</v>
      </c>
      <c r="K40">
        <v>2055</v>
      </c>
      <c r="L40">
        <v>0.14892383506051199</v>
      </c>
      <c r="M40" t="s">
        <v>652</v>
      </c>
      <c r="N40" t="s">
        <v>87</v>
      </c>
      <c r="O40" t="s">
        <v>652</v>
      </c>
      <c r="P40" t="s">
        <v>652</v>
      </c>
    </row>
    <row r="41" spans="1:16" hidden="1" x14ac:dyDescent="0.25">
      <c r="A41" t="s">
        <v>269</v>
      </c>
      <c r="B41" t="s">
        <v>270</v>
      </c>
      <c r="D41">
        <v>0</v>
      </c>
      <c r="F41">
        <v>0</v>
      </c>
      <c r="G41">
        <v>0</v>
      </c>
      <c r="H41">
        <v>621</v>
      </c>
      <c r="I41">
        <v>65</v>
      </c>
      <c r="J41">
        <v>65</v>
      </c>
      <c r="K41">
        <v>65</v>
      </c>
      <c r="L41">
        <v>0.10466988727858299</v>
      </c>
      <c r="M41" t="s">
        <v>652</v>
      </c>
      <c r="N41" t="s">
        <v>87</v>
      </c>
      <c r="O41" t="s">
        <v>652</v>
      </c>
      <c r="P41" t="s">
        <v>652</v>
      </c>
    </row>
    <row r="42" spans="1:16" hidden="1" x14ac:dyDescent="0.25">
      <c r="A42" t="s">
        <v>347</v>
      </c>
      <c r="B42" t="s">
        <v>348</v>
      </c>
      <c r="D42">
        <v>0</v>
      </c>
      <c r="F42">
        <v>8</v>
      </c>
      <c r="G42">
        <v>0</v>
      </c>
      <c r="H42">
        <v>2028</v>
      </c>
      <c r="I42">
        <v>243</v>
      </c>
      <c r="J42">
        <v>251</v>
      </c>
      <c r="K42">
        <v>251</v>
      </c>
      <c r="L42">
        <v>0.12376725838264301</v>
      </c>
      <c r="M42" t="s">
        <v>652</v>
      </c>
      <c r="N42" t="s">
        <v>87</v>
      </c>
      <c r="O42" t="s">
        <v>652</v>
      </c>
      <c r="P42" t="s">
        <v>652</v>
      </c>
    </row>
    <row r="43" spans="1:16" hidden="1" x14ac:dyDescent="0.25">
      <c r="A43" t="s">
        <v>349</v>
      </c>
      <c r="B43" t="s">
        <v>350</v>
      </c>
      <c r="D43">
        <v>0</v>
      </c>
      <c r="F43">
        <v>0</v>
      </c>
      <c r="G43">
        <v>0</v>
      </c>
      <c r="H43">
        <v>250</v>
      </c>
      <c r="I43">
        <v>16</v>
      </c>
      <c r="J43">
        <v>16</v>
      </c>
      <c r="K43">
        <v>16</v>
      </c>
      <c r="L43">
        <v>6.4000000000000001E-2</v>
      </c>
      <c r="M43" t="s">
        <v>652</v>
      </c>
      <c r="N43" t="s">
        <v>87</v>
      </c>
      <c r="O43" t="s">
        <v>652</v>
      </c>
      <c r="P43" t="s">
        <v>652</v>
      </c>
    </row>
    <row r="44" spans="1:16" hidden="1" x14ac:dyDescent="0.25">
      <c r="A44" t="s">
        <v>351</v>
      </c>
      <c r="B44" t="s">
        <v>1386</v>
      </c>
      <c r="D44">
        <v>0</v>
      </c>
      <c r="F44">
        <v>2</v>
      </c>
      <c r="G44">
        <v>0</v>
      </c>
      <c r="H44">
        <v>205</v>
      </c>
      <c r="I44">
        <v>50</v>
      </c>
      <c r="J44">
        <v>52</v>
      </c>
      <c r="K44">
        <v>52</v>
      </c>
      <c r="L44">
        <v>0.25365853658536602</v>
      </c>
      <c r="M44" t="s">
        <v>652</v>
      </c>
      <c r="N44" t="s">
        <v>652</v>
      </c>
      <c r="O44" t="s">
        <v>652</v>
      </c>
      <c r="P44" t="s">
        <v>652</v>
      </c>
    </row>
    <row r="45" spans="1:16" x14ac:dyDescent="0.25">
      <c r="A45" t="s">
        <v>352</v>
      </c>
      <c r="B45" t="s">
        <v>1387</v>
      </c>
      <c r="D45">
        <v>0</v>
      </c>
      <c r="F45">
        <v>1</v>
      </c>
      <c r="G45">
        <v>0</v>
      </c>
      <c r="H45">
        <v>753</v>
      </c>
      <c r="I45">
        <v>87</v>
      </c>
      <c r="J45">
        <v>88</v>
      </c>
      <c r="K45">
        <v>88</v>
      </c>
      <c r="L45">
        <v>0.116865869853918</v>
      </c>
      <c r="M45" t="s">
        <v>652</v>
      </c>
      <c r="N45" t="s">
        <v>87</v>
      </c>
      <c r="O45" t="s">
        <v>652</v>
      </c>
      <c r="P45" t="s">
        <v>652</v>
      </c>
    </row>
    <row r="46" spans="1:16" hidden="1" x14ac:dyDescent="0.25">
      <c r="A46" t="s">
        <v>353</v>
      </c>
      <c r="B46" t="s">
        <v>354</v>
      </c>
      <c r="D46">
        <v>0</v>
      </c>
      <c r="F46">
        <v>9</v>
      </c>
      <c r="G46">
        <v>0</v>
      </c>
      <c r="H46">
        <v>1996</v>
      </c>
      <c r="I46">
        <v>384</v>
      </c>
      <c r="J46">
        <v>393</v>
      </c>
      <c r="K46">
        <v>393</v>
      </c>
      <c r="L46">
        <v>0.19689378757515</v>
      </c>
      <c r="M46" t="s">
        <v>652</v>
      </c>
      <c r="N46" t="s">
        <v>652</v>
      </c>
      <c r="O46" t="s">
        <v>652</v>
      </c>
      <c r="P46" t="s">
        <v>652</v>
      </c>
    </row>
    <row r="47" spans="1:16" hidden="1" x14ac:dyDescent="0.25">
      <c r="A47" t="s">
        <v>355</v>
      </c>
      <c r="B47" t="s">
        <v>356</v>
      </c>
      <c r="D47">
        <v>0</v>
      </c>
      <c r="F47">
        <v>5</v>
      </c>
      <c r="G47">
        <v>0</v>
      </c>
      <c r="H47">
        <v>705</v>
      </c>
      <c r="I47">
        <v>75</v>
      </c>
      <c r="J47">
        <v>80</v>
      </c>
      <c r="K47">
        <v>80</v>
      </c>
      <c r="L47">
        <v>0.11347517730496499</v>
      </c>
      <c r="M47" t="s">
        <v>652</v>
      </c>
      <c r="N47" t="s">
        <v>87</v>
      </c>
      <c r="O47" t="s">
        <v>652</v>
      </c>
      <c r="P47" t="s">
        <v>652</v>
      </c>
    </row>
    <row r="48" spans="1:16" hidden="1" x14ac:dyDescent="0.25">
      <c r="A48" t="s">
        <v>110</v>
      </c>
      <c r="B48" t="s">
        <v>111</v>
      </c>
      <c r="D48">
        <v>0</v>
      </c>
      <c r="F48">
        <v>1</v>
      </c>
      <c r="G48">
        <v>0</v>
      </c>
      <c r="H48">
        <v>534</v>
      </c>
      <c r="I48">
        <v>47</v>
      </c>
      <c r="J48">
        <v>48</v>
      </c>
      <c r="K48">
        <v>48</v>
      </c>
      <c r="L48">
        <v>8.98876404494382E-2</v>
      </c>
      <c r="M48" t="s">
        <v>652</v>
      </c>
      <c r="N48" t="s">
        <v>87</v>
      </c>
      <c r="O48" t="s">
        <v>652</v>
      </c>
      <c r="P48" t="s">
        <v>652</v>
      </c>
    </row>
    <row r="49" spans="1:16" hidden="1" x14ac:dyDescent="0.25">
      <c r="A49" t="s">
        <v>112</v>
      </c>
      <c r="B49" t="s">
        <v>113</v>
      </c>
      <c r="D49">
        <v>0</v>
      </c>
      <c r="F49">
        <v>1</v>
      </c>
      <c r="G49">
        <v>0</v>
      </c>
      <c r="H49">
        <v>311</v>
      </c>
      <c r="I49">
        <v>28</v>
      </c>
      <c r="J49">
        <v>29</v>
      </c>
      <c r="K49">
        <v>29</v>
      </c>
      <c r="L49">
        <v>9.3247588424437297E-2</v>
      </c>
      <c r="M49" t="s">
        <v>652</v>
      </c>
      <c r="N49" t="s">
        <v>87</v>
      </c>
      <c r="O49" t="s">
        <v>652</v>
      </c>
      <c r="P49" t="s">
        <v>652</v>
      </c>
    </row>
    <row r="50" spans="1:16" hidden="1" x14ac:dyDescent="0.25">
      <c r="A50" t="s">
        <v>357</v>
      </c>
      <c r="B50" t="s">
        <v>358</v>
      </c>
      <c r="D50">
        <v>0</v>
      </c>
      <c r="F50">
        <v>0</v>
      </c>
      <c r="G50">
        <v>0</v>
      </c>
      <c r="H50">
        <v>246</v>
      </c>
      <c r="I50">
        <v>40</v>
      </c>
      <c r="J50">
        <v>40</v>
      </c>
      <c r="K50">
        <v>40</v>
      </c>
      <c r="L50">
        <v>0.16260162601625999</v>
      </c>
      <c r="M50" t="s">
        <v>652</v>
      </c>
      <c r="N50" t="s">
        <v>652</v>
      </c>
      <c r="O50" t="s">
        <v>652</v>
      </c>
      <c r="P50" t="s">
        <v>652</v>
      </c>
    </row>
    <row r="51" spans="1:16" hidden="1" x14ac:dyDescent="0.25">
      <c r="A51" t="s">
        <v>359</v>
      </c>
      <c r="B51" t="s">
        <v>360</v>
      </c>
      <c r="D51">
        <v>0</v>
      </c>
      <c r="F51">
        <v>0</v>
      </c>
      <c r="G51">
        <v>0</v>
      </c>
      <c r="H51">
        <v>1082</v>
      </c>
      <c r="I51">
        <v>104</v>
      </c>
      <c r="J51">
        <v>104</v>
      </c>
      <c r="K51">
        <v>104</v>
      </c>
      <c r="L51">
        <v>9.61182994454714E-2</v>
      </c>
      <c r="M51" t="s">
        <v>652</v>
      </c>
      <c r="N51" t="s">
        <v>87</v>
      </c>
      <c r="O51" t="s">
        <v>652</v>
      </c>
      <c r="P51" t="s">
        <v>652</v>
      </c>
    </row>
    <row r="52" spans="1:16" hidden="1" x14ac:dyDescent="0.25">
      <c r="A52" t="s">
        <v>361</v>
      </c>
      <c r="B52" t="s">
        <v>362</v>
      </c>
      <c r="D52">
        <v>0</v>
      </c>
      <c r="F52">
        <v>5</v>
      </c>
      <c r="G52">
        <v>0</v>
      </c>
      <c r="H52">
        <v>339</v>
      </c>
      <c r="I52">
        <v>62</v>
      </c>
      <c r="J52">
        <v>67</v>
      </c>
      <c r="K52">
        <v>67</v>
      </c>
      <c r="L52">
        <v>0.1976401179941</v>
      </c>
      <c r="M52" t="s">
        <v>652</v>
      </c>
      <c r="N52" t="s">
        <v>652</v>
      </c>
      <c r="O52" t="s">
        <v>652</v>
      </c>
      <c r="P52" t="s">
        <v>652</v>
      </c>
    </row>
    <row r="53" spans="1:16" hidden="1" x14ac:dyDescent="0.25">
      <c r="A53" t="s">
        <v>363</v>
      </c>
      <c r="B53" t="s">
        <v>364</v>
      </c>
      <c r="D53">
        <v>0</v>
      </c>
      <c r="F53">
        <v>3</v>
      </c>
      <c r="G53">
        <v>0</v>
      </c>
      <c r="H53">
        <v>114</v>
      </c>
      <c r="I53">
        <v>33</v>
      </c>
      <c r="J53">
        <v>36</v>
      </c>
      <c r="K53">
        <v>36</v>
      </c>
      <c r="L53">
        <v>0.31578947368421001</v>
      </c>
      <c r="M53" t="s">
        <v>652</v>
      </c>
      <c r="N53" t="s">
        <v>652</v>
      </c>
      <c r="O53" t="s">
        <v>652</v>
      </c>
      <c r="P53" t="s">
        <v>652</v>
      </c>
    </row>
    <row r="54" spans="1:16" hidden="1" x14ac:dyDescent="0.25">
      <c r="A54" t="s">
        <v>365</v>
      </c>
      <c r="B54" t="s">
        <v>366</v>
      </c>
      <c r="D54">
        <v>0</v>
      </c>
      <c r="F54">
        <v>1</v>
      </c>
      <c r="G54">
        <v>0</v>
      </c>
      <c r="H54">
        <v>165</v>
      </c>
      <c r="I54">
        <v>47</v>
      </c>
      <c r="J54">
        <v>48</v>
      </c>
      <c r="K54">
        <v>48</v>
      </c>
      <c r="L54">
        <v>0.29090909090909101</v>
      </c>
      <c r="M54" t="s">
        <v>652</v>
      </c>
      <c r="N54" t="s">
        <v>652</v>
      </c>
      <c r="O54" t="s">
        <v>652</v>
      </c>
      <c r="P54" t="s">
        <v>652</v>
      </c>
    </row>
    <row r="55" spans="1:16" hidden="1" x14ac:dyDescent="0.25">
      <c r="A55" t="s">
        <v>367</v>
      </c>
      <c r="B55" t="s">
        <v>368</v>
      </c>
      <c r="D55">
        <v>0</v>
      </c>
      <c r="F55">
        <v>3</v>
      </c>
      <c r="G55">
        <v>0</v>
      </c>
      <c r="H55">
        <v>326</v>
      </c>
      <c r="I55">
        <v>75</v>
      </c>
      <c r="J55">
        <v>78</v>
      </c>
      <c r="K55">
        <v>78</v>
      </c>
      <c r="L55">
        <v>0.23926380368098199</v>
      </c>
      <c r="M55" t="s">
        <v>652</v>
      </c>
      <c r="N55" t="s">
        <v>652</v>
      </c>
      <c r="O55" t="s">
        <v>652</v>
      </c>
      <c r="P55" t="s">
        <v>652</v>
      </c>
    </row>
    <row r="56" spans="1:16" hidden="1" x14ac:dyDescent="0.25">
      <c r="A56" t="s">
        <v>114</v>
      </c>
      <c r="B56" t="s">
        <v>115</v>
      </c>
      <c r="D56">
        <v>0</v>
      </c>
      <c r="F56">
        <v>0</v>
      </c>
      <c r="G56">
        <v>0</v>
      </c>
      <c r="H56">
        <v>115</v>
      </c>
      <c r="I56">
        <v>10</v>
      </c>
      <c r="J56">
        <v>10</v>
      </c>
      <c r="K56">
        <v>10</v>
      </c>
      <c r="L56">
        <v>8.6956521739130405E-2</v>
      </c>
      <c r="M56" t="s">
        <v>652</v>
      </c>
      <c r="N56" t="s">
        <v>87</v>
      </c>
      <c r="O56" t="s">
        <v>652</v>
      </c>
      <c r="P56" t="s">
        <v>652</v>
      </c>
    </row>
    <row r="57" spans="1:16" hidden="1" x14ac:dyDescent="0.25">
      <c r="A57" t="s">
        <v>271</v>
      </c>
      <c r="B57" t="s">
        <v>272</v>
      </c>
      <c r="D57">
        <v>0</v>
      </c>
      <c r="F57">
        <v>5</v>
      </c>
      <c r="G57">
        <v>0</v>
      </c>
      <c r="H57">
        <v>509</v>
      </c>
      <c r="I57">
        <v>40</v>
      </c>
      <c r="J57">
        <v>45</v>
      </c>
      <c r="K57">
        <v>45</v>
      </c>
      <c r="L57">
        <v>8.8408644400785899E-2</v>
      </c>
      <c r="M57" t="s">
        <v>652</v>
      </c>
      <c r="N57" t="s">
        <v>87</v>
      </c>
      <c r="O57" t="s">
        <v>652</v>
      </c>
      <c r="P57" t="s">
        <v>652</v>
      </c>
    </row>
    <row r="58" spans="1:16" hidden="1" x14ac:dyDescent="0.25">
      <c r="A58" t="s">
        <v>369</v>
      </c>
      <c r="B58" t="s">
        <v>370</v>
      </c>
      <c r="D58">
        <v>0</v>
      </c>
      <c r="F58">
        <v>2</v>
      </c>
      <c r="G58">
        <v>0</v>
      </c>
      <c r="H58">
        <v>588</v>
      </c>
      <c r="I58">
        <v>112</v>
      </c>
      <c r="J58">
        <v>114</v>
      </c>
      <c r="K58">
        <v>114</v>
      </c>
      <c r="L58">
        <v>0.19387755102040799</v>
      </c>
      <c r="M58" t="s">
        <v>652</v>
      </c>
      <c r="N58" t="s">
        <v>652</v>
      </c>
      <c r="O58" t="s">
        <v>652</v>
      </c>
      <c r="P58" t="s">
        <v>652</v>
      </c>
    </row>
    <row r="59" spans="1:16" hidden="1" x14ac:dyDescent="0.25">
      <c r="A59" t="s">
        <v>371</v>
      </c>
      <c r="B59" t="s">
        <v>372</v>
      </c>
      <c r="D59">
        <v>0</v>
      </c>
      <c r="F59">
        <v>1</v>
      </c>
      <c r="G59">
        <v>0</v>
      </c>
      <c r="H59">
        <v>514</v>
      </c>
      <c r="I59">
        <v>92</v>
      </c>
      <c r="J59">
        <v>93</v>
      </c>
      <c r="K59">
        <v>93</v>
      </c>
      <c r="L59">
        <v>0.18093385214007801</v>
      </c>
      <c r="M59" t="s">
        <v>652</v>
      </c>
      <c r="N59" t="s">
        <v>652</v>
      </c>
      <c r="O59" t="s">
        <v>652</v>
      </c>
      <c r="P59" t="s">
        <v>652</v>
      </c>
    </row>
    <row r="60" spans="1:16" hidden="1" x14ac:dyDescent="0.25">
      <c r="A60" t="s">
        <v>373</v>
      </c>
      <c r="B60" t="s">
        <v>374</v>
      </c>
      <c r="D60">
        <v>0</v>
      </c>
      <c r="F60">
        <v>25</v>
      </c>
      <c r="G60">
        <v>0</v>
      </c>
      <c r="H60">
        <v>2376</v>
      </c>
      <c r="I60">
        <v>214</v>
      </c>
      <c r="J60">
        <v>239</v>
      </c>
      <c r="K60">
        <v>239</v>
      </c>
      <c r="L60">
        <v>0.10058922558922601</v>
      </c>
      <c r="M60" t="s">
        <v>652</v>
      </c>
      <c r="N60" t="s">
        <v>87</v>
      </c>
      <c r="O60" t="s">
        <v>652</v>
      </c>
      <c r="P60" t="s">
        <v>652</v>
      </c>
    </row>
    <row r="61" spans="1:16" hidden="1" x14ac:dyDescent="0.25">
      <c r="A61" t="s">
        <v>273</v>
      </c>
      <c r="B61" t="s">
        <v>274</v>
      </c>
      <c r="D61">
        <v>0</v>
      </c>
      <c r="F61">
        <v>3</v>
      </c>
      <c r="G61">
        <v>0</v>
      </c>
      <c r="H61">
        <v>2296</v>
      </c>
      <c r="I61">
        <v>126</v>
      </c>
      <c r="J61">
        <v>129</v>
      </c>
      <c r="K61">
        <v>129</v>
      </c>
      <c r="L61">
        <v>5.6184668989547E-2</v>
      </c>
      <c r="M61" t="s">
        <v>652</v>
      </c>
      <c r="N61" t="s">
        <v>87</v>
      </c>
      <c r="O61" t="s">
        <v>652</v>
      </c>
      <c r="P61" t="s">
        <v>652</v>
      </c>
    </row>
    <row r="62" spans="1:16" hidden="1" x14ac:dyDescent="0.25">
      <c r="A62" t="s">
        <v>375</v>
      </c>
      <c r="B62" t="s">
        <v>376</v>
      </c>
      <c r="D62">
        <v>0</v>
      </c>
      <c r="F62">
        <v>0</v>
      </c>
      <c r="G62">
        <v>0</v>
      </c>
      <c r="H62">
        <v>74</v>
      </c>
      <c r="I62">
        <v>1</v>
      </c>
      <c r="J62">
        <v>1</v>
      </c>
      <c r="K62">
        <v>1</v>
      </c>
      <c r="L62">
        <v>1.35135135135135E-2</v>
      </c>
      <c r="M62" t="s">
        <v>87</v>
      </c>
      <c r="N62" t="s">
        <v>87</v>
      </c>
      <c r="O62" t="s">
        <v>87</v>
      </c>
      <c r="P62" t="s">
        <v>87</v>
      </c>
    </row>
    <row r="63" spans="1:16" hidden="1" x14ac:dyDescent="0.25">
      <c r="A63" t="s">
        <v>377</v>
      </c>
      <c r="B63" t="s">
        <v>378</v>
      </c>
      <c r="D63">
        <v>0</v>
      </c>
      <c r="F63">
        <v>26</v>
      </c>
      <c r="G63">
        <v>0</v>
      </c>
      <c r="H63">
        <v>4697</v>
      </c>
      <c r="I63">
        <v>543</v>
      </c>
      <c r="J63">
        <v>569</v>
      </c>
      <c r="K63">
        <v>569</v>
      </c>
      <c r="L63">
        <v>0.12114115392803899</v>
      </c>
      <c r="M63" t="s">
        <v>652</v>
      </c>
      <c r="N63" t="s">
        <v>87</v>
      </c>
      <c r="O63" t="s">
        <v>652</v>
      </c>
      <c r="P63" t="s">
        <v>652</v>
      </c>
    </row>
    <row r="64" spans="1:16" hidden="1" x14ac:dyDescent="0.25">
      <c r="A64" t="s">
        <v>379</v>
      </c>
      <c r="B64" t="s">
        <v>380</v>
      </c>
      <c r="D64">
        <v>0</v>
      </c>
      <c r="F64">
        <v>10</v>
      </c>
      <c r="G64">
        <v>0</v>
      </c>
      <c r="H64">
        <v>3534</v>
      </c>
      <c r="I64">
        <v>515</v>
      </c>
      <c r="J64">
        <v>525</v>
      </c>
      <c r="K64">
        <v>525</v>
      </c>
      <c r="L64">
        <v>0.148556876061121</v>
      </c>
      <c r="M64" t="s">
        <v>652</v>
      </c>
      <c r="N64" t="s">
        <v>87</v>
      </c>
      <c r="O64" t="s">
        <v>652</v>
      </c>
      <c r="P64" t="s">
        <v>652</v>
      </c>
    </row>
    <row r="65" spans="1:16" hidden="1" x14ac:dyDescent="0.25">
      <c r="A65" t="s">
        <v>381</v>
      </c>
      <c r="B65" t="s">
        <v>382</v>
      </c>
      <c r="D65">
        <v>0</v>
      </c>
      <c r="F65">
        <v>18</v>
      </c>
      <c r="G65">
        <v>0</v>
      </c>
      <c r="H65">
        <v>6294</v>
      </c>
      <c r="I65">
        <v>816</v>
      </c>
      <c r="J65">
        <v>834</v>
      </c>
      <c r="K65">
        <v>834</v>
      </c>
      <c r="L65">
        <v>0.13250714966634899</v>
      </c>
      <c r="M65" t="s">
        <v>652</v>
      </c>
      <c r="N65" t="s">
        <v>87</v>
      </c>
      <c r="O65" t="s">
        <v>652</v>
      </c>
      <c r="P65" t="s">
        <v>652</v>
      </c>
    </row>
    <row r="66" spans="1:16" hidden="1" x14ac:dyDescent="0.25">
      <c r="A66" t="s">
        <v>116</v>
      </c>
      <c r="B66" t="s">
        <v>117</v>
      </c>
      <c r="D66">
        <v>0</v>
      </c>
      <c r="F66">
        <v>0</v>
      </c>
      <c r="G66">
        <v>0</v>
      </c>
      <c r="H66">
        <v>160</v>
      </c>
      <c r="I66">
        <v>12</v>
      </c>
      <c r="J66">
        <v>12</v>
      </c>
      <c r="K66">
        <v>12</v>
      </c>
      <c r="L66">
        <v>7.4999999999999997E-2</v>
      </c>
      <c r="M66" t="s">
        <v>652</v>
      </c>
      <c r="N66" t="s">
        <v>87</v>
      </c>
      <c r="O66" t="s">
        <v>652</v>
      </c>
      <c r="P66" t="s">
        <v>652</v>
      </c>
    </row>
    <row r="67" spans="1:16" hidden="1" x14ac:dyDescent="0.25">
      <c r="A67" t="s">
        <v>118</v>
      </c>
      <c r="B67" t="s">
        <v>119</v>
      </c>
      <c r="D67">
        <v>0</v>
      </c>
      <c r="F67">
        <v>9</v>
      </c>
      <c r="G67">
        <v>0</v>
      </c>
      <c r="H67">
        <v>2223</v>
      </c>
      <c r="I67">
        <v>174</v>
      </c>
      <c r="J67">
        <v>183</v>
      </c>
      <c r="K67">
        <v>183</v>
      </c>
      <c r="L67">
        <v>8.2321187584345507E-2</v>
      </c>
      <c r="M67" t="s">
        <v>652</v>
      </c>
      <c r="N67" t="s">
        <v>87</v>
      </c>
      <c r="O67" t="s">
        <v>652</v>
      </c>
      <c r="P67" t="s">
        <v>652</v>
      </c>
    </row>
    <row r="68" spans="1:16" hidden="1" x14ac:dyDescent="0.25">
      <c r="A68" t="s">
        <v>120</v>
      </c>
      <c r="B68" t="s">
        <v>121</v>
      </c>
      <c r="D68">
        <v>0</v>
      </c>
      <c r="F68">
        <v>40</v>
      </c>
      <c r="G68">
        <v>0</v>
      </c>
      <c r="H68">
        <v>24603</v>
      </c>
      <c r="I68">
        <v>2255</v>
      </c>
      <c r="J68">
        <v>2295</v>
      </c>
      <c r="K68">
        <v>2295</v>
      </c>
      <c r="L68">
        <v>9.3281307157663695E-2</v>
      </c>
      <c r="M68" t="s">
        <v>652</v>
      </c>
      <c r="N68" t="s">
        <v>87</v>
      </c>
      <c r="O68" t="s">
        <v>652</v>
      </c>
      <c r="P68" t="s">
        <v>652</v>
      </c>
    </row>
    <row r="69" spans="1:16" hidden="1" x14ac:dyDescent="0.25">
      <c r="A69" t="s">
        <v>383</v>
      </c>
      <c r="B69" t="s">
        <v>384</v>
      </c>
      <c r="D69">
        <v>0</v>
      </c>
      <c r="F69">
        <v>8</v>
      </c>
      <c r="G69">
        <v>0</v>
      </c>
      <c r="H69">
        <v>3660</v>
      </c>
      <c r="I69">
        <v>426</v>
      </c>
      <c r="J69">
        <v>434</v>
      </c>
      <c r="K69">
        <v>434</v>
      </c>
      <c r="L69">
        <v>0.118579234972678</v>
      </c>
      <c r="M69" t="s">
        <v>652</v>
      </c>
      <c r="N69" t="s">
        <v>87</v>
      </c>
      <c r="O69" t="s">
        <v>652</v>
      </c>
      <c r="P69" t="s">
        <v>652</v>
      </c>
    </row>
    <row r="70" spans="1:16" hidden="1" x14ac:dyDescent="0.25">
      <c r="A70" t="s">
        <v>385</v>
      </c>
      <c r="B70" t="s">
        <v>386</v>
      </c>
      <c r="D70">
        <v>0</v>
      </c>
      <c r="F70">
        <v>3</v>
      </c>
      <c r="G70">
        <v>0</v>
      </c>
      <c r="H70">
        <v>1576</v>
      </c>
      <c r="I70">
        <v>262</v>
      </c>
      <c r="J70">
        <v>265</v>
      </c>
      <c r="K70">
        <v>265</v>
      </c>
      <c r="L70">
        <v>0.16814720812182701</v>
      </c>
      <c r="M70" t="s">
        <v>652</v>
      </c>
      <c r="N70" t="s">
        <v>652</v>
      </c>
      <c r="O70" t="s">
        <v>652</v>
      </c>
      <c r="P70" t="s">
        <v>652</v>
      </c>
    </row>
    <row r="71" spans="1:16" hidden="1" x14ac:dyDescent="0.25">
      <c r="A71" t="s">
        <v>387</v>
      </c>
      <c r="B71" t="s">
        <v>388</v>
      </c>
      <c r="D71">
        <v>0</v>
      </c>
      <c r="F71">
        <v>0</v>
      </c>
      <c r="G71">
        <v>0</v>
      </c>
      <c r="H71">
        <v>90</v>
      </c>
      <c r="I71">
        <v>12</v>
      </c>
      <c r="J71">
        <v>12</v>
      </c>
      <c r="K71">
        <v>12</v>
      </c>
      <c r="L71">
        <v>0.133333333333333</v>
      </c>
      <c r="M71" t="s">
        <v>652</v>
      </c>
      <c r="N71" t="s">
        <v>87</v>
      </c>
      <c r="O71" t="s">
        <v>652</v>
      </c>
      <c r="P71" t="s">
        <v>652</v>
      </c>
    </row>
    <row r="72" spans="1:16" hidden="1" x14ac:dyDescent="0.25">
      <c r="A72" t="s">
        <v>389</v>
      </c>
      <c r="B72" t="s">
        <v>390</v>
      </c>
      <c r="D72">
        <v>0</v>
      </c>
      <c r="F72">
        <v>5</v>
      </c>
      <c r="G72">
        <v>0</v>
      </c>
      <c r="H72">
        <v>417</v>
      </c>
      <c r="I72">
        <v>37</v>
      </c>
      <c r="J72">
        <v>42</v>
      </c>
      <c r="K72">
        <v>42</v>
      </c>
      <c r="L72">
        <v>0.100719424460432</v>
      </c>
      <c r="M72" t="s">
        <v>652</v>
      </c>
      <c r="N72" t="s">
        <v>87</v>
      </c>
      <c r="O72" t="s">
        <v>652</v>
      </c>
      <c r="P72" t="s">
        <v>652</v>
      </c>
    </row>
    <row r="73" spans="1:16" hidden="1" x14ac:dyDescent="0.25">
      <c r="A73" t="s">
        <v>122</v>
      </c>
      <c r="B73" t="s">
        <v>123</v>
      </c>
      <c r="D73">
        <v>0</v>
      </c>
      <c r="F73">
        <v>16</v>
      </c>
      <c r="G73">
        <v>0</v>
      </c>
      <c r="H73">
        <v>4736</v>
      </c>
      <c r="I73">
        <v>251</v>
      </c>
      <c r="J73">
        <v>267</v>
      </c>
      <c r="K73">
        <v>267</v>
      </c>
      <c r="L73">
        <v>5.63766891891892E-2</v>
      </c>
      <c r="M73" t="s">
        <v>652</v>
      </c>
      <c r="N73" t="s">
        <v>87</v>
      </c>
      <c r="O73" t="s">
        <v>652</v>
      </c>
      <c r="P73" t="s">
        <v>652</v>
      </c>
    </row>
    <row r="74" spans="1:16" hidden="1" x14ac:dyDescent="0.25">
      <c r="A74" t="s">
        <v>391</v>
      </c>
      <c r="B74" t="s">
        <v>392</v>
      </c>
      <c r="D74">
        <v>0</v>
      </c>
      <c r="F74">
        <v>2</v>
      </c>
      <c r="G74">
        <v>0</v>
      </c>
      <c r="H74">
        <v>2895</v>
      </c>
      <c r="I74">
        <v>495</v>
      </c>
      <c r="J74">
        <v>497</v>
      </c>
      <c r="K74">
        <v>497</v>
      </c>
      <c r="L74">
        <v>0.17167530224524999</v>
      </c>
      <c r="M74" t="s">
        <v>652</v>
      </c>
      <c r="N74" t="s">
        <v>652</v>
      </c>
      <c r="O74" t="s">
        <v>652</v>
      </c>
      <c r="P74" t="s">
        <v>652</v>
      </c>
    </row>
    <row r="75" spans="1:16" hidden="1" x14ac:dyDescent="0.25">
      <c r="A75" t="s">
        <v>393</v>
      </c>
      <c r="B75" t="s">
        <v>394</v>
      </c>
      <c r="D75">
        <v>0</v>
      </c>
      <c r="F75">
        <v>1</v>
      </c>
      <c r="G75">
        <v>0</v>
      </c>
      <c r="H75">
        <v>132</v>
      </c>
      <c r="I75">
        <v>17</v>
      </c>
      <c r="J75">
        <v>18</v>
      </c>
      <c r="K75">
        <v>18</v>
      </c>
      <c r="L75">
        <v>0.13636363636363599</v>
      </c>
      <c r="M75" t="s">
        <v>652</v>
      </c>
      <c r="N75" t="s">
        <v>87</v>
      </c>
      <c r="O75" t="s">
        <v>652</v>
      </c>
      <c r="P75" t="s">
        <v>652</v>
      </c>
    </row>
    <row r="76" spans="1:16" hidden="1" x14ac:dyDescent="0.25">
      <c r="A76" t="s">
        <v>124</v>
      </c>
      <c r="B76" t="s">
        <v>125</v>
      </c>
      <c r="D76">
        <v>0</v>
      </c>
      <c r="F76">
        <v>23</v>
      </c>
      <c r="G76">
        <v>0</v>
      </c>
      <c r="H76">
        <v>23123</v>
      </c>
      <c r="I76">
        <v>2244</v>
      </c>
      <c r="J76">
        <v>2267</v>
      </c>
      <c r="K76">
        <v>2267</v>
      </c>
      <c r="L76">
        <v>9.8040911646412696E-2</v>
      </c>
      <c r="M76" t="s">
        <v>652</v>
      </c>
      <c r="N76" t="s">
        <v>87</v>
      </c>
      <c r="O76" t="s">
        <v>652</v>
      </c>
      <c r="P76" t="s">
        <v>652</v>
      </c>
    </row>
    <row r="77" spans="1:16" hidden="1" x14ac:dyDescent="0.25">
      <c r="A77" t="s">
        <v>275</v>
      </c>
      <c r="B77" t="s">
        <v>276</v>
      </c>
      <c r="D77">
        <v>0</v>
      </c>
      <c r="F77">
        <v>61</v>
      </c>
      <c r="G77">
        <v>0</v>
      </c>
      <c r="H77">
        <v>26694</v>
      </c>
      <c r="I77">
        <v>2621</v>
      </c>
      <c r="J77">
        <v>2682</v>
      </c>
      <c r="K77">
        <v>2682</v>
      </c>
      <c r="L77">
        <v>0.10047201618341201</v>
      </c>
      <c r="M77" t="s">
        <v>652</v>
      </c>
      <c r="N77" t="s">
        <v>87</v>
      </c>
      <c r="O77" t="s">
        <v>652</v>
      </c>
      <c r="P77" t="s">
        <v>652</v>
      </c>
    </row>
    <row r="78" spans="1:16" hidden="1" x14ac:dyDescent="0.25">
      <c r="A78" t="s">
        <v>395</v>
      </c>
      <c r="B78" t="s">
        <v>396</v>
      </c>
      <c r="D78">
        <v>0</v>
      </c>
      <c r="F78">
        <v>0</v>
      </c>
      <c r="G78">
        <v>0</v>
      </c>
      <c r="H78">
        <v>56</v>
      </c>
      <c r="I78">
        <v>19</v>
      </c>
      <c r="J78">
        <v>19</v>
      </c>
      <c r="K78">
        <v>19</v>
      </c>
      <c r="L78">
        <v>0.33928571428571402</v>
      </c>
      <c r="M78" t="s">
        <v>652</v>
      </c>
      <c r="N78" t="s">
        <v>652</v>
      </c>
      <c r="O78" t="s">
        <v>652</v>
      </c>
      <c r="P78" t="s">
        <v>652</v>
      </c>
    </row>
    <row r="79" spans="1:16" hidden="1" x14ac:dyDescent="0.25">
      <c r="A79" t="s">
        <v>397</v>
      </c>
      <c r="B79" t="s">
        <v>398</v>
      </c>
      <c r="D79">
        <v>0</v>
      </c>
      <c r="F79">
        <v>39</v>
      </c>
      <c r="G79">
        <v>0</v>
      </c>
      <c r="H79">
        <v>24447</v>
      </c>
      <c r="I79">
        <v>4134</v>
      </c>
      <c r="J79">
        <v>4173</v>
      </c>
      <c r="K79">
        <v>4173</v>
      </c>
      <c r="L79">
        <v>0.170695790894588</v>
      </c>
      <c r="M79" t="s">
        <v>652</v>
      </c>
      <c r="N79" t="s">
        <v>652</v>
      </c>
      <c r="O79" t="s">
        <v>652</v>
      </c>
      <c r="P79" t="s">
        <v>652</v>
      </c>
    </row>
    <row r="80" spans="1:16" hidden="1" x14ac:dyDescent="0.25">
      <c r="A80" t="s">
        <v>126</v>
      </c>
      <c r="B80" t="s">
        <v>127</v>
      </c>
      <c r="D80">
        <v>0</v>
      </c>
      <c r="F80">
        <v>17</v>
      </c>
      <c r="G80">
        <v>0</v>
      </c>
      <c r="H80">
        <v>6112</v>
      </c>
      <c r="I80">
        <v>543</v>
      </c>
      <c r="J80">
        <v>560</v>
      </c>
      <c r="K80">
        <v>560</v>
      </c>
      <c r="L80">
        <v>9.1623036649214604E-2</v>
      </c>
      <c r="M80" t="s">
        <v>652</v>
      </c>
      <c r="N80" t="s">
        <v>87</v>
      </c>
      <c r="O80" t="s">
        <v>652</v>
      </c>
      <c r="P80" t="s">
        <v>652</v>
      </c>
    </row>
    <row r="81" spans="1:16" hidden="1" x14ac:dyDescent="0.25">
      <c r="A81" t="s">
        <v>128</v>
      </c>
      <c r="B81" t="s">
        <v>129</v>
      </c>
      <c r="D81">
        <v>0</v>
      </c>
      <c r="F81">
        <v>16</v>
      </c>
      <c r="G81">
        <v>0</v>
      </c>
      <c r="H81">
        <v>4106</v>
      </c>
      <c r="I81">
        <v>458</v>
      </c>
      <c r="J81">
        <v>474</v>
      </c>
      <c r="K81">
        <v>474</v>
      </c>
      <c r="L81">
        <v>0.11544081831466101</v>
      </c>
      <c r="M81" t="s">
        <v>652</v>
      </c>
      <c r="N81" t="s">
        <v>87</v>
      </c>
      <c r="O81" t="s">
        <v>652</v>
      </c>
      <c r="P81" t="s">
        <v>652</v>
      </c>
    </row>
    <row r="82" spans="1:16" hidden="1" x14ac:dyDescent="0.25">
      <c r="A82" t="s">
        <v>399</v>
      </c>
      <c r="B82" t="s">
        <v>400</v>
      </c>
      <c r="D82">
        <v>0</v>
      </c>
      <c r="F82">
        <v>5</v>
      </c>
      <c r="G82">
        <v>0</v>
      </c>
      <c r="H82">
        <v>920</v>
      </c>
      <c r="I82">
        <v>93</v>
      </c>
      <c r="J82">
        <v>98</v>
      </c>
      <c r="K82">
        <v>98</v>
      </c>
      <c r="L82">
        <v>0.106521739130435</v>
      </c>
      <c r="M82" t="s">
        <v>652</v>
      </c>
      <c r="N82" t="s">
        <v>87</v>
      </c>
      <c r="O82" t="s">
        <v>652</v>
      </c>
      <c r="P82" t="s">
        <v>652</v>
      </c>
    </row>
    <row r="83" spans="1:16" hidden="1" x14ac:dyDescent="0.25">
      <c r="A83" t="s">
        <v>401</v>
      </c>
      <c r="B83" t="s">
        <v>402</v>
      </c>
      <c r="D83">
        <v>0</v>
      </c>
      <c r="F83">
        <v>51</v>
      </c>
      <c r="G83">
        <v>0</v>
      </c>
      <c r="H83">
        <v>9347</v>
      </c>
      <c r="I83">
        <v>1533</v>
      </c>
      <c r="J83">
        <v>1584</v>
      </c>
      <c r="K83">
        <v>1584</v>
      </c>
      <c r="L83">
        <v>0.16946613886808601</v>
      </c>
      <c r="M83" t="s">
        <v>652</v>
      </c>
      <c r="N83" t="s">
        <v>652</v>
      </c>
      <c r="O83" t="s">
        <v>652</v>
      </c>
      <c r="P83" t="s">
        <v>652</v>
      </c>
    </row>
    <row r="84" spans="1:16" hidden="1" x14ac:dyDescent="0.25">
      <c r="A84" t="s">
        <v>130</v>
      </c>
      <c r="B84" t="s">
        <v>131</v>
      </c>
      <c r="D84">
        <v>0</v>
      </c>
      <c r="F84">
        <v>1</v>
      </c>
      <c r="G84">
        <v>0</v>
      </c>
      <c r="H84">
        <v>998</v>
      </c>
      <c r="I84">
        <v>29</v>
      </c>
      <c r="J84">
        <v>30</v>
      </c>
      <c r="K84">
        <v>30</v>
      </c>
      <c r="L84">
        <v>3.0060120240480999E-2</v>
      </c>
      <c r="M84" t="s">
        <v>652</v>
      </c>
      <c r="N84" t="s">
        <v>87</v>
      </c>
      <c r="O84" t="s">
        <v>87</v>
      </c>
      <c r="P84" t="s">
        <v>87</v>
      </c>
    </row>
    <row r="85" spans="1:16" hidden="1" x14ac:dyDescent="0.25">
      <c r="A85" t="s">
        <v>403</v>
      </c>
      <c r="B85" t="s">
        <v>404</v>
      </c>
      <c r="D85">
        <v>0</v>
      </c>
      <c r="F85">
        <v>0</v>
      </c>
      <c r="G85">
        <v>0</v>
      </c>
      <c r="H85">
        <v>132</v>
      </c>
      <c r="I85">
        <v>28</v>
      </c>
      <c r="J85">
        <v>28</v>
      </c>
      <c r="K85">
        <v>28</v>
      </c>
      <c r="L85">
        <v>0.21212121212121199</v>
      </c>
      <c r="M85" t="s">
        <v>652</v>
      </c>
      <c r="N85" t="s">
        <v>652</v>
      </c>
      <c r="O85" t="s">
        <v>652</v>
      </c>
      <c r="P85" t="s">
        <v>652</v>
      </c>
    </row>
    <row r="86" spans="1:16" hidden="1" x14ac:dyDescent="0.25">
      <c r="A86" t="s">
        <v>132</v>
      </c>
      <c r="B86" t="s">
        <v>133</v>
      </c>
      <c r="D86">
        <v>0</v>
      </c>
      <c r="F86">
        <v>0</v>
      </c>
      <c r="G86">
        <v>0</v>
      </c>
      <c r="H86">
        <v>62</v>
      </c>
      <c r="I86">
        <v>10</v>
      </c>
      <c r="J86">
        <v>10</v>
      </c>
      <c r="K86">
        <v>10</v>
      </c>
      <c r="L86">
        <v>0.16129032258064499</v>
      </c>
      <c r="M86" t="s">
        <v>652</v>
      </c>
      <c r="N86" t="s">
        <v>652</v>
      </c>
      <c r="O86" t="s">
        <v>652</v>
      </c>
      <c r="P86" t="s">
        <v>652</v>
      </c>
    </row>
    <row r="87" spans="1:16" hidden="1" x14ac:dyDescent="0.25">
      <c r="A87" t="s">
        <v>405</v>
      </c>
      <c r="B87" t="s">
        <v>406</v>
      </c>
      <c r="D87">
        <v>0</v>
      </c>
      <c r="F87">
        <v>4</v>
      </c>
      <c r="G87">
        <v>0</v>
      </c>
      <c r="H87">
        <v>1076</v>
      </c>
      <c r="I87">
        <v>162</v>
      </c>
      <c r="J87">
        <v>166</v>
      </c>
      <c r="K87">
        <v>166</v>
      </c>
      <c r="L87">
        <v>0.154275092936803</v>
      </c>
      <c r="M87" t="s">
        <v>652</v>
      </c>
      <c r="N87" t="s">
        <v>652</v>
      </c>
      <c r="O87" t="s">
        <v>652</v>
      </c>
      <c r="P87" t="s">
        <v>652</v>
      </c>
    </row>
    <row r="88" spans="1:16" hidden="1" x14ac:dyDescent="0.25">
      <c r="A88" t="s">
        <v>407</v>
      </c>
      <c r="B88" t="s">
        <v>408</v>
      </c>
      <c r="D88">
        <v>0</v>
      </c>
      <c r="F88">
        <v>8</v>
      </c>
      <c r="G88">
        <v>0</v>
      </c>
      <c r="H88">
        <v>670</v>
      </c>
      <c r="I88">
        <v>149</v>
      </c>
      <c r="J88">
        <v>157</v>
      </c>
      <c r="K88">
        <v>157</v>
      </c>
      <c r="L88">
        <v>0.23432835820895501</v>
      </c>
      <c r="M88" t="s">
        <v>652</v>
      </c>
      <c r="N88" t="s">
        <v>652</v>
      </c>
      <c r="O88" t="s">
        <v>652</v>
      </c>
      <c r="P88" t="s">
        <v>652</v>
      </c>
    </row>
    <row r="89" spans="1:16" hidden="1" x14ac:dyDescent="0.25">
      <c r="A89" t="s">
        <v>409</v>
      </c>
      <c r="B89" t="s">
        <v>410</v>
      </c>
      <c r="D89">
        <v>0</v>
      </c>
      <c r="F89">
        <v>8</v>
      </c>
      <c r="G89">
        <v>0</v>
      </c>
      <c r="H89">
        <v>3712</v>
      </c>
      <c r="I89">
        <v>820</v>
      </c>
      <c r="J89">
        <v>828</v>
      </c>
      <c r="K89">
        <v>828</v>
      </c>
      <c r="L89">
        <v>0.22306034482758599</v>
      </c>
      <c r="M89" t="s">
        <v>652</v>
      </c>
      <c r="N89" t="s">
        <v>652</v>
      </c>
      <c r="O89" t="s">
        <v>652</v>
      </c>
      <c r="P89" t="s">
        <v>652</v>
      </c>
    </row>
    <row r="90" spans="1:16" hidden="1" x14ac:dyDescent="0.25">
      <c r="A90" t="s">
        <v>411</v>
      </c>
      <c r="B90" t="s">
        <v>412</v>
      </c>
      <c r="D90">
        <v>0</v>
      </c>
      <c r="F90">
        <v>1</v>
      </c>
      <c r="G90">
        <v>0</v>
      </c>
      <c r="H90">
        <v>1577</v>
      </c>
      <c r="I90">
        <v>249</v>
      </c>
      <c r="J90">
        <v>250</v>
      </c>
      <c r="K90">
        <v>250</v>
      </c>
      <c r="L90">
        <v>0.15852885225110999</v>
      </c>
      <c r="M90" t="s">
        <v>652</v>
      </c>
      <c r="N90" t="s">
        <v>652</v>
      </c>
      <c r="O90" t="s">
        <v>652</v>
      </c>
      <c r="P90" t="s">
        <v>652</v>
      </c>
    </row>
    <row r="91" spans="1:16" hidden="1" x14ac:dyDescent="0.25">
      <c r="A91" t="s">
        <v>134</v>
      </c>
      <c r="B91" t="s">
        <v>135</v>
      </c>
      <c r="D91">
        <v>0</v>
      </c>
      <c r="F91">
        <v>7</v>
      </c>
      <c r="G91">
        <v>0</v>
      </c>
      <c r="H91">
        <v>2838</v>
      </c>
      <c r="I91">
        <v>182</v>
      </c>
      <c r="J91">
        <v>189</v>
      </c>
      <c r="K91">
        <v>189</v>
      </c>
      <c r="L91">
        <v>6.6596194503171197E-2</v>
      </c>
      <c r="M91" t="s">
        <v>652</v>
      </c>
      <c r="N91" t="s">
        <v>87</v>
      </c>
      <c r="O91" t="s">
        <v>652</v>
      </c>
      <c r="P91" t="s">
        <v>652</v>
      </c>
    </row>
    <row r="92" spans="1:16" hidden="1" x14ac:dyDescent="0.25">
      <c r="A92" t="s">
        <v>413</v>
      </c>
      <c r="B92" t="s">
        <v>414</v>
      </c>
      <c r="D92">
        <v>0</v>
      </c>
      <c r="F92">
        <v>1</v>
      </c>
      <c r="G92">
        <v>0</v>
      </c>
      <c r="H92">
        <v>347</v>
      </c>
      <c r="I92">
        <v>34</v>
      </c>
      <c r="J92">
        <v>35</v>
      </c>
      <c r="K92">
        <v>35</v>
      </c>
      <c r="L92">
        <v>0.100864553314121</v>
      </c>
      <c r="M92" t="s">
        <v>652</v>
      </c>
      <c r="N92" t="s">
        <v>87</v>
      </c>
      <c r="O92" t="s">
        <v>652</v>
      </c>
      <c r="P92" t="s">
        <v>652</v>
      </c>
    </row>
    <row r="93" spans="1:16" hidden="1" x14ac:dyDescent="0.25">
      <c r="A93" t="s">
        <v>415</v>
      </c>
      <c r="B93" t="s">
        <v>416</v>
      </c>
      <c r="D93">
        <v>0</v>
      </c>
      <c r="F93">
        <v>0</v>
      </c>
      <c r="G93">
        <v>0</v>
      </c>
      <c r="H93">
        <v>188</v>
      </c>
      <c r="I93">
        <v>33</v>
      </c>
      <c r="J93">
        <v>33</v>
      </c>
      <c r="K93">
        <v>33</v>
      </c>
      <c r="L93">
        <v>0.175531914893617</v>
      </c>
      <c r="M93" t="s">
        <v>652</v>
      </c>
      <c r="N93" t="s">
        <v>652</v>
      </c>
      <c r="O93" t="s">
        <v>652</v>
      </c>
      <c r="P93" t="s">
        <v>652</v>
      </c>
    </row>
    <row r="94" spans="1:16" hidden="1" x14ac:dyDescent="0.25">
      <c r="A94" t="s">
        <v>136</v>
      </c>
      <c r="B94" t="s">
        <v>137</v>
      </c>
      <c r="D94">
        <v>0</v>
      </c>
      <c r="F94">
        <v>0</v>
      </c>
      <c r="G94">
        <v>0</v>
      </c>
      <c r="H94">
        <v>205</v>
      </c>
      <c r="I94">
        <v>13</v>
      </c>
      <c r="J94">
        <v>13</v>
      </c>
      <c r="K94">
        <v>13</v>
      </c>
      <c r="L94">
        <v>6.3414634146341506E-2</v>
      </c>
      <c r="M94" t="s">
        <v>652</v>
      </c>
      <c r="N94" t="s">
        <v>87</v>
      </c>
      <c r="O94" t="s">
        <v>652</v>
      </c>
      <c r="P94" t="s">
        <v>652</v>
      </c>
    </row>
    <row r="95" spans="1:16" hidden="1" x14ac:dyDescent="0.25">
      <c r="A95" t="s">
        <v>138</v>
      </c>
      <c r="B95" t="s">
        <v>139</v>
      </c>
      <c r="D95">
        <v>0</v>
      </c>
      <c r="F95">
        <v>3</v>
      </c>
      <c r="G95">
        <v>0</v>
      </c>
      <c r="H95">
        <v>901</v>
      </c>
      <c r="I95">
        <v>48</v>
      </c>
      <c r="J95">
        <v>51</v>
      </c>
      <c r="K95">
        <v>51</v>
      </c>
      <c r="L95">
        <v>5.6603773584905703E-2</v>
      </c>
      <c r="M95" t="s">
        <v>652</v>
      </c>
      <c r="N95" t="s">
        <v>87</v>
      </c>
      <c r="O95" t="s">
        <v>652</v>
      </c>
      <c r="P95" t="s">
        <v>652</v>
      </c>
    </row>
    <row r="96" spans="1:16" hidden="1" x14ac:dyDescent="0.25">
      <c r="A96" t="s">
        <v>417</v>
      </c>
      <c r="B96" t="s">
        <v>418</v>
      </c>
      <c r="D96">
        <v>0</v>
      </c>
      <c r="F96">
        <v>0</v>
      </c>
      <c r="G96">
        <v>0</v>
      </c>
      <c r="H96">
        <v>145</v>
      </c>
      <c r="I96">
        <v>25</v>
      </c>
      <c r="J96">
        <v>25</v>
      </c>
      <c r="K96">
        <v>25</v>
      </c>
      <c r="L96">
        <v>0.17241379310344801</v>
      </c>
      <c r="M96" t="s">
        <v>652</v>
      </c>
      <c r="N96" t="s">
        <v>652</v>
      </c>
      <c r="O96" t="s">
        <v>652</v>
      </c>
      <c r="P96" t="s">
        <v>652</v>
      </c>
    </row>
    <row r="97" spans="1:16" hidden="1" x14ac:dyDescent="0.25">
      <c r="A97" t="s">
        <v>419</v>
      </c>
      <c r="B97" t="s">
        <v>420</v>
      </c>
      <c r="D97">
        <v>0</v>
      </c>
      <c r="F97">
        <v>0</v>
      </c>
      <c r="G97">
        <v>0</v>
      </c>
      <c r="H97">
        <v>1264</v>
      </c>
      <c r="I97">
        <v>131</v>
      </c>
      <c r="J97">
        <v>131</v>
      </c>
      <c r="K97">
        <v>131</v>
      </c>
      <c r="L97">
        <v>0.103639240506329</v>
      </c>
      <c r="M97" t="s">
        <v>652</v>
      </c>
      <c r="N97" t="s">
        <v>87</v>
      </c>
      <c r="O97" t="s">
        <v>652</v>
      </c>
      <c r="P97" t="s">
        <v>652</v>
      </c>
    </row>
    <row r="98" spans="1:16" hidden="1" x14ac:dyDescent="0.25">
      <c r="A98" t="s">
        <v>57</v>
      </c>
      <c r="B98" t="s">
        <v>17</v>
      </c>
      <c r="C98" t="s">
        <v>57</v>
      </c>
      <c r="D98">
        <v>0</v>
      </c>
      <c r="F98">
        <v>19</v>
      </c>
      <c r="G98">
        <v>0</v>
      </c>
      <c r="H98">
        <v>20024.411909871247</v>
      </c>
      <c r="I98">
        <v>3380.415234243344</v>
      </c>
      <c r="J98">
        <v>3399.415234243344</v>
      </c>
      <c r="K98">
        <v>3468</v>
      </c>
      <c r="L98">
        <v>0.16976354908917801</v>
      </c>
      <c r="M98" t="s">
        <v>652</v>
      </c>
      <c r="N98" t="s">
        <v>652</v>
      </c>
      <c r="O98" t="s">
        <v>652</v>
      </c>
      <c r="P98" t="s">
        <v>652</v>
      </c>
    </row>
    <row r="99" spans="1:16" hidden="1" x14ac:dyDescent="0.25">
      <c r="A99" t="s">
        <v>140</v>
      </c>
      <c r="B99" t="s">
        <v>141</v>
      </c>
      <c r="D99">
        <v>0</v>
      </c>
      <c r="F99">
        <v>2</v>
      </c>
      <c r="G99">
        <v>0</v>
      </c>
      <c r="H99">
        <v>2174</v>
      </c>
      <c r="I99">
        <v>114</v>
      </c>
      <c r="J99">
        <v>116</v>
      </c>
      <c r="K99">
        <v>116</v>
      </c>
      <c r="L99">
        <v>5.3357865685372603E-2</v>
      </c>
      <c r="M99" t="s">
        <v>652</v>
      </c>
      <c r="N99" t="s">
        <v>87</v>
      </c>
      <c r="O99" t="s">
        <v>652</v>
      </c>
      <c r="P99" t="s">
        <v>652</v>
      </c>
    </row>
    <row r="100" spans="1:16" hidden="1" x14ac:dyDescent="0.25">
      <c r="A100" t="s">
        <v>421</v>
      </c>
      <c r="B100" t="s">
        <v>422</v>
      </c>
      <c r="D100">
        <v>0</v>
      </c>
      <c r="F100">
        <v>6</v>
      </c>
      <c r="G100">
        <v>0</v>
      </c>
      <c r="H100">
        <v>714</v>
      </c>
      <c r="I100">
        <v>107</v>
      </c>
      <c r="J100">
        <v>113</v>
      </c>
      <c r="K100">
        <v>113</v>
      </c>
      <c r="L100">
        <v>0.15826330532212901</v>
      </c>
      <c r="M100" t="s">
        <v>652</v>
      </c>
      <c r="N100" t="s">
        <v>652</v>
      </c>
      <c r="O100" t="s">
        <v>652</v>
      </c>
      <c r="P100" t="s">
        <v>652</v>
      </c>
    </row>
    <row r="101" spans="1:16" hidden="1" x14ac:dyDescent="0.25">
      <c r="A101" t="s">
        <v>423</v>
      </c>
      <c r="B101" t="s">
        <v>424</v>
      </c>
      <c r="D101">
        <v>0</v>
      </c>
      <c r="F101">
        <v>16</v>
      </c>
      <c r="G101">
        <v>0</v>
      </c>
      <c r="H101">
        <v>1799</v>
      </c>
      <c r="I101">
        <v>412</v>
      </c>
      <c r="J101">
        <v>428</v>
      </c>
      <c r="K101">
        <v>428</v>
      </c>
      <c r="L101">
        <v>0.23790994997220699</v>
      </c>
      <c r="M101" t="s">
        <v>652</v>
      </c>
      <c r="N101" t="s">
        <v>652</v>
      </c>
      <c r="O101" t="s">
        <v>652</v>
      </c>
      <c r="P101" t="s">
        <v>652</v>
      </c>
    </row>
    <row r="102" spans="1:16" hidden="1" x14ac:dyDescent="0.25">
      <c r="A102" t="s">
        <v>1418</v>
      </c>
      <c r="B102" t="s">
        <v>1433</v>
      </c>
      <c r="C102" t="s">
        <v>562</v>
      </c>
      <c r="D102">
        <v>0</v>
      </c>
      <c r="E102">
        <v>0</v>
      </c>
      <c r="F102">
        <v>0</v>
      </c>
      <c r="G102">
        <v>0</v>
      </c>
      <c r="H102">
        <v>449.43363994743783</v>
      </c>
      <c r="I102">
        <v>73.835027789074218</v>
      </c>
      <c r="J102">
        <v>73.835027789074218</v>
      </c>
      <c r="K102">
        <v>0</v>
      </c>
      <c r="L102">
        <v>0.16428460450292401</v>
      </c>
      <c r="M102" t="s">
        <v>652</v>
      </c>
      <c r="N102" t="s">
        <v>652</v>
      </c>
      <c r="O102" t="s">
        <v>652</v>
      </c>
      <c r="P102" t="s">
        <v>652</v>
      </c>
    </row>
    <row r="103" spans="1:16" hidden="1" x14ac:dyDescent="0.25">
      <c r="A103" t="s">
        <v>74</v>
      </c>
      <c r="B103" t="s">
        <v>41</v>
      </c>
      <c r="C103" t="s">
        <v>60</v>
      </c>
      <c r="D103">
        <v>0</v>
      </c>
      <c r="E103">
        <v>0</v>
      </c>
      <c r="F103">
        <v>0</v>
      </c>
      <c r="G103">
        <v>0</v>
      </c>
      <c r="H103">
        <v>497.64887063654925</v>
      </c>
      <c r="I103">
        <v>112.82415495632388</v>
      </c>
      <c r="J103">
        <v>112.82415495632388</v>
      </c>
      <c r="K103">
        <v>0</v>
      </c>
      <c r="L103">
        <v>0.226714379582554</v>
      </c>
      <c r="M103" t="s">
        <v>652</v>
      </c>
      <c r="N103" t="s">
        <v>652</v>
      </c>
      <c r="O103" t="s">
        <v>652</v>
      </c>
      <c r="P103" t="s">
        <v>652</v>
      </c>
    </row>
    <row r="104" spans="1:16" hidden="1" x14ac:dyDescent="0.25">
      <c r="A104" t="s">
        <v>75</v>
      </c>
      <c r="B104" t="s">
        <v>45</v>
      </c>
      <c r="C104" t="s">
        <v>60</v>
      </c>
      <c r="D104">
        <v>0</v>
      </c>
      <c r="E104">
        <v>0</v>
      </c>
      <c r="F104">
        <v>0</v>
      </c>
      <c r="G104">
        <v>0</v>
      </c>
      <c r="H104">
        <v>342.61806981519373</v>
      </c>
      <c r="I104">
        <v>75.704519559438054</v>
      </c>
      <c r="J104">
        <v>75.704519559438054</v>
      </c>
      <c r="K104">
        <v>0</v>
      </c>
      <c r="L104">
        <v>0.22095892257017499</v>
      </c>
      <c r="M104" t="s">
        <v>652</v>
      </c>
      <c r="N104" t="s">
        <v>652</v>
      </c>
      <c r="O104" t="s">
        <v>652</v>
      </c>
      <c r="P104" t="s">
        <v>652</v>
      </c>
    </row>
    <row r="105" spans="1:16" hidden="1" x14ac:dyDescent="0.25">
      <c r="A105" t="s">
        <v>79</v>
      </c>
      <c r="B105" t="s">
        <v>1395</v>
      </c>
      <c r="C105" t="s">
        <v>62</v>
      </c>
      <c r="D105">
        <v>0</v>
      </c>
      <c r="E105">
        <v>0</v>
      </c>
      <c r="F105">
        <v>0</v>
      </c>
      <c r="G105">
        <v>0</v>
      </c>
      <c r="H105">
        <v>303.71407330567087</v>
      </c>
      <c r="I105">
        <v>57.084525273444946</v>
      </c>
      <c r="J105">
        <v>57.084525273444946</v>
      </c>
      <c r="K105">
        <v>0</v>
      </c>
      <c r="L105">
        <v>0.18795482425996299</v>
      </c>
      <c r="M105" t="s">
        <v>652</v>
      </c>
      <c r="N105" t="s">
        <v>652</v>
      </c>
      <c r="O105" t="s">
        <v>652</v>
      </c>
      <c r="P105" t="s">
        <v>652</v>
      </c>
    </row>
    <row r="106" spans="1:16" hidden="1" x14ac:dyDescent="0.25">
      <c r="A106" t="s">
        <v>425</v>
      </c>
      <c r="B106" t="s">
        <v>426</v>
      </c>
      <c r="D106">
        <v>0</v>
      </c>
      <c r="F106">
        <v>5</v>
      </c>
      <c r="G106">
        <v>0</v>
      </c>
      <c r="H106">
        <v>200</v>
      </c>
      <c r="I106">
        <v>47</v>
      </c>
      <c r="J106">
        <v>52</v>
      </c>
      <c r="K106">
        <v>52</v>
      </c>
      <c r="L106">
        <v>0.26</v>
      </c>
      <c r="M106" t="s">
        <v>652</v>
      </c>
      <c r="N106" t="s">
        <v>652</v>
      </c>
      <c r="O106" t="s">
        <v>652</v>
      </c>
      <c r="P106" t="s">
        <v>652</v>
      </c>
    </row>
    <row r="107" spans="1:16" hidden="1" x14ac:dyDescent="0.25">
      <c r="A107" t="s">
        <v>427</v>
      </c>
      <c r="B107" t="s">
        <v>428</v>
      </c>
      <c r="D107">
        <v>0</v>
      </c>
      <c r="F107">
        <v>0</v>
      </c>
      <c r="G107">
        <v>0</v>
      </c>
      <c r="H107">
        <v>55</v>
      </c>
      <c r="I107">
        <v>3</v>
      </c>
      <c r="J107">
        <v>3</v>
      </c>
      <c r="K107">
        <v>3</v>
      </c>
      <c r="L107">
        <v>5.4545454545454501E-2</v>
      </c>
      <c r="M107" t="s">
        <v>87</v>
      </c>
      <c r="N107" t="s">
        <v>87</v>
      </c>
      <c r="O107" t="s">
        <v>87</v>
      </c>
      <c r="P107" t="s">
        <v>87</v>
      </c>
    </row>
    <row r="108" spans="1:16" hidden="1" x14ac:dyDescent="0.25">
      <c r="A108" t="s">
        <v>142</v>
      </c>
      <c r="B108" t="s">
        <v>143</v>
      </c>
      <c r="D108">
        <v>0</v>
      </c>
      <c r="F108">
        <v>8</v>
      </c>
      <c r="G108">
        <v>0</v>
      </c>
      <c r="H108">
        <v>23076</v>
      </c>
      <c r="I108">
        <v>829</v>
      </c>
      <c r="J108">
        <v>837</v>
      </c>
      <c r="K108">
        <v>837</v>
      </c>
      <c r="L108">
        <v>3.62714508580343E-2</v>
      </c>
      <c r="M108" t="s">
        <v>652</v>
      </c>
      <c r="N108" t="s">
        <v>87</v>
      </c>
      <c r="O108" t="s">
        <v>87</v>
      </c>
      <c r="P108" t="s">
        <v>87</v>
      </c>
    </row>
    <row r="109" spans="1:16" hidden="1" x14ac:dyDescent="0.25">
      <c r="A109" t="s">
        <v>144</v>
      </c>
      <c r="B109" t="s">
        <v>145</v>
      </c>
      <c r="D109">
        <v>0</v>
      </c>
      <c r="F109">
        <v>0</v>
      </c>
      <c r="G109">
        <v>0</v>
      </c>
      <c r="H109">
        <v>60</v>
      </c>
      <c r="I109">
        <v>7</v>
      </c>
      <c r="J109">
        <v>7</v>
      </c>
      <c r="K109">
        <v>7</v>
      </c>
      <c r="L109">
        <v>0.116666666666667</v>
      </c>
      <c r="M109" t="s">
        <v>87</v>
      </c>
      <c r="N109" t="s">
        <v>87</v>
      </c>
      <c r="O109" t="s">
        <v>87</v>
      </c>
      <c r="P109" t="s">
        <v>87</v>
      </c>
    </row>
    <row r="110" spans="1:16" hidden="1" x14ac:dyDescent="0.25">
      <c r="A110" t="s">
        <v>146</v>
      </c>
      <c r="B110" t="s">
        <v>147</v>
      </c>
      <c r="D110">
        <v>0</v>
      </c>
      <c r="F110">
        <v>1</v>
      </c>
      <c r="G110">
        <v>0</v>
      </c>
      <c r="H110">
        <v>1373</v>
      </c>
      <c r="I110">
        <v>92</v>
      </c>
      <c r="J110">
        <v>93</v>
      </c>
      <c r="K110">
        <v>93</v>
      </c>
      <c r="L110">
        <v>6.7734887108521505E-2</v>
      </c>
      <c r="M110" t="s">
        <v>652</v>
      </c>
      <c r="N110" t="s">
        <v>87</v>
      </c>
      <c r="O110" t="s">
        <v>652</v>
      </c>
      <c r="P110" t="s">
        <v>652</v>
      </c>
    </row>
    <row r="111" spans="1:16" hidden="1" x14ac:dyDescent="0.25">
      <c r="A111" t="s">
        <v>429</v>
      </c>
      <c r="B111" t="s">
        <v>430</v>
      </c>
      <c r="D111">
        <v>0</v>
      </c>
      <c r="F111">
        <v>0</v>
      </c>
      <c r="G111">
        <v>0</v>
      </c>
      <c r="H111">
        <v>110</v>
      </c>
      <c r="I111">
        <v>26</v>
      </c>
      <c r="J111">
        <v>26</v>
      </c>
      <c r="K111">
        <v>26</v>
      </c>
      <c r="L111">
        <v>0.236363636363636</v>
      </c>
      <c r="M111" t="s">
        <v>652</v>
      </c>
      <c r="N111" t="s">
        <v>652</v>
      </c>
      <c r="O111" t="s">
        <v>652</v>
      </c>
      <c r="P111" t="s">
        <v>652</v>
      </c>
    </row>
    <row r="112" spans="1:16" hidden="1" x14ac:dyDescent="0.25">
      <c r="A112" t="s">
        <v>431</v>
      </c>
      <c r="B112" t="s">
        <v>432</v>
      </c>
      <c r="D112">
        <v>0</v>
      </c>
      <c r="F112">
        <v>20</v>
      </c>
      <c r="G112">
        <v>0</v>
      </c>
      <c r="H112">
        <v>5531</v>
      </c>
      <c r="I112">
        <v>708</v>
      </c>
      <c r="J112">
        <v>728</v>
      </c>
      <c r="K112">
        <v>728</v>
      </c>
      <c r="L112">
        <v>0.131621768215513</v>
      </c>
      <c r="M112" t="s">
        <v>652</v>
      </c>
      <c r="N112" t="s">
        <v>87</v>
      </c>
      <c r="O112" t="s">
        <v>652</v>
      </c>
      <c r="P112" t="s">
        <v>652</v>
      </c>
    </row>
    <row r="113" spans="1:16" hidden="1" x14ac:dyDescent="0.25">
      <c r="A113" t="s">
        <v>433</v>
      </c>
      <c r="B113" t="s">
        <v>434</v>
      </c>
      <c r="D113">
        <v>0</v>
      </c>
      <c r="F113">
        <v>46</v>
      </c>
      <c r="G113">
        <v>0</v>
      </c>
      <c r="H113">
        <v>20732</v>
      </c>
      <c r="I113">
        <v>2450</v>
      </c>
      <c r="J113">
        <v>2496</v>
      </c>
      <c r="K113">
        <v>2496</v>
      </c>
      <c r="L113">
        <v>0.120393594443373</v>
      </c>
      <c r="M113" t="s">
        <v>652</v>
      </c>
      <c r="N113" t="s">
        <v>87</v>
      </c>
      <c r="O113" t="s">
        <v>652</v>
      </c>
      <c r="P113" t="s">
        <v>652</v>
      </c>
    </row>
    <row r="114" spans="1:16" hidden="1" x14ac:dyDescent="0.25">
      <c r="A114" t="s">
        <v>435</v>
      </c>
      <c r="B114" t="s">
        <v>436</v>
      </c>
      <c r="D114">
        <v>0</v>
      </c>
      <c r="F114">
        <v>42</v>
      </c>
      <c r="G114">
        <v>0</v>
      </c>
      <c r="H114">
        <v>30469</v>
      </c>
      <c r="I114">
        <v>4462</v>
      </c>
      <c r="J114">
        <v>4504</v>
      </c>
      <c r="K114">
        <v>4504</v>
      </c>
      <c r="L114">
        <v>0.147822376842036</v>
      </c>
      <c r="M114" t="s">
        <v>652</v>
      </c>
      <c r="N114" t="s">
        <v>87</v>
      </c>
      <c r="O114" t="s">
        <v>652</v>
      </c>
      <c r="P114" t="s">
        <v>652</v>
      </c>
    </row>
    <row r="115" spans="1:16" hidden="1" x14ac:dyDescent="0.25">
      <c r="A115" t="s">
        <v>437</v>
      </c>
      <c r="B115" t="s">
        <v>438</v>
      </c>
      <c r="D115">
        <v>0</v>
      </c>
      <c r="F115">
        <v>1</v>
      </c>
      <c r="G115">
        <v>0</v>
      </c>
      <c r="H115">
        <v>941</v>
      </c>
      <c r="I115">
        <v>160</v>
      </c>
      <c r="J115">
        <v>161</v>
      </c>
      <c r="K115">
        <v>161</v>
      </c>
      <c r="L115">
        <v>0.17109458023379401</v>
      </c>
      <c r="M115" t="s">
        <v>652</v>
      </c>
      <c r="N115" t="s">
        <v>652</v>
      </c>
      <c r="O115" t="s">
        <v>652</v>
      </c>
      <c r="P115" t="s">
        <v>652</v>
      </c>
    </row>
    <row r="116" spans="1:16" hidden="1" x14ac:dyDescent="0.25">
      <c r="A116" t="s">
        <v>439</v>
      </c>
      <c r="B116" t="s">
        <v>1388</v>
      </c>
      <c r="D116">
        <v>0</v>
      </c>
      <c r="F116">
        <v>8</v>
      </c>
      <c r="G116">
        <v>0</v>
      </c>
      <c r="H116">
        <v>1758</v>
      </c>
      <c r="I116">
        <v>152</v>
      </c>
      <c r="J116">
        <v>160</v>
      </c>
      <c r="K116">
        <v>160</v>
      </c>
      <c r="L116">
        <v>9.1012514220705401E-2</v>
      </c>
      <c r="M116" t="s">
        <v>652</v>
      </c>
      <c r="N116" t="s">
        <v>87</v>
      </c>
      <c r="O116" t="s">
        <v>652</v>
      </c>
      <c r="P116" t="s">
        <v>652</v>
      </c>
    </row>
    <row r="117" spans="1:16" hidden="1" x14ac:dyDescent="0.25">
      <c r="A117" t="s">
        <v>277</v>
      </c>
      <c r="B117" t="s">
        <v>278</v>
      </c>
      <c r="D117">
        <v>0</v>
      </c>
      <c r="F117">
        <v>2</v>
      </c>
      <c r="G117">
        <v>0</v>
      </c>
      <c r="H117">
        <v>761</v>
      </c>
      <c r="I117">
        <v>62</v>
      </c>
      <c r="J117">
        <v>64</v>
      </c>
      <c r="K117">
        <v>64</v>
      </c>
      <c r="L117">
        <v>8.4099868593955296E-2</v>
      </c>
      <c r="M117" t="s">
        <v>652</v>
      </c>
      <c r="N117" t="s">
        <v>87</v>
      </c>
      <c r="O117" t="s">
        <v>652</v>
      </c>
      <c r="P117" t="s">
        <v>652</v>
      </c>
    </row>
    <row r="118" spans="1:16" hidden="1" x14ac:dyDescent="0.25">
      <c r="A118" t="s">
        <v>440</v>
      </c>
      <c r="B118" t="s">
        <v>441</v>
      </c>
      <c r="D118">
        <v>0</v>
      </c>
      <c r="F118">
        <v>0</v>
      </c>
      <c r="G118">
        <v>0</v>
      </c>
      <c r="H118">
        <v>82</v>
      </c>
      <c r="I118">
        <v>14</v>
      </c>
      <c r="J118">
        <v>14</v>
      </c>
      <c r="K118">
        <v>14</v>
      </c>
      <c r="L118">
        <v>0.17073170731707299</v>
      </c>
      <c r="M118" t="s">
        <v>652</v>
      </c>
      <c r="N118" t="s">
        <v>652</v>
      </c>
      <c r="O118" t="s">
        <v>652</v>
      </c>
      <c r="P118" t="s">
        <v>652</v>
      </c>
    </row>
    <row r="119" spans="1:16" hidden="1" x14ac:dyDescent="0.25">
      <c r="A119" t="s">
        <v>148</v>
      </c>
      <c r="B119" t="s">
        <v>149</v>
      </c>
      <c r="D119">
        <v>0</v>
      </c>
      <c r="F119">
        <v>12</v>
      </c>
      <c r="G119">
        <v>0</v>
      </c>
      <c r="H119">
        <v>1930</v>
      </c>
      <c r="I119">
        <v>107</v>
      </c>
      <c r="J119">
        <v>119</v>
      </c>
      <c r="K119">
        <v>119</v>
      </c>
      <c r="L119">
        <v>6.1658031088082897E-2</v>
      </c>
      <c r="M119" t="s">
        <v>652</v>
      </c>
      <c r="N119" t="s">
        <v>87</v>
      </c>
      <c r="O119" t="s">
        <v>652</v>
      </c>
      <c r="P119" t="s">
        <v>652</v>
      </c>
    </row>
    <row r="120" spans="1:16" hidden="1" x14ac:dyDescent="0.25">
      <c r="A120" t="s">
        <v>279</v>
      </c>
      <c r="B120" t="s">
        <v>280</v>
      </c>
      <c r="D120">
        <v>0</v>
      </c>
      <c r="F120">
        <v>3</v>
      </c>
      <c r="G120">
        <v>0</v>
      </c>
      <c r="H120">
        <v>585</v>
      </c>
      <c r="I120">
        <v>61</v>
      </c>
      <c r="J120">
        <v>64</v>
      </c>
      <c r="K120">
        <v>64</v>
      </c>
      <c r="L120">
        <v>0.109401709401709</v>
      </c>
      <c r="M120" t="s">
        <v>652</v>
      </c>
      <c r="N120" t="s">
        <v>87</v>
      </c>
      <c r="O120" t="s">
        <v>652</v>
      </c>
      <c r="P120" t="s">
        <v>652</v>
      </c>
    </row>
    <row r="121" spans="1:16" hidden="1" x14ac:dyDescent="0.25">
      <c r="A121" t="s">
        <v>442</v>
      </c>
      <c r="B121" t="s">
        <v>443</v>
      </c>
      <c r="D121">
        <v>0</v>
      </c>
      <c r="F121">
        <v>0</v>
      </c>
      <c r="G121">
        <v>0</v>
      </c>
      <c r="H121">
        <v>90</v>
      </c>
      <c r="I121">
        <v>13</v>
      </c>
      <c r="J121">
        <v>13</v>
      </c>
      <c r="K121">
        <v>13</v>
      </c>
      <c r="L121">
        <v>0.14444444444444399</v>
      </c>
      <c r="M121" t="s">
        <v>652</v>
      </c>
      <c r="N121" t="s">
        <v>87</v>
      </c>
      <c r="O121" t="s">
        <v>652</v>
      </c>
      <c r="P121" t="s">
        <v>652</v>
      </c>
    </row>
    <row r="122" spans="1:16" hidden="1" x14ac:dyDescent="0.25">
      <c r="A122" t="s">
        <v>281</v>
      </c>
      <c r="B122" t="s">
        <v>282</v>
      </c>
      <c r="D122">
        <v>0</v>
      </c>
      <c r="F122">
        <v>2</v>
      </c>
      <c r="G122">
        <v>0</v>
      </c>
      <c r="H122">
        <v>1267</v>
      </c>
      <c r="I122">
        <v>107</v>
      </c>
      <c r="J122">
        <v>109</v>
      </c>
      <c r="K122">
        <v>109</v>
      </c>
      <c r="L122">
        <v>8.6029992107340206E-2</v>
      </c>
      <c r="M122" t="s">
        <v>652</v>
      </c>
      <c r="N122" t="s">
        <v>87</v>
      </c>
      <c r="O122" t="s">
        <v>652</v>
      </c>
      <c r="P122" t="s">
        <v>652</v>
      </c>
    </row>
    <row r="123" spans="1:16" hidden="1" x14ac:dyDescent="0.25">
      <c r="A123" t="s">
        <v>444</v>
      </c>
      <c r="B123" t="s">
        <v>445</v>
      </c>
      <c r="D123">
        <v>0</v>
      </c>
      <c r="F123">
        <v>2</v>
      </c>
      <c r="G123">
        <v>0</v>
      </c>
      <c r="H123">
        <v>172</v>
      </c>
      <c r="I123">
        <v>15</v>
      </c>
      <c r="J123">
        <v>17</v>
      </c>
      <c r="K123">
        <v>17</v>
      </c>
      <c r="L123">
        <v>9.8837209302325604E-2</v>
      </c>
      <c r="M123" t="s">
        <v>652</v>
      </c>
      <c r="N123" t="s">
        <v>87</v>
      </c>
      <c r="O123" t="s">
        <v>652</v>
      </c>
      <c r="P123" t="s">
        <v>652</v>
      </c>
    </row>
    <row r="124" spans="1:16" hidden="1" x14ac:dyDescent="0.25">
      <c r="A124" t="s">
        <v>150</v>
      </c>
      <c r="B124" t="s">
        <v>151</v>
      </c>
      <c r="D124">
        <v>0</v>
      </c>
      <c r="F124">
        <v>19</v>
      </c>
      <c r="G124">
        <v>0</v>
      </c>
      <c r="H124">
        <v>10407</v>
      </c>
      <c r="I124">
        <v>649</v>
      </c>
      <c r="J124">
        <v>668</v>
      </c>
      <c r="K124">
        <v>668</v>
      </c>
      <c r="L124">
        <v>6.4187566061304893E-2</v>
      </c>
      <c r="M124" t="s">
        <v>652</v>
      </c>
      <c r="N124" t="s">
        <v>87</v>
      </c>
      <c r="O124" t="s">
        <v>652</v>
      </c>
      <c r="P124" t="s">
        <v>652</v>
      </c>
    </row>
    <row r="125" spans="1:16" hidden="1" x14ac:dyDescent="0.25">
      <c r="A125" t="s">
        <v>152</v>
      </c>
      <c r="B125" t="s">
        <v>153</v>
      </c>
      <c r="D125">
        <v>0</v>
      </c>
      <c r="F125">
        <v>26</v>
      </c>
      <c r="G125">
        <v>0</v>
      </c>
      <c r="H125">
        <v>36176</v>
      </c>
      <c r="I125">
        <v>1461</v>
      </c>
      <c r="J125">
        <v>1487</v>
      </c>
      <c r="K125">
        <v>1487</v>
      </c>
      <c r="L125">
        <v>4.1104599734630702E-2</v>
      </c>
      <c r="M125" t="s">
        <v>652</v>
      </c>
      <c r="N125" t="s">
        <v>87</v>
      </c>
      <c r="O125" t="s">
        <v>87</v>
      </c>
      <c r="P125" t="s">
        <v>87</v>
      </c>
    </row>
    <row r="126" spans="1:16" hidden="1" x14ac:dyDescent="0.25">
      <c r="A126" t="s">
        <v>154</v>
      </c>
      <c r="B126" t="s">
        <v>155</v>
      </c>
      <c r="D126">
        <v>0</v>
      </c>
      <c r="F126">
        <v>4</v>
      </c>
      <c r="G126">
        <v>0</v>
      </c>
      <c r="H126">
        <v>2681</v>
      </c>
      <c r="I126">
        <v>291</v>
      </c>
      <c r="J126">
        <v>295</v>
      </c>
      <c r="K126">
        <v>295</v>
      </c>
      <c r="L126">
        <v>0.110033569563596</v>
      </c>
      <c r="M126" t="s">
        <v>652</v>
      </c>
      <c r="N126" t="s">
        <v>87</v>
      </c>
      <c r="O126" t="s">
        <v>652</v>
      </c>
      <c r="P126" t="s">
        <v>652</v>
      </c>
    </row>
    <row r="127" spans="1:16" hidden="1" x14ac:dyDescent="0.25">
      <c r="A127" t="s">
        <v>156</v>
      </c>
      <c r="B127" t="s">
        <v>157</v>
      </c>
      <c r="D127">
        <v>0</v>
      </c>
      <c r="F127">
        <v>0</v>
      </c>
      <c r="G127">
        <v>0</v>
      </c>
      <c r="H127">
        <v>28</v>
      </c>
      <c r="I127">
        <v>7</v>
      </c>
      <c r="J127">
        <v>7</v>
      </c>
      <c r="K127">
        <v>7</v>
      </c>
      <c r="L127">
        <v>0.25</v>
      </c>
      <c r="M127" t="s">
        <v>87</v>
      </c>
      <c r="N127" t="s">
        <v>87</v>
      </c>
      <c r="O127" t="s">
        <v>87</v>
      </c>
      <c r="P127" t="s">
        <v>87</v>
      </c>
    </row>
    <row r="128" spans="1:16" hidden="1" x14ac:dyDescent="0.25">
      <c r="A128" t="s">
        <v>158</v>
      </c>
      <c r="B128" t="s">
        <v>159</v>
      </c>
      <c r="D128">
        <v>0</v>
      </c>
      <c r="F128">
        <v>1</v>
      </c>
      <c r="G128">
        <v>0</v>
      </c>
      <c r="H128">
        <v>830</v>
      </c>
      <c r="I128">
        <v>37</v>
      </c>
      <c r="J128">
        <v>38</v>
      </c>
      <c r="K128">
        <v>38</v>
      </c>
      <c r="L128">
        <v>4.57831325301205E-2</v>
      </c>
      <c r="M128" t="s">
        <v>652</v>
      </c>
      <c r="N128" t="s">
        <v>87</v>
      </c>
      <c r="O128" t="s">
        <v>87</v>
      </c>
      <c r="P128" t="s">
        <v>87</v>
      </c>
    </row>
    <row r="129" spans="1:16" hidden="1" x14ac:dyDescent="0.25">
      <c r="A129" t="s">
        <v>446</v>
      </c>
      <c r="B129" t="s">
        <v>447</v>
      </c>
      <c r="D129">
        <v>0</v>
      </c>
      <c r="F129">
        <v>0</v>
      </c>
      <c r="G129">
        <v>0</v>
      </c>
      <c r="H129">
        <v>303</v>
      </c>
      <c r="I129">
        <v>51</v>
      </c>
      <c r="J129">
        <v>51</v>
      </c>
      <c r="K129">
        <v>51</v>
      </c>
      <c r="L129">
        <v>0.16831683168316799</v>
      </c>
      <c r="M129" t="s">
        <v>652</v>
      </c>
      <c r="N129" t="s">
        <v>652</v>
      </c>
      <c r="O129" t="s">
        <v>652</v>
      </c>
      <c r="P129" t="s">
        <v>652</v>
      </c>
    </row>
    <row r="130" spans="1:16" hidden="1" x14ac:dyDescent="0.25">
      <c r="A130" t="s">
        <v>448</v>
      </c>
      <c r="B130" t="s">
        <v>449</v>
      </c>
      <c r="D130">
        <v>0</v>
      </c>
      <c r="F130">
        <v>26</v>
      </c>
      <c r="G130">
        <v>0</v>
      </c>
      <c r="H130">
        <v>7315</v>
      </c>
      <c r="I130">
        <v>1118</v>
      </c>
      <c r="J130">
        <v>1144</v>
      </c>
      <c r="K130">
        <v>1144</v>
      </c>
      <c r="L130">
        <v>0.156390977443609</v>
      </c>
      <c r="M130" t="s">
        <v>652</v>
      </c>
      <c r="N130" t="s">
        <v>652</v>
      </c>
      <c r="O130" t="s">
        <v>652</v>
      </c>
      <c r="P130" t="s">
        <v>652</v>
      </c>
    </row>
    <row r="131" spans="1:16" hidden="1" x14ac:dyDescent="0.25">
      <c r="A131" t="s">
        <v>450</v>
      </c>
      <c r="B131" t="s">
        <v>451</v>
      </c>
      <c r="D131">
        <v>0</v>
      </c>
      <c r="F131">
        <v>2</v>
      </c>
      <c r="G131">
        <v>0</v>
      </c>
      <c r="H131">
        <v>255</v>
      </c>
      <c r="I131">
        <v>41</v>
      </c>
      <c r="J131">
        <v>43</v>
      </c>
      <c r="K131">
        <v>43</v>
      </c>
      <c r="L131">
        <v>0.168627450980392</v>
      </c>
      <c r="M131" t="s">
        <v>652</v>
      </c>
      <c r="N131" t="s">
        <v>652</v>
      </c>
      <c r="O131" t="s">
        <v>652</v>
      </c>
      <c r="P131" t="s">
        <v>652</v>
      </c>
    </row>
    <row r="132" spans="1:16" hidden="1" x14ac:dyDescent="0.25">
      <c r="A132" t="s">
        <v>452</v>
      </c>
      <c r="B132" t="s">
        <v>453</v>
      </c>
      <c r="D132">
        <v>0</v>
      </c>
      <c r="F132">
        <v>0</v>
      </c>
      <c r="G132">
        <v>0</v>
      </c>
      <c r="H132">
        <v>276</v>
      </c>
      <c r="I132">
        <v>40</v>
      </c>
      <c r="J132">
        <v>40</v>
      </c>
      <c r="K132">
        <v>40</v>
      </c>
      <c r="L132">
        <v>0.14492753623188401</v>
      </c>
      <c r="M132" t="s">
        <v>652</v>
      </c>
      <c r="N132" t="s">
        <v>87</v>
      </c>
      <c r="O132" t="s">
        <v>652</v>
      </c>
      <c r="P132" t="s">
        <v>652</v>
      </c>
    </row>
    <row r="133" spans="1:16" hidden="1" x14ac:dyDescent="0.25">
      <c r="A133" t="s">
        <v>76</v>
      </c>
      <c r="B133" t="s">
        <v>30</v>
      </c>
      <c r="C133" t="s">
        <v>61</v>
      </c>
      <c r="D133">
        <v>0</v>
      </c>
      <c r="E133">
        <v>0</v>
      </c>
      <c r="F133">
        <v>0</v>
      </c>
      <c r="G133">
        <v>0</v>
      </c>
      <c r="H133">
        <v>28.768340397782847</v>
      </c>
      <c r="I133">
        <v>4.7762307020098964</v>
      </c>
      <c r="J133">
        <v>4.7762307020098964</v>
      </c>
      <c r="K133">
        <v>0</v>
      </c>
      <c r="L133">
        <v>0.16602385247005799</v>
      </c>
      <c r="M133" t="s">
        <v>87</v>
      </c>
      <c r="N133" t="s">
        <v>87</v>
      </c>
      <c r="O133" t="s">
        <v>87</v>
      </c>
      <c r="P133" t="s">
        <v>87</v>
      </c>
    </row>
    <row r="134" spans="1:16" hidden="1" x14ac:dyDescent="0.25">
      <c r="A134" t="s">
        <v>454</v>
      </c>
      <c r="B134" t="s">
        <v>455</v>
      </c>
      <c r="D134">
        <v>0</v>
      </c>
      <c r="F134">
        <v>1</v>
      </c>
      <c r="G134">
        <v>0</v>
      </c>
      <c r="H134">
        <v>418</v>
      </c>
      <c r="I134">
        <v>70</v>
      </c>
      <c r="J134">
        <v>71</v>
      </c>
      <c r="K134">
        <v>71</v>
      </c>
      <c r="L134">
        <v>0.16985645933014401</v>
      </c>
      <c r="M134" t="s">
        <v>652</v>
      </c>
      <c r="N134" t="s">
        <v>652</v>
      </c>
      <c r="O134" t="s">
        <v>652</v>
      </c>
      <c r="P134" t="s">
        <v>652</v>
      </c>
    </row>
    <row r="135" spans="1:16" hidden="1" x14ac:dyDescent="0.25">
      <c r="A135" t="s">
        <v>160</v>
      </c>
      <c r="B135" t="s">
        <v>161</v>
      </c>
      <c r="D135">
        <v>0</v>
      </c>
      <c r="F135">
        <v>1</v>
      </c>
      <c r="G135">
        <v>0</v>
      </c>
      <c r="H135">
        <v>4311</v>
      </c>
      <c r="I135">
        <v>263</v>
      </c>
      <c r="J135">
        <v>264</v>
      </c>
      <c r="K135">
        <v>264</v>
      </c>
      <c r="L135">
        <v>6.12386917188587E-2</v>
      </c>
      <c r="M135" t="s">
        <v>652</v>
      </c>
      <c r="N135" t="s">
        <v>87</v>
      </c>
      <c r="O135" t="s">
        <v>652</v>
      </c>
      <c r="P135" t="s">
        <v>652</v>
      </c>
    </row>
    <row r="136" spans="1:16" hidden="1" x14ac:dyDescent="0.25">
      <c r="A136" t="s">
        <v>456</v>
      </c>
      <c r="B136" t="s">
        <v>457</v>
      </c>
      <c r="D136">
        <v>0</v>
      </c>
      <c r="F136">
        <v>2</v>
      </c>
      <c r="G136">
        <v>0</v>
      </c>
      <c r="H136">
        <v>765</v>
      </c>
      <c r="I136">
        <v>101</v>
      </c>
      <c r="J136">
        <v>103</v>
      </c>
      <c r="K136">
        <v>103</v>
      </c>
      <c r="L136">
        <v>0.13464052287581699</v>
      </c>
      <c r="M136" t="s">
        <v>652</v>
      </c>
      <c r="N136" t="s">
        <v>87</v>
      </c>
      <c r="O136" t="s">
        <v>652</v>
      </c>
      <c r="P136" t="s">
        <v>652</v>
      </c>
    </row>
    <row r="137" spans="1:16" hidden="1" x14ac:dyDescent="0.25">
      <c r="A137" t="s">
        <v>458</v>
      </c>
      <c r="B137" t="s">
        <v>459</v>
      </c>
      <c r="D137">
        <v>0</v>
      </c>
      <c r="F137">
        <v>0</v>
      </c>
      <c r="G137">
        <v>0</v>
      </c>
      <c r="H137">
        <v>85</v>
      </c>
      <c r="I137">
        <v>8</v>
      </c>
      <c r="J137">
        <v>8</v>
      </c>
      <c r="K137">
        <v>8</v>
      </c>
      <c r="L137">
        <v>9.41176470588235E-2</v>
      </c>
      <c r="M137" t="s">
        <v>87</v>
      </c>
      <c r="N137" t="s">
        <v>87</v>
      </c>
      <c r="O137" t="s">
        <v>87</v>
      </c>
      <c r="P137" t="s">
        <v>87</v>
      </c>
    </row>
    <row r="138" spans="1:16" hidden="1" x14ac:dyDescent="0.25">
      <c r="A138" t="s">
        <v>283</v>
      </c>
      <c r="B138" t="s">
        <v>284</v>
      </c>
      <c r="D138">
        <v>0</v>
      </c>
      <c r="F138">
        <v>1</v>
      </c>
      <c r="G138">
        <v>0</v>
      </c>
      <c r="H138">
        <v>626</v>
      </c>
      <c r="I138">
        <v>72</v>
      </c>
      <c r="J138">
        <v>73</v>
      </c>
      <c r="K138">
        <v>73</v>
      </c>
      <c r="L138">
        <v>0.116613418530351</v>
      </c>
      <c r="M138" t="s">
        <v>652</v>
      </c>
      <c r="N138" t="s">
        <v>87</v>
      </c>
      <c r="O138" t="s">
        <v>652</v>
      </c>
      <c r="P138" t="s">
        <v>652</v>
      </c>
    </row>
    <row r="139" spans="1:16" hidden="1" x14ac:dyDescent="0.25">
      <c r="A139" t="s">
        <v>460</v>
      </c>
      <c r="B139" t="s">
        <v>461</v>
      </c>
      <c r="D139">
        <v>0</v>
      </c>
      <c r="F139">
        <v>0</v>
      </c>
      <c r="G139">
        <v>0</v>
      </c>
      <c r="H139">
        <v>210</v>
      </c>
      <c r="I139">
        <v>27</v>
      </c>
      <c r="J139">
        <v>27</v>
      </c>
      <c r="K139">
        <v>27</v>
      </c>
      <c r="L139">
        <v>0.128571428571429</v>
      </c>
      <c r="M139" t="s">
        <v>652</v>
      </c>
      <c r="N139" t="s">
        <v>87</v>
      </c>
      <c r="O139" t="s">
        <v>652</v>
      </c>
      <c r="P139" t="s">
        <v>652</v>
      </c>
    </row>
    <row r="140" spans="1:16" hidden="1" x14ac:dyDescent="0.25">
      <c r="A140" t="s">
        <v>462</v>
      </c>
      <c r="B140" t="s">
        <v>463</v>
      </c>
      <c r="D140">
        <v>0</v>
      </c>
      <c r="F140">
        <v>14</v>
      </c>
      <c r="G140">
        <v>0</v>
      </c>
      <c r="H140">
        <v>639</v>
      </c>
      <c r="I140">
        <v>132</v>
      </c>
      <c r="J140">
        <v>146</v>
      </c>
      <c r="K140">
        <v>146</v>
      </c>
      <c r="L140">
        <v>0.22848200312989</v>
      </c>
      <c r="M140" t="s">
        <v>652</v>
      </c>
      <c r="N140" t="s">
        <v>652</v>
      </c>
      <c r="O140" t="s">
        <v>652</v>
      </c>
      <c r="P140" t="s">
        <v>652</v>
      </c>
    </row>
    <row r="141" spans="1:16" hidden="1" x14ac:dyDescent="0.25">
      <c r="A141" t="s">
        <v>162</v>
      </c>
      <c r="B141" t="s">
        <v>163</v>
      </c>
      <c r="D141">
        <v>0</v>
      </c>
      <c r="F141">
        <v>24</v>
      </c>
      <c r="G141">
        <v>0</v>
      </c>
      <c r="H141">
        <v>12728</v>
      </c>
      <c r="I141">
        <v>1382</v>
      </c>
      <c r="J141">
        <v>1406</v>
      </c>
      <c r="K141">
        <v>1406</v>
      </c>
      <c r="L141">
        <v>0.11046511627907001</v>
      </c>
      <c r="M141" t="s">
        <v>652</v>
      </c>
      <c r="N141" t="s">
        <v>87</v>
      </c>
      <c r="O141" t="s">
        <v>652</v>
      </c>
      <c r="P141" t="s">
        <v>652</v>
      </c>
    </row>
    <row r="142" spans="1:16" hidden="1" x14ac:dyDescent="0.25">
      <c r="A142" t="s">
        <v>464</v>
      </c>
      <c r="B142" t="s">
        <v>465</v>
      </c>
      <c r="D142">
        <v>0</v>
      </c>
      <c r="F142">
        <v>3</v>
      </c>
      <c r="G142">
        <v>0</v>
      </c>
      <c r="H142">
        <v>567</v>
      </c>
      <c r="I142">
        <v>36</v>
      </c>
      <c r="J142">
        <v>39</v>
      </c>
      <c r="K142">
        <v>39</v>
      </c>
      <c r="L142">
        <v>6.8783068783068793E-2</v>
      </c>
      <c r="M142" t="s">
        <v>652</v>
      </c>
      <c r="N142" t="s">
        <v>87</v>
      </c>
      <c r="O142" t="s">
        <v>652</v>
      </c>
      <c r="P142" t="s">
        <v>652</v>
      </c>
    </row>
    <row r="143" spans="1:16" hidden="1" x14ac:dyDescent="0.25">
      <c r="A143" t="s">
        <v>164</v>
      </c>
      <c r="B143" t="s">
        <v>165</v>
      </c>
      <c r="D143">
        <v>0</v>
      </c>
      <c r="F143">
        <v>25</v>
      </c>
      <c r="G143">
        <v>0</v>
      </c>
      <c r="H143">
        <v>12063</v>
      </c>
      <c r="I143">
        <v>736</v>
      </c>
      <c r="J143">
        <v>761</v>
      </c>
      <c r="K143">
        <v>761</v>
      </c>
      <c r="L143">
        <v>6.3085467959877295E-2</v>
      </c>
      <c r="M143" t="s">
        <v>652</v>
      </c>
      <c r="N143" t="s">
        <v>87</v>
      </c>
      <c r="O143" t="s">
        <v>652</v>
      </c>
      <c r="P143" t="s">
        <v>652</v>
      </c>
    </row>
    <row r="144" spans="1:16" hidden="1" x14ac:dyDescent="0.25">
      <c r="A144" t="s">
        <v>166</v>
      </c>
      <c r="B144" t="s">
        <v>167</v>
      </c>
      <c r="D144">
        <v>0</v>
      </c>
      <c r="F144">
        <v>3</v>
      </c>
      <c r="G144">
        <v>0</v>
      </c>
      <c r="H144">
        <v>1808</v>
      </c>
      <c r="I144">
        <v>125</v>
      </c>
      <c r="J144">
        <v>128</v>
      </c>
      <c r="K144">
        <v>128</v>
      </c>
      <c r="L144">
        <v>7.0796460176991205E-2</v>
      </c>
      <c r="M144" t="s">
        <v>652</v>
      </c>
      <c r="N144" t="s">
        <v>87</v>
      </c>
      <c r="O144" t="s">
        <v>652</v>
      </c>
      <c r="P144" t="s">
        <v>652</v>
      </c>
    </row>
    <row r="145" spans="1:16" hidden="1" x14ac:dyDescent="0.25">
      <c r="A145" t="s">
        <v>168</v>
      </c>
      <c r="B145" t="s">
        <v>169</v>
      </c>
      <c r="D145">
        <v>0</v>
      </c>
      <c r="F145">
        <v>2</v>
      </c>
      <c r="G145">
        <v>0</v>
      </c>
      <c r="H145">
        <v>4956</v>
      </c>
      <c r="I145">
        <v>135</v>
      </c>
      <c r="J145">
        <v>137</v>
      </c>
      <c r="K145">
        <v>137</v>
      </c>
      <c r="L145">
        <v>2.7643260694108201E-2</v>
      </c>
      <c r="M145" t="s">
        <v>652</v>
      </c>
      <c r="N145" t="s">
        <v>87</v>
      </c>
      <c r="O145" t="s">
        <v>87</v>
      </c>
      <c r="P145" t="s">
        <v>87</v>
      </c>
    </row>
    <row r="146" spans="1:16" hidden="1" x14ac:dyDescent="0.25">
      <c r="A146" t="s">
        <v>170</v>
      </c>
      <c r="B146" t="s">
        <v>171</v>
      </c>
      <c r="D146">
        <v>0</v>
      </c>
      <c r="F146">
        <v>5</v>
      </c>
      <c r="G146">
        <v>0</v>
      </c>
      <c r="H146">
        <v>1690</v>
      </c>
      <c r="I146">
        <v>153</v>
      </c>
      <c r="J146">
        <v>158</v>
      </c>
      <c r="K146">
        <v>158</v>
      </c>
      <c r="L146">
        <v>9.3491124260354996E-2</v>
      </c>
      <c r="M146" t="s">
        <v>652</v>
      </c>
      <c r="N146" t="s">
        <v>87</v>
      </c>
      <c r="O146" t="s">
        <v>652</v>
      </c>
      <c r="P146" t="s">
        <v>652</v>
      </c>
    </row>
    <row r="147" spans="1:16" hidden="1" x14ac:dyDescent="0.25">
      <c r="A147" t="s">
        <v>466</v>
      </c>
      <c r="B147" t="s">
        <v>467</v>
      </c>
      <c r="D147">
        <v>0</v>
      </c>
      <c r="F147">
        <v>0</v>
      </c>
      <c r="G147">
        <v>0</v>
      </c>
      <c r="H147">
        <v>833</v>
      </c>
      <c r="I147">
        <v>103</v>
      </c>
      <c r="J147">
        <v>103</v>
      </c>
      <c r="K147">
        <v>103</v>
      </c>
      <c r="L147">
        <v>0.12364945978391401</v>
      </c>
      <c r="M147" t="s">
        <v>652</v>
      </c>
      <c r="N147" t="s">
        <v>87</v>
      </c>
      <c r="O147" t="s">
        <v>652</v>
      </c>
      <c r="P147" t="s">
        <v>652</v>
      </c>
    </row>
    <row r="148" spans="1:16" hidden="1" x14ac:dyDescent="0.25">
      <c r="A148" t="s">
        <v>468</v>
      </c>
      <c r="B148" t="s">
        <v>469</v>
      </c>
      <c r="D148">
        <v>0</v>
      </c>
      <c r="F148">
        <v>0</v>
      </c>
      <c r="G148">
        <v>0</v>
      </c>
      <c r="H148">
        <v>71</v>
      </c>
      <c r="I148">
        <v>9</v>
      </c>
      <c r="J148">
        <v>9</v>
      </c>
      <c r="K148">
        <v>9</v>
      </c>
      <c r="L148">
        <v>0.12676056338028199</v>
      </c>
      <c r="M148" t="s">
        <v>87</v>
      </c>
      <c r="N148" t="s">
        <v>87</v>
      </c>
      <c r="O148" t="s">
        <v>87</v>
      </c>
      <c r="P148" t="s">
        <v>87</v>
      </c>
    </row>
    <row r="149" spans="1:16" hidden="1" x14ac:dyDescent="0.25">
      <c r="A149" t="s">
        <v>172</v>
      </c>
      <c r="B149" t="s">
        <v>173</v>
      </c>
      <c r="D149">
        <v>0</v>
      </c>
      <c r="F149">
        <v>7</v>
      </c>
      <c r="G149">
        <v>0</v>
      </c>
      <c r="H149">
        <v>6745</v>
      </c>
      <c r="I149">
        <v>406</v>
      </c>
      <c r="J149">
        <v>413</v>
      </c>
      <c r="K149">
        <v>413</v>
      </c>
      <c r="L149">
        <v>6.1230541141586402E-2</v>
      </c>
      <c r="M149" t="s">
        <v>652</v>
      </c>
      <c r="N149" t="s">
        <v>87</v>
      </c>
      <c r="O149" t="s">
        <v>652</v>
      </c>
      <c r="P149" t="s">
        <v>652</v>
      </c>
    </row>
    <row r="150" spans="1:16" hidden="1" x14ac:dyDescent="0.25">
      <c r="A150" t="s">
        <v>470</v>
      </c>
      <c r="B150" t="s">
        <v>471</v>
      </c>
      <c r="D150">
        <v>0</v>
      </c>
      <c r="F150">
        <v>7</v>
      </c>
      <c r="G150">
        <v>0</v>
      </c>
      <c r="H150">
        <v>1321</v>
      </c>
      <c r="I150">
        <v>97</v>
      </c>
      <c r="J150">
        <v>104</v>
      </c>
      <c r="K150">
        <v>104</v>
      </c>
      <c r="L150">
        <v>7.8728236184708603E-2</v>
      </c>
      <c r="M150" t="s">
        <v>652</v>
      </c>
      <c r="N150" t="s">
        <v>87</v>
      </c>
      <c r="O150" t="s">
        <v>652</v>
      </c>
      <c r="P150" t="s">
        <v>652</v>
      </c>
    </row>
    <row r="151" spans="1:16" hidden="1" x14ac:dyDescent="0.25">
      <c r="A151" t="s">
        <v>472</v>
      </c>
      <c r="B151" t="s">
        <v>473</v>
      </c>
      <c r="D151">
        <v>0</v>
      </c>
      <c r="F151">
        <v>0</v>
      </c>
      <c r="G151">
        <v>0</v>
      </c>
      <c r="H151">
        <v>342</v>
      </c>
      <c r="I151">
        <v>32</v>
      </c>
      <c r="J151">
        <v>32</v>
      </c>
      <c r="K151">
        <v>32</v>
      </c>
      <c r="L151">
        <v>9.3567251461988299E-2</v>
      </c>
      <c r="M151" t="s">
        <v>652</v>
      </c>
      <c r="N151" t="s">
        <v>87</v>
      </c>
      <c r="O151" t="s">
        <v>652</v>
      </c>
      <c r="P151" t="s">
        <v>652</v>
      </c>
    </row>
    <row r="152" spans="1:16" hidden="1" x14ac:dyDescent="0.25">
      <c r="A152" t="s">
        <v>474</v>
      </c>
      <c r="B152" t="s">
        <v>475</v>
      </c>
      <c r="D152">
        <v>0</v>
      </c>
      <c r="F152">
        <v>50</v>
      </c>
      <c r="G152">
        <v>0</v>
      </c>
      <c r="H152">
        <v>9724</v>
      </c>
      <c r="I152">
        <v>1960</v>
      </c>
      <c r="J152">
        <v>2010</v>
      </c>
      <c r="K152">
        <v>2010</v>
      </c>
      <c r="L152">
        <v>0.20670505964623601</v>
      </c>
      <c r="M152" t="s">
        <v>652</v>
      </c>
      <c r="N152" t="s">
        <v>652</v>
      </c>
      <c r="O152" t="s">
        <v>652</v>
      </c>
      <c r="P152" t="s">
        <v>652</v>
      </c>
    </row>
    <row r="153" spans="1:16" hidden="1" x14ac:dyDescent="0.25">
      <c r="A153" t="s">
        <v>476</v>
      </c>
      <c r="B153" t="s">
        <v>477</v>
      </c>
      <c r="D153">
        <v>0</v>
      </c>
      <c r="F153">
        <v>2</v>
      </c>
      <c r="G153">
        <v>0</v>
      </c>
      <c r="H153">
        <v>718</v>
      </c>
      <c r="I153">
        <v>77</v>
      </c>
      <c r="J153">
        <v>79</v>
      </c>
      <c r="K153">
        <v>79</v>
      </c>
      <c r="L153">
        <v>0.110027855153203</v>
      </c>
      <c r="M153" t="s">
        <v>652</v>
      </c>
      <c r="N153" t="s">
        <v>87</v>
      </c>
      <c r="O153" t="s">
        <v>652</v>
      </c>
      <c r="P153" t="s">
        <v>652</v>
      </c>
    </row>
    <row r="154" spans="1:16" hidden="1" x14ac:dyDescent="0.25">
      <c r="A154" t="s">
        <v>478</v>
      </c>
      <c r="B154" t="s">
        <v>479</v>
      </c>
      <c r="D154">
        <v>0</v>
      </c>
      <c r="F154">
        <v>9</v>
      </c>
      <c r="G154">
        <v>0</v>
      </c>
      <c r="H154">
        <v>992</v>
      </c>
      <c r="I154">
        <v>126</v>
      </c>
      <c r="J154">
        <v>135</v>
      </c>
      <c r="K154">
        <v>135</v>
      </c>
      <c r="L154">
        <v>0.13608870967741901</v>
      </c>
      <c r="M154" t="s">
        <v>652</v>
      </c>
      <c r="N154" t="s">
        <v>87</v>
      </c>
      <c r="O154" t="s">
        <v>652</v>
      </c>
      <c r="P154" t="s">
        <v>652</v>
      </c>
    </row>
    <row r="155" spans="1:16" hidden="1" x14ac:dyDescent="0.25">
      <c r="A155" t="s">
        <v>480</v>
      </c>
      <c r="B155" t="s">
        <v>481</v>
      </c>
      <c r="D155">
        <v>0</v>
      </c>
      <c r="F155">
        <v>6</v>
      </c>
      <c r="G155">
        <v>0</v>
      </c>
      <c r="H155">
        <v>2412</v>
      </c>
      <c r="I155">
        <v>175</v>
      </c>
      <c r="J155">
        <v>181</v>
      </c>
      <c r="K155">
        <v>181</v>
      </c>
      <c r="L155">
        <v>7.5041459369817598E-2</v>
      </c>
      <c r="M155" t="s">
        <v>652</v>
      </c>
      <c r="N155" t="s">
        <v>87</v>
      </c>
      <c r="O155" t="s">
        <v>652</v>
      </c>
      <c r="P155" t="s">
        <v>652</v>
      </c>
    </row>
    <row r="156" spans="1:16" hidden="1" x14ac:dyDescent="0.25">
      <c r="A156" t="s">
        <v>174</v>
      </c>
      <c r="B156" t="s">
        <v>175</v>
      </c>
      <c r="D156">
        <v>0</v>
      </c>
      <c r="F156">
        <v>0</v>
      </c>
      <c r="G156">
        <v>0</v>
      </c>
      <c r="H156">
        <v>39</v>
      </c>
      <c r="I156">
        <v>5</v>
      </c>
      <c r="J156">
        <v>5</v>
      </c>
      <c r="K156">
        <v>5</v>
      </c>
      <c r="L156">
        <v>0.128205128205128</v>
      </c>
      <c r="M156" t="s">
        <v>87</v>
      </c>
      <c r="N156" t="s">
        <v>87</v>
      </c>
      <c r="O156" t="s">
        <v>87</v>
      </c>
      <c r="P156" t="s">
        <v>87</v>
      </c>
    </row>
    <row r="157" spans="1:16" hidden="1" x14ac:dyDescent="0.25">
      <c r="A157" t="s">
        <v>482</v>
      </c>
      <c r="B157" t="s">
        <v>483</v>
      </c>
      <c r="D157">
        <v>0</v>
      </c>
      <c r="F157">
        <v>15</v>
      </c>
      <c r="G157">
        <v>0</v>
      </c>
      <c r="H157">
        <v>6746</v>
      </c>
      <c r="I157">
        <v>759</v>
      </c>
      <c r="J157">
        <v>774</v>
      </c>
      <c r="K157">
        <v>774</v>
      </c>
      <c r="L157">
        <v>0.114734657574859</v>
      </c>
      <c r="M157" t="s">
        <v>652</v>
      </c>
      <c r="N157" t="s">
        <v>87</v>
      </c>
      <c r="O157" t="s">
        <v>652</v>
      </c>
      <c r="P157" t="s">
        <v>652</v>
      </c>
    </row>
    <row r="158" spans="1:16" hidden="1" x14ac:dyDescent="0.25">
      <c r="A158" t="s">
        <v>285</v>
      </c>
      <c r="B158" t="s">
        <v>286</v>
      </c>
      <c r="D158">
        <v>0</v>
      </c>
      <c r="F158">
        <v>13</v>
      </c>
      <c r="G158">
        <v>0</v>
      </c>
      <c r="H158">
        <v>17182</v>
      </c>
      <c r="I158">
        <v>2358</v>
      </c>
      <c r="J158">
        <v>2371</v>
      </c>
      <c r="K158">
        <v>2371</v>
      </c>
      <c r="L158">
        <v>0.13799324874869001</v>
      </c>
      <c r="M158" t="s">
        <v>652</v>
      </c>
      <c r="N158" t="s">
        <v>87</v>
      </c>
      <c r="O158" t="s">
        <v>652</v>
      </c>
      <c r="P158" t="s">
        <v>652</v>
      </c>
    </row>
    <row r="159" spans="1:16" hidden="1" x14ac:dyDescent="0.25">
      <c r="A159" t="s">
        <v>484</v>
      </c>
      <c r="B159" t="s">
        <v>485</v>
      </c>
      <c r="D159">
        <v>0</v>
      </c>
      <c r="F159">
        <v>0</v>
      </c>
      <c r="G159">
        <v>0</v>
      </c>
      <c r="H159">
        <v>1603</v>
      </c>
      <c r="I159">
        <v>189</v>
      </c>
      <c r="J159">
        <v>189</v>
      </c>
      <c r="K159">
        <v>189</v>
      </c>
      <c r="L159">
        <v>0.117903930131004</v>
      </c>
      <c r="M159" t="s">
        <v>652</v>
      </c>
      <c r="N159" t="s">
        <v>87</v>
      </c>
      <c r="O159" t="s">
        <v>652</v>
      </c>
      <c r="P159" t="s">
        <v>652</v>
      </c>
    </row>
    <row r="160" spans="1:16" hidden="1" x14ac:dyDescent="0.25">
      <c r="A160" t="s">
        <v>486</v>
      </c>
      <c r="B160" t="s">
        <v>487</v>
      </c>
      <c r="D160">
        <v>0</v>
      </c>
      <c r="F160">
        <v>2</v>
      </c>
      <c r="G160">
        <v>0</v>
      </c>
      <c r="H160">
        <v>796</v>
      </c>
      <c r="I160">
        <v>83</v>
      </c>
      <c r="J160">
        <v>85</v>
      </c>
      <c r="K160">
        <v>85</v>
      </c>
      <c r="L160">
        <v>0.10678391959799</v>
      </c>
      <c r="M160" t="s">
        <v>652</v>
      </c>
      <c r="N160" t="s">
        <v>87</v>
      </c>
      <c r="O160" t="s">
        <v>652</v>
      </c>
      <c r="P160" t="s">
        <v>652</v>
      </c>
    </row>
    <row r="161" spans="1:16" hidden="1" x14ac:dyDescent="0.25">
      <c r="A161" t="s">
        <v>488</v>
      </c>
      <c r="B161" t="s">
        <v>489</v>
      </c>
      <c r="D161">
        <v>0</v>
      </c>
      <c r="F161">
        <v>1</v>
      </c>
      <c r="G161">
        <v>0</v>
      </c>
      <c r="H161">
        <v>325</v>
      </c>
      <c r="I161">
        <v>40</v>
      </c>
      <c r="J161">
        <v>41</v>
      </c>
      <c r="K161">
        <v>41</v>
      </c>
      <c r="L161">
        <v>0.12615384615384601</v>
      </c>
      <c r="M161" t="s">
        <v>652</v>
      </c>
      <c r="N161" t="s">
        <v>87</v>
      </c>
      <c r="O161" t="s">
        <v>652</v>
      </c>
      <c r="P161" t="s">
        <v>652</v>
      </c>
    </row>
    <row r="162" spans="1:16" hidden="1" x14ac:dyDescent="0.25">
      <c r="A162" t="s">
        <v>490</v>
      </c>
      <c r="B162" t="s">
        <v>491</v>
      </c>
      <c r="D162">
        <v>0</v>
      </c>
      <c r="F162">
        <v>0</v>
      </c>
      <c r="G162">
        <v>0</v>
      </c>
      <c r="H162">
        <v>245</v>
      </c>
      <c r="I162">
        <v>77</v>
      </c>
      <c r="J162">
        <v>77</v>
      </c>
      <c r="K162">
        <v>77</v>
      </c>
      <c r="L162">
        <v>0.314285714285714</v>
      </c>
      <c r="M162" t="s">
        <v>652</v>
      </c>
      <c r="N162" t="s">
        <v>652</v>
      </c>
      <c r="O162" t="s">
        <v>652</v>
      </c>
      <c r="P162" t="s">
        <v>652</v>
      </c>
    </row>
    <row r="163" spans="1:16" hidden="1" x14ac:dyDescent="0.25">
      <c r="A163" t="s">
        <v>492</v>
      </c>
      <c r="B163" t="s">
        <v>493</v>
      </c>
      <c r="D163">
        <v>0</v>
      </c>
      <c r="F163">
        <v>10</v>
      </c>
      <c r="G163">
        <v>0</v>
      </c>
      <c r="H163">
        <v>1443</v>
      </c>
      <c r="I163">
        <v>237</v>
      </c>
      <c r="J163">
        <v>247</v>
      </c>
      <c r="K163">
        <v>247</v>
      </c>
      <c r="L163">
        <v>0.171171171171171</v>
      </c>
      <c r="M163" t="s">
        <v>652</v>
      </c>
      <c r="N163" t="s">
        <v>652</v>
      </c>
      <c r="O163" t="s">
        <v>652</v>
      </c>
      <c r="P163" t="s">
        <v>652</v>
      </c>
    </row>
    <row r="164" spans="1:16" hidden="1" x14ac:dyDescent="0.25">
      <c r="A164" t="s">
        <v>494</v>
      </c>
      <c r="B164" t="s">
        <v>495</v>
      </c>
      <c r="D164">
        <v>0</v>
      </c>
      <c r="F164">
        <v>5</v>
      </c>
      <c r="G164">
        <v>0</v>
      </c>
      <c r="H164">
        <v>1564</v>
      </c>
      <c r="I164">
        <v>130</v>
      </c>
      <c r="J164">
        <v>135</v>
      </c>
      <c r="K164">
        <v>135</v>
      </c>
      <c r="L164">
        <v>8.6317135549872095E-2</v>
      </c>
      <c r="M164" t="s">
        <v>652</v>
      </c>
      <c r="N164" t="s">
        <v>87</v>
      </c>
      <c r="O164" t="s">
        <v>652</v>
      </c>
      <c r="P164" t="s">
        <v>652</v>
      </c>
    </row>
    <row r="165" spans="1:16" hidden="1" x14ac:dyDescent="0.25">
      <c r="A165" t="s">
        <v>176</v>
      </c>
      <c r="B165" t="s">
        <v>177</v>
      </c>
      <c r="D165">
        <v>0</v>
      </c>
      <c r="F165">
        <v>6</v>
      </c>
      <c r="G165">
        <v>0</v>
      </c>
      <c r="H165">
        <v>2189</v>
      </c>
      <c r="I165">
        <v>165</v>
      </c>
      <c r="J165">
        <v>171</v>
      </c>
      <c r="K165">
        <v>171</v>
      </c>
      <c r="L165">
        <v>7.8117862037460004E-2</v>
      </c>
      <c r="M165" t="s">
        <v>652</v>
      </c>
      <c r="N165" t="s">
        <v>87</v>
      </c>
      <c r="O165" t="s">
        <v>652</v>
      </c>
      <c r="P165" t="s">
        <v>652</v>
      </c>
    </row>
    <row r="166" spans="1:16" hidden="1" x14ac:dyDescent="0.25">
      <c r="A166" t="s">
        <v>496</v>
      </c>
      <c r="B166" t="s">
        <v>497</v>
      </c>
      <c r="D166">
        <v>0</v>
      </c>
      <c r="F166">
        <v>4</v>
      </c>
      <c r="G166">
        <v>0</v>
      </c>
      <c r="H166">
        <v>698</v>
      </c>
      <c r="I166">
        <v>135</v>
      </c>
      <c r="J166">
        <v>139</v>
      </c>
      <c r="K166">
        <v>139</v>
      </c>
      <c r="L166">
        <v>0.19914040114613199</v>
      </c>
      <c r="M166" t="s">
        <v>652</v>
      </c>
      <c r="N166" t="s">
        <v>652</v>
      </c>
      <c r="O166" t="s">
        <v>652</v>
      </c>
      <c r="P166" t="s">
        <v>652</v>
      </c>
    </row>
    <row r="167" spans="1:16" hidden="1" x14ac:dyDescent="0.25">
      <c r="A167" t="s">
        <v>498</v>
      </c>
      <c r="B167" t="s">
        <v>499</v>
      </c>
      <c r="D167">
        <v>0</v>
      </c>
      <c r="F167">
        <v>0</v>
      </c>
      <c r="G167">
        <v>0</v>
      </c>
      <c r="H167">
        <v>2196</v>
      </c>
      <c r="I167">
        <v>238</v>
      </c>
      <c r="J167">
        <v>238</v>
      </c>
      <c r="K167">
        <v>238</v>
      </c>
      <c r="L167">
        <v>0.10837887067395301</v>
      </c>
      <c r="M167" t="s">
        <v>652</v>
      </c>
      <c r="N167" t="s">
        <v>87</v>
      </c>
      <c r="O167" t="s">
        <v>652</v>
      </c>
      <c r="P167" t="s">
        <v>652</v>
      </c>
    </row>
    <row r="168" spans="1:16" hidden="1" x14ac:dyDescent="0.25">
      <c r="A168" t="s">
        <v>178</v>
      </c>
      <c r="B168" t="s">
        <v>179</v>
      </c>
      <c r="D168">
        <v>0</v>
      </c>
      <c r="F168">
        <v>11</v>
      </c>
      <c r="G168">
        <v>0</v>
      </c>
      <c r="H168">
        <v>7200</v>
      </c>
      <c r="I168">
        <v>535</v>
      </c>
      <c r="J168">
        <v>546</v>
      </c>
      <c r="K168">
        <v>546</v>
      </c>
      <c r="L168">
        <v>7.5833333333333294E-2</v>
      </c>
      <c r="M168" t="s">
        <v>652</v>
      </c>
      <c r="N168" t="s">
        <v>87</v>
      </c>
      <c r="O168" t="s">
        <v>652</v>
      </c>
      <c r="P168" t="s">
        <v>652</v>
      </c>
    </row>
    <row r="169" spans="1:16" hidden="1" x14ac:dyDescent="0.25">
      <c r="A169" t="s">
        <v>500</v>
      </c>
      <c r="B169" t="s">
        <v>501</v>
      </c>
      <c r="D169">
        <v>0</v>
      </c>
      <c r="F169">
        <v>6</v>
      </c>
      <c r="G169">
        <v>0</v>
      </c>
      <c r="H169">
        <v>2512</v>
      </c>
      <c r="I169">
        <v>358</v>
      </c>
      <c r="J169">
        <v>364</v>
      </c>
      <c r="K169">
        <v>364</v>
      </c>
      <c r="L169">
        <v>0.144904458598726</v>
      </c>
      <c r="M169" t="s">
        <v>652</v>
      </c>
      <c r="N169" t="s">
        <v>87</v>
      </c>
      <c r="O169" t="s">
        <v>652</v>
      </c>
      <c r="P169" t="s">
        <v>652</v>
      </c>
    </row>
    <row r="170" spans="1:16" hidden="1" x14ac:dyDescent="0.25">
      <c r="A170" t="s">
        <v>502</v>
      </c>
      <c r="B170" t="s">
        <v>503</v>
      </c>
      <c r="D170">
        <v>0</v>
      </c>
      <c r="F170">
        <v>0</v>
      </c>
      <c r="G170">
        <v>0</v>
      </c>
      <c r="H170">
        <v>50</v>
      </c>
      <c r="I170">
        <v>8</v>
      </c>
      <c r="J170">
        <v>8</v>
      </c>
      <c r="K170">
        <v>8</v>
      </c>
      <c r="L170">
        <v>0.16</v>
      </c>
      <c r="M170" t="s">
        <v>87</v>
      </c>
      <c r="N170" t="s">
        <v>87</v>
      </c>
      <c r="O170" t="s">
        <v>87</v>
      </c>
      <c r="P170" t="s">
        <v>87</v>
      </c>
    </row>
    <row r="171" spans="1:16" hidden="1" x14ac:dyDescent="0.25">
      <c r="A171" t="s">
        <v>180</v>
      </c>
      <c r="B171" t="s">
        <v>181</v>
      </c>
      <c r="D171">
        <v>0</v>
      </c>
      <c r="F171">
        <v>37</v>
      </c>
      <c r="G171">
        <v>0</v>
      </c>
      <c r="H171">
        <v>17086</v>
      </c>
      <c r="I171">
        <v>1425</v>
      </c>
      <c r="J171">
        <v>1462</v>
      </c>
      <c r="K171">
        <v>1462</v>
      </c>
      <c r="L171">
        <v>8.5567130984431694E-2</v>
      </c>
      <c r="M171" t="s">
        <v>652</v>
      </c>
      <c r="N171" t="s">
        <v>87</v>
      </c>
      <c r="O171" t="s">
        <v>652</v>
      </c>
      <c r="P171" t="s">
        <v>652</v>
      </c>
    </row>
    <row r="172" spans="1:16" hidden="1" x14ac:dyDescent="0.25">
      <c r="A172" t="s">
        <v>504</v>
      </c>
      <c r="B172" t="s">
        <v>505</v>
      </c>
      <c r="D172">
        <v>0</v>
      </c>
      <c r="F172">
        <v>0</v>
      </c>
      <c r="G172">
        <v>0</v>
      </c>
      <c r="H172">
        <v>225</v>
      </c>
      <c r="I172">
        <v>59</v>
      </c>
      <c r="J172">
        <v>59</v>
      </c>
      <c r="K172">
        <v>59</v>
      </c>
      <c r="L172">
        <v>0.26222222222222202</v>
      </c>
      <c r="M172" t="s">
        <v>652</v>
      </c>
      <c r="N172" t="s">
        <v>652</v>
      </c>
      <c r="O172" t="s">
        <v>652</v>
      </c>
      <c r="P172" t="s">
        <v>652</v>
      </c>
    </row>
    <row r="173" spans="1:16" hidden="1" x14ac:dyDescent="0.25">
      <c r="A173" t="s">
        <v>182</v>
      </c>
      <c r="B173" t="s">
        <v>183</v>
      </c>
      <c r="D173">
        <v>0</v>
      </c>
      <c r="F173">
        <v>22</v>
      </c>
      <c r="G173">
        <v>0</v>
      </c>
      <c r="H173">
        <v>26639</v>
      </c>
      <c r="I173">
        <v>1036</v>
      </c>
      <c r="J173">
        <v>1058</v>
      </c>
      <c r="K173">
        <v>1058</v>
      </c>
      <c r="L173">
        <v>3.9716205563271899E-2</v>
      </c>
      <c r="M173" t="s">
        <v>652</v>
      </c>
      <c r="N173" t="s">
        <v>87</v>
      </c>
      <c r="O173" t="s">
        <v>87</v>
      </c>
      <c r="P173" t="s">
        <v>87</v>
      </c>
    </row>
    <row r="174" spans="1:16" hidden="1" x14ac:dyDescent="0.25">
      <c r="A174" t="s">
        <v>184</v>
      </c>
      <c r="B174" t="s">
        <v>185</v>
      </c>
      <c r="D174">
        <v>0</v>
      </c>
      <c r="F174">
        <v>0</v>
      </c>
      <c r="G174">
        <v>0</v>
      </c>
      <c r="H174">
        <v>5959</v>
      </c>
      <c r="I174">
        <v>525</v>
      </c>
      <c r="J174">
        <v>525</v>
      </c>
      <c r="K174">
        <v>525</v>
      </c>
      <c r="L174">
        <v>8.8102030542037302E-2</v>
      </c>
      <c r="M174" t="s">
        <v>652</v>
      </c>
      <c r="N174" t="s">
        <v>87</v>
      </c>
      <c r="O174" t="s">
        <v>652</v>
      </c>
      <c r="P174" t="s">
        <v>652</v>
      </c>
    </row>
    <row r="175" spans="1:16" hidden="1" x14ac:dyDescent="0.25">
      <c r="A175" t="s">
        <v>186</v>
      </c>
      <c r="B175" t="s">
        <v>187</v>
      </c>
      <c r="D175">
        <v>0</v>
      </c>
      <c r="F175">
        <v>2</v>
      </c>
      <c r="G175">
        <v>0</v>
      </c>
      <c r="H175">
        <v>131</v>
      </c>
      <c r="I175">
        <v>9</v>
      </c>
      <c r="J175">
        <v>11</v>
      </c>
      <c r="K175">
        <v>11</v>
      </c>
      <c r="L175">
        <v>8.3969465648855005E-2</v>
      </c>
      <c r="M175" t="s">
        <v>652</v>
      </c>
      <c r="N175" t="s">
        <v>87</v>
      </c>
      <c r="O175" t="s">
        <v>652</v>
      </c>
      <c r="P175" t="s">
        <v>652</v>
      </c>
    </row>
    <row r="176" spans="1:16" hidden="1" x14ac:dyDescent="0.25">
      <c r="A176" t="s">
        <v>506</v>
      </c>
      <c r="B176" t="s">
        <v>507</v>
      </c>
      <c r="D176">
        <v>0</v>
      </c>
      <c r="F176">
        <v>2</v>
      </c>
      <c r="G176">
        <v>0</v>
      </c>
      <c r="H176">
        <v>446</v>
      </c>
      <c r="I176">
        <v>51</v>
      </c>
      <c r="J176">
        <v>53</v>
      </c>
      <c r="K176">
        <v>53</v>
      </c>
      <c r="L176">
        <v>0.11883408071748899</v>
      </c>
      <c r="M176" t="s">
        <v>652</v>
      </c>
      <c r="N176" t="s">
        <v>87</v>
      </c>
      <c r="O176" t="s">
        <v>652</v>
      </c>
      <c r="P176" t="s">
        <v>652</v>
      </c>
    </row>
    <row r="177" spans="1:16" hidden="1" x14ac:dyDescent="0.25">
      <c r="A177" t="s">
        <v>508</v>
      </c>
      <c r="B177" t="s">
        <v>509</v>
      </c>
      <c r="D177">
        <v>0</v>
      </c>
      <c r="F177">
        <v>6</v>
      </c>
      <c r="G177">
        <v>0</v>
      </c>
      <c r="H177">
        <v>977</v>
      </c>
      <c r="I177">
        <v>153</v>
      </c>
      <c r="J177">
        <v>159</v>
      </c>
      <c r="K177">
        <v>159</v>
      </c>
      <c r="L177">
        <v>0.162743091095189</v>
      </c>
      <c r="M177" t="s">
        <v>652</v>
      </c>
      <c r="N177" t="s">
        <v>652</v>
      </c>
      <c r="O177" t="s">
        <v>652</v>
      </c>
      <c r="P177" t="s">
        <v>652</v>
      </c>
    </row>
    <row r="178" spans="1:16" hidden="1" x14ac:dyDescent="0.25">
      <c r="A178" t="s">
        <v>510</v>
      </c>
      <c r="B178" t="s">
        <v>511</v>
      </c>
      <c r="D178">
        <v>0</v>
      </c>
      <c r="F178">
        <v>3</v>
      </c>
      <c r="G178">
        <v>0</v>
      </c>
      <c r="H178">
        <v>648</v>
      </c>
      <c r="I178">
        <v>110</v>
      </c>
      <c r="J178">
        <v>113</v>
      </c>
      <c r="K178">
        <v>113</v>
      </c>
      <c r="L178">
        <v>0.17438271604938299</v>
      </c>
      <c r="M178" t="s">
        <v>652</v>
      </c>
      <c r="N178" t="s">
        <v>652</v>
      </c>
      <c r="O178" t="s">
        <v>652</v>
      </c>
      <c r="P178" t="s">
        <v>652</v>
      </c>
    </row>
    <row r="179" spans="1:16" hidden="1" x14ac:dyDescent="0.25">
      <c r="A179" t="s">
        <v>287</v>
      </c>
      <c r="B179" t="s">
        <v>288</v>
      </c>
      <c r="D179">
        <v>0</v>
      </c>
      <c r="F179">
        <v>0</v>
      </c>
      <c r="G179">
        <v>0</v>
      </c>
      <c r="H179">
        <v>308</v>
      </c>
      <c r="I179">
        <v>38</v>
      </c>
      <c r="J179">
        <v>38</v>
      </c>
      <c r="K179">
        <v>38</v>
      </c>
      <c r="L179">
        <v>0.123376623376623</v>
      </c>
      <c r="M179" t="s">
        <v>652</v>
      </c>
      <c r="N179" t="s">
        <v>87</v>
      </c>
      <c r="O179" t="s">
        <v>652</v>
      </c>
      <c r="P179" t="s">
        <v>652</v>
      </c>
    </row>
    <row r="180" spans="1:16" hidden="1" x14ac:dyDescent="0.25">
      <c r="A180" t="s">
        <v>512</v>
      </c>
      <c r="B180" t="s">
        <v>513</v>
      </c>
      <c r="D180">
        <v>0</v>
      </c>
      <c r="F180">
        <v>7</v>
      </c>
      <c r="G180">
        <v>0</v>
      </c>
      <c r="H180">
        <v>945</v>
      </c>
      <c r="I180">
        <v>159</v>
      </c>
      <c r="J180">
        <v>166</v>
      </c>
      <c r="K180">
        <v>166</v>
      </c>
      <c r="L180">
        <v>0.17566137566137599</v>
      </c>
      <c r="M180" t="s">
        <v>652</v>
      </c>
      <c r="N180" t="s">
        <v>652</v>
      </c>
      <c r="O180" t="s">
        <v>652</v>
      </c>
      <c r="P180" t="s">
        <v>652</v>
      </c>
    </row>
    <row r="181" spans="1:16" hidden="1" x14ac:dyDescent="0.25">
      <c r="A181" t="s">
        <v>188</v>
      </c>
      <c r="B181" t="s">
        <v>189</v>
      </c>
      <c r="D181">
        <v>0</v>
      </c>
      <c r="F181">
        <v>22</v>
      </c>
      <c r="G181">
        <v>0</v>
      </c>
      <c r="H181">
        <v>10439</v>
      </c>
      <c r="I181">
        <v>785</v>
      </c>
      <c r="J181">
        <v>807</v>
      </c>
      <c r="K181">
        <v>807</v>
      </c>
      <c r="L181">
        <v>7.7306255388447195E-2</v>
      </c>
      <c r="M181" t="s">
        <v>652</v>
      </c>
      <c r="N181" t="s">
        <v>87</v>
      </c>
      <c r="O181" t="s">
        <v>652</v>
      </c>
      <c r="P181" t="s">
        <v>652</v>
      </c>
    </row>
    <row r="182" spans="1:16" hidden="1" x14ac:dyDescent="0.25">
      <c r="A182" t="s">
        <v>514</v>
      </c>
      <c r="B182" t="s">
        <v>515</v>
      </c>
      <c r="D182">
        <v>0</v>
      </c>
      <c r="F182">
        <v>7</v>
      </c>
      <c r="G182">
        <v>0</v>
      </c>
      <c r="H182">
        <v>1871</v>
      </c>
      <c r="I182">
        <v>341</v>
      </c>
      <c r="J182">
        <v>348</v>
      </c>
      <c r="K182">
        <v>348</v>
      </c>
      <c r="L182">
        <v>0.18599679315873899</v>
      </c>
      <c r="M182" t="s">
        <v>652</v>
      </c>
      <c r="N182" t="s">
        <v>652</v>
      </c>
      <c r="O182" t="s">
        <v>652</v>
      </c>
      <c r="P182" t="s">
        <v>652</v>
      </c>
    </row>
    <row r="183" spans="1:16" hidden="1" x14ac:dyDescent="0.25">
      <c r="A183" t="s">
        <v>516</v>
      </c>
      <c r="B183" t="s">
        <v>517</v>
      </c>
      <c r="D183">
        <v>0</v>
      </c>
      <c r="F183">
        <v>7</v>
      </c>
      <c r="G183">
        <v>0</v>
      </c>
      <c r="H183">
        <v>959</v>
      </c>
      <c r="I183">
        <v>93</v>
      </c>
      <c r="J183">
        <v>100</v>
      </c>
      <c r="K183">
        <v>100</v>
      </c>
      <c r="L183">
        <v>0.104275286757039</v>
      </c>
      <c r="M183" t="s">
        <v>652</v>
      </c>
      <c r="N183" t="s">
        <v>87</v>
      </c>
      <c r="O183" t="s">
        <v>652</v>
      </c>
      <c r="P183" t="s">
        <v>652</v>
      </c>
    </row>
    <row r="184" spans="1:16" hidden="1" x14ac:dyDescent="0.25">
      <c r="A184" t="s">
        <v>518</v>
      </c>
      <c r="B184" t="s">
        <v>519</v>
      </c>
      <c r="D184">
        <v>0</v>
      </c>
      <c r="F184">
        <v>0</v>
      </c>
      <c r="G184">
        <v>0</v>
      </c>
      <c r="H184">
        <v>62</v>
      </c>
      <c r="I184">
        <v>18</v>
      </c>
      <c r="J184">
        <v>18</v>
      </c>
      <c r="K184">
        <v>18</v>
      </c>
      <c r="L184">
        <v>0.29032258064516098</v>
      </c>
      <c r="M184" t="s">
        <v>652</v>
      </c>
      <c r="N184" t="s">
        <v>652</v>
      </c>
      <c r="O184" t="s">
        <v>652</v>
      </c>
      <c r="P184" t="s">
        <v>652</v>
      </c>
    </row>
    <row r="185" spans="1:16" hidden="1" x14ac:dyDescent="0.25">
      <c r="A185" t="s">
        <v>520</v>
      </c>
      <c r="B185" t="s">
        <v>521</v>
      </c>
      <c r="D185">
        <v>0</v>
      </c>
      <c r="F185">
        <v>0</v>
      </c>
      <c r="G185">
        <v>0</v>
      </c>
      <c r="H185">
        <v>566</v>
      </c>
      <c r="I185">
        <v>70</v>
      </c>
      <c r="J185">
        <v>70</v>
      </c>
      <c r="K185">
        <v>70</v>
      </c>
      <c r="L185">
        <v>0.123674911660777</v>
      </c>
      <c r="M185" t="s">
        <v>652</v>
      </c>
      <c r="N185" t="s">
        <v>87</v>
      </c>
      <c r="O185" t="s">
        <v>652</v>
      </c>
      <c r="P185" t="s">
        <v>652</v>
      </c>
    </row>
    <row r="186" spans="1:16" hidden="1" x14ac:dyDescent="0.25">
      <c r="A186" t="s">
        <v>289</v>
      </c>
      <c r="B186" t="s">
        <v>290</v>
      </c>
      <c r="D186">
        <v>0</v>
      </c>
      <c r="F186">
        <v>0</v>
      </c>
      <c r="G186">
        <v>0</v>
      </c>
      <c r="H186">
        <v>177</v>
      </c>
      <c r="I186">
        <v>9</v>
      </c>
      <c r="J186">
        <v>9</v>
      </c>
      <c r="K186">
        <v>9</v>
      </c>
      <c r="L186">
        <v>5.0847457627118599E-2</v>
      </c>
      <c r="M186" t="s">
        <v>87</v>
      </c>
      <c r="N186" t="s">
        <v>87</v>
      </c>
      <c r="O186" t="s">
        <v>87</v>
      </c>
      <c r="P186" t="s">
        <v>87</v>
      </c>
    </row>
    <row r="187" spans="1:16" hidden="1" x14ac:dyDescent="0.25">
      <c r="A187" t="s">
        <v>522</v>
      </c>
      <c r="B187" t="s">
        <v>523</v>
      </c>
      <c r="D187">
        <v>0</v>
      </c>
      <c r="F187">
        <v>0</v>
      </c>
      <c r="G187">
        <v>0</v>
      </c>
      <c r="H187">
        <v>129</v>
      </c>
      <c r="I187">
        <v>22</v>
      </c>
      <c r="J187">
        <v>22</v>
      </c>
      <c r="K187">
        <v>22</v>
      </c>
      <c r="L187">
        <v>0.170542635658915</v>
      </c>
      <c r="M187" t="s">
        <v>652</v>
      </c>
      <c r="N187" t="s">
        <v>652</v>
      </c>
      <c r="O187" t="s">
        <v>652</v>
      </c>
      <c r="P187" t="s">
        <v>652</v>
      </c>
    </row>
    <row r="188" spans="1:16" hidden="1" x14ac:dyDescent="0.25">
      <c r="A188" t="s">
        <v>524</v>
      </c>
      <c r="B188" t="s">
        <v>525</v>
      </c>
      <c r="D188">
        <v>0</v>
      </c>
      <c r="F188">
        <v>0</v>
      </c>
      <c r="G188">
        <v>0</v>
      </c>
      <c r="H188">
        <v>260</v>
      </c>
      <c r="I188">
        <v>16</v>
      </c>
      <c r="J188">
        <v>16</v>
      </c>
      <c r="K188">
        <v>16</v>
      </c>
      <c r="L188">
        <v>6.15384615384615E-2</v>
      </c>
      <c r="M188" t="s">
        <v>652</v>
      </c>
      <c r="N188" t="s">
        <v>87</v>
      </c>
      <c r="O188" t="s">
        <v>652</v>
      </c>
      <c r="P188" t="s">
        <v>652</v>
      </c>
    </row>
    <row r="189" spans="1:16" hidden="1" x14ac:dyDescent="0.25">
      <c r="A189" t="s">
        <v>526</v>
      </c>
      <c r="B189" t="s">
        <v>527</v>
      </c>
      <c r="D189">
        <v>0</v>
      </c>
      <c r="F189">
        <v>2</v>
      </c>
      <c r="G189">
        <v>0</v>
      </c>
      <c r="H189">
        <v>689</v>
      </c>
      <c r="I189">
        <v>134</v>
      </c>
      <c r="J189">
        <v>136</v>
      </c>
      <c r="K189">
        <v>136</v>
      </c>
      <c r="L189">
        <v>0.19738751814223501</v>
      </c>
      <c r="M189" t="s">
        <v>652</v>
      </c>
      <c r="N189" t="s">
        <v>652</v>
      </c>
      <c r="O189" t="s">
        <v>652</v>
      </c>
      <c r="P189" t="s">
        <v>652</v>
      </c>
    </row>
    <row r="190" spans="1:16" hidden="1" x14ac:dyDescent="0.25">
      <c r="A190" t="s">
        <v>291</v>
      </c>
      <c r="B190" t="s">
        <v>292</v>
      </c>
      <c r="D190">
        <v>0</v>
      </c>
      <c r="F190">
        <v>10</v>
      </c>
      <c r="G190">
        <v>0</v>
      </c>
      <c r="H190">
        <v>3277</v>
      </c>
      <c r="I190">
        <v>202</v>
      </c>
      <c r="J190">
        <v>212</v>
      </c>
      <c r="K190">
        <v>212</v>
      </c>
      <c r="L190">
        <v>6.4693317058285002E-2</v>
      </c>
      <c r="M190" t="s">
        <v>652</v>
      </c>
      <c r="N190" t="s">
        <v>87</v>
      </c>
      <c r="O190" t="s">
        <v>652</v>
      </c>
      <c r="P190" t="s">
        <v>652</v>
      </c>
    </row>
    <row r="191" spans="1:16" hidden="1" x14ac:dyDescent="0.25">
      <c r="A191" t="s">
        <v>528</v>
      </c>
      <c r="B191" t="s">
        <v>529</v>
      </c>
      <c r="D191">
        <v>0</v>
      </c>
      <c r="F191">
        <v>11</v>
      </c>
      <c r="G191">
        <v>0</v>
      </c>
      <c r="H191">
        <v>4557</v>
      </c>
      <c r="I191">
        <v>911</v>
      </c>
      <c r="J191">
        <v>922</v>
      </c>
      <c r="K191">
        <v>922</v>
      </c>
      <c r="L191">
        <v>0.20232609172701299</v>
      </c>
      <c r="M191" t="s">
        <v>652</v>
      </c>
      <c r="N191" t="s">
        <v>652</v>
      </c>
      <c r="O191" t="s">
        <v>652</v>
      </c>
      <c r="P191" t="s">
        <v>652</v>
      </c>
    </row>
    <row r="192" spans="1:16" hidden="1" x14ac:dyDescent="0.25">
      <c r="A192" t="s">
        <v>530</v>
      </c>
      <c r="B192" t="s">
        <v>531</v>
      </c>
      <c r="D192">
        <v>0</v>
      </c>
      <c r="F192">
        <v>0</v>
      </c>
      <c r="G192">
        <v>0</v>
      </c>
      <c r="H192">
        <v>46</v>
      </c>
      <c r="I192">
        <v>4</v>
      </c>
      <c r="J192">
        <v>4</v>
      </c>
      <c r="K192">
        <v>4</v>
      </c>
      <c r="L192">
        <v>8.6956521739130405E-2</v>
      </c>
      <c r="M192" t="s">
        <v>87</v>
      </c>
      <c r="N192" t="s">
        <v>87</v>
      </c>
      <c r="O192" t="s">
        <v>87</v>
      </c>
      <c r="P192" t="s">
        <v>87</v>
      </c>
    </row>
    <row r="193" spans="1:16" hidden="1" x14ac:dyDescent="0.25">
      <c r="A193" t="s">
        <v>532</v>
      </c>
      <c r="B193" t="s">
        <v>533</v>
      </c>
      <c r="D193">
        <v>0</v>
      </c>
      <c r="F193">
        <v>0</v>
      </c>
      <c r="G193">
        <v>0</v>
      </c>
      <c r="H193">
        <v>247</v>
      </c>
      <c r="I193">
        <v>14</v>
      </c>
      <c r="J193">
        <v>14</v>
      </c>
      <c r="K193">
        <v>14</v>
      </c>
      <c r="L193">
        <v>5.6680161943319797E-2</v>
      </c>
      <c r="M193" t="s">
        <v>652</v>
      </c>
      <c r="N193" t="s">
        <v>87</v>
      </c>
      <c r="O193" t="s">
        <v>652</v>
      </c>
      <c r="P193" t="s">
        <v>652</v>
      </c>
    </row>
    <row r="194" spans="1:16" hidden="1" x14ac:dyDescent="0.25">
      <c r="A194" t="s">
        <v>650</v>
      </c>
      <c r="B194" t="s">
        <v>651</v>
      </c>
      <c r="D194">
        <v>0</v>
      </c>
      <c r="E194">
        <v>785</v>
      </c>
      <c r="F194">
        <v>0</v>
      </c>
      <c r="G194">
        <v>0</v>
      </c>
      <c r="H194">
        <v>785</v>
      </c>
      <c r="I194">
        <v>0</v>
      </c>
      <c r="J194">
        <v>785</v>
      </c>
      <c r="K194">
        <v>785</v>
      </c>
      <c r="L194">
        <v>1</v>
      </c>
      <c r="M194" t="s">
        <v>652</v>
      </c>
      <c r="N194" t="s">
        <v>652</v>
      </c>
      <c r="O194" t="s">
        <v>652</v>
      </c>
      <c r="P194" t="s">
        <v>652</v>
      </c>
    </row>
    <row r="195" spans="1:16" hidden="1" x14ac:dyDescent="0.25">
      <c r="A195" t="s">
        <v>534</v>
      </c>
      <c r="B195" t="s">
        <v>535</v>
      </c>
      <c r="D195">
        <v>0</v>
      </c>
      <c r="F195">
        <v>51</v>
      </c>
      <c r="G195">
        <v>0</v>
      </c>
      <c r="H195">
        <v>20277</v>
      </c>
      <c r="I195">
        <v>3545</v>
      </c>
      <c r="J195">
        <v>3596</v>
      </c>
      <c r="K195">
        <v>3596</v>
      </c>
      <c r="L195">
        <v>0.177343788528875</v>
      </c>
      <c r="M195" t="s">
        <v>652</v>
      </c>
      <c r="N195" t="s">
        <v>652</v>
      </c>
      <c r="O195" t="s">
        <v>652</v>
      </c>
      <c r="P195" t="s">
        <v>652</v>
      </c>
    </row>
    <row r="196" spans="1:16" hidden="1" x14ac:dyDescent="0.25">
      <c r="A196" t="s">
        <v>536</v>
      </c>
      <c r="B196" t="s">
        <v>537</v>
      </c>
      <c r="D196">
        <v>0</v>
      </c>
      <c r="F196">
        <v>0</v>
      </c>
      <c r="G196">
        <v>0</v>
      </c>
      <c r="H196">
        <v>286</v>
      </c>
      <c r="I196">
        <v>60</v>
      </c>
      <c r="J196">
        <v>60</v>
      </c>
      <c r="K196">
        <v>60</v>
      </c>
      <c r="L196">
        <v>0.20979020979021001</v>
      </c>
      <c r="M196" t="s">
        <v>652</v>
      </c>
      <c r="N196" t="s">
        <v>652</v>
      </c>
      <c r="O196" t="s">
        <v>652</v>
      </c>
      <c r="P196" t="s">
        <v>652</v>
      </c>
    </row>
    <row r="197" spans="1:16" hidden="1" x14ac:dyDescent="0.25">
      <c r="A197" t="s">
        <v>190</v>
      </c>
      <c r="B197" t="s">
        <v>191</v>
      </c>
      <c r="D197">
        <v>0</v>
      </c>
      <c r="F197">
        <v>0</v>
      </c>
      <c r="G197">
        <v>0</v>
      </c>
      <c r="H197">
        <v>89</v>
      </c>
      <c r="I197">
        <v>4</v>
      </c>
      <c r="J197">
        <v>4</v>
      </c>
      <c r="K197">
        <v>4</v>
      </c>
      <c r="L197">
        <v>4.49438202247191E-2</v>
      </c>
      <c r="M197" t="s">
        <v>87</v>
      </c>
      <c r="N197" t="s">
        <v>87</v>
      </c>
      <c r="O197" t="s">
        <v>87</v>
      </c>
      <c r="P197" t="s">
        <v>87</v>
      </c>
    </row>
    <row r="198" spans="1:16" hidden="1" x14ac:dyDescent="0.25">
      <c r="A198" t="s">
        <v>293</v>
      </c>
      <c r="B198" t="s">
        <v>294</v>
      </c>
      <c r="D198">
        <v>0</v>
      </c>
      <c r="F198">
        <v>1</v>
      </c>
      <c r="G198">
        <v>0</v>
      </c>
      <c r="H198">
        <v>255</v>
      </c>
      <c r="I198">
        <v>24</v>
      </c>
      <c r="J198">
        <v>25</v>
      </c>
      <c r="K198">
        <v>25</v>
      </c>
      <c r="L198">
        <v>9.8039215686274495E-2</v>
      </c>
      <c r="M198" t="s">
        <v>652</v>
      </c>
      <c r="N198" t="s">
        <v>87</v>
      </c>
      <c r="O198" t="s">
        <v>652</v>
      </c>
      <c r="P198" t="s">
        <v>652</v>
      </c>
    </row>
    <row r="199" spans="1:16" hidden="1" x14ac:dyDescent="0.25">
      <c r="A199" t="s">
        <v>192</v>
      </c>
      <c r="B199" t="s">
        <v>193</v>
      </c>
      <c r="D199">
        <v>0</v>
      </c>
      <c r="F199">
        <v>29</v>
      </c>
      <c r="G199">
        <v>0</v>
      </c>
      <c r="H199">
        <v>11785</v>
      </c>
      <c r="I199">
        <v>601</v>
      </c>
      <c r="J199">
        <v>630</v>
      </c>
      <c r="K199">
        <v>630</v>
      </c>
      <c r="L199">
        <v>5.3457785320322401E-2</v>
      </c>
      <c r="M199" t="s">
        <v>652</v>
      </c>
      <c r="N199" t="s">
        <v>87</v>
      </c>
      <c r="O199" t="s">
        <v>652</v>
      </c>
      <c r="P199" t="s">
        <v>652</v>
      </c>
    </row>
    <row r="200" spans="1:16" hidden="1" x14ac:dyDescent="0.25">
      <c r="A200" t="s">
        <v>82</v>
      </c>
      <c r="B200" t="s">
        <v>1396</v>
      </c>
      <c r="C200" t="s">
        <v>64</v>
      </c>
      <c r="D200">
        <v>0</v>
      </c>
      <c r="E200">
        <v>0</v>
      </c>
      <c r="F200">
        <v>0</v>
      </c>
      <c r="G200">
        <v>0</v>
      </c>
      <c r="H200">
        <v>260.62217257749199</v>
      </c>
      <c r="I200">
        <v>30.256</v>
      </c>
      <c r="J200">
        <v>30.256</v>
      </c>
      <c r="K200">
        <v>0</v>
      </c>
      <c r="L200">
        <v>0.116091427297897</v>
      </c>
      <c r="M200" t="s">
        <v>652</v>
      </c>
      <c r="N200" t="s">
        <v>87</v>
      </c>
      <c r="O200" t="s">
        <v>652</v>
      </c>
      <c r="P200" t="s">
        <v>652</v>
      </c>
    </row>
    <row r="201" spans="1:16" hidden="1" x14ac:dyDescent="0.25">
      <c r="A201" t="s">
        <v>538</v>
      </c>
      <c r="B201" t="s">
        <v>539</v>
      </c>
      <c r="D201">
        <v>0</v>
      </c>
      <c r="F201">
        <v>10</v>
      </c>
      <c r="G201">
        <v>0</v>
      </c>
      <c r="H201">
        <v>1534</v>
      </c>
      <c r="I201">
        <v>224</v>
      </c>
      <c r="J201">
        <v>234</v>
      </c>
      <c r="K201">
        <v>234</v>
      </c>
      <c r="L201">
        <v>0.152542372881356</v>
      </c>
      <c r="M201" t="s">
        <v>652</v>
      </c>
      <c r="N201" t="s">
        <v>652</v>
      </c>
      <c r="O201" t="s">
        <v>652</v>
      </c>
      <c r="P201" t="s">
        <v>652</v>
      </c>
    </row>
    <row r="202" spans="1:16" hidden="1" x14ac:dyDescent="0.25">
      <c r="A202" t="s">
        <v>540</v>
      </c>
      <c r="B202" t="s">
        <v>541</v>
      </c>
      <c r="D202">
        <v>0</v>
      </c>
      <c r="F202">
        <v>1</v>
      </c>
      <c r="G202">
        <v>0</v>
      </c>
      <c r="H202">
        <v>362</v>
      </c>
      <c r="I202">
        <v>58</v>
      </c>
      <c r="J202">
        <v>59</v>
      </c>
      <c r="K202">
        <v>59</v>
      </c>
      <c r="L202">
        <v>0.162983425414365</v>
      </c>
      <c r="M202" t="s">
        <v>652</v>
      </c>
      <c r="N202" t="s">
        <v>652</v>
      </c>
      <c r="O202" t="s">
        <v>652</v>
      </c>
      <c r="P202" t="s">
        <v>652</v>
      </c>
    </row>
    <row r="203" spans="1:16" hidden="1" x14ac:dyDescent="0.25">
      <c r="A203" t="s">
        <v>542</v>
      </c>
      <c r="B203" t="s">
        <v>543</v>
      </c>
      <c r="D203">
        <v>0</v>
      </c>
      <c r="F203">
        <v>14</v>
      </c>
      <c r="G203">
        <v>0</v>
      </c>
      <c r="H203">
        <v>4229</v>
      </c>
      <c r="I203">
        <v>519</v>
      </c>
      <c r="J203">
        <v>533</v>
      </c>
      <c r="K203">
        <v>533</v>
      </c>
      <c r="L203">
        <v>0.126034523528021</v>
      </c>
      <c r="M203" t="s">
        <v>652</v>
      </c>
      <c r="N203" t="s">
        <v>87</v>
      </c>
      <c r="O203" t="s">
        <v>652</v>
      </c>
      <c r="P203" t="s">
        <v>652</v>
      </c>
    </row>
    <row r="204" spans="1:16" hidden="1" x14ac:dyDescent="0.25">
      <c r="A204" t="s">
        <v>544</v>
      </c>
      <c r="B204" t="s">
        <v>545</v>
      </c>
      <c r="D204">
        <v>0</v>
      </c>
      <c r="F204">
        <v>11</v>
      </c>
      <c r="G204">
        <v>0</v>
      </c>
      <c r="H204">
        <v>1312</v>
      </c>
      <c r="I204">
        <v>188</v>
      </c>
      <c r="J204">
        <v>199</v>
      </c>
      <c r="K204">
        <v>199</v>
      </c>
      <c r="L204">
        <v>0.15167682926829301</v>
      </c>
      <c r="M204" t="s">
        <v>652</v>
      </c>
      <c r="N204" t="s">
        <v>652</v>
      </c>
      <c r="O204" t="s">
        <v>652</v>
      </c>
      <c r="P204" t="s">
        <v>652</v>
      </c>
    </row>
    <row r="205" spans="1:16" hidden="1" x14ac:dyDescent="0.25">
      <c r="A205" t="s">
        <v>546</v>
      </c>
      <c r="B205" t="s">
        <v>547</v>
      </c>
      <c r="D205">
        <v>0</v>
      </c>
      <c r="F205">
        <v>3</v>
      </c>
      <c r="G205">
        <v>0</v>
      </c>
      <c r="H205">
        <v>344</v>
      </c>
      <c r="I205">
        <v>55</v>
      </c>
      <c r="J205">
        <v>58</v>
      </c>
      <c r="K205">
        <v>58</v>
      </c>
      <c r="L205">
        <v>0.168604651162791</v>
      </c>
      <c r="M205" t="s">
        <v>652</v>
      </c>
      <c r="N205" t="s">
        <v>652</v>
      </c>
      <c r="O205" t="s">
        <v>652</v>
      </c>
      <c r="P205" t="s">
        <v>652</v>
      </c>
    </row>
    <row r="206" spans="1:16" hidden="1" x14ac:dyDescent="0.25">
      <c r="A206" t="s">
        <v>77</v>
      </c>
      <c r="B206" t="s">
        <v>34</v>
      </c>
      <c r="C206" t="s">
        <v>61</v>
      </c>
      <c r="D206">
        <v>0</v>
      </c>
      <c r="E206">
        <v>0</v>
      </c>
      <c r="F206">
        <v>0</v>
      </c>
      <c r="G206">
        <v>0</v>
      </c>
      <c r="H206">
        <v>195.62471470492335</v>
      </c>
      <c r="I206">
        <v>16.375648121176823</v>
      </c>
      <c r="J206">
        <v>16.375648121176823</v>
      </c>
      <c r="K206">
        <v>0</v>
      </c>
      <c r="L206">
        <v>8.3709505447087995E-2</v>
      </c>
      <c r="M206" t="s">
        <v>652</v>
      </c>
      <c r="N206" t="s">
        <v>87</v>
      </c>
      <c r="O206" t="s">
        <v>652</v>
      </c>
      <c r="P206" t="s">
        <v>652</v>
      </c>
    </row>
    <row r="207" spans="1:16" hidden="1" x14ac:dyDescent="0.25">
      <c r="A207" t="s">
        <v>548</v>
      </c>
      <c r="B207" t="s">
        <v>549</v>
      </c>
      <c r="D207">
        <v>0</v>
      </c>
      <c r="F207">
        <v>5</v>
      </c>
      <c r="G207">
        <v>0</v>
      </c>
      <c r="H207">
        <v>2949</v>
      </c>
      <c r="I207">
        <v>283</v>
      </c>
      <c r="J207">
        <v>288</v>
      </c>
      <c r="K207">
        <v>288</v>
      </c>
      <c r="L207">
        <v>9.7660223804679605E-2</v>
      </c>
      <c r="M207" t="s">
        <v>652</v>
      </c>
      <c r="N207" t="s">
        <v>87</v>
      </c>
      <c r="O207" t="s">
        <v>652</v>
      </c>
      <c r="P207" t="s">
        <v>652</v>
      </c>
    </row>
    <row r="208" spans="1:16" hidden="1" x14ac:dyDescent="0.25">
      <c r="A208" t="s">
        <v>58</v>
      </c>
      <c r="B208" t="s">
        <v>1422</v>
      </c>
      <c r="D208">
        <v>0</v>
      </c>
      <c r="F208">
        <v>8</v>
      </c>
      <c r="G208">
        <v>0</v>
      </c>
      <c r="H208">
        <v>3365</v>
      </c>
      <c r="I208">
        <v>423</v>
      </c>
      <c r="J208">
        <v>431</v>
      </c>
      <c r="K208">
        <v>431</v>
      </c>
      <c r="L208">
        <v>0.12808320950965801</v>
      </c>
      <c r="M208" t="s">
        <v>652</v>
      </c>
      <c r="N208" t="s">
        <v>87</v>
      </c>
      <c r="O208" t="s">
        <v>652</v>
      </c>
      <c r="P208" t="s">
        <v>652</v>
      </c>
    </row>
    <row r="209" spans="1:16" hidden="1" x14ac:dyDescent="0.25">
      <c r="A209" t="s">
        <v>194</v>
      </c>
      <c r="B209" t="s">
        <v>195</v>
      </c>
      <c r="D209">
        <v>0</v>
      </c>
      <c r="F209">
        <v>41</v>
      </c>
      <c r="G209">
        <v>0</v>
      </c>
      <c r="H209">
        <v>25768</v>
      </c>
      <c r="I209">
        <v>2301</v>
      </c>
      <c r="J209">
        <v>2342</v>
      </c>
      <c r="K209">
        <v>2342</v>
      </c>
      <c r="L209">
        <v>9.0887923005277899E-2</v>
      </c>
      <c r="M209" t="s">
        <v>652</v>
      </c>
      <c r="N209" t="s">
        <v>87</v>
      </c>
      <c r="O209" t="s">
        <v>652</v>
      </c>
      <c r="P209" t="s">
        <v>652</v>
      </c>
    </row>
    <row r="210" spans="1:16" hidden="1" x14ac:dyDescent="0.25">
      <c r="A210" t="s">
        <v>550</v>
      </c>
      <c r="B210" t="s">
        <v>551</v>
      </c>
      <c r="D210">
        <v>0</v>
      </c>
      <c r="F210">
        <v>5</v>
      </c>
      <c r="G210">
        <v>0</v>
      </c>
      <c r="H210">
        <v>31</v>
      </c>
      <c r="I210">
        <v>9</v>
      </c>
      <c r="J210">
        <v>14</v>
      </c>
      <c r="K210">
        <v>14</v>
      </c>
      <c r="L210">
        <v>0.45161290322580599</v>
      </c>
      <c r="M210" t="s">
        <v>652</v>
      </c>
      <c r="N210" t="s">
        <v>652</v>
      </c>
      <c r="O210" t="s">
        <v>652</v>
      </c>
      <c r="P210" t="s">
        <v>652</v>
      </c>
    </row>
    <row r="211" spans="1:16" hidden="1" x14ac:dyDescent="0.25">
      <c r="A211" t="s">
        <v>552</v>
      </c>
      <c r="B211" t="s">
        <v>553</v>
      </c>
      <c r="D211">
        <v>0</v>
      </c>
      <c r="F211">
        <v>1</v>
      </c>
      <c r="G211">
        <v>0</v>
      </c>
      <c r="H211">
        <v>194</v>
      </c>
      <c r="I211">
        <v>23</v>
      </c>
      <c r="J211">
        <v>24</v>
      </c>
      <c r="K211">
        <v>24</v>
      </c>
      <c r="L211">
        <v>0.123711340206186</v>
      </c>
      <c r="M211" t="s">
        <v>652</v>
      </c>
      <c r="N211" t="s">
        <v>87</v>
      </c>
      <c r="O211" t="s">
        <v>652</v>
      </c>
      <c r="P211" t="s">
        <v>652</v>
      </c>
    </row>
    <row r="212" spans="1:16" hidden="1" x14ac:dyDescent="0.25">
      <c r="A212" t="s">
        <v>554</v>
      </c>
      <c r="B212" t="s">
        <v>555</v>
      </c>
      <c r="D212">
        <v>0</v>
      </c>
      <c r="F212">
        <v>6</v>
      </c>
      <c r="G212">
        <v>0</v>
      </c>
      <c r="H212">
        <v>1153</v>
      </c>
      <c r="I212">
        <v>165</v>
      </c>
      <c r="J212">
        <v>171</v>
      </c>
      <c r="K212">
        <v>171</v>
      </c>
      <c r="L212">
        <v>0.14830875975715499</v>
      </c>
      <c r="M212" t="s">
        <v>652</v>
      </c>
      <c r="N212" t="s">
        <v>87</v>
      </c>
      <c r="O212" t="s">
        <v>652</v>
      </c>
      <c r="P212" t="s">
        <v>652</v>
      </c>
    </row>
    <row r="213" spans="1:16" hidden="1" x14ac:dyDescent="0.25">
      <c r="A213" t="s">
        <v>556</v>
      </c>
      <c r="B213" t="s">
        <v>557</v>
      </c>
      <c r="D213">
        <v>0</v>
      </c>
      <c r="F213">
        <v>9</v>
      </c>
      <c r="G213">
        <v>0</v>
      </c>
      <c r="H213">
        <v>3126</v>
      </c>
      <c r="I213">
        <v>587</v>
      </c>
      <c r="J213">
        <v>596</v>
      </c>
      <c r="K213">
        <v>596</v>
      </c>
      <c r="L213">
        <v>0.19065898912348</v>
      </c>
      <c r="M213" t="s">
        <v>652</v>
      </c>
      <c r="N213" t="s">
        <v>652</v>
      </c>
      <c r="O213" t="s">
        <v>652</v>
      </c>
      <c r="P213" t="s">
        <v>652</v>
      </c>
    </row>
    <row r="214" spans="1:16" hidden="1" x14ac:dyDescent="0.25">
      <c r="A214" t="s">
        <v>69</v>
      </c>
      <c r="B214" t="s">
        <v>16</v>
      </c>
      <c r="C214" t="s">
        <v>57</v>
      </c>
      <c r="D214">
        <v>0</v>
      </c>
      <c r="E214">
        <v>0</v>
      </c>
      <c r="F214">
        <v>0</v>
      </c>
      <c r="G214">
        <v>0</v>
      </c>
      <c r="H214">
        <v>396.58809012875543</v>
      </c>
      <c r="I214">
        <v>68.584765756656438</v>
      </c>
      <c r="J214">
        <v>68.584765756656438</v>
      </c>
      <c r="K214">
        <v>0</v>
      </c>
      <c r="L214">
        <v>0.17293702827634</v>
      </c>
      <c r="M214" t="s">
        <v>652</v>
      </c>
      <c r="N214" t="s">
        <v>652</v>
      </c>
      <c r="O214" t="s">
        <v>652</v>
      </c>
      <c r="P214" t="s">
        <v>652</v>
      </c>
    </row>
    <row r="215" spans="1:16" hidden="1" x14ac:dyDescent="0.25">
      <c r="A215" t="s">
        <v>196</v>
      </c>
      <c r="B215" t="s">
        <v>197</v>
      </c>
      <c r="D215">
        <v>0</v>
      </c>
      <c r="F215">
        <v>3</v>
      </c>
      <c r="G215">
        <v>0</v>
      </c>
      <c r="H215">
        <v>1029</v>
      </c>
      <c r="I215">
        <v>58</v>
      </c>
      <c r="J215">
        <v>61</v>
      </c>
      <c r="K215">
        <v>61</v>
      </c>
      <c r="L215">
        <v>5.9280855199222597E-2</v>
      </c>
      <c r="M215" t="s">
        <v>652</v>
      </c>
      <c r="N215" t="s">
        <v>87</v>
      </c>
      <c r="O215" t="s">
        <v>652</v>
      </c>
      <c r="P215" t="s">
        <v>652</v>
      </c>
    </row>
    <row r="216" spans="1:16" hidden="1" x14ac:dyDescent="0.25">
      <c r="A216" t="s">
        <v>71</v>
      </c>
      <c r="B216" t="s">
        <v>22</v>
      </c>
      <c r="C216" t="s">
        <v>59</v>
      </c>
      <c r="D216">
        <v>0</v>
      </c>
      <c r="E216">
        <v>0</v>
      </c>
      <c r="F216">
        <v>0</v>
      </c>
      <c r="G216">
        <v>0</v>
      </c>
      <c r="H216">
        <v>176.57000732657238</v>
      </c>
      <c r="I216">
        <v>26.897313613039518</v>
      </c>
      <c r="J216">
        <v>26.897313613039518</v>
      </c>
      <c r="K216">
        <v>0</v>
      </c>
      <c r="L216">
        <v>0.152332290292609</v>
      </c>
      <c r="M216" t="s">
        <v>652</v>
      </c>
      <c r="N216" t="s">
        <v>652</v>
      </c>
      <c r="O216" t="s">
        <v>652</v>
      </c>
      <c r="P216" t="s">
        <v>652</v>
      </c>
    </row>
    <row r="217" spans="1:16" hidden="1" x14ac:dyDescent="0.25">
      <c r="A217" t="s">
        <v>558</v>
      </c>
      <c r="B217" t="s">
        <v>559</v>
      </c>
      <c r="D217">
        <v>0</v>
      </c>
      <c r="F217">
        <v>5</v>
      </c>
      <c r="G217">
        <v>0</v>
      </c>
      <c r="H217">
        <v>587</v>
      </c>
      <c r="I217">
        <v>126</v>
      </c>
      <c r="J217">
        <v>131</v>
      </c>
      <c r="K217">
        <v>131</v>
      </c>
      <c r="L217">
        <v>0.223168654173765</v>
      </c>
      <c r="M217" t="s">
        <v>652</v>
      </c>
      <c r="N217" t="s">
        <v>652</v>
      </c>
      <c r="O217" t="s">
        <v>652</v>
      </c>
      <c r="P217" t="s">
        <v>652</v>
      </c>
    </row>
    <row r="218" spans="1:16" hidden="1" x14ac:dyDescent="0.25">
      <c r="A218" t="s">
        <v>560</v>
      </c>
      <c r="B218" t="s">
        <v>561</v>
      </c>
      <c r="D218">
        <v>0</v>
      </c>
      <c r="F218">
        <v>6</v>
      </c>
      <c r="G218">
        <v>0</v>
      </c>
      <c r="H218">
        <v>996</v>
      </c>
      <c r="I218">
        <v>75</v>
      </c>
      <c r="J218">
        <v>81</v>
      </c>
      <c r="K218">
        <v>81</v>
      </c>
      <c r="L218">
        <v>8.1325301204819303E-2</v>
      </c>
      <c r="M218" t="s">
        <v>652</v>
      </c>
      <c r="N218" t="s">
        <v>87</v>
      </c>
      <c r="O218" t="s">
        <v>652</v>
      </c>
      <c r="P218" t="s">
        <v>652</v>
      </c>
    </row>
    <row r="219" spans="1:16" hidden="1" x14ac:dyDescent="0.25">
      <c r="A219" t="s">
        <v>562</v>
      </c>
      <c r="B219" t="s">
        <v>1423</v>
      </c>
      <c r="C219" t="s">
        <v>562</v>
      </c>
      <c r="D219">
        <v>0</v>
      </c>
      <c r="F219">
        <v>20</v>
      </c>
      <c r="G219">
        <v>0</v>
      </c>
      <c r="H219">
        <v>17551.566360052573</v>
      </c>
      <c r="I219">
        <v>2205.1649722109255</v>
      </c>
      <c r="J219">
        <v>2225.1649722109255</v>
      </c>
      <c r="K219">
        <v>2299</v>
      </c>
      <c r="L219">
        <v>0.12677871174366601</v>
      </c>
      <c r="M219" t="s">
        <v>652</v>
      </c>
      <c r="N219" t="s">
        <v>87</v>
      </c>
      <c r="O219" t="s">
        <v>652</v>
      </c>
      <c r="P219" t="s">
        <v>652</v>
      </c>
    </row>
    <row r="220" spans="1:16" hidden="1" x14ac:dyDescent="0.25">
      <c r="A220" t="s">
        <v>563</v>
      </c>
      <c r="B220" t="s">
        <v>564</v>
      </c>
      <c r="D220">
        <v>0</v>
      </c>
      <c r="F220">
        <v>4</v>
      </c>
      <c r="G220">
        <v>0</v>
      </c>
      <c r="H220">
        <v>379</v>
      </c>
      <c r="I220">
        <v>77</v>
      </c>
      <c r="J220">
        <v>81</v>
      </c>
      <c r="K220">
        <v>81</v>
      </c>
      <c r="L220">
        <v>0.213720316622691</v>
      </c>
      <c r="M220" t="s">
        <v>652</v>
      </c>
      <c r="N220" t="s">
        <v>652</v>
      </c>
      <c r="O220" t="s">
        <v>652</v>
      </c>
      <c r="P220" t="s">
        <v>652</v>
      </c>
    </row>
    <row r="221" spans="1:16" hidden="1" x14ac:dyDescent="0.25">
      <c r="A221" t="s">
        <v>198</v>
      </c>
      <c r="B221" t="s">
        <v>199</v>
      </c>
      <c r="D221">
        <v>0</v>
      </c>
      <c r="F221">
        <v>17</v>
      </c>
      <c r="G221">
        <v>0</v>
      </c>
      <c r="H221">
        <v>15747</v>
      </c>
      <c r="I221">
        <v>1252</v>
      </c>
      <c r="J221">
        <v>1269</v>
      </c>
      <c r="K221">
        <v>1269</v>
      </c>
      <c r="L221">
        <v>8.0586778433987399E-2</v>
      </c>
      <c r="M221" t="s">
        <v>652</v>
      </c>
      <c r="N221" t="s">
        <v>87</v>
      </c>
      <c r="O221" t="s">
        <v>652</v>
      </c>
      <c r="P221" t="s">
        <v>652</v>
      </c>
    </row>
    <row r="222" spans="1:16" hidden="1" x14ac:dyDescent="0.25">
      <c r="A222" t="s">
        <v>200</v>
      </c>
      <c r="B222" t="s">
        <v>201</v>
      </c>
      <c r="D222">
        <v>0</v>
      </c>
      <c r="F222">
        <v>5</v>
      </c>
      <c r="G222">
        <v>0</v>
      </c>
      <c r="H222">
        <v>4141</v>
      </c>
      <c r="I222">
        <v>157</v>
      </c>
      <c r="J222">
        <v>162</v>
      </c>
      <c r="K222">
        <v>162</v>
      </c>
      <c r="L222">
        <v>3.9120985269258599E-2</v>
      </c>
      <c r="M222" t="s">
        <v>652</v>
      </c>
      <c r="N222" t="s">
        <v>87</v>
      </c>
      <c r="O222" t="s">
        <v>87</v>
      </c>
      <c r="P222" t="s">
        <v>87</v>
      </c>
    </row>
    <row r="223" spans="1:16" hidden="1" x14ac:dyDescent="0.25">
      <c r="A223" t="s">
        <v>202</v>
      </c>
      <c r="B223" t="s">
        <v>203</v>
      </c>
      <c r="D223">
        <v>0</v>
      </c>
      <c r="F223">
        <v>1</v>
      </c>
      <c r="G223">
        <v>0</v>
      </c>
      <c r="H223">
        <v>416</v>
      </c>
      <c r="I223">
        <v>53</v>
      </c>
      <c r="J223">
        <v>54</v>
      </c>
      <c r="K223">
        <v>54</v>
      </c>
      <c r="L223">
        <v>0.12980769230769201</v>
      </c>
      <c r="M223" t="s">
        <v>652</v>
      </c>
      <c r="N223" t="s">
        <v>87</v>
      </c>
      <c r="O223" t="s">
        <v>652</v>
      </c>
      <c r="P223" t="s">
        <v>652</v>
      </c>
    </row>
    <row r="224" spans="1:16" hidden="1" x14ac:dyDescent="0.25">
      <c r="A224" t="s">
        <v>295</v>
      </c>
      <c r="B224" t="s">
        <v>296</v>
      </c>
      <c r="D224">
        <v>0</v>
      </c>
      <c r="F224">
        <v>20</v>
      </c>
      <c r="G224">
        <v>0</v>
      </c>
      <c r="H224">
        <v>2053</v>
      </c>
      <c r="I224">
        <v>193</v>
      </c>
      <c r="J224">
        <v>213</v>
      </c>
      <c r="K224">
        <v>213</v>
      </c>
      <c r="L224">
        <v>0.103750608865076</v>
      </c>
      <c r="M224" t="s">
        <v>652</v>
      </c>
      <c r="N224" t="s">
        <v>87</v>
      </c>
      <c r="O224" t="s">
        <v>652</v>
      </c>
      <c r="P224" t="s">
        <v>652</v>
      </c>
    </row>
    <row r="225" spans="1:16" hidden="1" x14ac:dyDescent="0.25">
      <c r="A225" t="s">
        <v>204</v>
      </c>
      <c r="B225" t="s">
        <v>205</v>
      </c>
      <c r="D225">
        <v>0</v>
      </c>
      <c r="F225">
        <v>1</v>
      </c>
      <c r="G225">
        <v>0</v>
      </c>
      <c r="H225">
        <v>3867</v>
      </c>
      <c r="I225">
        <v>130</v>
      </c>
      <c r="J225">
        <v>131</v>
      </c>
      <c r="K225">
        <v>131</v>
      </c>
      <c r="L225">
        <v>3.3876389966382203E-2</v>
      </c>
      <c r="M225" t="s">
        <v>652</v>
      </c>
      <c r="N225" t="s">
        <v>87</v>
      </c>
      <c r="O225" t="s">
        <v>87</v>
      </c>
      <c r="P225" t="s">
        <v>87</v>
      </c>
    </row>
    <row r="226" spans="1:16" hidden="1" x14ac:dyDescent="0.25">
      <c r="A226" t="s">
        <v>565</v>
      </c>
      <c r="B226" t="s">
        <v>566</v>
      </c>
      <c r="D226">
        <v>0</v>
      </c>
      <c r="F226">
        <v>22</v>
      </c>
      <c r="G226">
        <v>0</v>
      </c>
      <c r="H226">
        <v>2490</v>
      </c>
      <c r="I226">
        <v>241</v>
      </c>
      <c r="J226">
        <v>263</v>
      </c>
      <c r="K226">
        <v>263</v>
      </c>
      <c r="L226">
        <v>0.105622489959839</v>
      </c>
      <c r="M226" t="s">
        <v>652</v>
      </c>
      <c r="N226" t="s">
        <v>87</v>
      </c>
      <c r="O226" t="s">
        <v>652</v>
      </c>
      <c r="P226" t="s">
        <v>652</v>
      </c>
    </row>
    <row r="227" spans="1:16" hidden="1" x14ac:dyDescent="0.25">
      <c r="A227" t="s">
        <v>297</v>
      </c>
      <c r="B227" t="s">
        <v>298</v>
      </c>
      <c r="D227">
        <v>0</v>
      </c>
      <c r="F227">
        <v>0</v>
      </c>
      <c r="G227">
        <v>0</v>
      </c>
      <c r="H227">
        <v>43</v>
      </c>
      <c r="I227">
        <v>5</v>
      </c>
      <c r="J227">
        <v>5</v>
      </c>
      <c r="K227">
        <v>5</v>
      </c>
      <c r="L227">
        <v>0.116279069767442</v>
      </c>
      <c r="M227" t="s">
        <v>87</v>
      </c>
      <c r="N227" t="s">
        <v>87</v>
      </c>
      <c r="O227" t="s">
        <v>87</v>
      </c>
      <c r="P227" t="s">
        <v>87</v>
      </c>
    </row>
    <row r="228" spans="1:16" hidden="1" x14ac:dyDescent="0.25">
      <c r="A228" t="s">
        <v>1420</v>
      </c>
      <c r="B228" t="s">
        <v>1424</v>
      </c>
      <c r="C228" t="s">
        <v>63</v>
      </c>
      <c r="D228">
        <v>0</v>
      </c>
      <c r="E228">
        <v>0</v>
      </c>
      <c r="F228">
        <v>0</v>
      </c>
      <c r="G228">
        <v>0</v>
      </c>
      <c r="H228">
        <v>119.43862899490496</v>
      </c>
      <c r="I228">
        <v>12.66969778015512</v>
      </c>
      <c r="J228">
        <v>12.66969778015512</v>
      </c>
      <c r="K228">
        <v>0</v>
      </c>
      <c r="L228">
        <v>0.10607705301687299</v>
      </c>
      <c r="M228" t="s">
        <v>652</v>
      </c>
      <c r="N228" t="s">
        <v>87</v>
      </c>
      <c r="O228" t="s">
        <v>652</v>
      </c>
      <c r="P228" t="s">
        <v>652</v>
      </c>
    </row>
    <row r="229" spans="1:16" hidden="1" x14ac:dyDescent="0.25">
      <c r="A229" t="s">
        <v>567</v>
      </c>
      <c r="B229" t="s">
        <v>568</v>
      </c>
      <c r="D229">
        <v>0</v>
      </c>
      <c r="F229">
        <v>0</v>
      </c>
      <c r="G229">
        <v>0</v>
      </c>
      <c r="H229">
        <v>247</v>
      </c>
      <c r="I229">
        <v>29</v>
      </c>
      <c r="J229">
        <v>29</v>
      </c>
      <c r="K229">
        <v>29</v>
      </c>
      <c r="L229">
        <v>0.11740890688259099</v>
      </c>
      <c r="M229" t="s">
        <v>652</v>
      </c>
      <c r="N229" t="s">
        <v>87</v>
      </c>
      <c r="O229" t="s">
        <v>652</v>
      </c>
      <c r="P229" t="s">
        <v>652</v>
      </c>
    </row>
    <row r="230" spans="1:16" hidden="1" x14ac:dyDescent="0.25">
      <c r="A230" t="s">
        <v>569</v>
      </c>
      <c r="B230" t="s">
        <v>570</v>
      </c>
      <c r="D230">
        <v>0</v>
      </c>
      <c r="F230">
        <v>12</v>
      </c>
      <c r="G230">
        <v>0</v>
      </c>
      <c r="H230">
        <v>1640</v>
      </c>
      <c r="I230">
        <v>229</v>
      </c>
      <c r="J230">
        <v>241</v>
      </c>
      <c r="K230">
        <v>241</v>
      </c>
      <c r="L230">
        <v>0.146951219512195</v>
      </c>
      <c r="M230" t="s">
        <v>652</v>
      </c>
      <c r="N230" t="s">
        <v>87</v>
      </c>
      <c r="O230" t="s">
        <v>652</v>
      </c>
      <c r="P230" t="s">
        <v>652</v>
      </c>
    </row>
    <row r="231" spans="1:16" hidden="1" x14ac:dyDescent="0.25">
      <c r="A231" t="s">
        <v>206</v>
      </c>
      <c r="B231" t="s">
        <v>207</v>
      </c>
      <c r="D231">
        <v>0</v>
      </c>
      <c r="F231">
        <v>0</v>
      </c>
      <c r="G231">
        <v>0</v>
      </c>
      <c r="H231">
        <v>859</v>
      </c>
      <c r="I231">
        <v>75</v>
      </c>
      <c r="J231">
        <v>75</v>
      </c>
      <c r="K231">
        <v>75</v>
      </c>
      <c r="L231">
        <v>8.7310826542491296E-2</v>
      </c>
      <c r="M231" t="s">
        <v>652</v>
      </c>
      <c r="N231" t="s">
        <v>87</v>
      </c>
      <c r="O231" t="s">
        <v>652</v>
      </c>
      <c r="P231" t="s">
        <v>652</v>
      </c>
    </row>
    <row r="232" spans="1:16" hidden="1" x14ac:dyDescent="0.25">
      <c r="A232" t="s">
        <v>571</v>
      </c>
      <c r="B232" t="s">
        <v>572</v>
      </c>
      <c r="D232">
        <v>0</v>
      </c>
      <c r="F232">
        <v>0</v>
      </c>
      <c r="G232">
        <v>0</v>
      </c>
      <c r="H232">
        <v>109</v>
      </c>
      <c r="I232">
        <v>17</v>
      </c>
      <c r="J232">
        <v>17</v>
      </c>
      <c r="K232">
        <v>17</v>
      </c>
      <c r="L232">
        <v>0.155963302752294</v>
      </c>
      <c r="M232" t="s">
        <v>652</v>
      </c>
      <c r="N232" t="s">
        <v>652</v>
      </c>
      <c r="O232" t="s">
        <v>652</v>
      </c>
      <c r="P232" t="s">
        <v>652</v>
      </c>
    </row>
    <row r="233" spans="1:16" hidden="1" x14ac:dyDescent="0.25">
      <c r="A233" t="s">
        <v>81</v>
      </c>
      <c r="B233" t="s">
        <v>51</v>
      </c>
      <c r="C233" t="s">
        <v>63</v>
      </c>
      <c r="D233">
        <v>0</v>
      </c>
      <c r="E233">
        <v>0</v>
      </c>
      <c r="F233">
        <v>0</v>
      </c>
      <c r="G233">
        <v>0</v>
      </c>
      <c r="H233">
        <v>149.29828624363134</v>
      </c>
      <c r="I233">
        <v>18.029954533297673</v>
      </c>
      <c r="J233">
        <v>18.029954533297673</v>
      </c>
      <c r="K233">
        <v>0</v>
      </c>
      <c r="L233">
        <v>0.120764644973055</v>
      </c>
      <c r="M233" t="s">
        <v>652</v>
      </c>
      <c r="N233" t="s">
        <v>87</v>
      </c>
      <c r="O233" t="s">
        <v>652</v>
      </c>
      <c r="P233" t="s">
        <v>652</v>
      </c>
    </row>
    <row r="234" spans="1:16" hidden="1" x14ac:dyDescent="0.25">
      <c r="A234" t="s">
        <v>80</v>
      </c>
      <c r="B234" t="s">
        <v>47</v>
      </c>
      <c r="C234" t="s">
        <v>63</v>
      </c>
      <c r="D234">
        <v>0</v>
      </c>
      <c r="E234">
        <v>0</v>
      </c>
      <c r="F234">
        <v>0</v>
      </c>
      <c r="G234">
        <v>0</v>
      </c>
      <c r="H234">
        <v>60.867762853172643</v>
      </c>
      <c r="I234">
        <v>6.3348488900775601</v>
      </c>
      <c r="J234">
        <v>6.3348488900775601</v>
      </c>
      <c r="K234">
        <v>0</v>
      </c>
      <c r="L234">
        <v>0.104075599186366</v>
      </c>
      <c r="M234" t="s">
        <v>87</v>
      </c>
      <c r="N234" t="s">
        <v>87</v>
      </c>
      <c r="O234" t="s">
        <v>87</v>
      </c>
      <c r="P234" t="s">
        <v>87</v>
      </c>
    </row>
    <row r="235" spans="1:16" hidden="1" x14ac:dyDescent="0.25">
      <c r="A235" t="s">
        <v>59</v>
      </c>
      <c r="B235" t="s">
        <v>23</v>
      </c>
      <c r="C235" t="s">
        <v>59</v>
      </c>
      <c r="D235">
        <v>0</v>
      </c>
      <c r="F235">
        <v>73</v>
      </c>
      <c r="G235">
        <v>0</v>
      </c>
      <c r="H235">
        <v>69193.711178806931</v>
      </c>
      <c r="I235">
        <v>5868.3395713854507</v>
      </c>
      <c r="J235">
        <v>5941.3395713854507</v>
      </c>
      <c r="K235">
        <v>6094</v>
      </c>
      <c r="L235">
        <v>8.5865311603711206E-2</v>
      </c>
      <c r="M235" t="s">
        <v>652</v>
      </c>
      <c r="N235" t="s">
        <v>87</v>
      </c>
      <c r="O235" t="s">
        <v>652</v>
      </c>
      <c r="P235" t="s">
        <v>652</v>
      </c>
    </row>
    <row r="236" spans="1:16" hidden="1" x14ac:dyDescent="0.25">
      <c r="A236" t="s">
        <v>299</v>
      </c>
      <c r="B236" t="s">
        <v>300</v>
      </c>
      <c r="D236">
        <v>0</v>
      </c>
      <c r="F236">
        <v>17</v>
      </c>
      <c r="G236">
        <v>0</v>
      </c>
      <c r="H236">
        <v>5069</v>
      </c>
      <c r="I236">
        <v>440</v>
      </c>
      <c r="J236">
        <v>457</v>
      </c>
      <c r="K236">
        <v>457</v>
      </c>
      <c r="L236">
        <v>9.0155849279936903E-2</v>
      </c>
      <c r="M236" t="s">
        <v>652</v>
      </c>
      <c r="N236" t="s">
        <v>87</v>
      </c>
      <c r="O236" t="s">
        <v>652</v>
      </c>
      <c r="P236" t="s">
        <v>652</v>
      </c>
    </row>
    <row r="237" spans="1:16" hidden="1" x14ac:dyDescent="0.25">
      <c r="A237" t="s">
        <v>573</v>
      </c>
      <c r="B237" t="s">
        <v>574</v>
      </c>
      <c r="D237">
        <v>0</v>
      </c>
      <c r="F237">
        <v>8</v>
      </c>
      <c r="G237">
        <v>0</v>
      </c>
      <c r="H237">
        <v>4152</v>
      </c>
      <c r="I237">
        <v>534</v>
      </c>
      <c r="J237">
        <v>542</v>
      </c>
      <c r="K237">
        <v>542</v>
      </c>
      <c r="L237">
        <v>0.130539499036609</v>
      </c>
      <c r="M237" t="s">
        <v>652</v>
      </c>
      <c r="N237" t="s">
        <v>87</v>
      </c>
      <c r="O237" t="s">
        <v>652</v>
      </c>
      <c r="P237" t="s">
        <v>652</v>
      </c>
    </row>
    <row r="238" spans="1:16" hidden="1" x14ac:dyDescent="0.25">
      <c r="A238" t="s">
        <v>575</v>
      </c>
      <c r="B238" t="s">
        <v>576</v>
      </c>
      <c r="D238">
        <v>0</v>
      </c>
      <c r="F238">
        <v>3</v>
      </c>
      <c r="G238">
        <v>0</v>
      </c>
      <c r="H238">
        <v>322</v>
      </c>
      <c r="I238">
        <v>107</v>
      </c>
      <c r="J238">
        <v>110</v>
      </c>
      <c r="K238">
        <v>110</v>
      </c>
      <c r="L238">
        <v>0.341614906832298</v>
      </c>
      <c r="M238" t="s">
        <v>652</v>
      </c>
      <c r="N238" t="s">
        <v>652</v>
      </c>
      <c r="O238" t="s">
        <v>652</v>
      </c>
      <c r="P238" t="s">
        <v>652</v>
      </c>
    </row>
    <row r="239" spans="1:16" hidden="1" x14ac:dyDescent="0.25">
      <c r="A239" t="s">
        <v>577</v>
      </c>
      <c r="B239" t="s">
        <v>578</v>
      </c>
      <c r="D239">
        <v>0</v>
      </c>
      <c r="F239">
        <v>3</v>
      </c>
      <c r="G239">
        <v>0</v>
      </c>
      <c r="H239">
        <v>3102</v>
      </c>
      <c r="I239">
        <v>392</v>
      </c>
      <c r="J239">
        <v>395</v>
      </c>
      <c r="K239">
        <v>395</v>
      </c>
      <c r="L239">
        <v>0.12733720180528699</v>
      </c>
      <c r="M239" t="s">
        <v>652</v>
      </c>
      <c r="N239" t="s">
        <v>87</v>
      </c>
      <c r="O239" t="s">
        <v>652</v>
      </c>
      <c r="P239" t="s">
        <v>652</v>
      </c>
    </row>
    <row r="240" spans="1:16" hidden="1" x14ac:dyDescent="0.25">
      <c r="A240" t="s">
        <v>208</v>
      </c>
      <c r="B240" t="s">
        <v>209</v>
      </c>
      <c r="D240">
        <v>0</v>
      </c>
      <c r="F240">
        <v>0</v>
      </c>
      <c r="G240">
        <v>0</v>
      </c>
      <c r="H240">
        <v>22</v>
      </c>
      <c r="I240">
        <v>2</v>
      </c>
      <c r="J240">
        <v>2</v>
      </c>
      <c r="K240">
        <v>2</v>
      </c>
      <c r="L240">
        <v>9.0909090909090898E-2</v>
      </c>
      <c r="M240" t="s">
        <v>87</v>
      </c>
      <c r="N240" t="s">
        <v>87</v>
      </c>
      <c r="O240" t="s">
        <v>87</v>
      </c>
      <c r="P240" t="s">
        <v>87</v>
      </c>
    </row>
    <row r="241" spans="1:16" hidden="1" x14ac:dyDescent="0.25">
      <c r="A241" t="s">
        <v>579</v>
      </c>
      <c r="B241" t="s">
        <v>580</v>
      </c>
      <c r="D241">
        <v>0</v>
      </c>
      <c r="F241">
        <v>25</v>
      </c>
      <c r="G241">
        <v>0</v>
      </c>
      <c r="H241">
        <v>4241</v>
      </c>
      <c r="I241">
        <v>874</v>
      </c>
      <c r="J241">
        <v>899</v>
      </c>
      <c r="K241">
        <v>899</v>
      </c>
      <c r="L241">
        <v>0.211978307003065</v>
      </c>
      <c r="M241" t="s">
        <v>652</v>
      </c>
      <c r="N241" t="s">
        <v>652</v>
      </c>
      <c r="O241" t="s">
        <v>652</v>
      </c>
      <c r="P241" t="s">
        <v>652</v>
      </c>
    </row>
    <row r="242" spans="1:16" hidden="1" x14ac:dyDescent="0.25">
      <c r="A242" t="s">
        <v>210</v>
      </c>
      <c r="B242" t="s">
        <v>211</v>
      </c>
      <c r="D242">
        <v>0</v>
      </c>
      <c r="F242">
        <v>10</v>
      </c>
      <c r="G242">
        <v>0</v>
      </c>
      <c r="H242">
        <v>10480</v>
      </c>
      <c r="I242">
        <v>680</v>
      </c>
      <c r="J242">
        <v>690</v>
      </c>
      <c r="K242">
        <v>690</v>
      </c>
      <c r="L242">
        <v>6.5839694656488604E-2</v>
      </c>
      <c r="M242" t="s">
        <v>652</v>
      </c>
      <c r="N242" t="s">
        <v>87</v>
      </c>
      <c r="O242" t="s">
        <v>652</v>
      </c>
      <c r="P242" t="s">
        <v>652</v>
      </c>
    </row>
    <row r="243" spans="1:16" hidden="1" x14ac:dyDescent="0.25">
      <c r="A243" t="s">
        <v>301</v>
      </c>
      <c r="B243" t="s">
        <v>302</v>
      </c>
      <c r="D243">
        <v>0</v>
      </c>
      <c r="F243">
        <v>0</v>
      </c>
      <c r="G243">
        <v>0</v>
      </c>
      <c r="H243">
        <v>122</v>
      </c>
      <c r="I243">
        <v>17</v>
      </c>
      <c r="J243">
        <v>17</v>
      </c>
      <c r="K243">
        <v>17</v>
      </c>
      <c r="L243">
        <v>0.13934426229508201</v>
      </c>
      <c r="M243" t="s">
        <v>652</v>
      </c>
      <c r="N243" t="s">
        <v>87</v>
      </c>
      <c r="O243" t="s">
        <v>652</v>
      </c>
      <c r="P243" t="s">
        <v>652</v>
      </c>
    </row>
    <row r="244" spans="1:16" hidden="1" x14ac:dyDescent="0.25">
      <c r="A244" t="s">
        <v>212</v>
      </c>
      <c r="B244" t="s">
        <v>213</v>
      </c>
      <c r="D244">
        <v>0</v>
      </c>
      <c r="F244">
        <v>0</v>
      </c>
      <c r="G244">
        <v>0</v>
      </c>
      <c r="H244">
        <v>69</v>
      </c>
      <c r="I244">
        <v>5</v>
      </c>
      <c r="J244">
        <v>5</v>
      </c>
      <c r="K244">
        <v>5</v>
      </c>
      <c r="L244">
        <v>7.2463768115942004E-2</v>
      </c>
      <c r="M244" t="s">
        <v>87</v>
      </c>
      <c r="N244" t="s">
        <v>87</v>
      </c>
      <c r="O244" t="s">
        <v>87</v>
      </c>
      <c r="P244" t="s">
        <v>87</v>
      </c>
    </row>
    <row r="245" spans="1:16" hidden="1" x14ac:dyDescent="0.25">
      <c r="A245" t="s">
        <v>214</v>
      </c>
      <c r="B245" t="s">
        <v>215</v>
      </c>
      <c r="D245">
        <v>0</v>
      </c>
      <c r="F245">
        <v>16</v>
      </c>
      <c r="G245">
        <v>0</v>
      </c>
      <c r="H245">
        <v>10871</v>
      </c>
      <c r="I245">
        <v>542</v>
      </c>
      <c r="J245">
        <v>558</v>
      </c>
      <c r="K245">
        <v>558</v>
      </c>
      <c r="L245">
        <v>5.1329224542360399E-2</v>
      </c>
      <c r="M245" t="s">
        <v>652</v>
      </c>
      <c r="N245" t="s">
        <v>87</v>
      </c>
      <c r="O245" t="s">
        <v>652</v>
      </c>
      <c r="P245" t="s">
        <v>652</v>
      </c>
    </row>
    <row r="246" spans="1:16" hidden="1" x14ac:dyDescent="0.25">
      <c r="A246" t="s">
        <v>216</v>
      </c>
      <c r="B246" t="s">
        <v>217</v>
      </c>
      <c r="D246">
        <v>0</v>
      </c>
      <c r="F246">
        <v>8</v>
      </c>
      <c r="G246">
        <v>0</v>
      </c>
      <c r="H246">
        <v>7855</v>
      </c>
      <c r="I246">
        <v>193</v>
      </c>
      <c r="J246">
        <v>201</v>
      </c>
      <c r="K246">
        <v>201</v>
      </c>
      <c r="L246">
        <v>2.5588796944621298E-2</v>
      </c>
      <c r="M246" t="s">
        <v>652</v>
      </c>
      <c r="N246" t="s">
        <v>87</v>
      </c>
      <c r="O246" t="s">
        <v>87</v>
      </c>
      <c r="P246" t="s">
        <v>87</v>
      </c>
    </row>
    <row r="247" spans="1:16" hidden="1" x14ac:dyDescent="0.25">
      <c r="A247" t="s">
        <v>581</v>
      </c>
      <c r="B247" t="s">
        <v>582</v>
      </c>
      <c r="D247">
        <v>0</v>
      </c>
      <c r="F247">
        <v>0</v>
      </c>
      <c r="G247">
        <v>0</v>
      </c>
      <c r="H247">
        <v>607</v>
      </c>
      <c r="I247">
        <v>150</v>
      </c>
      <c r="J247">
        <v>150</v>
      </c>
      <c r="K247">
        <v>150</v>
      </c>
      <c r="L247">
        <v>0.24711696869851699</v>
      </c>
      <c r="M247" t="s">
        <v>652</v>
      </c>
      <c r="N247" t="s">
        <v>652</v>
      </c>
      <c r="O247" t="s">
        <v>652</v>
      </c>
      <c r="P247" t="s">
        <v>652</v>
      </c>
    </row>
    <row r="248" spans="1:16" hidden="1" x14ac:dyDescent="0.25">
      <c r="A248" t="s">
        <v>583</v>
      </c>
      <c r="B248" t="s">
        <v>584</v>
      </c>
      <c r="D248">
        <v>0</v>
      </c>
      <c r="F248">
        <v>0</v>
      </c>
      <c r="G248">
        <v>0</v>
      </c>
      <c r="H248">
        <v>358</v>
      </c>
      <c r="I248">
        <v>62</v>
      </c>
      <c r="J248">
        <v>62</v>
      </c>
      <c r="K248">
        <v>62</v>
      </c>
      <c r="L248">
        <v>0.17318435754189901</v>
      </c>
      <c r="M248" t="s">
        <v>652</v>
      </c>
      <c r="N248" t="s">
        <v>652</v>
      </c>
      <c r="O248" t="s">
        <v>652</v>
      </c>
      <c r="P248" t="s">
        <v>652</v>
      </c>
    </row>
    <row r="249" spans="1:16" hidden="1" x14ac:dyDescent="0.25">
      <c r="A249" t="s">
        <v>218</v>
      </c>
      <c r="B249" t="s">
        <v>219</v>
      </c>
      <c r="D249">
        <v>0</v>
      </c>
      <c r="F249">
        <v>29</v>
      </c>
      <c r="G249">
        <v>0</v>
      </c>
      <c r="H249">
        <v>11722</v>
      </c>
      <c r="I249">
        <v>944</v>
      </c>
      <c r="J249">
        <v>973</v>
      </c>
      <c r="K249">
        <v>973</v>
      </c>
      <c r="L249">
        <v>8.3006312915884603E-2</v>
      </c>
      <c r="M249" t="s">
        <v>652</v>
      </c>
      <c r="N249" t="s">
        <v>87</v>
      </c>
      <c r="O249" t="s">
        <v>652</v>
      </c>
      <c r="P249" t="s">
        <v>652</v>
      </c>
    </row>
    <row r="250" spans="1:16" hidden="1" x14ac:dyDescent="0.25">
      <c r="A250" t="s">
        <v>220</v>
      </c>
      <c r="B250" t="s">
        <v>221</v>
      </c>
      <c r="D250">
        <v>0</v>
      </c>
      <c r="F250">
        <v>5</v>
      </c>
      <c r="G250">
        <v>0</v>
      </c>
      <c r="H250">
        <v>1743</v>
      </c>
      <c r="I250">
        <v>137</v>
      </c>
      <c r="J250">
        <v>142</v>
      </c>
      <c r="K250">
        <v>142</v>
      </c>
      <c r="L250">
        <v>8.1468732071141706E-2</v>
      </c>
      <c r="M250" t="s">
        <v>652</v>
      </c>
      <c r="N250" t="s">
        <v>87</v>
      </c>
      <c r="O250" t="s">
        <v>652</v>
      </c>
      <c r="P250" t="s">
        <v>652</v>
      </c>
    </row>
    <row r="251" spans="1:16" hidden="1" x14ac:dyDescent="0.25">
      <c r="A251" t="s">
        <v>585</v>
      </c>
      <c r="B251" t="s">
        <v>586</v>
      </c>
      <c r="D251">
        <v>0</v>
      </c>
      <c r="F251">
        <v>4</v>
      </c>
      <c r="G251">
        <v>0</v>
      </c>
      <c r="H251">
        <v>362</v>
      </c>
      <c r="I251">
        <v>71</v>
      </c>
      <c r="J251">
        <v>75</v>
      </c>
      <c r="K251">
        <v>75</v>
      </c>
      <c r="L251">
        <v>0.207182320441989</v>
      </c>
      <c r="M251" t="s">
        <v>652</v>
      </c>
      <c r="N251" t="s">
        <v>652</v>
      </c>
      <c r="O251" t="s">
        <v>652</v>
      </c>
      <c r="P251" t="s">
        <v>652</v>
      </c>
    </row>
    <row r="252" spans="1:16" hidden="1" x14ac:dyDescent="0.25">
      <c r="A252" t="s">
        <v>61</v>
      </c>
      <c r="B252" t="s">
        <v>31</v>
      </c>
      <c r="C252" t="s">
        <v>61</v>
      </c>
      <c r="D252">
        <v>0</v>
      </c>
      <c r="F252">
        <v>170</v>
      </c>
      <c r="G252">
        <v>0</v>
      </c>
      <c r="H252">
        <v>34069.770166286282</v>
      </c>
      <c r="I252">
        <v>3782.5472764346036</v>
      </c>
      <c r="J252">
        <v>3952.5472764346036</v>
      </c>
      <c r="K252">
        <v>4074</v>
      </c>
      <c r="L252">
        <v>0.116013323751325</v>
      </c>
      <c r="M252" t="s">
        <v>652</v>
      </c>
      <c r="N252" t="s">
        <v>87</v>
      </c>
      <c r="O252" t="s">
        <v>652</v>
      </c>
      <c r="P252" t="s">
        <v>652</v>
      </c>
    </row>
    <row r="253" spans="1:16" hidden="1" x14ac:dyDescent="0.25">
      <c r="A253" t="s">
        <v>78</v>
      </c>
      <c r="B253" t="s">
        <v>36</v>
      </c>
      <c r="C253" t="s">
        <v>61</v>
      </c>
      <c r="D253">
        <v>0</v>
      </c>
      <c r="E253">
        <v>0</v>
      </c>
      <c r="F253">
        <v>0</v>
      </c>
      <c r="G253">
        <v>0</v>
      </c>
      <c r="H253">
        <v>998.83677861101899</v>
      </c>
      <c r="I253">
        <v>100.30084474220807</v>
      </c>
      <c r="J253">
        <v>100.30084474220807</v>
      </c>
      <c r="K253">
        <v>0</v>
      </c>
      <c r="L253">
        <v>0.100417652703664</v>
      </c>
      <c r="M253" t="s">
        <v>652</v>
      </c>
      <c r="N253" t="s">
        <v>87</v>
      </c>
      <c r="O253" t="s">
        <v>652</v>
      </c>
      <c r="P253" t="s">
        <v>652</v>
      </c>
    </row>
    <row r="254" spans="1:16" hidden="1" x14ac:dyDescent="0.25">
      <c r="A254" t="s">
        <v>587</v>
      </c>
      <c r="B254" t="s">
        <v>588</v>
      </c>
      <c r="D254">
        <v>0</v>
      </c>
      <c r="F254">
        <v>3</v>
      </c>
      <c r="G254">
        <v>0</v>
      </c>
      <c r="H254">
        <v>129</v>
      </c>
      <c r="I254">
        <v>33</v>
      </c>
      <c r="J254">
        <v>36</v>
      </c>
      <c r="K254">
        <v>36</v>
      </c>
      <c r="L254">
        <v>0.27906976744186002</v>
      </c>
      <c r="M254" t="s">
        <v>652</v>
      </c>
      <c r="N254" t="s">
        <v>652</v>
      </c>
      <c r="O254" t="s">
        <v>652</v>
      </c>
      <c r="P254" t="s">
        <v>652</v>
      </c>
    </row>
    <row r="255" spans="1:16" hidden="1" x14ac:dyDescent="0.25">
      <c r="A255" t="s">
        <v>589</v>
      </c>
      <c r="B255" t="s">
        <v>590</v>
      </c>
      <c r="D255">
        <v>0</v>
      </c>
      <c r="F255">
        <v>5</v>
      </c>
      <c r="G255">
        <v>0</v>
      </c>
      <c r="H255">
        <v>162</v>
      </c>
      <c r="I255">
        <v>14</v>
      </c>
      <c r="J255">
        <v>19</v>
      </c>
      <c r="K255">
        <v>19</v>
      </c>
      <c r="L255">
        <v>0.117283950617284</v>
      </c>
      <c r="M255" t="s">
        <v>652</v>
      </c>
      <c r="N255" t="s">
        <v>87</v>
      </c>
      <c r="O255" t="s">
        <v>652</v>
      </c>
      <c r="P255" t="s">
        <v>652</v>
      </c>
    </row>
    <row r="256" spans="1:16" hidden="1" x14ac:dyDescent="0.25">
      <c r="A256" t="s">
        <v>222</v>
      </c>
      <c r="B256" t="s">
        <v>223</v>
      </c>
      <c r="D256">
        <v>0</v>
      </c>
      <c r="F256">
        <v>10</v>
      </c>
      <c r="G256">
        <v>0</v>
      </c>
      <c r="H256">
        <v>5447</v>
      </c>
      <c r="I256">
        <v>395</v>
      </c>
      <c r="J256">
        <v>405</v>
      </c>
      <c r="K256">
        <v>405</v>
      </c>
      <c r="L256">
        <v>7.4352854782449102E-2</v>
      </c>
      <c r="M256" t="s">
        <v>652</v>
      </c>
      <c r="N256" t="s">
        <v>87</v>
      </c>
      <c r="O256" t="s">
        <v>652</v>
      </c>
      <c r="P256" t="s">
        <v>652</v>
      </c>
    </row>
    <row r="257" spans="1:16" hidden="1" x14ac:dyDescent="0.25">
      <c r="A257" t="s">
        <v>224</v>
      </c>
      <c r="B257" t="s">
        <v>225</v>
      </c>
      <c r="D257">
        <v>0</v>
      </c>
      <c r="F257">
        <v>0</v>
      </c>
      <c r="G257">
        <v>0</v>
      </c>
      <c r="H257">
        <v>25</v>
      </c>
      <c r="I257">
        <v>2</v>
      </c>
      <c r="J257">
        <v>2</v>
      </c>
      <c r="K257">
        <v>2</v>
      </c>
      <c r="L257">
        <v>0.08</v>
      </c>
      <c r="M257" t="s">
        <v>87</v>
      </c>
      <c r="N257" t="s">
        <v>87</v>
      </c>
      <c r="O257" t="s">
        <v>87</v>
      </c>
      <c r="P257" t="s">
        <v>87</v>
      </c>
    </row>
    <row r="258" spans="1:16" hidden="1" x14ac:dyDescent="0.25">
      <c r="A258" t="s">
        <v>591</v>
      </c>
      <c r="B258" t="s">
        <v>592</v>
      </c>
      <c r="D258">
        <v>0</v>
      </c>
      <c r="F258">
        <v>3</v>
      </c>
      <c r="G258">
        <v>0</v>
      </c>
      <c r="H258">
        <v>16</v>
      </c>
      <c r="I258">
        <v>2</v>
      </c>
      <c r="J258">
        <v>5</v>
      </c>
      <c r="K258">
        <v>5</v>
      </c>
      <c r="L258">
        <v>0.3125</v>
      </c>
      <c r="M258" t="s">
        <v>87</v>
      </c>
      <c r="N258" t="s">
        <v>87</v>
      </c>
      <c r="O258" t="s">
        <v>87</v>
      </c>
      <c r="P258" t="s">
        <v>87</v>
      </c>
    </row>
    <row r="259" spans="1:16" hidden="1" x14ac:dyDescent="0.25">
      <c r="A259" t="s">
        <v>226</v>
      </c>
      <c r="B259" t="s">
        <v>227</v>
      </c>
      <c r="D259">
        <v>0</v>
      </c>
      <c r="F259">
        <v>0</v>
      </c>
      <c r="G259">
        <v>0</v>
      </c>
      <c r="H259">
        <v>15</v>
      </c>
      <c r="I259">
        <v>1</v>
      </c>
      <c r="J259">
        <v>1</v>
      </c>
      <c r="K259">
        <v>1</v>
      </c>
      <c r="L259">
        <v>6.6666666666666693E-2</v>
      </c>
      <c r="M259" t="s">
        <v>87</v>
      </c>
      <c r="N259" t="s">
        <v>87</v>
      </c>
      <c r="O259" t="s">
        <v>87</v>
      </c>
      <c r="P259" t="s">
        <v>87</v>
      </c>
    </row>
    <row r="260" spans="1:16" hidden="1" x14ac:dyDescent="0.25">
      <c r="A260" t="s">
        <v>228</v>
      </c>
      <c r="B260" t="s">
        <v>229</v>
      </c>
      <c r="D260">
        <v>0</v>
      </c>
      <c r="F260">
        <v>9</v>
      </c>
      <c r="G260">
        <v>0</v>
      </c>
      <c r="H260">
        <v>3987</v>
      </c>
      <c r="I260">
        <v>257</v>
      </c>
      <c r="J260">
        <v>266</v>
      </c>
      <c r="K260">
        <v>266</v>
      </c>
      <c r="L260">
        <v>6.6716829696513699E-2</v>
      </c>
      <c r="M260" t="s">
        <v>652</v>
      </c>
      <c r="N260" t="s">
        <v>87</v>
      </c>
      <c r="O260" t="s">
        <v>652</v>
      </c>
      <c r="P260" t="s">
        <v>652</v>
      </c>
    </row>
    <row r="261" spans="1:16" hidden="1" x14ac:dyDescent="0.25">
      <c r="A261" t="s">
        <v>593</v>
      </c>
      <c r="B261" t="s">
        <v>594</v>
      </c>
      <c r="D261">
        <v>0</v>
      </c>
      <c r="F261">
        <v>0</v>
      </c>
      <c r="G261">
        <v>0</v>
      </c>
      <c r="H261">
        <v>53</v>
      </c>
      <c r="I261">
        <v>1</v>
      </c>
      <c r="J261">
        <v>1</v>
      </c>
      <c r="K261">
        <v>1</v>
      </c>
      <c r="L261">
        <v>1.88679245283019E-2</v>
      </c>
      <c r="M261" t="s">
        <v>87</v>
      </c>
      <c r="N261" t="s">
        <v>87</v>
      </c>
      <c r="O261" t="s">
        <v>87</v>
      </c>
      <c r="P261" t="s">
        <v>87</v>
      </c>
    </row>
    <row r="262" spans="1:16" hidden="1" x14ac:dyDescent="0.25">
      <c r="A262" t="s">
        <v>595</v>
      </c>
      <c r="B262" t="s">
        <v>596</v>
      </c>
      <c r="D262">
        <v>0</v>
      </c>
      <c r="F262">
        <v>3</v>
      </c>
      <c r="G262">
        <v>0</v>
      </c>
      <c r="H262">
        <v>885</v>
      </c>
      <c r="I262">
        <v>115</v>
      </c>
      <c r="J262">
        <v>118</v>
      </c>
      <c r="K262">
        <v>118</v>
      </c>
      <c r="L262">
        <v>0.133333333333333</v>
      </c>
      <c r="M262" t="s">
        <v>652</v>
      </c>
      <c r="N262" t="s">
        <v>87</v>
      </c>
      <c r="O262" t="s">
        <v>652</v>
      </c>
      <c r="P262" t="s">
        <v>652</v>
      </c>
    </row>
    <row r="263" spans="1:16" hidden="1" x14ac:dyDescent="0.25">
      <c r="A263" t="s">
        <v>230</v>
      </c>
      <c r="B263" t="s">
        <v>231</v>
      </c>
      <c r="D263">
        <v>0</v>
      </c>
      <c r="F263">
        <v>10</v>
      </c>
      <c r="G263">
        <v>0</v>
      </c>
      <c r="H263">
        <v>2534</v>
      </c>
      <c r="I263">
        <v>197</v>
      </c>
      <c r="J263">
        <v>207</v>
      </c>
      <c r="K263">
        <v>207</v>
      </c>
      <c r="L263">
        <v>8.1689029202841407E-2</v>
      </c>
      <c r="M263" t="s">
        <v>652</v>
      </c>
      <c r="N263" t="s">
        <v>87</v>
      </c>
      <c r="O263" t="s">
        <v>652</v>
      </c>
      <c r="P263" t="s">
        <v>652</v>
      </c>
    </row>
    <row r="264" spans="1:16" hidden="1" x14ac:dyDescent="0.25">
      <c r="A264" t="s">
        <v>597</v>
      </c>
      <c r="B264" t="s">
        <v>598</v>
      </c>
      <c r="D264">
        <v>0</v>
      </c>
      <c r="F264">
        <v>0</v>
      </c>
      <c r="G264">
        <v>0</v>
      </c>
      <c r="H264">
        <v>113</v>
      </c>
      <c r="I264">
        <v>26</v>
      </c>
      <c r="J264">
        <v>26</v>
      </c>
      <c r="K264">
        <v>26</v>
      </c>
      <c r="L264">
        <v>0.23008849557522101</v>
      </c>
      <c r="M264" t="s">
        <v>652</v>
      </c>
      <c r="N264" t="s">
        <v>652</v>
      </c>
      <c r="O264" t="s">
        <v>652</v>
      </c>
      <c r="P264" t="s">
        <v>652</v>
      </c>
    </row>
    <row r="265" spans="1:16" hidden="1" x14ac:dyDescent="0.25">
      <c r="A265" t="s">
        <v>72</v>
      </c>
      <c r="B265" t="s">
        <v>26</v>
      </c>
      <c r="C265" t="s">
        <v>59</v>
      </c>
      <c r="D265">
        <v>0</v>
      </c>
      <c r="E265">
        <v>0</v>
      </c>
      <c r="F265">
        <v>0</v>
      </c>
      <c r="G265">
        <v>0</v>
      </c>
      <c r="H265">
        <v>846.17780434196027</v>
      </c>
      <c r="I265">
        <v>100.31971023241778</v>
      </c>
      <c r="J265">
        <v>100.31971023241778</v>
      </c>
      <c r="K265">
        <v>0</v>
      </c>
      <c r="L265">
        <v>0.118556300717947</v>
      </c>
      <c r="M265" t="s">
        <v>652</v>
      </c>
      <c r="N265" t="s">
        <v>87</v>
      </c>
      <c r="O265" t="s">
        <v>652</v>
      </c>
      <c r="P265" t="s">
        <v>652</v>
      </c>
    </row>
    <row r="266" spans="1:16" hidden="1" x14ac:dyDescent="0.25">
      <c r="A266" t="s">
        <v>73</v>
      </c>
      <c r="B266" t="s">
        <v>28</v>
      </c>
      <c r="C266" t="s">
        <v>59</v>
      </c>
      <c r="D266">
        <v>0</v>
      </c>
      <c r="E266">
        <v>0</v>
      </c>
      <c r="F266">
        <v>0</v>
      </c>
      <c r="G266">
        <v>0</v>
      </c>
      <c r="H266">
        <v>229.54100952454374</v>
      </c>
      <c r="I266">
        <v>25.443404769091437</v>
      </c>
      <c r="J266">
        <v>25.443404769091437</v>
      </c>
      <c r="K266">
        <v>0</v>
      </c>
      <c r="L266">
        <v>0.110844701876119</v>
      </c>
      <c r="M266" t="s">
        <v>652</v>
      </c>
      <c r="N266" t="s">
        <v>87</v>
      </c>
      <c r="O266" t="s">
        <v>652</v>
      </c>
      <c r="P266" t="s">
        <v>652</v>
      </c>
    </row>
    <row r="267" spans="1:16" hidden="1" x14ac:dyDescent="0.25">
      <c r="A267" t="s">
        <v>232</v>
      </c>
      <c r="B267" t="s">
        <v>233</v>
      </c>
      <c r="D267">
        <v>0</v>
      </c>
      <c r="F267">
        <v>21</v>
      </c>
      <c r="G267">
        <v>0</v>
      </c>
      <c r="H267">
        <v>10704</v>
      </c>
      <c r="I267">
        <v>628</v>
      </c>
      <c r="J267">
        <v>649</v>
      </c>
      <c r="K267">
        <v>649</v>
      </c>
      <c r="L267">
        <v>6.0631539611360197E-2</v>
      </c>
      <c r="M267" t="s">
        <v>652</v>
      </c>
      <c r="N267" t="s">
        <v>87</v>
      </c>
      <c r="O267" t="s">
        <v>652</v>
      </c>
      <c r="P267" t="s">
        <v>652</v>
      </c>
    </row>
    <row r="268" spans="1:16" hidden="1" x14ac:dyDescent="0.25">
      <c r="A268" t="s">
        <v>599</v>
      </c>
      <c r="B268" t="s">
        <v>600</v>
      </c>
      <c r="D268">
        <v>0</v>
      </c>
      <c r="F268">
        <v>15</v>
      </c>
      <c r="G268">
        <v>0</v>
      </c>
      <c r="H268">
        <v>6163</v>
      </c>
      <c r="I268">
        <v>1378</v>
      </c>
      <c r="J268">
        <v>1393</v>
      </c>
      <c r="K268">
        <v>1393</v>
      </c>
      <c r="L268">
        <v>0.22602628589972401</v>
      </c>
      <c r="M268" t="s">
        <v>652</v>
      </c>
      <c r="N268" t="s">
        <v>652</v>
      </c>
      <c r="O268" t="s">
        <v>652</v>
      </c>
      <c r="P268" t="s">
        <v>652</v>
      </c>
    </row>
    <row r="269" spans="1:16" hidden="1" x14ac:dyDescent="0.25">
      <c r="A269" t="s">
        <v>67</v>
      </c>
      <c r="B269" t="s">
        <v>12</v>
      </c>
      <c r="C269" t="s">
        <v>55</v>
      </c>
      <c r="D269">
        <v>0</v>
      </c>
      <c r="E269">
        <v>0</v>
      </c>
      <c r="F269">
        <v>0</v>
      </c>
      <c r="G269">
        <v>0</v>
      </c>
      <c r="H269">
        <v>90.905421686747232</v>
      </c>
      <c r="I269">
        <v>18.442500930405689</v>
      </c>
      <c r="J269">
        <v>18.442500930405689</v>
      </c>
      <c r="K269">
        <v>0</v>
      </c>
      <c r="L269">
        <v>0.20287569859097099</v>
      </c>
      <c r="M269" t="s">
        <v>652</v>
      </c>
      <c r="N269" t="s">
        <v>652</v>
      </c>
      <c r="O269" t="s">
        <v>652</v>
      </c>
      <c r="P269" t="s">
        <v>652</v>
      </c>
    </row>
    <row r="270" spans="1:16" hidden="1" x14ac:dyDescent="0.25">
      <c r="A270" t="s">
        <v>62</v>
      </c>
      <c r="B270" t="s">
        <v>38</v>
      </c>
      <c r="C270" t="s">
        <v>62</v>
      </c>
      <c r="D270">
        <v>0</v>
      </c>
      <c r="F270">
        <v>88</v>
      </c>
      <c r="G270">
        <v>0</v>
      </c>
      <c r="H270">
        <v>33093.28592669432</v>
      </c>
      <c r="I270">
        <v>4815.9154747265557</v>
      </c>
      <c r="J270">
        <v>4903.9154747265557</v>
      </c>
      <c r="K270">
        <v>4961</v>
      </c>
      <c r="L270">
        <v>0.14818460413962301</v>
      </c>
      <c r="M270" t="s">
        <v>652</v>
      </c>
      <c r="N270" t="s">
        <v>87</v>
      </c>
      <c r="O270" t="s">
        <v>652</v>
      </c>
      <c r="P270" t="s">
        <v>652</v>
      </c>
    </row>
    <row r="271" spans="1:16" hidden="1" x14ac:dyDescent="0.25">
      <c r="A271" t="s">
        <v>601</v>
      </c>
      <c r="B271" t="s">
        <v>602</v>
      </c>
      <c r="D271">
        <v>0</v>
      </c>
      <c r="F271">
        <v>3</v>
      </c>
      <c r="G271">
        <v>0</v>
      </c>
      <c r="H271">
        <v>343</v>
      </c>
      <c r="I271">
        <v>43</v>
      </c>
      <c r="J271">
        <v>46</v>
      </c>
      <c r="K271">
        <v>46</v>
      </c>
      <c r="L271">
        <v>0.134110787172012</v>
      </c>
      <c r="M271" t="s">
        <v>652</v>
      </c>
      <c r="N271" t="s">
        <v>87</v>
      </c>
      <c r="O271" t="s">
        <v>652</v>
      </c>
      <c r="P271" t="s">
        <v>652</v>
      </c>
    </row>
    <row r="272" spans="1:16" hidden="1" x14ac:dyDescent="0.25">
      <c r="A272" t="s">
        <v>234</v>
      </c>
      <c r="B272" t="s">
        <v>235</v>
      </c>
      <c r="D272">
        <v>0</v>
      </c>
      <c r="F272">
        <v>2</v>
      </c>
      <c r="G272">
        <v>0</v>
      </c>
      <c r="H272">
        <v>9197</v>
      </c>
      <c r="I272">
        <v>400</v>
      </c>
      <c r="J272">
        <v>402</v>
      </c>
      <c r="K272">
        <v>402</v>
      </c>
      <c r="L272">
        <v>4.37099054039361E-2</v>
      </c>
      <c r="M272" t="s">
        <v>652</v>
      </c>
      <c r="N272" t="s">
        <v>87</v>
      </c>
      <c r="O272" t="s">
        <v>87</v>
      </c>
      <c r="P272" t="s">
        <v>87</v>
      </c>
    </row>
    <row r="273" spans="1:16" hidden="1" x14ac:dyDescent="0.25">
      <c r="A273" t="s">
        <v>236</v>
      </c>
      <c r="B273" t="s">
        <v>237</v>
      </c>
      <c r="D273">
        <v>0</v>
      </c>
      <c r="F273">
        <v>0</v>
      </c>
      <c r="G273">
        <v>0</v>
      </c>
      <c r="H273">
        <v>169</v>
      </c>
      <c r="I273">
        <v>17</v>
      </c>
      <c r="J273">
        <v>17</v>
      </c>
      <c r="K273">
        <v>17</v>
      </c>
      <c r="L273">
        <v>0.100591715976331</v>
      </c>
      <c r="M273" t="s">
        <v>652</v>
      </c>
      <c r="N273" t="s">
        <v>87</v>
      </c>
      <c r="O273" t="s">
        <v>652</v>
      </c>
      <c r="P273" t="s">
        <v>652</v>
      </c>
    </row>
    <row r="274" spans="1:16" hidden="1" x14ac:dyDescent="0.25">
      <c r="A274" t="s">
        <v>303</v>
      </c>
      <c r="B274" t="s">
        <v>304</v>
      </c>
      <c r="D274">
        <v>0</v>
      </c>
      <c r="F274">
        <v>10</v>
      </c>
      <c r="G274">
        <v>0</v>
      </c>
      <c r="H274">
        <v>1516</v>
      </c>
      <c r="I274">
        <v>127</v>
      </c>
      <c r="J274">
        <v>137</v>
      </c>
      <c r="K274">
        <v>137</v>
      </c>
      <c r="L274">
        <v>9.03693931398417E-2</v>
      </c>
      <c r="M274" t="s">
        <v>652</v>
      </c>
      <c r="N274" t="s">
        <v>87</v>
      </c>
      <c r="O274" t="s">
        <v>652</v>
      </c>
      <c r="P274" t="s">
        <v>652</v>
      </c>
    </row>
    <row r="275" spans="1:16" hidden="1" x14ac:dyDescent="0.25">
      <c r="A275" t="s">
        <v>238</v>
      </c>
      <c r="B275" t="s">
        <v>239</v>
      </c>
      <c r="D275">
        <v>0</v>
      </c>
      <c r="F275">
        <v>0</v>
      </c>
      <c r="G275">
        <v>0</v>
      </c>
      <c r="H275">
        <v>211</v>
      </c>
      <c r="I275">
        <v>29</v>
      </c>
      <c r="J275">
        <v>29</v>
      </c>
      <c r="K275">
        <v>29</v>
      </c>
      <c r="L275">
        <v>0.137440758293839</v>
      </c>
      <c r="M275" t="s">
        <v>652</v>
      </c>
      <c r="N275" t="s">
        <v>87</v>
      </c>
      <c r="O275" t="s">
        <v>652</v>
      </c>
      <c r="P275" t="s">
        <v>652</v>
      </c>
    </row>
    <row r="276" spans="1:16" hidden="1" x14ac:dyDescent="0.25">
      <c r="A276" t="s">
        <v>240</v>
      </c>
      <c r="B276" t="s">
        <v>241</v>
      </c>
      <c r="D276">
        <v>0</v>
      </c>
      <c r="F276">
        <v>11</v>
      </c>
      <c r="G276">
        <v>0</v>
      </c>
      <c r="H276">
        <v>875</v>
      </c>
      <c r="I276">
        <v>62</v>
      </c>
      <c r="J276">
        <v>73</v>
      </c>
      <c r="K276">
        <v>73</v>
      </c>
      <c r="L276">
        <v>8.3428571428571394E-2</v>
      </c>
      <c r="M276" t="s">
        <v>652</v>
      </c>
      <c r="N276" t="s">
        <v>87</v>
      </c>
      <c r="O276" t="s">
        <v>652</v>
      </c>
      <c r="P276" t="s">
        <v>652</v>
      </c>
    </row>
    <row r="277" spans="1:16" hidden="1" x14ac:dyDescent="0.25">
      <c r="A277" t="s">
        <v>603</v>
      </c>
      <c r="B277" t="s">
        <v>604</v>
      </c>
      <c r="D277">
        <v>0</v>
      </c>
      <c r="F277">
        <v>2</v>
      </c>
      <c r="G277">
        <v>0</v>
      </c>
      <c r="H277">
        <v>1095</v>
      </c>
      <c r="I277">
        <v>275</v>
      </c>
      <c r="J277">
        <v>277</v>
      </c>
      <c r="K277">
        <v>277</v>
      </c>
      <c r="L277">
        <v>0.25296803652967997</v>
      </c>
      <c r="M277" t="s">
        <v>652</v>
      </c>
      <c r="N277" t="s">
        <v>652</v>
      </c>
      <c r="O277" t="s">
        <v>652</v>
      </c>
      <c r="P277" t="s">
        <v>652</v>
      </c>
    </row>
    <row r="278" spans="1:16" hidden="1" x14ac:dyDescent="0.25">
      <c r="A278" t="s">
        <v>605</v>
      </c>
      <c r="B278" t="s">
        <v>606</v>
      </c>
      <c r="D278">
        <v>0</v>
      </c>
      <c r="F278">
        <v>9</v>
      </c>
      <c r="G278">
        <v>0</v>
      </c>
      <c r="H278">
        <v>3450</v>
      </c>
      <c r="I278">
        <v>714</v>
      </c>
      <c r="J278">
        <v>723</v>
      </c>
      <c r="K278">
        <v>723</v>
      </c>
      <c r="L278">
        <v>0.20956521739130399</v>
      </c>
      <c r="M278" t="s">
        <v>652</v>
      </c>
      <c r="N278" t="s">
        <v>652</v>
      </c>
      <c r="O278" t="s">
        <v>652</v>
      </c>
      <c r="P278" t="s">
        <v>652</v>
      </c>
    </row>
    <row r="279" spans="1:16" hidden="1" x14ac:dyDescent="0.25">
      <c r="A279" t="s">
        <v>242</v>
      </c>
      <c r="B279" t="s">
        <v>243</v>
      </c>
      <c r="D279">
        <v>0</v>
      </c>
      <c r="F279">
        <v>0</v>
      </c>
      <c r="G279">
        <v>0</v>
      </c>
      <c r="H279">
        <v>218</v>
      </c>
      <c r="I279">
        <v>21</v>
      </c>
      <c r="J279">
        <v>21</v>
      </c>
      <c r="K279">
        <v>21</v>
      </c>
      <c r="L279">
        <v>9.6330275229357804E-2</v>
      </c>
      <c r="M279" t="s">
        <v>652</v>
      </c>
      <c r="N279" t="s">
        <v>87</v>
      </c>
      <c r="O279" t="s">
        <v>652</v>
      </c>
      <c r="P279" t="s">
        <v>652</v>
      </c>
    </row>
    <row r="280" spans="1:16" hidden="1" x14ac:dyDescent="0.25">
      <c r="A280" t="s">
        <v>244</v>
      </c>
      <c r="B280" t="s">
        <v>245</v>
      </c>
      <c r="D280">
        <v>0</v>
      </c>
      <c r="F280">
        <v>3</v>
      </c>
      <c r="G280">
        <v>0</v>
      </c>
      <c r="H280">
        <v>780</v>
      </c>
      <c r="I280">
        <v>77</v>
      </c>
      <c r="J280">
        <v>80</v>
      </c>
      <c r="K280">
        <v>80</v>
      </c>
      <c r="L280">
        <v>0.102564102564103</v>
      </c>
      <c r="M280" t="s">
        <v>652</v>
      </c>
      <c r="N280" t="s">
        <v>87</v>
      </c>
      <c r="O280" t="s">
        <v>652</v>
      </c>
      <c r="P280" t="s">
        <v>652</v>
      </c>
    </row>
    <row r="281" spans="1:16" hidden="1" x14ac:dyDescent="0.25">
      <c r="A281" t="s">
        <v>607</v>
      </c>
      <c r="B281" t="s">
        <v>608</v>
      </c>
      <c r="D281">
        <v>0</v>
      </c>
      <c r="F281">
        <v>3</v>
      </c>
      <c r="G281">
        <v>0</v>
      </c>
      <c r="H281">
        <v>202</v>
      </c>
      <c r="I281">
        <v>32</v>
      </c>
      <c r="J281">
        <v>35</v>
      </c>
      <c r="K281">
        <v>35</v>
      </c>
      <c r="L281">
        <v>0.173267326732673</v>
      </c>
      <c r="M281" t="s">
        <v>652</v>
      </c>
      <c r="N281" t="s">
        <v>652</v>
      </c>
      <c r="O281" t="s">
        <v>652</v>
      </c>
      <c r="P281" t="s">
        <v>652</v>
      </c>
    </row>
    <row r="282" spans="1:16" hidden="1" x14ac:dyDescent="0.25">
      <c r="A282" t="s">
        <v>60</v>
      </c>
      <c r="B282" t="s">
        <v>42</v>
      </c>
      <c r="C282" t="s">
        <v>60</v>
      </c>
      <c r="D282">
        <v>0</v>
      </c>
      <c r="F282">
        <v>4</v>
      </c>
      <c r="G282">
        <v>0</v>
      </c>
      <c r="H282">
        <v>2179.733059548254</v>
      </c>
      <c r="I282">
        <v>454.47132548423872</v>
      </c>
      <c r="J282">
        <v>458.47132548423872</v>
      </c>
      <c r="K282">
        <v>647</v>
      </c>
      <c r="L282">
        <v>0.210333702778842</v>
      </c>
      <c r="M282" t="s">
        <v>652</v>
      </c>
      <c r="N282" t="s">
        <v>652</v>
      </c>
      <c r="O282" t="s">
        <v>652</v>
      </c>
      <c r="P282" t="s">
        <v>652</v>
      </c>
    </row>
    <row r="283" spans="1:16" hidden="1" x14ac:dyDescent="0.25">
      <c r="A283" t="s">
        <v>246</v>
      </c>
      <c r="B283" t="s">
        <v>247</v>
      </c>
      <c r="D283">
        <v>0</v>
      </c>
      <c r="F283">
        <v>15</v>
      </c>
      <c r="G283">
        <v>0</v>
      </c>
      <c r="H283">
        <v>6913</v>
      </c>
      <c r="I283">
        <v>537</v>
      </c>
      <c r="J283">
        <v>552</v>
      </c>
      <c r="K283">
        <v>552</v>
      </c>
      <c r="L283">
        <v>7.9849558802256596E-2</v>
      </c>
      <c r="M283" t="s">
        <v>652</v>
      </c>
      <c r="N283" t="s">
        <v>87</v>
      </c>
      <c r="O283" t="s">
        <v>652</v>
      </c>
      <c r="P283" t="s">
        <v>652</v>
      </c>
    </row>
    <row r="284" spans="1:16" hidden="1" x14ac:dyDescent="0.25">
      <c r="A284" t="s">
        <v>609</v>
      </c>
      <c r="B284" t="s">
        <v>610</v>
      </c>
      <c r="D284">
        <v>0</v>
      </c>
      <c r="F284">
        <v>6</v>
      </c>
      <c r="G284">
        <v>0</v>
      </c>
      <c r="H284">
        <v>805</v>
      </c>
      <c r="I284">
        <v>247</v>
      </c>
      <c r="J284">
        <v>253</v>
      </c>
      <c r="K284">
        <v>253</v>
      </c>
      <c r="L284">
        <v>0.314285714285714</v>
      </c>
      <c r="M284" t="s">
        <v>652</v>
      </c>
      <c r="N284" t="s">
        <v>652</v>
      </c>
      <c r="O284" t="s">
        <v>652</v>
      </c>
      <c r="P284" t="s">
        <v>652</v>
      </c>
    </row>
    <row r="285" spans="1:16" hidden="1" x14ac:dyDescent="0.25">
      <c r="A285" t="s">
        <v>248</v>
      </c>
      <c r="B285" t="s">
        <v>249</v>
      </c>
      <c r="D285">
        <v>0</v>
      </c>
      <c r="F285">
        <v>3</v>
      </c>
      <c r="G285">
        <v>0</v>
      </c>
      <c r="H285">
        <v>5734</v>
      </c>
      <c r="I285">
        <v>549</v>
      </c>
      <c r="J285">
        <v>552</v>
      </c>
      <c r="K285">
        <v>552</v>
      </c>
      <c r="L285">
        <v>9.6267875828391997E-2</v>
      </c>
      <c r="M285" t="s">
        <v>652</v>
      </c>
      <c r="N285" t="s">
        <v>87</v>
      </c>
      <c r="O285" t="s">
        <v>652</v>
      </c>
      <c r="P285" t="s">
        <v>652</v>
      </c>
    </row>
    <row r="286" spans="1:16" hidden="1" x14ac:dyDescent="0.25">
      <c r="A286" t="s">
        <v>611</v>
      </c>
      <c r="B286" t="s">
        <v>612</v>
      </c>
      <c r="D286">
        <v>0</v>
      </c>
      <c r="F286">
        <v>6</v>
      </c>
      <c r="G286">
        <v>0</v>
      </c>
      <c r="H286">
        <v>288</v>
      </c>
      <c r="I286">
        <v>64</v>
      </c>
      <c r="J286">
        <v>70</v>
      </c>
      <c r="K286">
        <v>70</v>
      </c>
      <c r="L286">
        <v>0.243055555555556</v>
      </c>
      <c r="M286" t="s">
        <v>652</v>
      </c>
      <c r="N286" t="s">
        <v>652</v>
      </c>
      <c r="O286" t="s">
        <v>652</v>
      </c>
      <c r="P286" t="s">
        <v>652</v>
      </c>
    </row>
    <row r="287" spans="1:16" hidden="1" x14ac:dyDescent="0.25">
      <c r="A287" t="s">
        <v>63</v>
      </c>
      <c r="B287" t="s">
        <v>48</v>
      </c>
      <c r="C287" t="s">
        <v>63</v>
      </c>
      <c r="D287">
        <v>0</v>
      </c>
      <c r="F287">
        <v>64</v>
      </c>
      <c r="G287">
        <v>0</v>
      </c>
      <c r="H287">
        <v>24465.395321908287</v>
      </c>
      <c r="I287">
        <v>2695.9654987964705</v>
      </c>
      <c r="J287">
        <v>2759.9654987964705</v>
      </c>
      <c r="K287">
        <v>2797</v>
      </c>
      <c r="L287">
        <v>0.11281099129941199</v>
      </c>
      <c r="M287" t="s">
        <v>652</v>
      </c>
      <c r="N287" t="s">
        <v>87</v>
      </c>
      <c r="O287" t="s">
        <v>652</v>
      </c>
      <c r="P287" t="s">
        <v>652</v>
      </c>
    </row>
    <row r="288" spans="1:16" hidden="1" x14ac:dyDescent="0.25">
      <c r="A288" t="s">
        <v>250</v>
      </c>
      <c r="B288" t="s">
        <v>251</v>
      </c>
      <c r="D288">
        <v>0</v>
      </c>
      <c r="F288">
        <v>3</v>
      </c>
      <c r="G288">
        <v>0</v>
      </c>
      <c r="H288">
        <v>1432</v>
      </c>
      <c r="I288">
        <v>111</v>
      </c>
      <c r="J288">
        <v>114</v>
      </c>
      <c r="K288">
        <v>114</v>
      </c>
      <c r="L288">
        <v>7.9608938547486005E-2</v>
      </c>
      <c r="M288" t="s">
        <v>652</v>
      </c>
      <c r="N288" t="s">
        <v>87</v>
      </c>
      <c r="O288" t="s">
        <v>652</v>
      </c>
      <c r="P288" t="s">
        <v>652</v>
      </c>
    </row>
    <row r="289" spans="1:16" hidden="1" x14ac:dyDescent="0.25">
      <c r="A289" t="s">
        <v>613</v>
      </c>
      <c r="B289" t="s">
        <v>614</v>
      </c>
      <c r="D289">
        <v>0</v>
      </c>
      <c r="F289">
        <v>2</v>
      </c>
      <c r="G289">
        <v>0</v>
      </c>
      <c r="H289">
        <v>500</v>
      </c>
      <c r="I289">
        <v>77</v>
      </c>
      <c r="J289">
        <v>79</v>
      </c>
      <c r="K289">
        <v>79</v>
      </c>
      <c r="L289">
        <v>0.158</v>
      </c>
      <c r="M289" t="s">
        <v>652</v>
      </c>
      <c r="N289" t="s">
        <v>652</v>
      </c>
      <c r="O289" t="s">
        <v>652</v>
      </c>
      <c r="P289" t="s">
        <v>652</v>
      </c>
    </row>
    <row r="290" spans="1:16" hidden="1" x14ac:dyDescent="0.25">
      <c r="A290" t="s">
        <v>615</v>
      </c>
      <c r="B290" t="s">
        <v>616</v>
      </c>
      <c r="D290">
        <v>0</v>
      </c>
      <c r="F290">
        <v>1</v>
      </c>
      <c r="G290">
        <v>0</v>
      </c>
      <c r="H290">
        <v>2005</v>
      </c>
      <c r="I290">
        <v>353</v>
      </c>
      <c r="J290">
        <v>354</v>
      </c>
      <c r="K290">
        <v>354</v>
      </c>
      <c r="L290">
        <v>0.176558603491272</v>
      </c>
      <c r="M290" t="s">
        <v>652</v>
      </c>
      <c r="N290" t="s">
        <v>652</v>
      </c>
      <c r="O290" t="s">
        <v>652</v>
      </c>
      <c r="P290" t="s">
        <v>652</v>
      </c>
    </row>
    <row r="291" spans="1:16" hidden="1" x14ac:dyDescent="0.25">
      <c r="A291" t="s">
        <v>617</v>
      </c>
      <c r="B291" t="s">
        <v>618</v>
      </c>
      <c r="D291">
        <v>0</v>
      </c>
      <c r="F291">
        <v>0</v>
      </c>
      <c r="G291">
        <v>0</v>
      </c>
      <c r="H291">
        <v>273</v>
      </c>
      <c r="I291">
        <v>15</v>
      </c>
      <c r="J291">
        <v>15</v>
      </c>
      <c r="K291">
        <v>15</v>
      </c>
      <c r="L291">
        <v>5.4945054945054903E-2</v>
      </c>
      <c r="M291" t="s">
        <v>652</v>
      </c>
      <c r="N291" t="s">
        <v>87</v>
      </c>
      <c r="O291" t="s">
        <v>652</v>
      </c>
      <c r="P291" t="s">
        <v>652</v>
      </c>
    </row>
    <row r="292" spans="1:16" hidden="1" x14ac:dyDescent="0.25">
      <c r="A292" t="s">
        <v>619</v>
      </c>
      <c r="B292" t="s">
        <v>1397</v>
      </c>
      <c r="D292">
        <v>0</v>
      </c>
      <c r="F292">
        <v>19</v>
      </c>
      <c r="G292">
        <v>0</v>
      </c>
      <c r="H292">
        <v>5905</v>
      </c>
      <c r="I292">
        <v>777</v>
      </c>
      <c r="J292">
        <v>796</v>
      </c>
      <c r="K292">
        <v>796</v>
      </c>
      <c r="L292">
        <v>0.134801016088061</v>
      </c>
      <c r="M292" t="s">
        <v>652</v>
      </c>
      <c r="N292" t="s">
        <v>87</v>
      </c>
      <c r="O292" t="s">
        <v>652</v>
      </c>
      <c r="P292" t="s">
        <v>652</v>
      </c>
    </row>
    <row r="293" spans="1:16" hidden="1" x14ac:dyDescent="0.25">
      <c r="A293" t="s">
        <v>620</v>
      </c>
      <c r="B293" t="s">
        <v>621</v>
      </c>
      <c r="D293">
        <v>0</v>
      </c>
      <c r="F293">
        <v>18</v>
      </c>
      <c r="G293">
        <v>0</v>
      </c>
      <c r="H293">
        <v>3469</v>
      </c>
      <c r="I293">
        <v>858</v>
      </c>
      <c r="J293">
        <v>876</v>
      </c>
      <c r="K293">
        <v>876</v>
      </c>
      <c r="L293">
        <v>0.25252234073219898</v>
      </c>
      <c r="M293" t="s">
        <v>652</v>
      </c>
      <c r="N293" t="s">
        <v>652</v>
      </c>
      <c r="O293" t="s">
        <v>652</v>
      </c>
      <c r="P293" t="s">
        <v>652</v>
      </c>
    </row>
    <row r="294" spans="1:16" hidden="1" x14ac:dyDescent="0.25">
      <c r="A294" t="s">
        <v>622</v>
      </c>
      <c r="B294" t="s">
        <v>623</v>
      </c>
      <c r="D294">
        <v>0</v>
      </c>
      <c r="F294">
        <v>2</v>
      </c>
      <c r="G294">
        <v>0</v>
      </c>
      <c r="H294">
        <v>863</v>
      </c>
      <c r="I294">
        <v>165</v>
      </c>
      <c r="J294">
        <v>167</v>
      </c>
      <c r="K294">
        <v>167</v>
      </c>
      <c r="L294">
        <v>0.19351100811124</v>
      </c>
      <c r="M294" t="s">
        <v>652</v>
      </c>
      <c r="N294" t="s">
        <v>652</v>
      </c>
      <c r="O294" t="s">
        <v>652</v>
      </c>
      <c r="P294" t="s">
        <v>652</v>
      </c>
    </row>
    <row r="295" spans="1:16" hidden="1" x14ac:dyDescent="0.25">
      <c r="A295" t="s">
        <v>252</v>
      </c>
      <c r="B295" t="s">
        <v>253</v>
      </c>
      <c r="D295">
        <v>0</v>
      </c>
      <c r="F295">
        <v>14</v>
      </c>
      <c r="G295">
        <v>0</v>
      </c>
      <c r="H295">
        <v>3729</v>
      </c>
      <c r="I295">
        <v>260</v>
      </c>
      <c r="J295">
        <v>274</v>
      </c>
      <c r="K295">
        <v>274</v>
      </c>
      <c r="L295">
        <v>7.3478144274604404E-2</v>
      </c>
      <c r="M295" t="s">
        <v>652</v>
      </c>
      <c r="N295" t="s">
        <v>87</v>
      </c>
      <c r="O295" t="s">
        <v>652</v>
      </c>
      <c r="P295" t="s">
        <v>652</v>
      </c>
    </row>
    <row r="296" spans="1:16" hidden="1" x14ac:dyDescent="0.25">
      <c r="A296" t="s">
        <v>624</v>
      </c>
      <c r="B296" t="s">
        <v>625</v>
      </c>
      <c r="D296">
        <v>0</v>
      </c>
      <c r="F296">
        <v>0</v>
      </c>
      <c r="G296">
        <v>0</v>
      </c>
      <c r="H296">
        <v>66</v>
      </c>
      <c r="I296">
        <v>5</v>
      </c>
      <c r="J296">
        <v>5</v>
      </c>
      <c r="K296">
        <v>5</v>
      </c>
      <c r="L296">
        <v>7.5757575757575801E-2</v>
      </c>
      <c r="M296" t="s">
        <v>87</v>
      </c>
      <c r="N296" t="s">
        <v>87</v>
      </c>
      <c r="O296" t="s">
        <v>87</v>
      </c>
      <c r="P296" t="s">
        <v>87</v>
      </c>
    </row>
    <row r="297" spans="1:16" hidden="1" x14ac:dyDescent="0.25">
      <c r="A297" t="s">
        <v>626</v>
      </c>
      <c r="B297" t="s">
        <v>627</v>
      </c>
      <c r="D297">
        <v>0</v>
      </c>
      <c r="F297">
        <v>0</v>
      </c>
      <c r="G297">
        <v>0</v>
      </c>
      <c r="H297">
        <v>326</v>
      </c>
      <c r="I297">
        <v>45</v>
      </c>
      <c r="J297">
        <v>45</v>
      </c>
      <c r="K297">
        <v>45</v>
      </c>
      <c r="L297">
        <v>0.13803680981595101</v>
      </c>
      <c r="M297" t="s">
        <v>652</v>
      </c>
      <c r="N297" t="s">
        <v>87</v>
      </c>
      <c r="O297" t="s">
        <v>652</v>
      </c>
      <c r="P297" t="s">
        <v>652</v>
      </c>
    </row>
    <row r="298" spans="1:16" hidden="1" x14ac:dyDescent="0.25">
      <c r="A298" t="s">
        <v>628</v>
      </c>
      <c r="B298" t="s">
        <v>629</v>
      </c>
      <c r="D298">
        <v>0</v>
      </c>
      <c r="F298">
        <v>9</v>
      </c>
      <c r="G298">
        <v>0</v>
      </c>
      <c r="H298">
        <v>315</v>
      </c>
      <c r="I298">
        <v>62</v>
      </c>
      <c r="J298">
        <v>71</v>
      </c>
      <c r="K298">
        <v>71</v>
      </c>
      <c r="L298">
        <v>0.22539682539682501</v>
      </c>
      <c r="M298" t="s">
        <v>652</v>
      </c>
      <c r="N298" t="s">
        <v>652</v>
      </c>
      <c r="O298" t="s">
        <v>652</v>
      </c>
      <c r="P298" t="s">
        <v>652</v>
      </c>
    </row>
    <row r="299" spans="1:16" hidden="1" x14ac:dyDescent="0.25">
      <c r="A299" t="s">
        <v>64</v>
      </c>
      <c r="B299" t="s">
        <v>1389</v>
      </c>
      <c r="C299" t="s">
        <v>64</v>
      </c>
      <c r="D299">
        <v>0</v>
      </c>
      <c r="F299">
        <v>45</v>
      </c>
      <c r="G299">
        <v>0</v>
      </c>
      <c r="H299">
        <v>8147.3778274225106</v>
      </c>
      <c r="I299">
        <v>961.74400000000003</v>
      </c>
      <c r="J299">
        <v>1006.744</v>
      </c>
      <c r="K299">
        <v>1037</v>
      </c>
      <c r="L299">
        <v>0.123566627364634</v>
      </c>
      <c r="M299" t="s">
        <v>652</v>
      </c>
      <c r="N299" t="s">
        <v>87</v>
      </c>
      <c r="O299" t="s">
        <v>652</v>
      </c>
      <c r="P299" t="s">
        <v>652</v>
      </c>
    </row>
    <row r="300" spans="1:16" hidden="1" x14ac:dyDescent="0.25">
      <c r="A300" t="s">
        <v>305</v>
      </c>
      <c r="B300" t="s">
        <v>1385</v>
      </c>
      <c r="D300">
        <v>0</v>
      </c>
      <c r="F300">
        <v>12</v>
      </c>
      <c r="G300">
        <v>0</v>
      </c>
      <c r="H300">
        <v>3220</v>
      </c>
      <c r="I300">
        <v>260</v>
      </c>
      <c r="J300">
        <v>272</v>
      </c>
      <c r="K300">
        <v>272</v>
      </c>
      <c r="L300">
        <v>8.4472049689440998E-2</v>
      </c>
      <c r="M300" t="s">
        <v>652</v>
      </c>
      <c r="N300" t="s">
        <v>87</v>
      </c>
      <c r="O300" t="s">
        <v>652</v>
      </c>
      <c r="P300" t="s">
        <v>652</v>
      </c>
    </row>
    <row r="301" spans="1:16" hidden="1" x14ac:dyDescent="0.25">
      <c r="A301" t="s">
        <v>254</v>
      </c>
      <c r="B301" t="s">
        <v>1384</v>
      </c>
      <c r="D301">
        <v>0</v>
      </c>
      <c r="F301">
        <v>25</v>
      </c>
      <c r="G301">
        <v>0</v>
      </c>
      <c r="H301">
        <v>6250</v>
      </c>
      <c r="I301">
        <v>736</v>
      </c>
      <c r="J301">
        <v>761</v>
      </c>
      <c r="K301">
        <v>761</v>
      </c>
      <c r="L301">
        <v>0.12175999999999999</v>
      </c>
      <c r="M301" t="s">
        <v>652</v>
      </c>
      <c r="N301" t="s">
        <v>87</v>
      </c>
      <c r="O301" t="s">
        <v>652</v>
      </c>
      <c r="P301" t="s">
        <v>652</v>
      </c>
    </row>
    <row r="302" spans="1:16" hidden="1" x14ac:dyDescent="0.25">
      <c r="A302" t="s">
        <v>68</v>
      </c>
      <c r="B302" t="s">
        <v>1382</v>
      </c>
      <c r="C302" t="s">
        <v>56</v>
      </c>
      <c r="D302">
        <v>0</v>
      </c>
      <c r="E302">
        <v>0</v>
      </c>
      <c r="F302">
        <v>0</v>
      </c>
      <c r="G302">
        <v>0</v>
      </c>
      <c r="H302">
        <v>121.82697022767077</v>
      </c>
      <c r="I302">
        <v>8.0299202127659601</v>
      </c>
      <c r="J302">
        <v>8.0299202127659601</v>
      </c>
      <c r="K302">
        <v>0</v>
      </c>
      <c r="L302">
        <v>6.5912500308918501E-2</v>
      </c>
      <c r="M302" t="s">
        <v>87</v>
      </c>
      <c r="N302" t="s">
        <v>87</v>
      </c>
      <c r="O302" t="s">
        <v>87</v>
      </c>
      <c r="P302" t="s">
        <v>87</v>
      </c>
    </row>
    <row r="303" spans="1:16" hidden="1" x14ac:dyDescent="0.25">
      <c r="A303" t="s">
        <v>630</v>
      </c>
      <c r="B303" t="s">
        <v>631</v>
      </c>
      <c r="D303">
        <v>0</v>
      </c>
      <c r="F303">
        <v>2</v>
      </c>
      <c r="G303">
        <v>0</v>
      </c>
      <c r="H303">
        <v>481</v>
      </c>
      <c r="I303">
        <v>78</v>
      </c>
      <c r="J303">
        <v>80</v>
      </c>
      <c r="K303">
        <v>80</v>
      </c>
      <c r="L303">
        <v>0.166320166320166</v>
      </c>
      <c r="M303" t="s">
        <v>652</v>
      </c>
      <c r="N303" t="s">
        <v>652</v>
      </c>
      <c r="O303" t="s">
        <v>652</v>
      </c>
      <c r="P303" t="s">
        <v>652</v>
      </c>
    </row>
    <row r="304" spans="1:16" hidden="1" x14ac:dyDescent="0.25">
      <c r="A304" t="s">
        <v>255</v>
      </c>
      <c r="B304" t="s">
        <v>256</v>
      </c>
      <c r="D304">
        <v>0</v>
      </c>
      <c r="F304">
        <v>5</v>
      </c>
      <c r="G304">
        <v>0</v>
      </c>
      <c r="H304">
        <v>4736</v>
      </c>
      <c r="I304">
        <v>240</v>
      </c>
      <c r="J304">
        <v>245</v>
      </c>
      <c r="K304">
        <v>245</v>
      </c>
      <c r="L304">
        <v>5.1731418918918901E-2</v>
      </c>
      <c r="M304" t="s">
        <v>652</v>
      </c>
      <c r="N304" t="s">
        <v>87</v>
      </c>
      <c r="O304" t="s">
        <v>652</v>
      </c>
      <c r="P304" t="s">
        <v>652</v>
      </c>
    </row>
    <row r="305" spans="1:16" hidden="1" x14ac:dyDescent="0.25">
      <c r="A305" t="s">
        <v>306</v>
      </c>
      <c r="B305" t="s">
        <v>307</v>
      </c>
      <c r="D305">
        <v>0</v>
      </c>
      <c r="F305">
        <v>0</v>
      </c>
      <c r="G305">
        <v>0</v>
      </c>
      <c r="H305">
        <v>1230</v>
      </c>
      <c r="I305">
        <v>140</v>
      </c>
      <c r="J305">
        <v>140</v>
      </c>
      <c r="K305">
        <v>140</v>
      </c>
      <c r="L305">
        <v>0.113821138211382</v>
      </c>
      <c r="M305" t="s">
        <v>652</v>
      </c>
      <c r="N305" t="s">
        <v>87</v>
      </c>
      <c r="O305" t="s">
        <v>652</v>
      </c>
      <c r="P305" t="s">
        <v>652</v>
      </c>
    </row>
    <row r="306" spans="1:16" hidden="1" x14ac:dyDescent="0.25">
      <c r="A306" t="s">
        <v>257</v>
      </c>
      <c r="B306" t="s">
        <v>258</v>
      </c>
      <c r="D306">
        <v>0</v>
      </c>
      <c r="F306">
        <v>0</v>
      </c>
      <c r="G306">
        <v>0</v>
      </c>
      <c r="H306">
        <v>226</v>
      </c>
      <c r="I306">
        <v>39</v>
      </c>
      <c r="J306">
        <v>39</v>
      </c>
      <c r="K306">
        <v>39</v>
      </c>
      <c r="L306">
        <v>0.172566371681416</v>
      </c>
      <c r="M306" t="s">
        <v>652</v>
      </c>
      <c r="N306" t="s">
        <v>652</v>
      </c>
      <c r="O306" t="s">
        <v>652</v>
      </c>
      <c r="P306" t="s">
        <v>652</v>
      </c>
    </row>
    <row r="307" spans="1:16" hidden="1" x14ac:dyDescent="0.25">
      <c r="A307" t="s">
        <v>632</v>
      </c>
      <c r="B307" t="s">
        <v>633</v>
      </c>
      <c r="D307">
        <v>0</v>
      </c>
      <c r="F307">
        <v>1</v>
      </c>
      <c r="G307">
        <v>0</v>
      </c>
      <c r="H307">
        <v>305</v>
      </c>
      <c r="I307">
        <v>37</v>
      </c>
      <c r="J307">
        <v>38</v>
      </c>
      <c r="K307">
        <v>38</v>
      </c>
      <c r="L307">
        <v>0.124590163934426</v>
      </c>
      <c r="M307" t="s">
        <v>652</v>
      </c>
      <c r="N307" t="s">
        <v>87</v>
      </c>
      <c r="O307" t="s">
        <v>652</v>
      </c>
      <c r="P307" t="s">
        <v>652</v>
      </c>
    </row>
    <row r="308" spans="1:16" hidden="1" x14ac:dyDescent="0.25">
      <c r="A308" t="s">
        <v>634</v>
      </c>
      <c r="B308" t="s">
        <v>635</v>
      </c>
      <c r="D308">
        <v>0</v>
      </c>
      <c r="F308">
        <v>0</v>
      </c>
      <c r="G308">
        <v>0</v>
      </c>
      <c r="H308">
        <v>111</v>
      </c>
      <c r="I308">
        <v>25</v>
      </c>
      <c r="J308">
        <v>25</v>
      </c>
      <c r="K308">
        <v>25</v>
      </c>
      <c r="L308">
        <v>0.22522522522522501</v>
      </c>
      <c r="M308" t="s">
        <v>652</v>
      </c>
      <c r="N308" t="s">
        <v>652</v>
      </c>
      <c r="O308" t="s">
        <v>652</v>
      </c>
      <c r="P308" t="s">
        <v>652</v>
      </c>
    </row>
    <row r="309" spans="1:16" hidden="1" x14ac:dyDescent="0.25">
      <c r="A309" t="s">
        <v>636</v>
      </c>
      <c r="B309" t="s">
        <v>637</v>
      </c>
      <c r="D309">
        <v>0</v>
      </c>
      <c r="F309">
        <v>3</v>
      </c>
      <c r="G309">
        <v>0</v>
      </c>
      <c r="H309">
        <v>833</v>
      </c>
      <c r="I309">
        <v>82</v>
      </c>
      <c r="J309">
        <v>85</v>
      </c>
      <c r="K309">
        <v>85</v>
      </c>
      <c r="L309">
        <v>0.102040816326531</v>
      </c>
      <c r="M309" t="s">
        <v>652</v>
      </c>
      <c r="N309" t="s">
        <v>87</v>
      </c>
      <c r="O309" t="s">
        <v>652</v>
      </c>
      <c r="P309" t="s">
        <v>652</v>
      </c>
    </row>
    <row r="310" spans="1:16" hidden="1" x14ac:dyDescent="0.25">
      <c r="A310" t="s">
        <v>638</v>
      </c>
      <c r="B310" t="s">
        <v>639</v>
      </c>
      <c r="D310">
        <v>0</v>
      </c>
      <c r="F310">
        <v>0</v>
      </c>
      <c r="G310">
        <v>0</v>
      </c>
      <c r="H310">
        <v>145</v>
      </c>
      <c r="I310">
        <v>23</v>
      </c>
      <c r="J310">
        <v>23</v>
      </c>
      <c r="K310">
        <v>23</v>
      </c>
      <c r="L310">
        <v>0.15862068965517201</v>
      </c>
      <c r="M310" t="s">
        <v>652</v>
      </c>
      <c r="N310" t="s">
        <v>652</v>
      </c>
      <c r="O310" t="s">
        <v>652</v>
      </c>
      <c r="P310" t="s">
        <v>652</v>
      </c>
    </row>
    <row r="311" spans="1:16" hidden="1" x14ac:dyDescent="0.25">
      <c r="A311" t="s">
        <v>640</v>
      </c>
      <c r="B311" t="s">
        <v>641</v>
      </c>
      <c r="D311">
        <v>0</v>
      </c>
      <c r="F311">
        <v>0</v>
      </c>
      <c r="G311">
        <v>0</v>
      </c>
      <c r="H311">
        <v>44</v>
      </c>
      <c r="I311">
        <v>21</v>
      </c>
      <c r="J311">
        <v>21</v>
      </c>
      <c r="K311">
        <v>21</v>
      </c>
      <c r="L311">
        <v>0.47727272727272702</v>
      </c>
      <c r="M311" t="s">
        <v>652</v>
      </c>
      <c r="N311" t="s">
        <v>652</v>
      </c>
      <c r="O311" t="s">
        <v>652</v>
      </c>
      <c r="P311" t="s">
        <v>652</v>
      </c>
    </row>
    <row r="312" spans="1:16" hidden="1" x14ac:dyDescent="0.25">
      <c r="A312" t="s">
        <v>642</v>
      </c>
      <c r="B312" t="s">
        <v>643</v>
      </c>
      <c r="D312">
        <v>0</v>
      </c>
      <c r="F312">
        <v>12</v>
      </c>
      <c r="G312">
        <v>0</v>
      </c>
      <c r="H312">
        <v>2683</v>
      </c>
      <c r="I312">
        <v>204</v>
      </c>
      <c r="J312">
        <v>216</v>
      </c>
      <c r="K312">
        <v>216</v>
      </c>
      <c r="L312">
        <v>8.0506895266492698E-2</v>
      </c>
      <c r="M312" t="s">
        <v>652</v>
      </c>
      <c r="N312" t="s">
        <v>87</v>
      </c>
      <c r="O312" t="s">
        <v>652</v>
      </c>
      <c r="P312" t="s">
        <v>652</v>
      </c>
    </row>
    <row r="313" spans="1:16" hidden="1" x14ac:dyDescent="0.25">
      <c r="A313" t="s">
        <v>644</v>
      </c>
      <c r="B313" t="s">
        <v>645</v>
      </c>
      <c r="D313">
        <v>0</v>
      </c>
      <c r="F313">
        <v>97</v>
      </c>
      <c r="G313">
        <v>0</v>
      </c>
      <c r="H313">
        <v>16419</v>
      </c>
      <c r="I313">
        <v>4628</v>
      </c>
      <c r="J313">
        <v>4725</v>
      </c>
      <c r="K313">
        <v>4725</v>
      </c>
      <c r="L313">
        <v>0.28777635665996698</v>
      </c>
      <c r="M313" t="s">
        <v>652</v>
      </c>
      <c r="N313" t="s">
        <v>652</v>
      </c>
      <c r="O313" t="s">
        <v>652</v>
      </c>
      <c r="P313" t="s">
        <v>652</v>
      </c>
    </row>
    <row r="314" spans="1:16" hidden="1" x14ac:dyDescent="0.25">
      <c r="A314" t="s">
        <v>646</v>
      </c>
      <c r="B314" t="s">
        <v>647</v>
      </c>
      <c r="D314">
        <v>0</v>
      </c>
      <c r="F314">
        <v>23</v>
      </c>
      <c r="G314">
        <v>0</v>
      </c>
      <c r="H314">
        <v>6561</v>
      </c>
      <c r="I314">
        <v>532</v>
      </c>
      <c r="J314">
        <v>555</v>
      </c>
      <c r="K314">
        <v>555</v>
      </c>
      <c r="L314">
        <v>8.4590763603109298E-2</v>
      </c>
      <c r="M314" t="s">
        <v>652</v>
      </c>
      <c r="N314" t="s">
        <v>87</v>
      </c>
      <c r="O314" t="s">
        <v>652</v>
      </c>
      <c r="P314" t="s">
        <v>652</v>
      </c>
    </row>
    <row r="315" spans="1:16" hidden="1" x14ac:dyDescent="0.25">
      <c r="A315" t="s">
        <v>648</v>
      </c>
      <c r="B315" t="s">
        <v>649</v>
      </c>
      <c r="D315">
        <v>0</v>
      </c>
      <c r="F315">
        <v>3</v>
      </c>
      <c r="G315">
        <v>0</v>
      </c>
      <c r="H315">
        <v>1196</v>
      </c>
      <c r="I315">
        <v>132</v>
      </c>
      <c r="J315">
        <v>135</v>
      </c>
      <c r="K315">
        <v>135</v>
      </c>
      <c r="L315">
        <v>0.112876254180602</v>
      </c>
      <c r="M315" t="s">
        <v>652</v>
      </c>
      <c r="N315" t="s">
        <v>87</v>
      </c>
      <c r="O315" t="s">
        <v>652</v>
      </c>
      <c r="P315" t="s">
        <v>652</v>
      </c>
    </row>
  </sheetData>
  <sheetProtection algorithmName="SHA-512" hashValue="hzokU/YcBAyN9vtP9AttmLnqiBytAij3gWNio/u6dfP1NwK46TlsZeRZ9YKzcy//tGHpnkzecJuM0kZjg/GMtQ==" saltValue="cFhMp+6Zw989+O6JA++lEw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4C182-92C9-430D-B4F1-923CD86FD3EA}">
  <sheetPr>
    <tabColor rgb="FF7030A0"/>
  </sheetPr>
  <dimension ref="A1:Y39"/>
  <sheetViews>
    <sheetView topLeftCell="I1" workbookViewId="0">
      <selection activeCell="K23" sqref="K23"/>
    </sheetView>
    <sheetView workbookViewId="1"/>
  </sheetViews>
  <sheetFormatPr defaultRowHeight="15" x14ac:dyDescent="0.25"/>
  <cols>
    <col min="1" max="1" width="9.42578125" bestFit="1" customWidth="1"/>
    <col min="2" max="2" width="47.5703125" bestFit="1" customWidth="1"/>
    <col min="3" max="3" width="15.42578125" bestFit="1" customWidth="1"/>
    <col min="4" max="4" width="8.140625" bestFit="1" customWidth="1"/>
    <col min="5" max="5" width="8.85546875" bestFit="1" customWidth="1"/>
    <col min="6" max="6" width="13.42578125" bestFit="1" customWidth="1"/>
    <col min="7" max="8" width="52" bestFit="1" customWidth="1"/>
    <col min="9" max="9" width="57.28515625" bestFit="1" customWidth="1"/>
    <col min="10" max="10" width="29.5703125" bestFit="1" customWidth="1"/>
    <col min="11" max="11" width="74.5703125" bestFit="1" customWidth="1"/>
    <col min="12" max="12" width="76.140625" bestFit="1" customWidth="1"/>
    <col min="13" max="13" width="66.85546875" bestFit="1" customWidth="1"/>
    <col min="14" max="14" width="74.28515625" bestFit="1" customWidth="1"/>
    <col min="15" max="15" width="50.5703125" bestFit="1" customWidth="1"/>
    <col min="16" max="16" width="45.5703125" bestFit="1" customWidth="1"/>
    <col min="17" max="17" width="46" bestFit="1" customWidth="1"/>
    <col min="18" max="18" width="48.85546875" bestFit="1" customWidth="1"/>
    <col min="19" max="19" width="45.140625" bestFit="1" customWidth="1"/>
    <col min="20" max="20" width="51.140625" bestFit="1" customWidth="1"/>
    <col min="21" max="21" width="30" bestFit="1" customWidth="1"/>
    <col min="22" max="22" width="30.28515625" bestFit="1" customWidth="1"/>
    <col min="23" max="23" width="34" bestFit="1" customWidth="1"/>
    <col min="24" max="24" width="29.5703125" bestFit="1" customWidth="1"/>
    <col min="25" max="25" width="29.28515625" bestFit="1" customWidth="1"/>
    <col min="26" max="26" width="45.140625" bestFit="1" customWidth="1"/>
    <col min="27" max="27" width="51.140625" bestFit="1" customWidth="1"/>
    <col min="28" max="28" width="30" bestFit="1" customWidth="1"/>
    <col min="29" max="29" width="30.28515625" bestFit="1" customWidth="1"/>
    <col min="30" max="30" width="34" bestFit="1" customWidth="1"/>
    <col min="31" max="31" width="29.5703125" bestFit="1" customWidth="1"/>
    <col min="32" max="32" width="29.28515625" customWidth="1"/>
    <col min="33" max="33" width="32" bestFit="1" customWidth="1"/>
    <col min="34" max="34" width="31.7109375" bestFit="1" customWidth="1"/>
    <col min="35" max="35" width="35.42578125" bestFit="1" customWidth="1"/>
    <col min="36" max="36" width="31.42578125" bestFit="1" customWidth="1"/>
    <col min="37" max="37" width="37.28515625" bestFit="1" customWidth="1"/>
    <col min="38" max="38" width="28.42578125" bestFit="1" customWidth="1"/>
    <col min="39" max="39" width="28.28515625" bestFit="1" customWidth="1"/>
    <col min="40" max="40" width="32" bestFit="1" customWidth="1"/>
    <col min="41" max="42" width="28" bestFit="1" customWidth="1"/>
    <col min="43" max="43" width="22.140625" bestFit="1" customWidth="1"/>
  </cols>
  <sheetData>
    <row r="1" spans="1:25" x14ac:dyDescent="0.25">
      <c r="A1" t="s">
        <v>0</v>
      </c>
      <c r="B1" t="s">
        <v>1311</v>
      </c>
      <c r="C1" t="s">
        <v>1312</v>
      </c>
      <c r="D1" t="s">
        <v>65</v>
      </c>
      <c r="E1" t="s">
        <v>5</v>
      </c>
      <c r="F1" t="s">
        <v>654</v>
      </c>
      <c r="G1" t="s">
        <v>1339</v>
      </c>
      <c r="H1" t="s">
        <v>1340</v>
      </c>
      <c r="I1" t="s">
        <v>1379</v>
      </c>
      <c r="J1" t="s">
        <v>1341</v>
      </c>
      <c r="K1" t="s">
        <v>1342</v>
      </c>
      <c r="L1" t="s">
        <v>1343</v>
      </c>
      <c r="M1" t="s">
        <v>1361</v>
      </c>
      <c r="N1" t="s">
        <v>1344</v>
      </c>
      <c r="O1" t="s">
        <v>1362</v>
      </c>
      <c r="P1" t="s">
        <v>1345</v>
      </c>
      <c r="Q1" t="s">
        <v>1346</v>
      </c>
      <c r="R1" t="s">
        <v>1347</v>
      </c>
      <c r="S1" t="s">
        <v>1348</v>
      </c>
      <c r="T1" t="s">
        <v>1349</v>
      </c>
      <c r="U1" t="s">
        <v>1350</v>
      </c>
      <c r="V1" t="s">
        <v>1351</v>
      </c>
      <c r="W1" t="s">
        <v>1352</v>
      </c>
      <c r="X1" t="s">
        <v>1353</v>
      </c>
      <c r="Y1" t="s">
        <v>1354</v>
      </c>
    </row>
    <row r="2" spans="1:25" x14ac:dyDescent="0.25">
      <c r="A2" t="s">
        <v>8</v>
      </c>
      <c r="B2" t="s">
        <v>1394</v>
      </c>
      <c r="C2" t="s">
        <v>55</v>
      </c>
      <c r="D2" t="s">
        <v>66</v>
      </c>
      <c r="E2" t="s">
        <v>87</v>
      </c>
      <c r="F2" t="s">
        <v>652</v>
      </c>
      <c r="G2">
        <v>77.793822106438455</v>
      </c>
      <c r="H2">
        <v>0.12580234706885199</v>
      </c>
      <c r="I2">
        <v>69</v>
      </c>
      <c r="J2" t="s">
        <v>1446</v>
      </c>
      <c r="K2">
        <v>64567.633943827212</v>
      </c>
      <c r="L2">
        <v>36103.249394790197</v>
      </c>
      <c r="M2">
        <v>0</v>
      </c>
      <c r="N2">
        <v>49623.498534597646</v>
      </c>
      <c r="O2">
        <v>150294.38187321505</v>
      </c>
      <c r="P2">
        <v>68458.725312170121</v>
      </c>
      <c r="Q2">
        <v>0</v>
      </c>
      <c r="R2">
        <v>37195.243574345477</v>
      </c>
      <c r="S2">
        <v>49360.495928625358</v>
      </c>
      <c r="T2">
        <v>155014.46481514093</v>
      </c>
      <c r="U2">
        <v>72796.56563564828</v>
      </c>
      <c r="V2">
        <v>0</v>
      </c>
      <c r="W2">
        <v>40704.489288154939</v>
      </c>
      <c r="X2">
        <v>55947.849526081147</v>
      </c>
      <c r="Y2">
        <v>169448.90444988437</v>
      </c>
    </row>
    <row r="3" spans="1:25" hidden="1" x14ac:dyDescent="0.25">
      <c r="A3" t="s">
        <v>11</v>
      </c>
      <c r="B3" t="s">
        <v>12</v>
      </c>
      <c r="C3" t="s">
        <v>55</v>
      </c>
      <c r="D3" t="s">
        <v>67</v>
      </c>
      <c r="E3" t="s">
        <v>87</v>
      </c>
      <c r="G3">
        <v>18.442500930405689</v>
      </c>
      <c r="H3">
        <v>0.20287569859097099</v>
      </c>
      <c r="I3">
        <v>16</v>
      </c>
      <c r="J3" t="s">
        <v>1447</v>
      </c>
      <c r="K3">
        <v>14741.468936946862</v>
      </c>
      <c r="L3">
        <v>8242.751003376763</v>
      </c>
      <c r="M3">
        <v>3881.0824915780217</v>
      </c>
      <c r="N3">
        <v>11329.565875478922</v>
      </c>
      <c r="O3">
        <v>38194.868307380573</v>
      </c>
      <c r="P3">
        <v>16229.439190385176</v>
      </c>
      <c r="Q3">
        <v>4378.4319030996658</v>
      </c>
      <c r="R3">
        <v>8817.8379163319114</v>
      </c>
      <c r="S3">
        <v>11701.841707217232</v>
      </c>
      <c r="T3">
        <v>41127.550717033984</v>
      </c>
      <c r="U3">
        <v>14741.468936946862</v>
      </c>
      <c r="V3">
        <v>3881.0824915780217</v>
      </c>
      <c r="W3">
        <v>8242.751003376763</v>
      </c>
      <c r="X3">
        <v>11329.565875478922</v>
      </c>
      <c r="Y3">
        <v>38194.868307380573</v>
      </c>
    </row>
    <row r="4" spans="1:25" hidden="1" x14ac:dyDescent="0.25">
      <c r="A4" t="s">
        <v>13</v>
      </c>
      <c r="B4" t="s">
        <v>1382</v>
      </c>
      <c r="C4" t="s">
        <v>56</v>
      </c>
      <c r="D4" t="s">
        <v>68</v>
      </c>
      <c r="E4" t="s">
        <v>87</v>
      </c>
      <c r="G4">
        <v>8.0299202127659601</v>
      </c>
      <c r="H4">
        <v>6.5912500308918501E-2</v>
      </c>
      <c r="I4">
        <v>8</v>
      </c>
      <c r="J4" t="s">
        <v>1448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21</v>
      </c>
      <c r="B5" t="s">
        <v>22</v>
      </c>
      <c r="C5" t="s">
        <v>59</v>
      </c>
      <c r="D5" t="s">
        <v>71</v>
      </c>
      <c r="E5" t="s">
        <v>87</v>
      </c>
      <c r="F5" t="s">
        <v>652</v>
      </c>
      <c r="G5">
        <v>26.897313613039518</v>
      </c>
      <c r="H5">
        <v>0.152332290292609</v>
      </c>
      <c r="I5">
        <v>23</v>
      </c>
      <c r="J5" t="s">
        <v>1449</v>
      </c>
      <c r="K5">
        <v>40758.682908389936</v>
      </c>
      <c r="L5">
        <v>34328.351836556714</v>
      </c>
      <c r="M5">
        <v>9791.4235986432614</v>
      </c>
      <c r="N5">
        <v>47184.939113389206</v>
      </c>
      <c r="O5">
        <v>132063.39745697912</v>
      </c>
      <c r="P5">
        <v>23669.691942259891</v>
      </c>
      <c r="Q5">
        <v>5851.0575501990634</v>
      </c>
      <c r="R5">
        <v>20124.780745653636</v>
      </c>
      <c r="S5">
        <v>26706.886757570974</v>
      </c>
      <c r="T5">
        <v>76352.416995683569</v>
      </c>
      <c r="U5">
        <v>47665.177245278159</v>
      </c>
      <c r="V5">
        <v>11450.564836992338</v>
      </c>
      <c r="W5">
        <v>40145.236746375085</v>
      </c>
      <c r="X5">
        <v>55180.352397608876</v>
      </c>
      <c r="Y5">
        <v>154441.33122625446</v>
      </c>
    </row>
    <row r="6" spans="1:25" hidden="1" x14ac:dyDescent="0.25">
      <c r="A6" t="s">
        <v>15</v>
      </c>
      <c r="B6" t="s">
        <v>16</v>
      </c>
      <c r="C6" t="s">
        <v>57</v>
      </c>
      <c r="D6" t="s">
        <v>69</v>
      </c>
      <c r="E6" t="s">
        <v>87</v>
      </c>
      <c r="G6">
        <v>68.584765756656438</v>
      </c>
      <c r="H6">
        <v>0.17293702827634</v>
      </c>
      <c r="I6">
        <v>69</v>
      </c>
      <c r="J6" t="s">
        <v>1450</v>
      </c>
      <c r="K6">
        <v>59718.402170953057</v>
      </c>
      <c r="L6">
        <v>45142.553579007857</v>
      </c>
      <c r="M6">
        <v>16066.574148383796</v>
      </c>
      <c r="N6">
        <v>61234.531409311487</v>
      </c>
      <c r="O6">
        <v>182162.0613076562</v>
      </c>
      <c r="P6">
        <v>60354.736563919032</v>
      </c>
      <c r="Q6">
        <v>16282.700897711511</v>
      </c>
      <c r="R6">
        <v>45959.558680319067</v>
      </c>
      <c r="S6">
        <v>60991.309401883096</v>
      </c>
      <c r="T6">
        <v>183588.30554383271</v>
      </c>
      <c r="U6">
        <v>59718.402170953057</v>
      </c>
      <c r="V6">
        <v>16066.574148383796</v>
      </c>
      <c r="W6">
        <v>45142.553579007857</v>
      </c>
      <c r="X6">
        <v>61234.531409311487</v>
      </c>
      <c r="Y6">
        <v>182162.0613076562</v>
      </c>
    </row>
    <row r="7" spans="1:25" hidden="1" x14ac:dyDescent="0.25">
      <c r="A7" t="s">
        <v>37</v>
      </c>
      <c r="B7" t="s">
        <v>1395</v>
      </c>
      <c r="C7" t="s">
        <v>62</v>
      </c>
      <c r="D7" t="s">
        <v>79</v>
      </c>
      <c r="E7" t="s">
        <v>87</v>
      </c>
      <c r="G7">
        <v>57.084525273444946</v>
      </c>
      <c r="H7">
        <v>0.18795482425996299</v>
      </c>
      <c r="I7">
        <v>50</v>
      </c>
      <c r="J7" t="s">
        <v>1452</v>
      </c>
      <c r="K7">
        <v>43210.804977040636</v>
      </c>
      <c r="L7">
        <v>34774.986756522994</v>
      </c>
      <c r="M7">
        <v>0</v>
      </c>
      <c r="N7">
        <v>47171.235341700361</v>
      </c>
      <c r="O7">
        <v>125157.02707526399</v>
      </c>
      <c r="P7">
        <v>50234.501011192318</v>
      </c>
      <c r="Q7">
        <v>0</v>
      </c>
      <c r="R7">
        <v>41366.515670705536</v>
      </c>
      <c r="S7">
        <v>54896.04401336977</v>
      </c>
      <c r="T7">
        <v>146497.06069526763</v>
      </c>
      <c r="U7">
        <v>43210.804977040636</v>
      </c>
      <c r="V7">
        <v>0</v>
      </c>
      <c r="W7">
        <v>34774.986756522994</v>
      </c>
      <c r="X7">
        <v>47171.235341700361</v>
      </c>
      <c r="Y7">
        <v>125157.02707526399</v>
      </c>
    </row>
    <row r="8" spans="1:25" x14ac:dyDescent="0.25">
      <c r="A8" t="s">
        <v>40</v>
      </c>
      <c r="B8" t="s">
        <v>41</v>
      </c>
      <c r="C8" t="s">
        <v>60</v>
      </c>
      <c r="D8" t="s">
        <v>74</v>
      </c>
      <c r="E8" t="s">
        <v>87</v>
      </c>
      <c r="F8" t="s">
        <v>652</v>
      </c>
      <c r="G8">
        <v>112.82415495632388</v>
      </c>
      <c r="H8">
        <v>0.226714379582554</v>
      </c>
      <c r="I8">
        <v>82</v>
      </c>
      <c r="J8" t="s">
        <v>1494</v>
      </c>
      <c r="K8">
        <v>71141.390794823077</v>
      </c>
      <c r="L8">
        <v>41562.54733437689</v>
      </c>
      <c r="M8">
        <v>19139.802618163929</v>
      </c>
      <c r="N8">
        <v>56378.359406353986</v>
      </c>
      <c r="O8">
        <v>188222.10015371788</v>
      </c>
      <c r="P8">
        <v>99285.491104485089</v>
      </c>
      <c r="Q8">
        <v>26785.568907663452</v>
      </c>
      <c r="R8">
        <v>57851.150625883281</v>
      </c>
      <c r="S8">
        <v>76772.221674729401</v>
      </c>
      <c r="T8">
        <v>260694.43231276123</v>
      </c>
      <c r="U8">
        <v>97883.74754687211</v>
      </c>
      <c r="V8">
        <v>26334.537273477814</v>
      </c>
      <c r="W8">
        <v>57186.08879064981</v>
      </c>
      <c r="X8">
        <v>77571.228754217096</v>
      </c>
      <c r="Y8">
        <v>258975.60236521682</v>
      </c>
    </row>
    <row r="9" spans="1:25" x14ac:dyDescent="0.25">
      <c r="A9" t="s">
        <v>1425</v>
      </c>
      <c r="B9" t="s">
        <v>1433</v>
      </c>
      <c r="C9" t="s">
        <v>562</v>
      </c>
      <c r="D9" t="s">
        <v>1418</v>
      </c>
      <c r="E9" t="s">
        <v>87</v>
      </c>
      <c r="F9" t="s">
        <v>652</v>
      </c>
      <c r="G9">
        <v>73.835027789074218</v>
      </c>
      <c r="H9">
        <v>0.16428460450292401</v>
      </c>
      <c r="I9">
        <v>58</v>
      </c>
      <c r="J9" t="s">
        <v>1451</v>
      </c>
      <c r="K9">
        <v>50124.997550765933</v>
      </c>
      <c r="L9">
        <v>33403.598722200455</v>
      </c>
      <c r="M9">
        <v>0</v>
      </c>
      <c r="N9">
        <v>45310.988257646903</v>
      </c>
      <c r="O9">
        <v>128839.5845306133</v>
      </c>
      <c r="P9">
        <v>64974.97807618761</v>
      </c>
      <c r="Q9">
        <v>0</v>
      </c>
      <c r="R9">
        <v>42673.790348357194</v>
      </c>
      <c r="S9">
        <v>56630.88213251908</v>
      </c>
      <c r="T9">
        <v>164279.65055706387</v>
      </c>
      <c r="U9">
        <v>63810.010122208274</v>
      </c>
      <c r="V9">
        <v>0</v>
      </c>
      <c r="W9">
        <v>42523.373101875077</v>
      </c>
      <c r="X9">
        <v>57681.690985409907</v>
      </c>
      <c r="Y9">
        <v>164015.07420949324</v>
      </c>
    </row>
    <row r="10" spans="1:25" hidden="1" x14ac:dyDescent="0.25">
      <c r="A10" t="s">
        <v>44</v>
      </c>
      <c r="B10" t="s">
        <v>45</v>
      </c>
      <c r="C10" t="s">
        <v>60</v>
      </c>
      <c r="D10" t="s">
        <v>75</v>
      </c>
      <c r="E10" t="s">
        <v>87</v>
      </c>
      <c r="G10">
        <v>75.704519559438054</v>
      </c>
      <c r="H10">
        <v>0.22095892257017499</v>
      </c>
      <c r="I10">
        <v>60</v>
      </c>
      <c r="J10" t="s">
        <v>1495</v>
      </c>
      <c r="K10">
        <v>52353.308359394985</v>
      </c>
      <c r="L10">
        <v>30586.088246069608</v>
      </c>
      <c r="M10">
        <v>14085.077297639906</v>
      </c>
      <c r="N10">
        <v>41489.119088355408</v>
      </c>
      <c r="O10">
        <v>138513.59299145988</v>
      </c>
      <c r="P10">
        <v>66620.134723788651</v>
      </c>
      <c r="Q10">
        <v>17973.000782198407</v>
      </c>
      <c r="R10">
        <v>38817.871632086164</v>
      </c>
      <c r="S10">
        <v>51513.828396463417</v>
      </c>
      <c r="T10">
        <v>174924.83553453663</v>
      </c>
      <c r="U10">
        <v>52353.308359394985</v>
      </c>
      <c r="V10">
        <v>14085.077297639906</v>
      </c>
      <c r="W10">
        <v>30586.088246069608</v>
      </c>
      <c r="X10">
        <v>41489.119088355408</v>
      </c>
      <c r="Y10">
        <v>138513.59299145988</v>
      </c>
    </row>
    <row r="11" spans="1:25" hidden="1" x14ac:dyDescent="0.25">
      <c r="A11" t="s">
        <v>29</v>
      </c>
      <c r="B11" t="s">
        <v>30</v>
      </c>
      <c r="C11" t="s">
        <v>61</v>
      </c>
      <c r="D11" t="s">
        <v>76</v>
      </c>
      <c r="E11" t="s">
        <v>87</v>
      </c>
      <c r="G11">
        <v>4.7762307020098964</v>
      </c>
      <c r="H11">
        <v>0.16602385247005799</v>
      </c>
      <c r="I11">
        <v>8</v>
      </c>
      <c r="J11" t="s">
        <v>1453</v>
      </c>
      <c r="K11">
        <v>0</v>
      </c>
      <c r="L11">
        <v>0</v>
      </c>
      <c r="M11">
        <v>1873.703092925892</v>
      </c>
      <c r="N11">
        <v>0</v>
      </c>
      <c r="O11">
        <v>1873.703092925892</v>
      </c>
      <c r="P11">
        <v>0</v>
      </c>
      <c r="Q11">
        <v>1190.2528482514217</v>
      </c>
      <c r="R11">
        <v>0</v>
      </c>
      <c r="S11">
        <v>0</v>
      </c>
      <c r="T11">
        <v>1190.2528482514217</v>
      </c>
      <c r="U11">
        <v>0</v>
      </c>
      <c r="V11">
        <v>1873.703092925892</v>
      </c>
      <c r="W11">
        <v>0</v>
      </c>
      <c r="X11">
        <v>0</v>
      </c>
      <c r="Y11">
        <v>1873.703092925892</v>
      </c>
    </row>
    <row r="12" spans="1:25" hidden="1" x14ac:dyDescent="0.25">
      <c r="A12" t="s">
        <v>52</v>
      </c>
      <c r="B12" t="s">
        <v>1396</v>
      </c>
      <c r="C12" t="s">
        <v>64</v>
      </c>
      <c r="D12" t="s">
        <v>82</v>
      </c>
      <c r="E12" t="s">
        <v>87</v>
      </c>
      <c r="G12">
        <v>30.256</v>
      </c>
      <c r="H12">
        <v>0.116091427297897</v>
      </c>
      <c r="I12">
        <v>24</v>
      </c>
      <c r="J12" t="s">
        <v>1454</v>
      </c>
      <c r="K12">
        <v>20466.22775472542</v>
      </c>
      <c r="L12">
        <v>11685.632508271046</v>
      </c>
      <c r="M12">
        <v>0</v>
      </c>
      <c r="N12">
        <v>15851.212971659306</v>
      </c>
      <c r="O12">
        <v>48003.073234655771</v>
      </c>
      <c r="P12">
        <v>26625.342950897295</v>
      </c>
      <c r="Q12">
        <v>0</v>
      </c>
      <c r="R12">
        <v>15027.7006022239</v>
      </c>
      <c r="S12">
        <v>19942.731465382712</v>
      </c>
      <c r="T12">
        <v>61595.775018503911</v>
      </c>
      <c r="U12">
        <v>20466.22775472542</v>
      </c>
      <c r="V12">
        <v>0</v>
      </c>
      <c r="W12">
        <v>11685.632508271046</v>
      </c>
      <c r="X12">
        <v>15851.212971659306</v>
      </c>
      <c r="Y12">
        <v>48003.073234655771</v>
      </c>
    </row>
    <row r="13" spans="1:25" hidden="1" x14ac:dyDescent="0.25">
      <c r="A13" t="s">
        <v>33</v>
      </c>
      <c r="B13" t="s">
        <v>34</v>
      </c>
      <c r="C13" t="s">
        <v>61</v>
      </c>
      <c r="D13" t="s">
        <v>77</v>
      </c>
      <c r="E13" t="s">
        <v>87</v>
      </c>
      <c r="G13">
        <v>16.375648121176823</v>
      </c>
      <c r="H13">
        <v>8.3709505447087995E-2</v>
      </c>
      <c r="I13">
        <v>25</v>
      </c>
      <c r="J13" t="s">
        <v>1455</v>
      </c>
      <c r="K13">
        <v>46802.418223052831</v>
      </c>
      <c r="L13">
        <v>39444.524193136269</v>
      </c>
      <c r="M13">
        <v>12331.665858523715</v>
      </c>
      <c r="N13">
        <v>54217.210347621163</v>
      </c>
      <c r="O13">
        <v>152795.81862233399</v>
      </c>
      <c r="P13">
        <v>15489.808086869176</v>
      </c>
      <c r="Q13">
        <v>4080.8669082905976</v>
      </c>
      <c r="R13">
        <v>13053.806484792109</v>
      </c>
      <c r="S13">
        <v>17942.692591694864</v>
      </c>
      <c r="T13">
        <v>50567.174071646747</v>
      </c>
      <c r="U13">
        <v>46802.418223052831</v>
      </c>
      <c r="V13">
        <v>12331.665858523715</v>
      </c>
      <c r="W13">
        <v>39444.524193136269</v>
      </c>
      <c r="X13">
        <v>54217.210347621163</v>
      </c>
      <c r="Y13">
        <v>152795.81862233399</v>
      </c>
    </row>
    <row r="14" spans="1:25" hidden="1" x14ac:dyDescent="0.25">
      <c r="A14" t="s">
        <v>46</v>
      </c>
      <c r="B14" t="s">
        <v>47</v>
      </c>
      <c r="C14" t="s">
        <v>63</v>
      </c>
      <c r="D14" t="s">
        <v>80</v>
      </c>
      <c r="E14" t="s">
        <v>87</v>
      </c>
      <c r="G14">
        <v>6.3348488900775601</v>
      </c>
      <c r="H14">
        <v>0.104075599186366</v>
      </c>
      <c r="I14">
        <v>4</v>
      </c>
      <c r="J14" t="s">
        <v>1456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hidden="1" x14ac:dyDescent="0.25">
      <c r="A15" t="s">
        <v>50</v>
      </c>
      <c r="B15" t="s">
        <v>51</v>
      </c>
      <c r="C15" t="s">
        <v>63</v>
      </c>
      <c r="D15" t="s">
        <v>81</v>
      </c>
      <c r="E15" t="s">
        <v>87</v>
      </c>
      <c r="G15">
        <v>18.029954533297673</v>
      </c>
      <c r="H15">
        <v>0.120764644973055</v>
      </c>
      <c r="I15">
        <v>20</v>
      </c>
      <c r="J15" t="s">
        <v>1457</v>
      </c>
      <c r="K15">
        <v>17446.121632891569</v>
      </c>
      <c r="L15">
        <v>12323.201297372489</v>
      </c>
      <c r="M15">
        <v>0</v>
      </c>
      <c r="N15">
        <v>16716.056073046999</v>
      </c>
      <c r="O15">
        <v>46485.379003311056</v>
      </c>
      <c r="P15">
        <v>15866.397502582486</v>
      </c>
      <c r="Q15">
        <v>0</v>
      </c>
      <c r="R15">
        <v>11298.22401904302</v>
      </c>
      <c r="S15">
        <v>14993.474624731874</v>
      </c>
      <c r="T15">
        <v>42158.096146357384</v>
      </c>
      <c r="U15">
        <v>17446.121632891569</v>
      </c>
      <c r="V15">
        <v>0</v>
      </c>
      <c r="W15">
        <v>12323.201297372489</v>
      </c>
      <c r="X15">
        <v>16716.056073046999</v>
      </c>
      <c r="Y15">
        <v>46485.379003311056</v>
      </c>
    </row>
    <row r="16" spans="1:25" hidden="1" x14ac:dyDescent="0.25">
      <c r="A16" t="s">
        <v>25</v>
      </c>
      <c r="B16" t="s">
        <v>26</v>
      </c>
      <c r="C16" t="s">
        <v>59</v>
      </c>
      <c r="D16" t="s">
        <v>72</v>
      </c>
      <c r="E16" t="s">
        <v>87</v>
      </c>
      <c r="G16">
        <v>100.31971023241778</v>
      </c>
      <c r="H16">
        <v>0.118556300717947</v>
      </c>
      <c r="I16">
        <v>101</v>
      </c>
      <c r="J16" t="s">
        <v>1458</v>
      </c>
      <c r="K16">
        <v>87908.76148636383</v>
      </c>
      <c r="L16">
        <v>75416.93558621408</v>
      </c>
      <c r="M16">
        <v>23650.877842814029</v>
      </c>
      <c r="N16">
        <v>102300.83025466157</v>
      </c>
      <c r="O16">
        <v>289277.40517005348</v>
      </c>
      <c r="P16">
        <v>88281.553730591055</v>
      </c>
      <c r="Q16">
        <v>21822.863295337072</v>
      </c>
      <c r="R16">
        <v>75059.993051356898</v>
      </c>
      <c r="S16">
        <v>99609.469528237794</v>
      </c>
      <c r="T16">
        <v>284773.87960552284</v>
      </c>
      <c r="U16">
        <v>87908.76148636383</v>
      </c>
      <c r="V16">
        <v>23650.877842814029</v>
      </c>
      <c r="W16">
        <v>75416.93558621408</v>
      </c>
      <c r="X16">
        <v>102300.83025466157</v>
      </c>
      <c r="Y16">
        <v>289277.40517005348</v>
      </c>
    </row>
    <row r="17" spans="1:25" x14ac:dyDescent="0.25">
      <c r="A17" t="s">
        <v>1426</v>
      </c>
      <c r="B17" t="s">
        <v>1424</v>
      </c>
      <c r="C17" t="s">
        <v>63</v>
      </c>
      <c r="D17" t="s">
        <v>1420</v>
      </c>
      <c r="E17" t="s">
        <v>87</v>
      </c>
      <c r="F17" t="s">
        <v>652</v>
      </c>
      <c r="G17">
        <v>12.66969778015512</v>
      </c>
      <c r="H17">
        <v>0.10607705301687299</v>
      </c>
      <c r="I17">
        <v>8</v>
      </c>
      <c r="J17" t="s">
        <v>1456</v>
      </c>
      <c r="K17">
        <v>0</v>
      </c>
      <c r="L17">
        <v>0</v>
      </c>
      <c r="M17">
        <v>0</v>
      </c>
      <c r="N17">
        <v>0</v>
      </c>
      <c r="O17">
        <v>0</v>
      </c>
      <c r="P17">
        <v>11149.360407220123</v>
      </c>
      <c r="Q17">
        <v>0</v>
      </c>
      <c r="R17">
        <v>7939.2925539221214</v>
      </c>
      <c r="S17">
        <v>10535.955141703478</v>
      </c>
      <c r="T17">
        <v>29624.608102845723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hidden="1" x14ac:dyDescent="0.25">
      <c r="A18" t="s">
        <v>27</v>
      </c>
      <c r="B18" t="s">
        <v>28</v>
      </c>
      <c r="C18" t="s">
        <v>59</v>
      </c>
      <c r="D18" t="s">
        <v>73</v>
      </c>
      <c r="E18" t="s">
        <v>87</v>
      </c>
      <c r="G18">
        <v>25.443404769091437</v>
      </c>
      <c r="H18">
        <v>0.110844701876119</v>
      </c>
      <c r="I18">
        <v>36</v>
      </c>
      <c r="J18" t="s">
        <v>1459</v>
      </c>
      <c r="K18">
        <v>31495.345883755865</v>
      </c>
      <c r="L18">
        <v>26599.334127917802</v>
      </c>
      <c r="M18">
        <v>0</v>
      </c>
      <c r="N18">
        <v>36461.089314891666</v>
      </c>
      <c r="O18">
        <v>94555.769326565336</v>
      </c>
      <c r="P18">
        <v>22390.249134570171</v>
      </c>
      <c r="Q18">
        <v>0</v>
      </c>
      <c r="R18">
        <v>19036.954759402091</v>
      </c>
      <c r="S18">
        <v>25263.27125716173</v>
      </c>
      <c r="T18">
        <v>66690.475151133985</v>
      </c>
      <c r="U18">
        <v>31495.345883755865</v>
      </c>
      <c r="V18">
        <v>0</v>
      </c>
      <c r="W18">
        <v>26599.334127917802</v>
      </c>
      <c r="X18">
        <v>36461.089314891666</v>
      </c>
      <c r="Y18">
        <v>94555.769326565336</v>
      </c>
    </row>
    <row r="19" spans="1:25" hidden="1" x14ac:dyDescent="0.25">
      <c r="A19" t="s">
        <v>35</v>
      </c>
      <c r="B19" t="s">
        <v>36</v>
      </c>
      <c r="C19" t="s">
        <v>61</v>
      </c>
      <c r="D19" t="s">
        <v>78</v>
      </c>
      <c r="E19" t="s">
        <v>87</v>
      </c>
      <c r="G19">
        <v>100.30084474220807</v>
      </c>
      <c r="H19">
        <v>0.100417652703664</v>
      </c>
      <c r="I19">
        <v>95</v>
      </c>
      <c r="J19" t="s">
        <v>1460</v>
      </c>
      <c r="K19">
        <v>86915.03389674965</v>
      </c>
      <c r="L19">
        <v>73240.806865636594</v>
      </c>
      <c r="M19">
        <v>0</v>
      </c>
      <c r="N19">
        <v>100668.64155153101</v>
      </c>
      <c r="O19">
        <v>260824.48231391725</v>
      </c>
      <c r="P19">
        <v>94875.074532073733</v>
      </c>
      <c r="Q19">
        <v>0</v>
      </c>
      <c r="R19">
        <v>79954.564719351692</v>
      </c>
      <c r="S19">
        <v>109898.99212413108</v>
      </c>
      <c r="T19">
        <v>284728.63137555652</v>
      </c>
      <c r="U19">
        <v>86915.03389674965</v>
      </c>
      <c r="V19">
        <v>0</v>
      </c>
      <c r="W19">
        <v>73240.806865636594</v>
      </c>
      <c r="X19">
        <v>100668.64155153101</v>
      </c>
      <c r="Y19">
        <v>260824.48231391725</v>
      </c>
    </row>
    <row r="21" spans="1:25" x14ac:dyDescent="0.25">
      <c r="D21">
        <v>1</v>
      </c>
      <c r="E21">
        <v>2</v>
      </c>
      <c r="F21">
        <v>3</v>
      </c>
      <c r="G21">
        <v>4</v>
      </c>
      <c r="H21">
        <v>5</v>
      </c>
      <c r="I21">
        <v>6</v>
      </c>
      <c r="J21">
        <v>7</v>
      </c>
      <c r="K21">
        <v>8</v>
      </c>
      <c r="L21">
        <v>9</v>
      </c>
      <c r="M21">
        <v>10</v>
      </c>
      <c r="N21">
        <v>11</v>
      </c>
      <c r="O21">
        <v>12</v>
      </c>
      <c r="P21">
        <v>13</v>
      </c>
      <c r="Q21">
        <v>14</v>
      </c>
      <c r="R21">
        <v>15</v>
      </c>
      <c r="S21">
        <v>16</v>
      </c>
      <c r="T21">
        <v>17</v>
      </c>
      <c r="U21">
        <v>18</v>
      </c>
      <c r="V21">
        <v>19</v>
      </c>
      <c r="W21">
        <v>20</v>
      </c>
      <c r="X21">
        <v>21</v>
      </c>
    </row>
    <row r="33" spans="11:11" x14ac:dyDescent="0.25">
      <c r="K33" s="47"/>
    </row>
    <row r="34" spans="11:11" x14ac:dyDescent="0.25">
      <c r="K34" s="47"/>
    </row>
    <row r="35" spans="11:11" x14ac:dyDescent="0.25">
      <c r="K35" s="47"/>
    </row>
    <row r="36" spans="11:11" x14ac:dyDescent="0.25">
      <c r="K36" s="47"/>
    </row>
    <row r="39" spans="11:11" x14ac:dyDescent="0.25">
      <c r="K39" s="47"/>
    </row>
  </sheetData>
  <sheetProtection algorithmName="SHA-512" hashValue="qvmbk+r9UYKr0Tko2WHnIZ+I9Glb3jONsGDuNa2BhVSOnczTWC8Zpuk6GQ6G0X1YcALVqXHmzRO3jbdsn15CCw==" saltValue="pGucBB/QoUddNEYiFBgeiQ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B0E1-0AB5-4E1E-92C6-BF0D3D67B20F}">
  <sheetPr>
    <tabColor rgb="FF7030A0"/>
  </sheetPr>
  <dimension ref="A1:I29"/>
  <sheetViews>
    <sheetView workbookViewId="0"/>
    <sheetView workbookViewId="1"/>
  </sheetViews>
  <sheetFormatPr defaultRowHeight="15" x14ac:dyDescent="0.25"/>
  <cols>
    <col min="1" max="1" width="9.42578125" bestFit="1" customWidth="1"/>
    <col min="2" max="2" width="47.5703125" bestFit="1" customWidth="1"/>
    <col min="3" max="3" width="15.42578125" bestFit="1" customWidth="1"/>
    <col min="4" max="4" width="13.85546875" bestFit="1" customWidth="1"/>
    <col min="5" max="5" width="8.140625" bestFit="1" customWidth="1"/>
    <col min="6" max="6" width="8.85546875" bestFit="1" customWidth="1"/>
    <col min="7" max="7" width="13.42578125" bestFit="1" customWidth="1"/>
    <col min="8" max="8" width="19.85546875" bestFit="1" customWidth="1"/>
    <col min="9" max="9" width="22.7109375" bestFit="1" customWidth="1"/>
    <col min="10" max="14" width="12.140625" bestFit="1" customWidth="1"/>
    <col min="15" max="15" width="19.85546875" bestFit="1" customWidth="1"/>
    <col min="16" max="16" width="22.7109375" customWidth="1"/>
  </cols>
  <sheetData>
    <row r="1" spans="1:9" x14ac:dyDescent="0.25">
      <c r="A1" t="s">
        <v>0</v>
      </c>
      <c r="B1" t="s">
        <v>1311</v>
      </c>
      <c r="C1" t="s">
        <v>1312</v>
      </c>
      <c r="D1" t="s">
        <v>1313</v>
      </c>
      <c r="E1" t="s">
        <v>65</v>
      </c>
      <c r="F1" t="s">
        <v>5</v>
      </c>
      <c r="G1" t="s">
        <v>654</v>
      </c>
      <c r="H1" t="s">
        <v>1314</v>
      </c>
      <c r="I1" t="s">
        <v>1315</v>
      </c>
    </row>
    <row r="2" spans="1:9" x14ac:dyDescent="0.25">
      <c r="A2" t="s">
        <v>14</v>
      </c>
      <c r="B2" t="s">
        <v>1383</v>
      </c>
      <c r="C2" t="s">
        <v>56</v>
      </c>
      <c r="D2" t="s">
        <v>1316</v>
      </c>
      <c r="E2" t="s">
        <v>56</v>
      </c>
      <c r="H2" s="31">
        <v>0.99135638297872397</v>
      </c>
      <c r="I2" s="31">
        <v>0.99019264448336197</v>
      </c>
    </row>
    <row r="3" spans="1:9" x14ac:dyDescent="0.25">
      <c r="A3" t="s">
        <v>13</v>
      </c>
      <c r="B3" t="s">
        <v>1382</v>
      </c>
      <c r="C3" t="s">
        <v>56</v>
      </c>
      <c r="D3" t="s">
        <v>1</v>
      </c>
      <c r="E3" t="s">
        <v>68</v>
      </c>
      <c r="F3" t="s">
        <v>87</v>
      </c>
      <c r="H3" s="31">
        <v>8.6436170212765995E-3</v>
      </c>
      <c r="I3" s="31">
        <v>9.8073555166374796E-3</v>
      </c>
    </row>
    <row r="4" spans="1:9" x14ac:dyDescent="0.25">
      <c r="A4" t="s">
        <v>10</v>
      </c>
      <c r="B4" t="s">
        <v>9</v>
      </c>
      <c r="C4" t="s">
        <v>55</v>
      </c>
      <c r="D4" t="s">
        <v>1316</v>
      </c>
      <c r="E4" t="s">
        <v>55</v>
      </c>
      <c r="H4" s="31">
        <v>0.89318943059173805</v>
      </c>
      <c r="I4" s="31">
        <v>0.87309236947791202</v>
      </c>
    </row>
    <row r="5" spans="1:9" x14ac:dyDescent="0.25">
      <c r="A5" t="s">
        <v>8</v>
      </c>
      <c r="B5" t="s">
        <v>1394</v>
      </c>
      <c r="C5" t="s">
        <v>55</v>
      </c>
      <c r="D5" t="s">
        <v>1</v>
      </c>
      <c r="E5" t="s">
        <v>66</v>
      </c>
      <c r="F5" t="s">
        <v>87</v>
      </c>
      <c r="G5" t="s">
        <v>652</v>
      </c>
      <c r="H5" s="31">
        <v>8.6341644957201397E-2</v>
      </c>
      <c r="I5" s="31">
        <v>0.11064257028112399</v>
      </c>
    </row>
    <row r="6" spans="1:9" x14ac:dyDescent="0.25">
      <c r="A6" t="s">
        <v>11</v>
      </c>
      <c r="B6" t="s">
        <v>12</v>
      </c>
      <c r="C6" t="s">
        <v>55</v>
      </c>
      <c r="D6" t="s">
        <v>1</v>
      </c>
      <c r="E6" t="s">
        <v>67</v>
      </c>
      <c r="F6" t="s">
        <v>87</v>
      </c>
      <c r="H6" s="31">
        <v>2.0468924451060699E-2</v>
      </c>
      <c r="I6" s="31">
        <v>1.6265060240963899E-2</v>
      </c>
    </row>
    <row r="7" spans="1:9" x14ac:dyDescent="0.25">
      <c r="A7" t="s">
        <v>18</v>
      </c>
      <c r="B7" t="s">
        <v>17</v>
      </c>
      <c r="C7" t="s">
        <v>57</v>
      </c>
      <c r="D7" t="s">
        <v>1316</v>
      </c>
      <c r="E7" t="s">
        <v>57</v>
      </c>
      <c r="H7" s="31">
        <v>0.98011459386585797</v>
      </c>
      <c r="I7" s="31">
        <v>0.98057939914163095</v>
      </c>
    </row>
    <row r="8" spans="1:9" x14ac:dyDescent="0.25">
      <c r="A8" t="s">
        <v>15</v>
      </c>
      <c r="B8" t="s">
        <v>16</v>
      </c>
      <c r="C8" t="s">
        <v>57</v>
      </c>
      <c r="D8" t="s">
        <v>1</v>
      </c>
      <c r="E8" t="s">
        <v>69</v>
      </c>
      <c r="F8" t="s">
        <v>87</v>
      </c>
      <c r="H8" s="31">
        <v>1.9885406134142199E-2</v>
      </c>
      <c r="I8" s="31">
        <v>1.9420600858369101E-2</v>
      </c>
    </row>
    <row r="9" spans="1:9" x14ac:dyDescent="0.25">
      <c r="A9" t="s">
        <v>1077</v>
      </c>
      <c r="B9" t="s">
        <v>1423</v>
      </c>
      <c r="C9" t="s">
        <v>562</v>
      </c>
      <c r="D9" t="s">
        <v>1316</v>
      </c>
      <c r="E9" t="s">
        <v>562</v>
      </c>
      <c r="H9" s="31">
        <v>0.967602006235597</v>
      </c>
      <c r="I9" s="31">
        <v>0.97503285151117003</v>
      </c>
    </row>
    <row r="10" spans="1:9" x14ac:dyDescent="0.25">
      <c r="A10" t="s">
        <v>1425</v>
      </c>
      <c r="B10" t="s">
        <v>1433</v>
      </c>
      <c r="C10" t="s">
        <v>562</v>
      </c>
      <c r="D10" t="s">
        <v>1</v>
      </c>
      <c r="E10" t="s">
        <v>1418</v>
      </c>
      <c r="F10" t="s">
        <v>87</v>
      </c>
      <c r="G10" t="s">
        <v>652</v>
      </c>
      <c r="H10" s="31">
        <v>3.2397993764402902E-2</v>
      </c>
      <c r="I10" s="31">
        <v>2.4967148488830498E-2</v>
      </c>
    </row>
    <row r="11" spans="1:9" x14ac:dyDescent="0.25">
      <c r="A11" t="s">
        <v>24</v>
      </c>
      <c r="B11" t="s">
        <v>23</v>
      </c>
      <c r="C11" t="s">
        <v>59</v>
      </c>
      <c r="D11" t="s">
        <v>1316</v>
      </c>
      <c r="E11" t="s">
        <v>59</v>
      </c>
      <c r="H11" s="31">
        <v>0.97464533655297303</v>
      </c>
      <c r="I11" s="31">
        <v>0.98222342189488299</v>
      </c>
    </row>
    <row r="12" spans="1:9" x14ac:dyDescent="0.25">
      <c r="A12" t="s">
        <v>21</v>
      </c>
      <c r="B12" t="s">
        <v>22</v>
      </c>
      <c r="C12" t="s">
        <v>59</v>
      </c>
      <c r="D12" t="s">
        <v>1</v>
      </c>
      <c r="E12" t="s">
        <v>71</v>
      </c>
      <c r="F12" t="s">
        <v>87</v>
      </c>
      <c r="G12" t="s">
        <v>652</v>
      </c>
      <c r="H12" s="31">
        <v>4.46725022638092E-3</v>
      </c>
      <c r="I12" s="31">
        <v>2.5064589519145498E-3</v>
      </c>
    </row>
    <row r="13" spans="1:9" x14ac:dyDescent="0.25">
      <c r="A13" t="s">
        <v>25</v>
      </c>
      <c r="B13" t="s">
        <v>26</v>
      </c>
      <c r="C13" t="s">
        <v>59</v>
      </c>
      <c r="D13" t="s">
        <v>1</v>
      </c>
      <c r="E13" t="s">
        <v>72</v>
      </c>
      <c r="F13" t="s">
        <v>87</v>
      </c>
      <c r="H13" s="31">
        <v>1.6661635979474801E-2</v>
      </c>
      <c r="I13" s="31">
        <v>1.2011722515713599E-2</v>
      </c>
    </row>
    <row r="14" spans="1:9" x14ac:dyDescent="0.25">
      <c r="A14" t="s">
        <v>27</v>
      </c>
      <c r="B14" t="s">
        <v>28</v>
      </c>
      <c r="C14" t="s">
        <v>59</v>
      </c>
      <c r="D14" t="s">
        <v>1</v>
      </c>
      <c r="E14" t="s">
        <v>73</v>
      </c>
      <c r="F14" t="s">
        <v>87</v>
      </c>
      <c r="H14" s="31">
        <v>4.2257772411711404E-3</v>
      </c>
      <c r="I14" s="31">
        <v>3.25839663748891E-3</v>
      </c>
    </row>
    <row r="15" spans="1:9" x14ac:dyDescent="0.25">
      <c r="A15" t="s">
        <v>43</v>
      </c>
      <c r="B15" t="s">
        <v>42</v>
      </c>
      <c r="C15" t="s">
        <v>60</v>
      </c>
      <c r="D15" t="s">
        <v>1316</v>
      </c>
      <c r="E15" t="s">
        <v>60</v>
      </c>
      <c r="H15" s="31">
        <v>0.70679832890239302</v>
      </c>
      <c r="I15" s="31">
        <v>0.72176591375770005</v>
      </c>
    </row>
    <row r="16" spans="1:9" x14ac:dyDescent="0.25">
      <c r="A16" t="s">
        <v>40</v>
      </c>
      <c r="B16" t="s">
        <v>41</v>
      </c>
      <c r="C16" t="s">
        <v>60</v>
      </c>
      <c r="D16" t="s">
        <v>1</v>
      </c>
      <c r="E16" t="s">
        <v>74</v>
      </c>
      <c r="F16" t="s">
        <v>87</v>
      </c>
      <c r="G16" t="s">
        <v>652</v>
      </c>
      <c r="H16" s="31">
        <v>0.17546524876566699</v>
      </c>
      <c r="I16" s="31">
        <v>0.164784394250513</v>
      </c>
    </row>
    <row r="17" spans="1:9" x14ac:dyDescent="0.25">
      <c r="A17" t="s">
        <v>44</v>
      </c>
      <c r="B17" t="s">
        <v>45</v>
      </c>
      <c r="C17" t="s">
        <v>60</v>
      </c>
      <c r="D17" t="s">
        <v>1</v>
      </c>
      <c r="E17" t="s">
        <v>75</v>
      </c>
      <c r="F17" t="s">
        <v>87</v>
      </c>
      <c r="H17" s="31">
        <v>0.117736422331941</v>
      </c>
      <c r="I17" s="31">
        <v>0.11344969199178601</v>
      </c>
    </row>
    <row r="18" spans="1:9" x14ac:dyDescent="0.25">
      <c r="A18" t="s">
        <v>32</v>
      </c>
      <c r="B18" t="s">
        <v>31</v>
      </c>
      <c r="C18" t="s">
        <v>61</v>
      </c>
      <c r="D18" t="s">
        <v>1316</v>
      </c>
      <c r="E18" t="s">
        <v>61</v>
      </c>
      <c r="H18" s="31">
        <v>0.96889018351296197</v>
      </c>
      <c r="I18" s="31">
        <v>0.96534072383436598</v>
      </c>
    </row>
    <row r="19" spans="1:9" x14ac:dyDescent="0.25">
      <c r="A19" t="s">
        <v>33</v>
      </c>
      <c r="B19" t="s">
        <v>34</v>
      </c>
      <c r="C19" t="s">
        <v>61</v>
      </c>
      <c r="D19" t="s">
        <v>1</v>
      </c>
      <c r="E19" t="s">
        <v>77</v>
      </c>
      <c r="F19" t="s">
        <v>87</v>
      </c>
      <c r="H19" s="31">
        <v>4.1945819982522597E-3</v>
      </c>
      <c r="I19" s="31">
        <v>5.5428757743723502E-3</v>
      </c>
    </row>
    <row r="20" spans="1:9" x14ac:dyDescent="0.25">
      <c r="A20" t="s">
        <v>29</v>
      </c>
      <c r="B20" t="s">
        <v>30</v>
      </c>
      <c r="C20" t="s">
        <v>61</v>
      </c>
      <c r="D20" t="s">
        <v>1</v>
      </c>
      <c r="E20" t="s">
        <v>76</v>
      </c>
      <c r="F20" t="s">
        <v>87</v>
      </c>
      <c r="H20" s="31">
        <v>1.2234197494902399E-3</v>
      </c>
      <c r="I20" s="31">
        <v>8.1512879034887503E-4</v>
      </c>
    </row>
    <row r="21" spans="1:9" x14ac:dyDescent="0.25">
      <c r="A21" t="s">
        <v>35</v>
      </c>
      <c r="B21" t="s">
        <v>36</v>
      </c>
      <c r="C21" t="s">
        <v>61</v>
      </c>
      <c r="D21" t="s">
        <v>1</v>
      </c>
      <c r="E21" t="s">
        <v>78</v>
      </c>
      <c r="F21" t="s">
        <v>87</v>
      </c>
      <c r="H21" s="31">
        <v>2.5691814739295101E-2</v>
      </c>
      <c r="I21" s="31">
        <v>2.8301271600912899E-2</v>
      </c>
    </row>
    <row r="22" spans="1:9" x14ac:dyDescent="0.25">
      <c r="A22" t="s">
        <v>39</v>
      </c>
      <c r="B22" t="s">
        <v>38</v>
      </c>
      <c r="C22" t="s">
        <v>62</v>
      </c>
      <c r="D22" t="s">
        <v>1316</v>
      </c>
      <c r="E22" t="s">
        <v>62</v>
      </c>
      <c r="H22" s="31">
        <v>0.98828554786098</v>
      </c>
      <c r="I22" s="31">
        <v>0.99090594744121696</v>
      </c>
    </row>
    <row r="23" spans="1:9" x14ac:dyDescent="0.25">
      <c r="A23" t="s">
        <v>37</v>
      </c>
      <c r="B23" t="s">
        <v>1395</v>
      </c>
      <c r="C23" t="s">
        <v>62</v>
      </c>
      <c r="D23" t="s">
        <v>1</v>
      </c>
      <c r="E23" t="s">
        <v>79</v>
      </c>
      <c r="F23" t="s">
        <v>87</v>
      </c>
      <c r="H23" s="31">
        <v>1.1714452139020099E-2</v>
      </c>
      <c r="I23" s="31">
        <v>9.0940525587828499E-3</v>
      </c>
    </row>
    <row r="24" spans="1:9" x14ac:dyDescent="0.25">
      <c r="A24" t="s">
        <v>49</v>
      </c>
      <c r="B24" t="s">
        <v>48</v>
      </c>
      <c r="C24" t="s">
        <v>63</v>
      </c>
      <c r="D24" t="s">
        <v>1316</v>
      </c>
      <c r="E24" t="s">
        <v>63</v>
      </c>
      <c r="H24" s="31">
        <v>0.98644913969867198</v>
      </c>
      <c r="I24" s="31">
        <v>0.98670680870773497</v>
      </c>
    </row>
    <row r="25" spans="1:9" x14ac:dyDescent="0.25">
      <c r="A25" t="s">
        <v>46</v>
      </c>
      <c r="B25" t="s">
        <v>47</v>
      </c>
      <c r="C25" t="s">
        <v>63</v>
      </c>
      <c r="D25" t="s">
        <v>1</v>
      </c>
      <c r="E25" t="s">
        <v>80</v>
      </c>
      <c r="F25" t="s">
        <v>87</v>
      </c>
      <c r="H25" s="31">
        <v>2.3179103147009002E-3</v>
      </c>
      <c r="I25" s="31">
        <v>2.4548402037980499E-3</v>
      </c>
    </row>
    <row r="26" spans="1:9" x14ac:dyDescent="0.25">
      <c r="A26" t="s">
        <v>1426</v>
      </c>
      <c r="B26" t="s">
        <v>1424</v>
      </c>
      <c r="C26" t="s">
        <v>63</v>
      </c>
      <c r="D26" t="s">
        <v>1</v>
      </c>
      <c r="E26" t="s">
        <v>1420</v>
      </c>
      <c r="F26" t="s">
        <v>87</v>
      </c>
      <c r="G26" t="s">
        <v>652</v>
      </c>
      <c r="H26" s="31">
        <v>4.6358206294018003E-3</v>
      </c>
      <c r="I26" s="31">
        <v>4.8170449282074999E-3</v>
      </c>
    </row>
    <row r="27" spans="1:9" x14ac:dyDescent="0.25">
      <c r="A27" t="s">
        <v>50</v>
      </c>
      <c r="B27" t="s">
        <v>51</v>
      </c>
      <c r="C27" t="s">
        <v>63</v>
      </c>
      <c r="D27" t="s">
        <v>1</v>
      </c>
      <c r="E27" t="s">
        <v>81</v>
      </c>
      <c r="F27" t="s">
        <v>87</v>
      </c>
      <c r="H27" s="31">
        <v>6.5971293572256399E-3</v>
      </c>
      <c r="I27" s="31">
        <v>6.0213061602593801E-3</v>
      </c>
    </row>
    <row r="28" spans="1:9" x14ac:dyDescent="0.25">
      <c r="A28" t="s">
        <v>53</v>
      </c>
      <c r="B28" t="s">
        <v>1389</v>
      </c>
      <c r="C28" t="s">
        <v>64</v>
      </c>
      <c r="D28" t="s">
        <v>1316</v>
      </c>
      <c r="E28" t="s">
        <v>64</v>
      </c>
      <c r="H28" s="31">
        <v>0.96950000000000003</v>
      </c>
      <c r="I28" s="31">
        <v>0.96900307176766298</v>
      </c>
    </row>
    <row r="29" spans="1:9" x14ac:dyDescent="0.25">
      <c r="A29" t="s">
        <v>52</v>
      </c>
      <c r="B29" t="s">
        <v>1396</v>
      </c>
      <c r="C29" t="s">
        <v>64</v>
      </c>
      <c r="D29" t="s">
        <v>1</v>
      </c>
      <c r="E29" t="s">
        <v>82</v>
      </c>
      <c r="F29" t="s">
        <v>87</v>
      </c>
      <c r="H29" s="31">
        <v>3.0499999999999999E-2</v>
      </c>
      <c r="I29" s="31">
        <v>3.0996928232337299E-2</v>
      </c>
    </row>
  </sheetData>
  <sheetProtection algorithmName="SHA-512" hashValue="qkz8jc1ySo3CuAaOrbyceFrjmFGSHNntSD0y6+HIknhxkz/SMpNavvSGIa30n2tZtqSgbAqvW/a2WSgJs/PH3g==" saltValue="bdZhriEEv2r64FYFgu8Img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39DA6-C1C7-4DC6-842C-993C6A5AB959}">
  <sheetPr codeName="Sheet8">
    <tabColor rgb="FF7030A0"/>
  </sheetPr>
  <dimension ref="A1:S19"/>
  <sheetViews>
    <sheetView workbookViewId="0"/>
    <sheetView workbookViewId="1"/>
  </sheetViews>
  <sheetFormatPr defaultRowHeight="15" x14ac:dyDescent="0.25"/>
  <cols>
    <col min="1" max="1" width="9.42578125" bestFit="1" customWidth="1"/>
    <col min="2" max="2" width="47.5703125" bestFit="1" customWidth="1"/>
    <col min="3" max="3" width="17.28515625" bestFit="1" customWidth="1"/>
    <col min="4" max="4" width="24.140625" bestFit="1" customWidth="1"/>
    <col min="5" max="5" width="8.28515625" bestFit="1" customWidth="1"/>
    <col min="6" max="6" width="8.85546875" bestFit="1" customWidth="1"/>
    <col min="7" max="7" width="13.42578125" bestFit="1" customWidth="1"/>
    <col min="8" max="8" width="20.5703125" bestFit="1" customWidth="1"/>
    <col min="9" max="9" width="24.5703125" bestFit="1" customWidth="1"/>
    <col min="10" max="10" width="23" bestFit="1" customWidth="1"/>
    <col min="11" max="11" width="32" bestFit="1" customWidth="1"/>
    <col min="12" max="12" width="15.42578125" bestFit="1" customWidth="1"/>
    <col min="13" max="13" width="23.28515625" bestFit="1" customWidth="1"/>
    <col min="14" max="14" width="35.28515625" bestFit="1" customWidth="1"/>
    <col min="15" max="15" width="15.140625" bestFit="1" customWidth="1"/>
    <col min="16" max="16" width="23" bestFit="1" customWidth="1"/>
    <col min="17" max="17" width="51.85546875" bestFit="1" customWidth="1"/>
    <col min="18" max="18" width="26.140625" bestFit="1" customWidth="1"/>
    <col min="19" max="19" width="34.140625" bestFit="1" customWidth="1"/>
    <col min="20" max="20" width="23.28515625" bestFit="1" customWidth="1"/>
    <col min="21" max="21" width="35.28515625" bestFit="1" customWidth="1"/>
    <col min="22" max="22" width="15.140625" bestFit="1" customWidth="1"/>
    <col min="23" max="23" width="23" bestFit="1" customWidth="1"/>
    <col min="24" max="24" width="51.85546875" bestFit="1" customWidth="1"/>
    <col min="25" max="25" width="26.140625" bestFit="1" customWidth="1"/>
    <col min="26" max="26" width="34.140625" customWidth="1"/>
    <col min="27" max="27" width="51.85546875" bestFit="1" customWidth="1"/>
    <col min="28" max="28" width="26.140625" bestFit="1" customWidth="1"/>
    <col min="29" max="29" width="34.140625" bestFit="1" customWidth="1"/>
    <col min="30" max="30" width="24.28515625" bestFit="1" customWidth="1"/>
    <col min="31" max="31" width="30.85546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654</v>
      </c>
      <c r="H1" t="s">
        <v>1306</v>
      </c>
      <c r="I1" t="s">
        <v>6</v>
      </c>
      <c r="J1" t="s">
        <v>1307</v>
      </c>
      <c r="K1" t="s">
        <v>7</v>
      </c>
      <c r="L1" t="s">
        <v>54</v>
      </c>
      <c r="M1" t="s">
        <v>1317</v>
      </c>
      <c r="N1" t="s">
        <v>655</v>
      </c>
      <c r="O1" t="s">
        <v>1318</v>
      </c>
      <c r="P1" t="s">
        <v>1319</v>
      </c>
      <c r="Q1" t="s">
        <v>1308</v>
      </c>
      <c r="R1" t="s">
        <v>1309</v>
      </c>
      <c r="S1" t="s">
        <v>1310</v>
      </c>
    </row>
    <row r="2" spans="1:19" x14ac:dyDescent="0.25">
      <c r="A2" t="s">
        <v>8</v>
      </c>
      <c r="B2" t="s">
        <v>1394</v>
      </c>
      <c r="C2" t="s">
        <v>9</v>
      </c>
      <c r="D2" t="s">
        <v>10</v>
      </c>
      <c r="E2" t="s">
        <v>66</v>
      </c>
      <c r="F2" t="s">
        <v>87</v>
      </c>
      <c r="G2" t="s">
        <v>652</v>
      </c>
      <c r="H2">
        <v>551</v>
      </c>
      <c r="I2">
        <v>232</v>
      </c>
      <c r="J2">
        <v>4348</v>
      </c>
      <c r="K2">
        <v>2400</v>
      </c>
      <c r="L2" t="s">
        <v>55</v>
      </c>
      <c r="M2">
        <v>632</v>
      </c>
      <c r="N2" t="s">
        <v>1427</v>
      </c>
      <c r="O2">
        <v>8.6341644957201397E-2</v>
      </c>
      <c r="P2">
        <v>0.89318943059173805</v>
      </c>
      <c r="Q2" t="s">
        <v>1428</v>
      </c>
      <c r="R2">
        <v>0.11064257028112399</v>
      </c>
      <c r="S2">
        <v>0.87309236947791202</v>
      </c>
    </row>
    <row r="3" spans="1:19" x14ac:dyDescent="0.25">
      <c r="A3" t="s">
        <v>11</v>
      </c>
      <c r="B3" t="s">
        <v>12</v>
      </c>
      <c r="C3" t="s">
        <v>9</v>
      </c>
      <c r="D3" t="s">
        <v>10</v>
      </c>
      <c r="E3" t="s">
        <v>67</v>
      </c>
      <c r="F3" t="s">
        <v>87</v>
      </c>
      <c r="H3">
        <v>81</v>
      </c>
      <c r="I3">
        <v>55</v>
      </c>
      <c r="J3">
        <v>4348</v>
      </c>
      <c r="K3">
        <v>2400</v>
      </c>
      <c r="L3" t="s">
        <v>55</v>
      </c>
      <c r="M3">
        <v>632</v>
      </c>
      <c r="N3" t="s">
        <v>1427</v>
      </c>
      <c r="O3">
        <v>2.0468924451060699E-2</v>
      </c>
      <c r="P3">
        <v>0.89318943059173805</v>
      </c>
      <c r="Q3" t="s">
        <v>1428</v>
      </c>
      <c r="R3">
        <v>1.6265060240963899E-2</v>
      </c>
      <c r="S3">
        <v>0.87309236947791202</v>
      </c>
    </row>
    <row r="4" spans="1:19" x14ac:dyDescent="0.25">
      <c r="A4" t="s">
        <v>13</v>
      </c>
      <c r="B4" t="s">
        <v>1382</v>
      </c>
      <c r="C4" t="s">
        <v>1383</v>
      </c>
      <c r="D4" t="s">
        <v>14</v>
      </c>
      <c r="E4" t="s">
        <v>68</v>
      </c>
      <c r="F4" t="s">
        <v>87</v>
      </c>
      <c r="H4">
        <v>112</v>
      </c>
      <c r="I4">
        <v>39</v>
      </c>
      <c r="J4">
        <v>11308</v>
      </c>
      <c r="K4">
        <v>4473</v>
      </c>
      <c r="L4" t="s">
        <v>56</v>
      </c>
      <c r="M4">
        <v>112</v>
      </c>
      <c r="N4" t="s">
        <v>1429</v>
      </c>
      <c r="O4">
        <v>8.6436170212765995E-3</v>
      </c>
      <c r="P4">
        <v>0.99135638297872397</v>
      </c>
      <c r="Q4" t="s">
        <v>1430</v>
      </c>
      <c r="R4">
        <v>9.8073555166374796E-3</v>
      </c>
      <c r="S4">
        <v>0.99019264448336197</v>
      </c>
    </row>
    <row r="5" spans="1:19" x14ac:dyDescent="0.25">
      <c r="A5" t="s">
        <v>15</v>
      </c>
      <c r="B5" t="s">
        <v>16</v>
      </c>
      <c r="C5" t="s">
        <v>17</v>
      </c>
      <c r="D5" t="s">
        <v>18</v>
      </c>
      <c r="E5" t="s">
        <v>69</v>
      </c>
      <c r="F5" t="s">
        <v>87</v>
      </c>
      <c r="H5">
        <v>362</v>
      </c>
      <c r="I5">
        <v>236</v>
      </c>
      <c r="J5">
        <v>18278</v>
      </c>
      <c r="K5">
        <v>11632</v>
      </c>
      <c r="L5" t="s">
        <v>57</v>
      </c>
      <c r="M5">
        <v>362</v>
      </c>
      <c r="N5" t="s">
        <v>1431</v>
      </c>
      <c r="O5">
        <v>1.9885406134142199E-2</v>
      </c>
      <c r="P5">
        <v>0.98011459386585797</v>
      </c>
      <c r="Q5" t="s">
        <v>1432</v>
      </c>
      <c r="R5">
        <v>1.9420600858369101E-2</v>
      </c>
      <c r="S5">
        <v>0.98057939914163095</v>
      </c>
    </row>
    <row r="6" spans="1:19" x14ac:dyDescent="0.25">
      <c r="A6" t="s">
        <v>1425</v>
      </c>
      <c r="B6" t="s">
        <v>1433</v>
      </c>
      <c r="C6" t="s">
        <v>1423</v>
      </c>
      <c r="D6" t="s">
        <v>1077</v>
      </c>
      <c r="E6" t="s">
        <v>1418</v>
      </c>
      <c r="F6" t="s">
        <v>87</v>
      </c>
      <c r="G6" t="s">
        <v>652</v>
      </c>
      <c r="H6">
        <v>380</v>
      </c>
      <c r="I6">
        <v>239</v>
      </c>
      <c r="J6">
        <v>14840</v>
      </c>
      <c r="K6">
        <v>7138</v>
      </c>
      <c r="L6" t="s">
        <v>562</v>
      </c>
      <c r="M6">
        <v>380</v>
      </c>
      <c r="N6" t="s">
        <v>1434</v>
      </c>
      <c r="O6">
        <v>3.2397993764402902E-2</v>
      </c>
      <c r="P6">
        <v>0.967602006235597</v>
      </c>
      <c r="Q6" t="s">
        <v>1435</v>
      </c>
      <c r="R6">
        <v>2.4967148488830498E-2</v>
      </c>
      <c r="S6">
        <v>0.97503285151117003</v>
      </c>
    </row>
    <row r="7" spans="1:19" x14ac:dyDescent="0.25">
      <c r="A7" t="s">
        <v>21</v>
      </c>
      <c r="B7" t="s">
        <v>22</v>
      </c>
      <c r="C7" t="s">
        <v>23</v>
      </c>
      <c r="D7" t="s">
        <v>24</v>
      </c>
      <c r="E7" t="s">
        <v>71</v>
      </c>
      <c r="F7" t="s">
        <v>87</v>
      </c>
      <c r="G7" t="s">
        <v>652</v>
      </c>
      <c r="H7">
        <v>130</v>
      </c>
      <c r="I7">
        <v>74</v>
      </c>
      <c r="J7">
        <v>50944</v>
      </c>
      <c r="K7">
        <v>16145</v>
      </c>
      <c r="L7" t="s">
        <v>59</v>
      </c>
      <c r="M7">
        <v>922</v>
      </c>
      <c r="N7" t="s">
        <v>1436</v>
      </c>
      <c r="O7">
        <v>4.46725022638092E-3</v>
      </c>
      <c r="P7">
        <v>0.97464533655297303</v>
      </c>
      <c r="Q7" t="s">
        <v>1437</v>
      </c>
      <c r="R7">
        <v>2.5064589519145498E-3</v>
      </c>
      <c r="S7">
        <v>0.98222342189488299</v>
      </c>
    </row>
    <row r="8" spans="1:19" x14ac:dyDescent="0.25">
      <c r="A8" t="s">
        <v>25</v>
      </c>
      <c r="B8" t="s">
        <v>26</v>
      </c>
      <c r="C8" t="s">
        <v>23</v>
      </c>
      <c r="D8" t="s">
        <v>24</v>
      </c>
      <c r="E8" t="s">
        <v>72</v>
      </c>
      <c r="F8" t="s">
        <v>87</v>
      </c>
      <c r="H8">
        <v>623</v>
      </c>
      <c r="I8">
        <v>276</v>
      </c>
      <c r="J8">
        <v>50944</v>
      </c>
      <c r="K8">
        <v>16145</v>
      </c>
      <c r="L8" t="s">
        <v>59</v>
      </c>
      <c r="M8">
        <v>922</v>
      </c>
      <c r="N8" t="s">
        <v>1436</v>
      </c>
      <c r="O8">
        <v>1.6661635979474801E-2</v>
      </c>
      <c r="P8">
        <v>0.97464533655297303</v>
      </c>
      <c r="Q8" t="s">
        <v>1437</v>
      </c>
      <c r="R8">
        <v>1.2011722515713599E-2</v>
      </c>
      <c r="S8">
        <v>0.98222342189488299</v>
      </c>
    </row>
    <row r="9" spans="1:19" x14ac:dyDescent="0.25">
      <c r="A9" t="s">
        <v>27</v>
      </c>
      <c r="B9" t="s">
        <v>28</v>
      </c>
      <c r="C9" t="s">
        <v>23</v>
      </c>
      <c r="D9" t="s">
        <v>24</v>
      </c>
      <c r="E9" t="s">
        <v>73</v>
      </c>
      <c r="F9" t="s">
        <v>87</v>
      </c>
      <c r="H9">
        <v>169</v>
      </c>
      <c r="I9">
        <v>70</v>
      </c>
      <c r="J9">
        <v>50944</v>
      </c>
      <c r="K9">
        <v>16145</v>
      </c>
      <c r="L9" t="s">
        <v>59</v>
      </c>
      <c r="M9">
        <v>922</v>
      </c>
      <c r="N9" t="s">
        <v>1436</v>
      </c>
      <c r="O9">
        <v>4.2257772411711404E-3</v>
      </c>
      <c r="P9">
        <v>0.97464533655297303</v>
      </c>
      <c r="Q9" t="s">
        <v>1437</v>
      </c>
      <c r="R9">
        <v>3.25839663748891E-3</v>
      </c>
      <c r="S9">
        <v>0.98222342189488299</v>
      </c>
    </row>
    <row r="10" spans="1:19" x14ac:dyDescent="0.25">
      <c r="A10" t="s">
        <v>40</v>
      </c>
      <c r="B10" t="s">
        <v>41</v>
      </c>
      <c r="C10" t="s">
        <v>42</v>
      </c>
      <c r="D10" t="s">
        <v>43</v>
      </c>
      <c r="E10" t="s">
        <v>74</v>
      </c>
      <c r="F10" t="s">
        <v>87</v>
      </c>
      <c r="G10" t="s">
        <v>652</v>
      </c>
      <c r="H10">
        <v>642</v>
      </c>
      <c r="I10">
        <v>462</v>
      </c>
      <c r="J10">
        <v>2812</v>
      </c>
      <c r="K10">
        <v>1861</v>
      </c>
      <c r="L10" t="s">
        <v>60</v>
      </c>
      <c r="M10">
        <v>1084</v>
      </c>
      <c r="N10" t="s">
        <v>1563</v>
      </c>
      <c r="O10">
        <v>0.17546524876566699</v>
      </c>
      <c r="P10">
        <v>0.70679832890239302</v>
      </c>
      <c r="Q10" t="s">
        <v>1564</v>
      </c>
      <c r="R10">
        <v>0.164784394250513</v>
      </c>
      <c r="S10">
        <v>0.72176591375770005</v>
      </c>
    </row>
    <row r="11" spans="1:19" x14ac:dyDescent="0.25">
      <c r="A11" t="s">
        <v>44</v>
      </c>
      <c r="B11" t="s">
        <v>45</v>
      </c>
      <c r="C11" t="s">
        <v>42</v>
      </c>
      <c r="D11" t="s">
        <v>43</v>
      </c>
      <c r="E11" t="s">
        <v>75</v>
      </c>
      <c r="F11" t="s">
        <v>87</v>
      </c>
      <c r="H11">
        <v>442</v>
      </c>
      <c r="I11">
        <v>310</v>
      </c>
      <c r="J11">
        <v>2812</v>
      </c>
      <c r="K11">
        <v>1861</v>
      </c>
      <c r="L11" t="s">
        <v>60</v>
      </c>
      <c r="M11">
        <v>1084</v>
      </c>
      <c r="N11" t="s">
        <v>1563</v>
      </c>
      <c r="O11">
        <v>0.117736422331941</v>
      </c>
      <c r="P11">
        <v>0.70679832890239302</v>
      </c>
      <c r="Q11" t="s">
        <v>1564</v>
      </c>
      <c r="R11">
        <v>0.11344969199178601</v>
      </c>
      <c r="S11">
        <v>0.72176591375770005</v>
      </c>
    </row>
    <row r="12" spans="1:19" x14ac:dyDescent="0.25">
      <c r="A12" t="s">
        <v>33</v>
      </c>
      <c r="B12" t="s">
        <v>34</v>
      </c>
      <c r="C12" t="s">
        <v>31</v>
      </c>
      <c r="D12" t="s">
        <v>32</v>
      </c>
      <c r="E12" t="s">
        <v>77</v>
      </c>
      <c r="F12" t="s">
        <v>87</v>
      </c>
      <c r="H12">
        <v>170</v>
      </c>
      <c r="I12">
        <v>72</v>
      </c>
      <c r="J12">
        <v>29607</v>
      </c>
      <c r="K12">
        <v>16631</v>
      </c>
      <c r="L12" t="s">
        <v>61</v>
      </c>
      <c r="M12">
        <v>1063</v>
      </c>
      <c r="N12" t="s">
        <v>1438</v>
      </c>
      <c r="O12">
        <v>4.1945819982522597E-3</v>
      </c>
      <c r="P12">
        <v>0.96889018351296197</v>
      </c>
      <c r="Q12" t="s">
        <v>1439</v>
      </c>
      <c r="R12">
        <v>5.5428757743723502E-3</v>
      </c>
      <c r="S12">
        <v>0.96534072383436598</v>
      </c>
    </row>
    <row r="13" spans="1:19" x14ac:dyDescent="0.25">
      <c r="A13" t="s">
        <v>29</v>
      </c>
      <c r="B13" t="s">
        <v>30</v>
      </c>
      <c r="C13" t="s">
        <v>31</v>
      </c>
      <c r="D13" t="s">
        <v>32</v>
      </c>
      <c r="E13" t="s">
        <v>76</v>
      </c>
      <c r="F13" t="s">
        <v>87</v>
      </c>
      <c r="H13">
        <v>25</v>
      </c>
      <c r="I13">
        <v>21</v>
      </c>
      <c r="J13">
        <v>29607</v>
      </c>
      <c r="K13">
        <v>16631</v>
      </c>
      <c r="L13" t="s">
        <v>61</v>
      </c>
      <c r="M13">
        <v>1063</v>
      </c>
      <c r="N13" t="s">
        <v>1438</v>
      </c>
      <c r="O13">
        <v>1.2234197494902399E-3</v>
      </c>
      <c r="P13">
        <v>0.96889018351296197</v>
      </c>
      <c r="Q13" t="s">
        <v>1439</v>
      </c>
      <c r="R13">
        <v>8.1512879034887503E-4</v>
      </c>
      <c r="S13">
        <v>0.96534072383436598</v>
      </c>
    </row>
    <row r="14" spans="1:19" x14ac:dyDescent="0.25">
      <c r="A14" t="s">
        <v>35</v>
      </c>
      <c r="B14" t="s">
        <v>36</v>
      </c>
      <c r="C14" t="s">
        <v>31</v>
      </c>
      <c r="D14" t="s">
        <v>32</v>
      </c>
      <c r="E14" t="s">
        <v>78</v>
      </c>
      <c r="F14" t="s">
        <v>87</v>
      </c>
      <c r="H14">
        <v>868</v>
      </c>
      <c r="I14">
        <v>441</v>
      </c>
      <c r="J14">
        <v>29607</v>
      </c>
      <c r="K14">
        <v>16631</v>
      </c>
      <c r="L14" t="s">
        <v>61</v>
      </c>
      <c r="M14">
        <v>1063</v>
      </c>
      <c r="N14" t="s">
        <v>1438</v>
      </c>
      <c r="O14">
        <v>2.5691814739295101E-2</v>
      </c>
      <c r="P14">
        <v>0.96889018351296197</v>
      </c>
      <c r="Q14" t="s">
        <v>1439</v>
      </c>
      <c r="R14">
        <v>2.8301271600912899E-2</v>
      </c>
      <c r="S14">
        <v>0.96534072383436598</v>
      </c>
    </row>
    <row r="15" spans="1:19" x14ac:dyDescent="0.25">
      <c r="A15" t="s">
        <v>37</v>
      </c>
      <c r="B15" t="s">
        <v>1395</v>
      </c>
      <c r="C15" t="s">
        <v>38</v>
      </c>
      <c r="D15" t="s">
        <v>39</v>
      </c>
      <c r="E15" t="s">
        <v>79</v>
      </c>
      <c r="F15" t="s">
        <v>87</v>
      </c>
      <c r="H15">
        <v>263</v>
      </c>
      <c r="I15">
        <v>181</v>
      </c>
      <c r="J15">
        <v>28657</v>
      </c>
      <c r="K15">
        <v>15270</v>
      </c>
      <c r="L15" t="s">
        <v>62</v>
      </c>
      <c r="M15">
        <v>263</v>
      </c>
      <c r="N15" t="s">
        <v>1440</v>
      </c>
      <c r="O15">
        <v>1.1714452139020099E-2</v>
      </c>
      <c r="P15">
        <v>0.98828554786098</v>
      </c>
      <c r="Q15" t="s">
        <v>1441</v>
      </c>
      <c r="R15">
        <v>9.0940525587828499E-3</v>
      </c>
      <c r="S15">
        <v>0.99090594744121696</v>
      </c>
    </row>
    <row r="16" spans="1:19" x14ac:dyDescent="0.25">
      <c r="A16" t="s">
        <v>46</v>
      </c>
      <c r="B16" t="s">
        <v>47</v>
      </c>
      <c r="C16" t="s">
        <v>48</v>
      </c>
      <c r="D16" t="s">
        <v>49</v>
      </c>
      <c r="E16" t="s">
        <v>80</v>
      </c>
      <c r="F16" t="s">
        <v>87</v>
      </c>
      <c r="H16">
        <v>53</v>
      </c>
      <c r="I16">
        <v>26</v>
      </c>
      <c r="J16">
        <v>21303</v>
      </c>
      <c r="K16">
        <v>11065</v>
      </c>
      <c r="L16" t="s">
        <v>63</v>
      </c>
      <c r="M16">
        <v>287</v>
      </c>
      <c r="N16" t="s">
        <v>1442</v>
      </c>
      <c r="O16">
        <v>2.3179103147009002E-3</v>
      </c>
      <c r="P16">
        <v>0.98644913969867198</v>
      </c>
      <c r="Q16" t="s">
        <v>1443</v>
      </c>
      <c r="R16">
        <v>2.4548402037980499E-3</v>
      </c>
      <c r="S16">
        <v>0.98670680870773497</v>
      </c>
    </row>
    <row r="17" spans="1:19" x14ac:dyDescent="0.25">
      <c r="A17" t="s">
        <v>1426</v>
      </c>
      <c r="B17" t="s">
        <v>1424</v>
      </c>
      <c r="C17" t="s">
        <v>48</v>
      </c>
      <c r="D17" t="s">
        <v>49</v>
      </c>
      <c r="E17" t="s">
        <v>1420</v>
      </c>
      <c r="F17" t="s">
        <v>87</v>
      </c>
      <c r="G17" t="s">
        <v>652</v>
      </c>
      <c r="H17">
        <v>104</v>
      </c>
      <c r="I17">
        <v>52</v>
      </c>
      <c r="J17">
        <v>21303</v>
      </c>
      <c r="K17">
        <v>11065</v>
      </c>
      <c r="L17" t="s">
        <v>63</v>
      </c>
      <c r="M17">
        <v>287</v>
      </c>
      <c r="N17" t="s">
        <v>1442</v>
      </c>
      <c r="O17">
        <v>4.6358206294018003E-3</v>
      </c>
      <c r="P17">
        <v>0.98644913969867198</v>
      </c>
      <c r="Q17" t="s">
        <v>1443</v>
      </c>
      <c r="R17">
        <v>4.8170449282074999E-3</v>
      </c>
      <c r="S17">
        <v>0.98670680870773497</v>
      </c>
    </row>
    <row r="18" spans="1:19" x14ac:dyDescent="0.25">
      <c r="A18" t="s">
        <v>50</v>
      </c>
      <c r="B18" t="s">
        <v>51</v>
      </c>
      <c r="C18" t="s">
        <v>48</v>
      </c>
      <c r="D18" t="s">
        <v>49</v>
      </c>
      <c r="E18" t="s">
        <v>81</v>
      </c>
      <c r="F18" t="s">
        <v>87</v>
      </c>
      <c r="H18">
        <v>130</v>
      </c>
      <c r="I18">
        <v>74</v>
      </c>
      <c r="J18">
        <v>21303</v>
      </c>
      <c r="K18">
        <v>11065</v>
      </c>
      <c r="L18" t="s">
        <v>63</v>
      </c>
      <c r="M18">
        <v>287</v>
      </c>
      <c r="N18" t="s">
        <v>1442</v>
      </c>
      <c r="O18">
        <v>6.5971293572256399E-3</v>
      </c>
      <c r="P18">
        <v>0.98644913969867198</v>
      </c>
      <c r="Q18" t="s">
        <v>1443</v>
      </c>
      <c r="R18">
        <v>6.0213061602593801E-3</v>
      </c>
      <c r="S18">
        <v>0.98670680870773497</v>
      </c>
    </row>
    <row r="19" spans="1:19" x14ac:dyDescent="0.25">
      <c r="A19" t="s">
        <v>52</v>
      </c>
      <c r="B19" t="s">
        <v>1396</v>
      </c>
      <c r="C19" t="s">
        <v>1389</v>
      </c>
      <c r="D19" t="s">
        <v>53</v>
      </c>
      <c r="E19" t="s">
        <v>82</v>
      </c>
      <c r="F19" t="s">
        <v>87</v>
      </c>
      <c r="H19">
        <v>222</v>
      </c>
      <c r="I19">
        <v>122</v>
      </c>
      <c r="J19">
        <v>6940</v>
      </c>
      <c r="K19">
        <v>3878</v>
      </c>
      <c r="L19" t="s">
        <v>64</v>
      </c>
      <c r="M19">
        <v>222</v>
      </c>
      <c r="N19" t="s">
        <v>1444</v>
      </c>
      <c r="O19">
        <v>3.0499999999999999E-2</v>
      </c>
      <c r="P19">
        <v>0.96950000000000003</v>
      </c>
      <c r="Q19" t="s">
        <v>1445</v>
      </c>
      <c r="R19">
        <v>3.0996928232337299E-2</v>
      </c>
      <c r="S19">
        <v>0.96900307176766298</v>
      </c>
    </row>
  </sheetData>
  <sheetProtection algorithmName="SHA-512" hashValue="xUqw5JRahi7MVeaHZS0gyQLXY/m4WEz9FyJ8rJrAPx8ZX8v4eWsIbaYmKIgk050T81L2MKben4B4yqsMd93oDA==" saltValue="Hj7LHD4KGmgvD0CrU9DKpg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8FDE4-178F-42AC-8FDA-222B0F56AF46}">
  <dimension ref="A1:AB320"/>
  <sheetViews>
    <sheetView workbookViewId="0"/>
    <sheetView topLeftCell="G1" workbookViewId="1"/>
  </sheetViews>
  <sheetFormatPr defaultRowHeight="15" x14ac:dyDescent="0.25"/>
  <cols>
    <col min="1" max="1" width="8.28515625" bestFit="1" customWidth="1"/>
    <col min="2" max="2" width="43" bestFit="1" customWidth="1"/>
    <col min="3" max="3" width="9.42578125" bestFit="1" customWidth="1"/>
    <col min="4" max="4" width="31.5703125" bestFit="1" customWidth="1"/>
    <col min="5" max="5" width="40" bestFit="1" customWidth="1"/>
    <col min="6" max="6" width="35.140625" bestFit="1" customWidth="1"/>
    <col min="7" max="7" width="31.140625" bestFit="1" customWidth="1"/>
    <col min="8" max="8" width="31.5703125" bestFit="1" customWidth="1"/>
    <col min="9" max="9" width="38.5703125" bestFit="1" customWidth="1"/>
    <col min="10" max="10" width="35" bestFit="1" customWidth="1"/>
    <col min="11" max="11" width="14.140625" bestFit="1" customWidth="1"/>
    <col min="12" max="12" width="17.140625" bestFit="1" customWidth="1"/>
    <col min="13" max="13" width="17.85546875" bestFit="1" customWidth="1"/>
    <col min="14" max="14" width="15.5703125" bestFit="1" customWidth="1"/>
    <col min="15" max="15" width="24.42578125" bestFit="1" customWidth="1"/>
    <col min="16" max="17" width="24.42578125" customWidth="1"/>
    <col min="18" max="18" width="24.42578125" bestFit="1" customWidth="1"/>
    <col min="19" max="19" width="14.140625" bestFit="1" customWidth="1"/>
    <col min="20" max="20" width="17.140625" bestFit="1" customWidth="1"/>
    <col min="21" max="21" width="17.85546875" bestFit="1" customWidth="1"/>
    <col min="22" max="22" width="15.5703125" bestFit="1" customWidth="1"/>
    <col min="23" max="24" width="24.42578125" bestFit="1" customWidth="1"/>
    <col min="25" max="25" width="48.28515625" bestFit="1" customWidth="1"/>
    <col min="26" max="27" width="57.28515625" bestFit="1" customWidth="1"/>
    <col min="28" max="28" width="17.85546875" customWidth="1"/>
    <col min="29" max="29" width="17.85546875" bestFit="1" customWidth="1"/>
    <col min="30" max="30" width="9.42578125" bestFit="1" customWidth="1"/>
    <col min="31" max="31" width="17.28515625" bestFit="1" customWidth="1"/>
    <col min="32" max="32" width="43" bestFit="1" customWidth="1"/>
    <col min="33" max="33" width="17.85546875" bestFit="1" customWidth="1"/>
    <col min="34" max="34" width="43" bestFit="1" customWidth="1"/>
    <col min="35" max="35" width="15.7109375" bestFit="1" customWidth="1"/>
  </cols>
  <sheetData>
    <row r="1" spans="1:16" x14ac:dyDescent="0.25">
      <c r="A1" t="s">
        <v>4</v>
      </c>
      <c r="B1" t="s">
        <v>1277</v>
      </c>
      <c r="C1" t="s">
        <v>0</v>
      </c>
      <c r="D1" t="s">
        <v>1413</v>
      </c>
      <c r="E1" t="s">
        <v>1414</v>
      </c>
      <c r="F1" t="s">
        <v>1406</v>
      </c>
      <c r="G1" t="s">
        <v>1407</v>
      </c>
      <c r="H1" t="s">
        <v>1415</v>
      </c>
      <c r="I1" t="s">
        <v>1416</v>
      </c>
      <c r="J1" t="s">
        <v>1380</v>
      </c>
      <c r="K1" t="s">
        <v>1285</v>
      </c>
      <c r="L1" t="s">
        <v>1289</v>
      </c>
      <c r="M1" t="s">
        <v>1290</v>
      </c>
      <c r="N1" t="s">
        <v>1298</v>
      </c>
      <c r="O1" t="s">
        <v>1300</v>
      </c>
      <c r="P1" t="s">
        <v>1301</v>
      </c>
    </row>
    <row r="2" spans="1:16" hidden="1" x14ac:dyDescent="0.25">
      <c r="A2" t="s">
        <v>308</v>
      </c>
      <c r="B2" t="s">
        <v>661</v>
      </c>
      <c r="C2" t="s">
        <v>660</v>
      </c>
      <c r="D2">
        <v>634938.69375755591</v>
      </c>
      <c r="E2">
        <v>167295.88148094981</v>
      </c>
      <c r="F2">
        <v>392655.00860822888</v>
      </c>
      <c r="G2">
        <v>539711.39546573057</v>
      </c>
      <c r="H2">
        <v>1734600.9793124651</v>
      </c>
      <c r="I2">
        <v>1662590.0220443809</v>
      </c>
      <c r="J2">
        <v>72010.957268084167</v>
      </c>
      <c r="K2">
        <v>12731.722745394822</v>
      </c>
      <c r="L2">
        <v>0</v>
      </c>
      <c r="M2">
        <v>1649858.2992989861</v>
      </c>
      <c r="N2">
        <v>3496</v>
      </c>
      <c r="O2">
        <v>704</v>
      </c>
      <c r="P2">
        <v>0.20137299771167</v>
      </c>
    </row>
    <row r="3" spans="1:16" hidden="1" x14ac:dyDescent="0.25">
      <c r="A3" t="s">
        <v>259</v>
      </c>
      <c r="B3" t="s">
        <v>663</v>
      </c>
      <c r="C3" t="s">
        <v>662</v>
      </c>
      <c r="D3">
        <v>59960.521512423416</v>
      </c>
      <c r="E3">
        <v>0</v>
      </c>
      <c r="F3">
        <v>28924.902902532685</v>
      </c>
      <c r="G3">
        <v>39235.770572803085</v>
      </c>
      <c r="H3">
        <v>128121.19498775918</v>
      </c>
      <c r="I3">
        <v>109848.41963459854</v>
      </c>
      <c r="J3">
        <v>18272.775353160643</v>
      </c>
      <c r="K3">
        <v>841.19332142254393</v>
      </c>
      <c r="L3">
        <v>0</v>
      </c>
      <c r="M3">
        <v>109007.226313176</v>
      </c>
      <c r="N3">
        <v>748</v>
      </c>
      <c r="O3">
        <v>69</v>
      </c>
      <c r="P3">
        <v>9.22459893048128E-2</v>
      </c>
    </row>
    <row r="4" spans="1:16" hidden="1" x14ac:dyDescent="0.25">
      <c r="A4" t="s">
        <v>261</v>
      </c>
      <c r="B4" t="s">
        <v>665</v>
      </c>
      <c r="C4" t="s">
        <v>664</v>
      </c>
      <c r="D4">
        <v>15641.875177153936</v>
      </c>
      <c r="E4">
        <v>4208.2731321928313</v>
      </c>
      <c r="F4">
        <v>8355.4612451861758</v>
      </c>
      <c r="G4">
        <v>11333.934691181523</v>
      </c>
      <c r="H4">
        <v>39539.544245714467</v>
      </c>
      <c r="I4">
        <v>30891.233824755196</v>
      </c>
      <c r="J4">
        <v>8648.3104209592711</v>
      </c>
      <c r="K4">
        <v>236.55779182190167</v>
      </c>
      <c r="L4">
        <v>0</v>
      </c>
      <c r="M4">
        <v>30654.676032933294</v>
      </c>
      <c r="N4">
        <v>99</v>
      </c>
      <c r="O4">
        <v>18</v>
      </c>
      <c r="P4">
        <v>0.18181818181818199</v>
      </c>
    </row>
    <row r="5" spans="1:16" hidden="1" x14ac:dyDescent="0.25">
      <c r="A5" t="s">
        <v>88</v>
      </c>
      <c r="B5" t="s">
        <v>667</v>
      </c>
      <c r="C5" t="s">
        <v>666</v>
      </c>
      <c r="D5">
        <v>202475.38423760375</v>
      </c>
      <c r="E5">
        <v>0</v>
      </c>
      <c r="F5">
        <v>97673.947482465446</v>
      </c>
      <c r="G5">
        <v>132491.80497772634</v>
      </c>
      <c r="H5">
        <v>432641.13669779547</v>
      </c>
      <c r="I5">
        <v>432641.13669779547</v>
      </c>
      <c r="J5">
        <v>0</v>
      </c>
      <c r="K5">
        <v>3313.0639109187168</v>
      </c>
      <c r="L5">
        <v>0</v>
      </c>
      <c r="M5">
        <v>429328.07278687676</v>
      </c>
      <c r="N5">
        <v>2787</v>
      </c>
      <c r="O5">
        <v>233</v>
      </c>
      <c r="P5">
        <v>8.3602439899533601E-2</v>
      </c>
    </row>
    <row r="6" spans="1:16" hidden="1" x14ac:dyDescent="0.25">
      <c r="A6" t="s">
        <v>90</v>
      </c>
      <c r="B6" t="s">
        <v>669</v>
      </c>
      <c r="C6" t="s">
        <v>668</v>
      </c>
      <c r="D6">
        <v>471863.23451081035</v>
      </c>
      <c r="E6">
        <v>0</v>
      </c>
      <c r="F6">
        <v>227626.40979819203</v>
      </c>
      <c r="G6">
        <v>308768.45537727629</v>
      </c>
      <c r="H6">
        <v>1008258.0996862787</v>
      </c>
      <c r="I6">
        <v>911334.43852610444</v>
      </c>
      <c r="J6">
        <v>96923.661160174292</v>
      </c>
      <c r="K6">
        <v>6978.7844542559742</v>
      </c>
      <c r="L6">
        <v>0</v>
      </c>
      <c r="M6">
        <v>904355.65407184849</v>
      </c>
      <c r="N6">
        <v>5958</v>
      </c>
      <c r="O6">
        <v>543</v>
      </c>
      <c r="P6">
        <v>9.1137965760322195E-2</v>
      </c>
    </row>
    <row r="7" spans="1:16" hidden="1" x14ac:dyDescent="0.25">
      <c r="A7" t="s">
        <v>309</v>
      </c>
      <c r="B7" t="s">
        <v>671</v>
      </c>
      <c r="C7" t="s">
        <v>670</v>
      </c>
      <c r="D7">
        <v>37358.131662173764</v>
      </c>
      <c r="E7">
        <v>0</v>
      </c>
      <c r="F7">
        <v>18159.578573091469</v>
      </c>
      <c r="G7">
        <v>25040.854196024917</v>
      </c>
      <c r="H7">
        <v>80558.564431290142</v>
      </c>
      <c r="I7">
        <v>80558.564431290142</v>
      </c>
      <c r="J7">
        <v>0</v>
      </c>
      <c r="K7">
        <v>616.89850985935516</v>
      </c>
      <c r="L7">
        <v>0</v>
      </c>
      <c r="M7">
        <v>79941.665921430787</v>
      </c>
      <c r="N7">
        <v>489</v>
      </c>
      <c r="O7">
        <v>28</v>
      </c>
      <c r="P7">
        <v>5.72597137014315E-2</v>
      </c>
    </row>
    <row r="8" spans="1:16" hidden="1" x14ac:dyDescent="0.25">
      <c r="A8" t="s">
        <v>311</v>
      </c>
      <c r="B8" t="s">
        <v>673</v>
      </c>
      <c r="C8" t="s">
        <v>672</v>
      </c>
      <c r="D8">
        <v>2441870.5137668084</v>
      </c>
      <c r="E8">
        <v>656958.1945256585</v>
      </c>
      <c r="F8">
        <v>1736961.3793716549</v>
      </c>
      <c r="G8">
        <v>2356136.4546146314</v>
      </c>
      <c r="H8">
        <v>7191926.5422787536</v>
      </c>
      <c r="I8">
        <v>6689919.7400318375</v>
      </c>
      <c r="J8">
        <v>502006.80224691611</v>
      </c>
      <c r="K8">
        <v>51229.829476719628</v>
      </c>
      <c r="L8">
        <v>0</v>
      </c>
      <c r="M8">
        <v>6638689.9105551178</v>
      </c>
      <c r="N8">
        <v>18383</v>
      </c>
      <c r="O8">
        <v>2810</v>
      </c>
      <c r="P8">
        <v>0.152858619376598</v>
      </c>
    </row>
    <row r="9" spans="1:16" hidden="1" x14ac:dyDescent="0.25">
      <c r="A9" t="s">
        <v>92</v>
      </c>
      <c r="B9" t="s">
        <v>675</v>
      </c>
      <c r="C9" t="s">
        <v>674</v>
      </c>
      <c r="D9">
        <v>130348.95980961616</v>
      </c>
      <c r="E9">
        <v>0</v>
      </c>
      <c r="F9">
        <v>0</v>
      </c>
      <c r="G9">
        <v>0</v>
      </c>
      <c r="H9">
        <v>130348.95980961616</v>
      </c>
      <c r="I9">
        <v>117788.18918924601</v>
      </c>
      <c r="J9">
        <v>12560.770620370153</v>
      </c>
      <c r="K9">
        <v>901.99420636217462</v>
      </c>
      <c r="L9">
        <v>0</v>
      </c>
      <c r="M9">
        <v>116886.19498288384</v>
      </c>
      <c r="N9">
        <v>3972</v>
      </c>
      <c r="O9">
        <v>150</v>
      </c>
      <c r="P9">
        <v>3.7764350453172203E-2</v>
      </c>
    </row>
    <row r="10" spans="1:16" hidden="1" x14ac:dyDescent="0.25">
      <c r="A10" t="s">
        <v>94</v>
      </c>
      <c r="B10" t="s">
        <v>677</v>
      </c>
      <c r="C10" t="s">
        <v>676</v>
      </c>
      <c r="D10">
        <v>782093.7588576969</v>
      </c>
      <c r="E10">
        <v>0</v>
      </c>
      <c r="F10">
        <v>421087.8980520881</v>
      </c>
      <c r="G10">
        <v>571193.210730155</v>
      </c>
      <c r="H10">
        <v>1774374.86763994</v>
      </c>
      <c r="I10">
        <v>1774374.86763994</v>
      </c>
      <c r="J10">
        <v>0</v>
      </c>
      <c r="K10">
        <v>13587.744760677575</v>
      </c>
      <c r="L10">
        <v>0</v>
      </c>
      <c r="M10">
        <v>1760787.1228792623</v>
      </c>
      <c r="N10">
        <v>15940</v>
      </c>
      <c r="O10">
        <v>900</v>
      </c>
      <c r="P10">
        <v>5.6461731493099097E-2</v>
      </c>
    </row>
    <row r="11" spans="1:16" hidden="1" x14ac:dyDescent="0.25">
      <c r="A11" t="s">
        <v>96</v>
      </c>
      <c r="B11" t="s">
        <v>679</v>
      </c>
      <c r="C11" t="s">
        <v>678</v>
      </c>
      <c r="D11">
        <v>1272205.8477418532</v>
      </c>
      <c r="E11">
        <v>0</v>
      </c>
      <c r="F11">
        <v>775732.35972661898</v>
      </c>
      <c r="G11">
        <v>1052257.8760140883</v>
      </c>
      <c r="H11">
        <v>3100196.0834825607</v>
      </c>
      <c r="I11">
        <v>2813432.4098228631</v>
      </c>
      <c r="J11">
        <v>286763.67365969764</v>
      </c>
      <c r="K11">
        <v>21544.60265599774</v>
      </c>
      <c r="L11">
        <v>0</v>
      </c>
      <c r="M11">
        <v>2791887.8071668651</v>
      </c>
      <c r="N11">
        <v>22497</v>
      </c>
      <c r="O11">
        <v>1464</v>
      </c>
      <c r="P11">
        <v>6.5075343379117204E-2</v>
      </c>
    </row>
    <row r="12" spans="1:16" hidden="1" x14ac:dyDescent="0.25">
      <c r="A12" t="s">
        <v>56</v>
      </c>
      <c r="B12" t="s">
        <v>680</v>
      </c>
      <c r="C12" t="s">
        <v>14</v>
      </c>
      <c r="D12">
        <v>1163351.4977555396</v>
      </c>
      <c r="E12">
        <v>0</v>
      </c>
      <c r="F12">
        <v>697854.1687955613</v>
      </c>
      <c r="G12">
        <v>946618.42608084786</v>
      </c>
      <c r="H12">
        <v>2807824.0926319491</v>
      </c>
      <c r="I12">
        <v>2807824.0926319491</v>
      </c>
      <c r="J12">
        <v>0</v>
      </c>
      <c r="K12">
        <v>21501.65548405745</v>
      </c>
      <c r="L12">
        <v>0</v>
      </c>
      <c r="M12">
        <v>2786322.4371478916</v>
      </c>
      <c r="N12">
        <v>12453</v>
      </c>
      <c r="O12">
        <v>1339</v>
      </c>
      <c r="P12">
        <v>0.107499112021232</v>
      </c>
    </row>
    <row r="13" spans="1:16" hidden="1" x14ac:dyDescent="0.25">
      <c r="A13" t="s">
        <v>98</v>
      </c>
      <c r="B13" t="s">
        <v>682</v>
      </c>
      <c r="C13" t="s">
        <v>681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16</v>
      </c>
      <c r="O13">
        <v>2</v>
      </c>
      <c r="P13">
        <v>0.125</v>
      </c>
    </row>
    <row r="14" spans="1:16" hidden="1" x14ac:dyDescent="0.25">
      <c r="A14" t="s">
        <v>263</v>
      </c>
      <c r="B14" t="s">
        <v>684</v>
      </c>
      <c r="C14" t="s">
        <v>683</v>
      </c>
      <c r="D14">
        <v>2180303.6010821783</v>
      </c>
      <c r="E14">
        <v>0</v>
      </c>
      <c r="F14">
        <v>1484602.0815843407</v>
      </c>
      <c r="G14">
        <v>2013818.5722258273</v>
      </c>
      <c r="H14">
        <v>5678724.2548923455</v>
      </c>
      <c r="I14">
        <v>5064297.6429365333</v>
      </c>
      <c r="J14">
        <v>614426.6119558122</v>
      </c>
      <c r="K14">
        <v>38781.198392337814</v>
      </c>
      <c r="L14">
        <v>0</v>
      </c>
      <c r="M14">
        <v>5025516.4445441952</v>
      </c>
      <c r="N14">
        <v>24321</v>
      </c>
      <c r="O14">
        <v>2509</v>
      </c>
      <c r="P14">
        <v>0.103161876567575</v>
      </c>
    </row>
    <row r="15" spans="1:16" hidden="1" x14ac:dyDescent="0.25">
      <c r="A15" t="s">
        <v>313</v>
      </c>
      <c r="B15" t="s">
        <v>686</v>
      </c>
      <c r="C15" t="s">
        <v>685</v>
      </c>
      <c r="D15">
        <v>0</v>
      </c>
      <c r="E15">
        <v>2428.0895098544547</v>
      </c>
      <c r="F15">
        <v>0</v>
      </c>
      <c r="G15">
        <v>0</v>
      </c>
      <c r="H15">
        <v>2428.0895098544547</v>
      </c>
      <c r="I15">
        <v>2428.0895098544547</v>
      </c>
      <c r="J15">
        <v>0</v>
      </c>
      <c r="K15">
        <v>18.593737500274326</v>
      </c>
      <c r="L15">
        <v>0</v>
      </c>
      <c r="M15">
        <v>2409.4957723541802</v>
      </c>
      <c r="N15">
        <v>79</v>
      </c>
      <c r="O15">
        <v>9</v>
      </c>
      <c r="P15">
        <v>0.113924050632911</v>
      </c>
    </row>
    <row r="16" spans="1:16" hidden="1" x14ac:dyDescent="0.25">
      <c r="A16" t="s">
        <v>315</v>
      </c>
      <c r="B16" t="s">
        <v>688</v>
      </c>
      <c r="C16" t="s">
        <v>687</v>
      </c>
      <c r="D16">
        <v>266780.87107701442</v>
      </c>
      <c r="E16">
        <v>59470.207143212981</v>
      </c>
      <c r="F16">
        <v>128694.85784170337</v>
      </c>
      <c r="G16">
        <v>174570.74733116728</v>
      </c>
      <c r="H16">
        <v>629516.68339309795</v>
      </c>
      <c r="I16">
        <v>629516.68339309795</v>
      </c>
      <c r="J16">
        <v>0</v>
      </c>
      <c r="K16">
        <v>4820.6904710675981</v>
      </c>
      <c r="L16">
        <v>0</v>
      </c>
      <c r="M16">
        <v>624695.99292203039</v>
      </c>
      <c r="N16">
        <v>2479</v>
      </c>
      <c r="O16">
        <v>307</v>
      </c>
      <c r="P16">
        <v>0.123840258168616</v>
      </c>
    </row>
    <row r="17" spans="1:16" hidden="1" x14ac:dyDescent="0.25">
      <c r="A17" t="s">
        <v>317</v>
      </c>
      <c r="B17" t="s">
        <v>690</v>
      </c>
      <c r="C17" t="s">
        <v>689</v>
      </c>
      <c r="D17">
        <v>20855.833569538583</v>
      </c>
      <c r="E17">
        <v>3256.4525458976077</v>
      </c>
      <c r="F17">
        <v>10060.835792185288</v>
      </c>
      <c r="G17">
        <v>13647.224547061936</v>
      </c>
      <c r="H17">
        <v>47820.346454683415</v>
      </c>
      <c r="I17">
        <v>47820.346454683415</v>
      </c>
      <c r="J17">
        <v>0</v>
      </c>
      <c r="K17">
        <v>366.19694848228869</v>
      </c>
      <c r="L17">
        <v>0</v>
      </c>
      <c r="M17">
        <v>47454.149506201124</v>
      </c>
      <c r="N17">
        <v>218</v>
      </c>
      <c r="O17">
        <v>24</v>
      </c>
      <c r="P17">
        <v>0.11009174311926601</v>
      </c>
    </row>
    <row r="18" spans="1:16" hidden="1" x14ac:dyDescent="0.25">
      <c r="A18" t="s">
        <v>55</v>
      </c>
      <c r="B18" t="s">
        <v>691</v>
      </c>
      <c r="C18" t="s">
        <v>10</v>
      </c>
      <c r="D18">
        <v>737211.79124382534</v>
      </c>
      <c r="E18">
        <v>194243.15712184162</v>
      </c>
      <c r="F18">
        <v>412275.3155510567</v>
      </c>
      <c r="G18">
        <v>566679.8614407694</v>
      </c>
      <c r="H18">
        <v>1910410.1253574931</v>
      </c>
      <c r="I18">
        <v>1818379.8739248316</v>
      </c>
      <c r="J18">
        <v>92030.251432661433</v>
      </c>
      <c r="K18">
        <v>13924.724732889654</v>
      </c>
      <c r="L18">
        <v>0</v>
      </c>
      <c r="M18">
        <v>1804455.1491919421</v>
      </c>
      <c r="N18">
        <v>4891</v>
      </c>
      <c r="O18">
        <v>784</v>
      </c>
      <c r="P18">
        <v>0.16021653438691799</v>
      </c>
    </row>
    <row r="19" spans="1:16" hidden="1" x14ac:dyDescent="0.25">
      <c r="A19" t="s">
        <v>319</v>
      </c>
      <c r="B19" t="s">
        <v>693</v>
      </c>
      <c r="C19" t="s">
        <v>692</v>
      </c>
      <c r="D19">
        <v>210296.32182618076</v>
      </c>
      <c r="E19">
        <v>56577.894332814707</v>
      </c>
      <c r="F19">
        <v>141162.50755631138</v>
      </c>
      <c r="G19">
        <v>191482.74338635895</v>
      </c>
      <c r="H19">
        <v>599519.4671016658</v>
      </c>
      <c r="I19">
        <v>579835.67355673655</v>
      </c>
      <c r="J19">
        <v>19683.793544929242</v>
      </c>
      <c r="K19">
        <v>4440.2450007104444</v>
      </c>
      <c r="L19">
        <v>0</v>
      </c>
      <c r="M19">
        <v>575395.42855602608</v>
      </c>
      <c r="N19">
        <v>949</v>
      </c>
      <c r="O19">
        <v>242</v>
      </c>
      <c r="P19">
        <v>0.255005268703899</v>
      </c>
    </row>
    <row r="20" spans="1:16" hidden="1" x14ac:dyDescent="0.25">
      <c r="A20" t="s">
        <v>321</v>
      </c>
      <c r="B20" t="s">
        <v>695</v>
      </c>
      <c r="C20" t="s">
        <v>694</v>
      </c>
      <c r="D20">
        <v>136995.75234602395</v>
      </c>
      <c r="E20">
        <v>36237.907527216048</v>
      </c>
      <c r="F20">
        <v>99289.881649412011</v>
      </c>
      <c r="G20">
        <v>136914.16017812517</v>
      </c>
      <c r="H20">
        <v>409437.70170077716</v>
      </c>
      <c r="I20">
        <v>409437.70170077716</v>
      </c>
      <c r="J20">
        <v>0</v>
      </c>
      <c r="K20">
        <v>3135.3774715645527</v>
      </c>
      <c r="L20">
        <v>0</v>
      </c>
      <c r="M20">
        <v>406302.32422921259</v>
      </c>
      <c r="N20">
        <v>682</v>
      </c>
      <c r="O20">
        <v>155</v>
      </c>
      <c r="P20">
        <v>0.22727272727272699</v>
      </c>
    </row>
    <row r="21" spans="1:16" hidden="1" x14ac:dyDescent="0.25">
      <c r="A21" t="s">
        <v>323</v>
      </c>
      <c r="B21" t="s">
        <v>697</v>
      </c>
      <c r="C21" t="s">
        <v>696</v>
      </c>
      <c r="D21">
        <v>22593.819700333479</v>
      </c>
      <c r="E21">
        <v>6078.6167465007529</v>
      </c>
      <c r="F21">
        <v>14837.885130639725</v>
      </c>
      <c r="G21">
        <v>20460.459290849209</v>
      </c>
      <c r="H21">
        <v>63970.780868323171</v>
      </c>
      <c r="I21">
        <v>63970.780868323171</v>
      </c>
      <c r="J21">
        <v>0</v>
      </c>
      <c r="K21">
        <v>489.87317078951946</v>
      </c>
      <c r="L21">
        <v>0</v>
      </c>
      <c r="M21">
        <v>63480.90769753365</v>
      </c>
      <c r="N21">
        <v>112</v>
      </c>
      <c r="O21">
        <v>26</v>
      </c>
      <c r="P21">
        <v>0.23214285714285701</v>
      </c>
    </row>
    <row r="22" spans="1:16" hidden="1" x14ac:dyDescent="0.25">
      <c r="A22" t="s">
        <v>325</v>
      </c>
      <c r="B22" t="s">
        <v>699</v>
      </c>
      <c r="C22" t="s">
        <v>698</v>
      </c>
      <c r="D22">
        <v>348466.21922437387</v>
      </c>
      <c r="E22">
        <v>82871.102719739152</v>
      </c>
      <c r="F22">
        <v>168099.79802776244</v>
      </c>
      <c r="G22">
        <v>228022.37680715989</v>
      </c>
      <c r="H22">
        <v>827459.49677903531</v>
      </c>
      <c r="I22">
        <v>827459.49677903531</v>
      </c>
      <c r="J22">
        <v>0</v>
      </c>
      <c r="K22">
        <v>6336.4899081256353</v>
      </c>
      <c r="L22">
        <v>0</v>
      </c>
      <c r="M22">
        <v>821123.00687090971</v>
      </c>
      <c r="N22">
        <v>3667</v>
      </c>
      <c r="O22">
        <v>401</v>
      </c>
      <c r="P22">
        <v>0.109353695118626</v>
      </c>
    </row>
    <row r="23" spans="1:16" hidden="1" x14ac:dyDescent="0.25">
      <c r="A23" t="s">
        <v>100</v>
      </c>
      <c r="B23" t="s">
        <v>701</v>
      </c>
      <c r="C23" t="s">
        <v>700</v>
      </c>
      <c r="D23">
        <v>235497.1207227064</v>
      </c>
      <c r="E23">
        <v>0</v>
      </c>
      <c r="F23">
        <v>0</v>
      </c>
      <c r="G23">
        <v>0</v>
      </c>
      <c r="H23">
        <v>235497.1207227064</v>
      </c>
      <c r="I23">
        <v>224872.31701636905</v>
      </c>
      <c r="J23">
        <v>10624.803706337349</v>
      </c>
      <c r="K23">
        <v>1722.019232285827</v>
      </c>
      <c r="L23">
        <v>0</v>
      </c>
      <c r="M23">
        <v>223150.29778408323</v>
      </c>
      <c r="N23">
        <v>7463</v>
      </c>
      <c r="O23">
        <v>271</v>
      </c>
      <c r="P23">
        <v>3.6312474876055198E-2</v>
      </c>
    </row>
    <row r="24" spans="1:16" hidden="1" x14ac:dyDescent="0.25">
      <c r="A24" t="s">
        <v>327</v>
      </c>
      <c r="B24" t="s">
        <v>703</v>
      </c>
      <c r="C24" t="s">
        <v>702</v>
      </c>
      <c r="D24">
        <v>86723.333781519803</v>
      </c>
      <c r="E24">
        <v>22850.169177885848</v>
      </c>
      <c r="F24">
        <v>53810.286992687623</v>
      </c>
      <c r="G24">
        <v>74200.816137153233</v>
      </c>
      <c r="H24">
        <v>237584.60608924652</v>
      </c>
      <c r="I24">
        <v>237584.60608924652</v>
      </c>
      <c r="J24">
        <v>0</v>
      </c>
      <c r="K24">
        <v>1819.3669474706999</v>
      </c>
      <c r="L24">
        <v>0</v>
      </c>
      <c r="M24">
        <v>235765.23914177582</v>
      </c>
      <c r="N24">
        <v>545</v>
      </c>
      <c r="O24">
        <v>95</v>
      </c>
      <c r="P24">
        <v>0.17431192660550501</v>
      </c>
    </row>
    <row r="25" spans="1:16" hidden="1" x14ac:dyDescent="0.25">
      <c r="A25" t="s">
        <v>102</v>
      </c>
      <c r="B25" t="s">
        <v>705</v>
      </c>
      <c r="C25" t="s">
        <v>704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209</v>
      </c>
      <c r="O25">
        <v>4</v>
      </c>
      <c r="P25">
        <v>1.9138755980861202E-2</v>
      </c>
    </row>
    <row r="26" spans="1:16" hidden="1" x14ac:dyDescent="0.25">
      <c r="A26" t="s">
        <v>329</v>
      </c>
      <c r="B26" t="s">
        <v>707</v>
      </c>
      <c r="C26" t="s">
        <v>706</v>
      </c>
      <c r="D26">
        <v>133824.9320712059</v>
      </c>
      <c r="E26">
        <v>0</v>
      </c>
      <c r="F26">
        <v>64557.029666522227</v>
      </c>
      <c r="G26">
        <v>87569.690843647462</v>
      </c>
      <c r="H26">
        <v>285951.65258137556</v>
      </c>
      <c r="I26">
        <v>285951.65258137556</v>
      </c>
      <c r="J26">
        <v>0</v>
      </c>
      <c r="K26">
        <v>2189.7503960578647</v>
      </c>
      <c r="L26">
        <v>0</v>
      </c>
      <c r="M26">
        <v>283761.90218531771</v>
      </c>
      <c r="N26">
        <v>1565</v>
      </c>
      <c r="O26">
        <v>154</v>
      </c>
      <c r="P26">
        <v>9.8402555910543102E-2</v>
      </c>
    </row>
    <row r="27" spans="1:16" hidden="1" x14ac:dyDescent="0.25">
      <c r="A27" t="s">
        <v>331</v>
      </c>
      <c r="B27" t="s">
        <v>709</v>
      </c>
      <c r="C27" t="s">
        <v>708</v>
      </c>
      <c r="D27">
        <v>144252.84885597508</v>
      </c>
      <c r="E27">
        <v>26500.786235580534</v>
      </c>
      <c r="F27">
        <v>69587.447562614863</v>
      </c>
      <c r="G27">
        <v>94393.303117178395</v>
      </c>
      <c r="H27">
        <v>334734.3857713489</v>
      </c>
      <c r="I27">
        <v>333544.30596098746</v>
      </c>
      <c r="J27">
        <v>1190.0798103614361</v>
      </c>
      <c r="K27">
        <v>2554.2037246071454</v>
      </c>
      <c r="L27">
        <v>0</v>
      </c>
      <c r="M27">
        <v>330990.10223638033</v>
      </c>
      <c r="N27">
        <v>1507</v>
      </c>
      <c r="O27">
        <v>166</v>
      </c>
      <c r="P27">
        <v>0.110152621101526</v>
      </c>
    </row>
    <row r="28" spans="1:16" hidden="1" x14ac:dyDescent="0.25">
      <c r="A28" t="s">
        <v>104</v>
      </c>
      <c r="B28" t="s">
        <v>711</v>
      </c>
      <c r="C28" t="s">
        <v>710</v>
      </c>
      <c r="D28">
        <v>168584.65468710352</v>
      </c>
      <c r="E28">
        <v>0</v>
      </c>
      <c r="F28">
        <v>81325.089320164378</v>
      </c>
      <c r="G28">
        <v>110315.06508875065</v>
      </c>
      <c r="H28">
        <v>360224.80909601855</v>
      </c>
      <c r="I28">
        <v>339066.2216856773</v>
      </c>
      <c r="J28">
        <v>21158.58741034125</v>
      </c>
      <c r="K28">
        <v>2596.4892544720119</v>
      </c>
      <c r="L28">
        <v>0</v>
      </c>
      <c r="M28">
        <v>336469.73243120528</v>
      </c>
      <c r="N28">
        <v>1661</v>
      </c>
      <c r="O28">
        <v>194</v>
      </c>
      <c r="P28">
        <v>0.116797110174594</v>
      </c>
    </row>
    <row r="29" spans="1:16" hidden="1" x14ac:dyDescent="0.25">
      <c r="A29" t="s">
        <v>66</v>
      </c>
      <c r="B29" t="s">
        <v>712</v>
      </c>
      <c r="C29" t="s">
        <v>8</v>
      </c>
      <c r="D29">
        <v>64567.633943827212</v>
      </c>
      <c r="E29">
        <v>0</v>
      </c>
      <c r="F29">
        <v>36103.249394790197</v>
      </c>
      <c r="G29">
        <v>49623.498534597646</v>
      </c>
      <c r="H29">
        <v>150294.38187321505</v>
      </c>
      <c r="I29">
        <v>135071.76108185275</v>
      </c>
      <c r="J29">
        <v>15222.620791362308</v>
      </c>
      <c r="K29">
        <v>1034.3477285589377</v>
      </c>
      <c r="L29">
        <v>0</v>
      </c>
      <c r="M29">
        <v>134037.41335329381</v>
      </c>
      <c r="N29">
        <v>583</v>
      </c>
      <c r="O29">
        <v>69</v>
      </c>
      <c r="P29">
        <v>0.119154134184476</v>
      </c>
    </row>
    <row r="30" spans="1:16" hidden="1" x14ac:dyDescent="0.25">
      <c r="A30" t="s">
        <v>333</v>
      </c>
      <c r="B30" t="s">
        <v>714</v>
      </c>
      <c r="C30" t="s">
        <v>713</v>
      </c>
      <c r="D30">
        <v>20906.517965187813</v>
      </c>
      <c r="E30">
        <v>5611.0308429237757</v>
      </c>
      <c r="F30">
        <v>15264.804293868739</v>
      </c>
      <c r="G30">
        <v>20981.748981521883</v>
      </c>
      <c r="H30">
        <v>62764.102083502221</v>
      </c>
      <c r="I30">
        <v>56216.3150449323</v>
      </c>
      <c r="J30">
        <v>6547.7870385699207</v>
      </c>
      <c r="K30">
        <v>430.49129817329077</v>
      </c>
      <c r="L30">
        <v>0</v>
      </c>
      <c r="M30">
        <v>55785.823746759008</v>
      </c>
      <c r="N30">
        <v>94</v>
      </c>
      <c r="O30">
        <v>24</v>
      </c>
      <c r="P30">
        <v>0.25531914893617003</v>
      </c>
    </row>
    <row r="31" spans="1:16" hidden="1" x14ac:dyDescent="0.25">
      <c r="A31" t="s">
        <v>106</v>
      </c>
      <c r="B31" t="s">
        <v>716</v>
      </c>
      <c r="C31" t="s">
        <v>715</v>
      </c>
      <c r="D31">
        <v>683897.54246778612</v>
      </c>
      <c r="E31">
        <v>0</v>
      </c>
      <c r="F31">
        <v>350033.24526977964</v>
      </c>
      <c r="G31">
        <v>474809.68736652989</v>
      </c>
      <c r="H31">
        <v>1508740.4751040956</v>
      </c>
      <c r="I31">
        <v>1508740.4751040956</v>
      </c>
      <c r="J31">
        <v>0</v>
      </c>
      <c r="K31">
        <v>11553.579156069209</v>
      </c>
      <c r="L31">
        <v>0</v>
      </c>
      <c r="M31">
        <v>1497186.8959480263</v>
      </c>
      <c r="N31">
        <v>11141</v>
      </c>
      <c r="O31">
        <v>787</v>
      </c>
      <c r="P31">
        <v>7.0639978457948102E-2</v>
      </c>
    </row>
    <row r="32" spans="1:16" hidden="1" x14ac:dyDescent="0.25">
      <c r="A32" t="s">
        <v>265</v>
      </c>
      <c r="B32" t="s">
        <v>718</v>
      </c>
      <c r="C32" t="s">
        <v>717</v>
      </c>
      <c r="D32">
        <v>1355095.1078629245</v>
      </c>
      <c r="E32">
        <v>0</v>
      </c>
      <c r="F32">
        <v>851476.57932692498</v>
      </c>
      <c r="G32">
        <v>1170369.9246415028</v>
      </c>
      <c r="H32">
        <v>3376941.6118313521</v>
      </c>
      <c r="I32">
        <v>3376941.6118313521</v>
      </c>
      <c r="J32">
        <v>0</v>
      </c>
      <c r="K32">
        <v>25859.823383491828</v>
      </c>
      <c r="L32">
        <v>0</v>
      </c>
      <c r="M32">
        <v>3351081.7884478602</v>
      </c>
      <c r="N32">
        <v>17143</v>
      </c>
      <c r="O32">
        <v>1465</v>
      </c>
      <c r="P32">
        <v>8.5457621186490099E-2</v>
      </c>
    </row>
    <row r="33" spans="1:16" hidden="1" x14ac:dyDescent="0.25">
      <c r="A33" t="s">
        <v>335</v>
      </c>
      <c r="B33" t="s">
        <v>720</v>
      </c>
      <c r="C33" t="s">
        <v>719</v>
      </c>
      <c r="D33">
        <v>746465.04317640187</v>
      </c>
      <c r="E33">
        <v>200828.14558631339</v>
      </c>
      <c r="F33">
        <v>417869.31092172075</v>
      </c>
      <c r="G33">
        <v>566827.29300724296</v>
      </c>
      <c r="H33">
        <v>1931989.792691679</v>
      </c>
      <c r="I33">
        <v>1724031.9765282641</v>
      </c>
      <c r="J33">
        <v>207957.81616341486</v>
      </c>
      <c r="K33">
        <v>13202.230759428294</v>
      </c>
      <c r="L33">
        <v>0</v>
      </c>
      <c r="M33">
        <v>1710829.7457688358</v>
      </c>
      <c r="N33">
        <v>4334</v>
      </c>
      <c r="O33">
        <v>859</v>
      </c>
      <c r="P33">
        <v>0.19820027688048</v>
      </c>
    </row>
    <row r="34" spans="1:16" hidden="1" x14ac:dyDescent="0.25">
      <c r="A34" t="s">
        <v>337</v>
      </c>
      <c r="B34" t="s">
        <v>722</v>
      </c>
      <c r="C34" t="s">
        <v>721</v>
      </c>
      <c r="D34">
        <v>348466.21922437387</v>
      </c>
      <c r="E34">
        <v>0</v>
      </c>
      <c r="F34">
        <v>168099.79802776244</v>
      </c>
      <c r="G34">
        <v>228022.37680715989</v>
      </c>
      <c r="H34">
        <v>744588.39405929623</v>
      </c>
      <c r="I34">
        <v>656188.65523967729</v>
      </c>
      <c r="J34">
        <v>88399.738819618942</v>
      </c>
      <c r="K34">
        <v>5024.9381485594095</v>
      </c>
      <c r="L34">
        <v>0</v>
      </c>
      <c r="M34">
        <v>651163.71709111787</v>
      </c>
      <c r="N34">
        <v>2894</v>
      </c>
      <c r="O34">
        <v>401</v>
      </c>
      <c r="P34">
        <v>0.138562543192813</v>
      </c>
    </row>
    <row r="35" spans="1:16" hidden="1" x14ac:dyDescent="0.25">
      <c r="A35" t="s">
        <v>267</v>
      </c>
      <c r="B35" t="s">
        <v>724</v>
      </c>
      <c r="C35" t="s">
        <v>723</v>
      </c>
      <c r="D35">
        <v>640617.00727896474</v>
      </c>
      <c r="E35">
        <v>0</v>
      </c>
      <c r="F35">
        <v>338806.51893102983</v>
      </c>
      <c r="G35">
        <v>465695.67461598007</v>
      </c>
      <c r="H35">
        <v>1445119.2008259746</v>
      </c>
      <c r="I35">
        <v>1445119.2008259746</v>
      </c>
      <c r="J35">
        <v>0</v>
      </c>
      <c r="K35">
        <v>11066.382424416903</v>
      </c>
      <c r="L35">
        <v>0</v>
      </c>
      <c r="M35">
        <v>1434052.8184015576</v>
      </c>
      <c r="N35">
        <v>6286</v>
      </c>
      <c r="O35">
        <v>719</v>
      </c>
      <c r="P35">
        <v>0.114381164492523</v>
      </c>
    </row>
    <row r="36" spans="1:16" hidden="1" x14ac:dyDescent="0.25">
      <c r="A36" t="s">
        <v>339</v>
      </c>
      <c r="B36" t="s">
        <v>726</v>
      </c>
      <c r="C36" t="s">
        <v>725</v>
      </c>
      <c r="D36">
        <v>140036.72205738933</v>
      </c>
      <c r="E36">
        <v>35770.321623639065</v>
      </c>
      <c r="F36">
        <v>78700.719305723978</v>
      </c>
      <c r="G36">
        <v>103703.32233418374</v>
      </c>
      <c r="H36">
        <v>358211.08532093611</v>
      </c>
      <c r="I36">
        <v>358211.08532093611</v>
      </c>
      <c r="J36">
        <v>0</v>
      </c>
      <c r="K36">
        <v>2743.0961103839622</v>
      </c>
      <c r="L36">
        <v>0</v>
      </c>
      <c r="M36">
        <v>355467.98921055213</v>
      </c>
      <c r="N36">
        <v>945</v>
      </c>
      <c r="O36">
        <v>153</v>
      </c>
      <c r="P36">
        <v>0.161904761904762</v>
      </c>
    </row>
    <row r="37" spans="1:16" hidden="1" x14ac:dyDescent="0.25">
      <c r="A37" t="s">
        <v>108</v>
      </c>
      <c r="B37" t="s">
        <v>728</v>
      </c>
      <c r="C37" t="s">
        <v>727</v>
      </c>
      <c r="D37">
        <v>132086.94594041104</v>
      </c>
      <c r="E37">
        <v>33831.380503972068</v>
      </c>
      <c r="F37">
        <v>68459.040839028879</v>
      </c>
      <c r="G37">
        <v>94400.475933401656</v>
      </c>
      <c r="H37">
        <v>328777.84321681364</v>
      </c>
      <c r="I37">
        <v>328777.84321681364</v>
      </c>
      <c r="J37">
        <v>0</v>
      </c>
      <c r="K37">
        <v>2517.7032757108777</v>
      </c>
      <c r="L37">
        <v>0</v>
      </c>
      <c r="M37">
        <v>326260.13994110277</v>
      </c>
      <c r="N37">
        <v>1118</v>
      </c>
      <c r="O37">
        <v>152</v>
      </c>
      <c r="P37">
        <v>0.135957066189624</v>
      </c>
    </row>
    <row r="38" spans="1:16" hidden="1" x14ac:dyDescent="0.25">
      <c r="A38" t="s">
        <v>341</v>
      </c>
      <c r="B38" t="s">
        <v>730</v>
      </c>
      <c r="C38" t="s">
        <v>729</v>
      </c>
      <c r="D38">
        <v>469235.1809964375</v>
      </c>
      <c r="E38">
        <v>123635.73680177514</v>
      </c>
      <c r="F38">
        <v>271841.10025092715</v>
      </c>
      <c r="G38">
        <v>373650.49813423608</v>
      </c>
      <c r="H38">
        <v>1238362.5161833758</v>
      </c>
      <c r="I38">
        <v>1199089.585711271</v>
      </c>
      <c r="J38">
        <v>39272.93047210481</v>
      </c>
      <c r="K38">
        <v>9182.345587154452</v>
      </c>
      <c r="L38">
        <v>0</v>
      </c>
      <c r="M38">
        <v>1189907.2401241167</v>
      </c>
      <c r="N38">
        <v>2773</v>
      </c>
      <c r="O38">
        <v>524</v>
      </c>
      <c r="P38">
        <v>0.18896501983411501</v>
      </c>
    </row>
    <row r="39" spans="1:16" hidden="1" x14ac:dyDescent="0.25">
      <c r="A39" t="s">
        <v>343</v>
      </c>
      <c r="B39" t="s">
        <v>732</v>
      </c>
      <c r="C39" t="s">
        <v>731</v>
      </c>
      <c r="D39">
        <v>137300.9043327957</v>
      </c>
      <c r="E39">
        <v>19651.006742485562</v>
      </c>
      <c r="F39">
        <v>66233.83563188641</v>
      </c>
      <c r="G39">
        <v>89844.228268157764</v>
      </c>
      <c r="H39">
        <v>313029.97497532546</v>
      </c>
      <c r="I39">
        <v>288198.15205790842</v>
      </c>
      <c r="J39">
        <v>24831.822917417041</v>
      </c>
      <c r="K39">
        <v>2206.9535598587158</v>
      </c>
      <c r="L39">
        <v>0</v>
      </c>
      <c r="M39">
        <v>285991.19849804969</v>
      </c>
      <c r="N39">
        <v>1078</v>
      </c>
      <c r="O39">
        <v>158</v>
      </c>
      <c r="P39">
        <v>0.14656771799628901</v>
      </c>
    </row>
    <row r="40" spans="1:16" hidden="1" x14ac:dyDescent="0.25">
      <c r="A40" t="s">
        <v>345</v>
      </c>
      <c r="B40" t="s">
        <v>734</v>
      </c>
      <c r="C40" t="s">
        <v>733</v>
      </c>
      <c r="D40">
        <v>1819671.4789422415</v>
      </c>
      <c r="E40">
        <v>489562.44104509923</v>
      </c>
      <c r="F40">
        <v>1171877.7690439145</v>
      </c>
      <c r="G40">
        <v>1589617.3425546517</v>
      </c>
      <c r="H40">
        <v>5070729.0315859076</v>
      </c>
      <c r="I40">
        <v>4558017.8362951735</v>
      </c>
      <c r="J40">
        <v>512711.19529073406</v>
      </c>
      <c r="K40">
        <v>34904.22689348094</v>
      </c>
      <c r="L40">
        <v>0</v>
      </c>
      <c r="M40">
        <v>4523113.6094016926</v>
      </c>
      <c r="N40">
        <v>13789</v>
      </c>
      <c r="O40">
        <v>2094</v>
      </c>
      <c r="P40">
        <v>0.151860178403075</v>
      </c>
    </row>
    <row r="41" spans="1:16" hidden="1" x14ac:dyDescent="0.25">
      <c r="A41" t="s">
        <v>269</v>
      </c>
      <c r="B41" t="s">
        <v>736</v>
      </c>
      <c r="C41" t="s">
        <v>735</v>
      </c>
      <c r="D41">
        <v>53008.576989243906</v>
      </c>
      <c r="E41">
        <v>0</v>
      </c>
      <c r="F41">
        <v>25571.290971804257</v>
      </c>
      <c r="G41">
        <v>34686.695723782432</v>
      </c>
      <c r="H41">
        <v>113266.56368483059</v>
      </c>
      <c r="I41">
        <v>100039.0413418384</v>
      </c>
      <c r="J41">
        <v>13227.52234299219</v>
      </c>
      <c r="K41">
        <v>766.07541317565881</v>
      </c>
      <c r="L41">
        <v>0</v>
      </c>
      <c r="M41">
        <v>99272.965928662743</v>
      </c>
      <c r="N41">
        <v>622</v>
      </c>
      <c r="O41">
        <v>61</v>
      </c>
      <c r="P41">
        <v>9.8070739549839206E-2</v>
      </c>
    </row>
    <row r="42" spans="1:16" hidden="1" x14ac:dyDescent="0.25">
      <c r="A42" t="s">
        <v>347</v>
      </c>
      <c r="B42" t="s">
        <v>738</v>
      </c>
      <c r="C42" t="s">
        <v>737</v>
      </c>
      <c r="D42">
        <v>253745.9750960528</v>
      </c>
      <c r="E42">
        <v>0</v>
      </c>
      <c r="F42">
        <v>122406.83547158758</v>
      </c>
      <c r="G42">
        <v>166041.2319892536</v>
      </c>
      <c r="H42">
        <v>542194.04255689401</v>
      </c>
      <c r="I42">
        <v>479283.43910768925</v>
      </c>
      <c r="J42">
        <v>62910.603449204762</v>
      </c>
      <c r="K42">
        <v>3670.2396756086951</v>
      </c>
      <c r="L42">
        <v>0</v>
      </c>
      <c r="M42">
        <v>475613.19943208055</v>
      </c>
      <c r="N42">
        <v>2043</v>
      </c>
      <c r="O42">
        <v>292</v>
      </c>
      <c r="P42">
        <v>0.14292706803720001</v>
      </c>
    </row>
    <row r="43" spans="1:16" hidden="1" x14ac:dyDescent="0.25">
      <c r="A43" t="s">
        <v>349</v>
      </c>
      <c r="B43" t="s">
        <v>740</v>
      </c>
      <c r="C43" t="s">
        <v>739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250</v>
      </c>
      <c r="O43">
        <v>9</v>
      </c>
      <c r="P43">
        <v>3.5999999999999997E-2</v>
      </c>
    </row>
    <row r="44" spans="1:16" hidden="1" x14ac:dyDescent="0.25">
      <c r="A44" t="s">
        <v>351</v>
      </c>
      <c r="B44" t="s">
        <v>742</v>
      </c>
      <c r="C44" t="s">
        <v>741</v>
      </c>
      <c r="D44">
        <v>33295.565648262062</v>
      </c>
      <c r="E44">
        <v>8884.1321679626435</v>
      </c>
      <c r="F44">
        <v>19000.153110159124</v>
      </c>
      <c r="G44">
        <v>26116.053340295057</v>
      </c>
      <c r="H44">
        <v>87295.904266678888</v>
      </c>
      <c r="I44">
        <v>85267.398002930757</v>
      </c>
      <c r="J44">
        <v>2028.5062637481315</v>
      </c>
      <c r="K44">
        <v>652.95764812761979</v>
      </c>
      <c r="L44">
        <v>0</v>
      </c>
      <c r="M44">
        <v>84614.440354803141</v>
      </c>
      <c r="N44">
        <v>206</v>
      </c>
      <c r="O44">
        <v>38</v>
      </c>
      <c r="P44">
        <v>0.18446601941747601</v>
      </c>
    </row>
    <row r="45" spans="1:16" hidden="1" x14ac:dyDescent="0.25">
      <c r="A45" t="s">
        <v>352</v>
      </c>
      <c r="B45" t="s">
        <v>744</v>
      </c>
      <c r="C45" t="s">
        <v>743</v>
      </c>
      <c r="D45">
        <v>91244.271866731317</v>
      </c>
      <c r="E45">
        <v>19187.19088165279</v>
      </c>
      <c r="F45">
        <v>44016.156590810635</v>
      </c>
      <c r="G45">
        <v>59706.607393395978</v>
      </c>
      <c r="H45">
        <v>214154.2267325907</v>
      </c>
      <c r="I45">
        <v>208071.03914022737</v>
      </c>
      <c r="J45">
        <v>6083.1875923633343</v>
      </c>
      <c r="K45">
        <v>1593.3590040568968</v>
      </c>
      <c r="L45">
        <v>0</v>
      </c>
      <c r="M45">
        <v>206477.68013617047</v>
      </c>
      <c r="N45">
        <v>759</v>
      </c>
      <c r="O45">
        <v>105</v>
      </c>
      <c r="P45">
        <v>0.138339920948617</v>
      </c>
    </row>
    <row r="46" spans="1:16" hidden="1" x14ac:dyDescent="0.25">
      <c r="A46" t="s">
        <v>353</v>
      </c>
      <c r="B46" t="s">
        <v>746</v>
      </c>
      <c r="C46" t="s">
        <v>745</v>
      </c>
      <c r="D46">
        <v>305016.56595450174</v>
      </c>
      <c r="E46">
        <v>82061.326077760212</v>
      </c>
      <c r="F46">
        <v>158939.32319867943</v>
      </c>
      <c r="G46">
        <v>215596.46513018876</v>
      </c>
      <c r="H46">
        <v>761613.68036113004</v>
      </c>
      <c r="I46">
        <v>689909.00582302897</v>
      </c>
      <c r="J46">
        <v>71704.67453810107</v>
      </c>
      <c r="K46">
        <v>5283.1606500855778</v>
      </c>
      <c r="L46">
        <v>0</v>
      </c>
      <c r="M46">
        <v>684625.84517294343</v>
      </c>
      <c r="N46">
        <v>2012</v>
      </c>
      <c r="O46">
        <v>351</v>
      </c>
      <c r="P46">
        <v>0.17445328031809099</v>
      </c>
    </row>
    <row r="47" spans="1:16" hidden="1" x14ac:dyDescent="0.25">
      <c r="A47" t="s">
        <v>355</v>
      </c>
      <c r="B47" t="s">
        <v>748</v>
      </c>
      <c r="C47" t="s">
        <v>747</v>
      </c>
      <c r="D47">
        <v>103113.01144558682</v>
      </c>
      <c r="E47">
        <v>27168.579126682715</v>
      </c>
      <c r="F47">
        <v>57051.519527593788</v>
      </c>
      <c r="G47">
        <v>78418.343183290577</v>
      </c>
      <c r="H47">
        <v>265751.45328315388</v>
      </c>
      <c r="I47">
        <v>265751.45328315388</v>
      </c>
      <c r="J47">
        <v>0</v>
      </c>
      <c r="K47">
        <v>2035.062028236172</v>
      </c>
      <c r="L47">
        <v>0</v>
      </c>
      <c r="M47">
        <v>263716.39125491772</v>
      </c>
      <c r="N47">
        <v>706</v>
      </c>
      <c r="O47">
        <v>99</v>
      </c>
      <c r="P47">
        <v>0.140226628895184</v>
      </c>
    </row>
    <row r="48" spans="1:16" hidden="1" x14ac:dyDescent="0.25">
      <c r="A48" t="s">
        <v>110</v>
      </c>
      <c r="B48" t="s">
        <v>750</v>
      </c>
      <c r="C48" t="s">
        <v>749</v>
      </c>
      <c r="D48">
        <v>43146.579257373196</v>
      </c>
      <c r="E48">
        <v>0</v>
      </c>
      <c r="F48">
        <v>20639.736310718396</v>
      </c>
      <c r="G48">
        <v>28369.690038557383</v>
      </c>
      <c r="H48">
        <v>92156.005606648978</v>
      </c>
      <c r="I48">
        <v>90754.668624332888</v>
      </c>
      <c r="J48">
        <v>1401.3369823160901</v>
      </c>
      <c r="K48">
        <v>694.97787395258706</v>
      </c>
      <c r="L48">
        <v>0</v>
      </c>
      <c r="M48">
        <v>90059.690750380294</v>
      </c>
      <c r="N48">
        <v>534</v>
      </c>
      <c r="O48">
        <v>46</v>
      </c>
      <c r="P48">
        <v>8.6142322097378293E-2</v>
      </c>
    </row>
    <row r="49" spans="1:16" hidden="1" x14ac:dyDescent="0.25">
      <c r="A49" t="s">
        <v>112</v>
      </c>
      <c r="B49" t="s">
        <v>752</v>
      </c>
      <c r="C49" t="s">
        <v>751</v>
      </c>
      <c r="D49">
        <v>35256.076009036762</v>
      </c>
      <c r="E49">
        <v>9283.4182705683652</v>
      </c>
      <c r="F49">
        <v>16887.134576443703</v>
      </c>
      <c r="G49">
        <v>23211.171070619268</v>
      </c>
      <c r="H49">
        <v>84637.7999266681</v>
      </c>
      <c r="I49">
        <v>76890.134591257229</v>
      </c>
      <c r="J49">
        <v>7747.6653354108712</v>
      </c>
      <c r="K49">
        <v>588.80653828791412</v>
      </c>
      <c r="L49">
        <v>0</v>
      </c>
      <c r="M49">
        <v>76301.328052969315</v>
      </c>
      <c r="N49">
        <v>315</v>
      </c>
      <c r="O49">
        <v>37</v>
      </c>
      <c r="P49">
        <v>0.117460317460317</v>
      </c>
    </row>
    <row r="50" spans="1:16" hidden="1" x14ac:dyDescent="0.25">
      <c r="A50" t="s">
        <v>357</v>
      </c>
      <c r="B50" t="s">
        <v>754</v>
      </c>
      <c r="C50" t="s">
        <v>753</v>
      </c>
      <c r="D50">
        <v>42580.660204474625</v>
      </c>
      <c r="E50">
        <v>11455.854637636043</v>
      </c>
      <c r="F50">
        <v>23798.571705221217</v>
      </c>
      <c r="G50">
        <v>32282.054758590108</v>
      </c>
      <c r="H50">
        <v>110117.14130592199</v>
      </c>
      <c r="I50">
        <v>96615.564635239716</v>
      </c>
      <c r="J50">
        <v>13501.576670682276</v>
      </c>
      <c r="K50">
        <v>739.85923499834973</v>
      </c>
      <c r="L50">
        <v>0</v>
      </c>
      <c r="M50">
        <v>95875.705400241364</v>
      </c>
      <c r="N50">
        <v>248</v>
      </c>
      <c r="O50">
        <v>49</v>
      </c>
      <c r="P50">
        <v>0.19758064516129001</v>
      </c>
    </row>
    <row r="51" spans="1:16" hidden="1" x14ac:dyDescent="0.25">
      <c r="A51" t="s">
        <v>359</v>
      </c>
      <c r="B51" t="s">
        <v>756</v>
      </c>
      <c r="C51" t="s">
        <v>755</v>
      </c>
      <c r="D51">
        <v>95589.237193718509</v>
      </c>
      <c r="E51">
        <v>0</v>
      </c>
      <c r="F51">
        <v>46112.164047515886</v>
      </c>
      <c r="G51">
        <v>62549.779174033887</v>
      </c>
      <c r="H51">
        <v>204251.18041526829</v>
      </c>
      <c r="I51">
        <v>185016.99312355754</v>
      </c>
      <c r="J51">
        <v>19234.187291710754</v>
      </c>
      <c r="K51">
        <v>1416.8165503238386</v>
      </c>
      <c r="L51">
        <v>0</v>
      </c>
      <c r="M51">
        <v>183600.17657323371</v>
      </c>
      <c r="N51">
        <v>1077</v>
      </c>
      <c r="O51">
        <v>110</v>
      </c>
      <c r="P51">
        <v>0.10213556174559001</v>
      </c>
    </row>
    <row r="52" spans="1:16" hidden="1" x14ac:dyDescent="0.25">
      <c r="A52" t="s">
        <v>361</v>
      </c>
      <c r="B52" t="s">
        <v>758</v>
      </c>
      <c r="C52" t="s">
        <v>757</v>
      </c>
      <c r="D52">
        <v>53877.570054641335</v>
      </c>
      <c r="E52">
        <v>14495.163010886417</v>
      </c>
      <c r="F52">
        <v>28730.938372489185</v>
      </c>
      <c r="G52">
        <v>39170.579762045498</v>
      </c>
      <c r="H52">
        <v>136274.25120006243</v>
      </c>
      <c r="I52">
        <v>127427.59457641035</v>
      </c>
      <c r="J52">
        <v>8846.6566236520739</v>
      </c>
      <c r="K52">
        <v>975.81050213720459</v>
      </c>
      <c r="L52">
        <v>0</v>
      </c>
      <c r="M52">
        <v>126451.78407427315</v>
      </c>
      <c r="N52">
        <v>342</v>
      </c>
      <c r="O52">
        <v>62</v>
      </c>
      <c r="P52">
        <v>0.181286549707602</v>
      </c>
    </row>
    <row r="53" spans="1:16" hidden="1" x14ac:dyDescent="0.25">
      <c r="A53" t="s">
        <v>363</v>
      </c>
      <c r="B53" t="s">
        <v>760</v>
      </c>
      <c r="C53" t="s">
        <v>759</v>
      </c>
      <c r="D53">
        <v>14772.882111756497</v>
      </c>
      <c r="E53">
        <v>2904.7144877147721</v>
      </c>
      <c r="F53">
        <v>7126.4253527979108</v>
      </c>
      <c r="G53">
        <v>9666.7840541688765</v>
      </c>
      <c r="H53">
        <v>34470.806006438055</v>
      </c>
      <c r="I53">
        <v>32410.53286495561</v>
      </c>
      <c r="J53">
        <v>2060.2731414824448</v>
      </c>
      <c r="K53">
        <v>248.1922259822793</v>
      </c>
      <c r="L53">
        <v>0</v>
      </c>
      <c r="M53">
        <v>32162.340638973332</v>
      </c>
      <c r="N53">
        <v>114</v>
      </c>
      <c r="O53">
        <v>17</v>
      </c>
      <c r="P53">
        <v>0.14912280701754399</v>
      </c>
    </row>
    <row r="54" spans="1:16" hidden="1" x14ac:dyDescent="0.25">
      <c r="A54" t="s">
        <v>365</v>
      </c>
      <c r="B54" t="s">
        <v>762</v>
      </c>
      <c r="C54" t="s">
        <v>761</v>
      </c>
      <c r="D54">
        <v>47794.618596859254</v>
      </c>
      <c r="E54">
        <v>12858.612348366985</v>
      </c>
      <c r="F54">
        <v>39734.275357693819</v>
      </c>
      <c r="G54">
        <v>53898.362842025301</v>
      </c>
      <c r="H54">
        <v>154285.86914494535</v>
      </c>
      <c r="I54">
        <v>138155.68896441499</v>
      </c>
      <c r="J54">
        <v>16130.180180530355</v>
      </c>
      <c r="K54">
        <v>1057.9637218266555</v>
      </c>
      <c r="L54">
        <v>0</v>
      </c>
      <c r="M54">
        <v>137097.72524258835</v>
      </c>
      <c r="N54">
        <v>165</v>
      </c>
      <c r="O54">
        <v>55</v>
      </c>
      <c r="P54">
        <v>0.33333333333333298</v>
      </c>
    </row>
    <row r="55" spans="1:16" hidden="1" x14ac:dyDescent="0.25">
      <c r="A55" t="s">
        <v>367</v>
      </c>
      <c r="B55" t="s">
        <v>764</v>
      </c>
      <c r="C55" t="s">
        <v>763</v>
      </c>
      <c r="D55">
        <v>66128.452082656062</v>
      </c>
      <c r="E55">
        <v>17534.471384136803</v>
      </c>
      <c r="F55">
        <v>50892.080166789652</v>
      </c>
      <c r="G55">
        <v>67060.096023923572</v>
      </c>
      <c r="H55">
        <v>201615.0996575061</v>
      </c>
      <c r="I55">
        <v>201615.0996575061</v>
      </c>
      <c r="J55">
        <v>0</v>
      </c>
      <c r="K55">
        <v>1543.9209402737492</v>
      </c>
      <c r="L55">
        <v>0</v>
      </c>
      <c r="M55">
        <v>200071.17871723234</v>
      </c>
      <c r="N55">
        <v>323</v>
      </c>
      <c r="O55">
        <v>75</v>
      </c>
      <c r="P55">
        <v>0.232198142414861</v>
      </c>
    </row>
    <row r="56" spans="1:16" hidden="1" x14ac:dyDescent="0.25">
      <c r="A56" t="s">
        <v>114</v>
      </c>
      <c r="B56" t="s">
        <v>766</v>
      </c>
      <c r="C56" t="s">
        <v>765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113</v>
      </c>
      <c r="O56">
        <v>3</v>
      </c>
      <c r="P56">
        <v>2.6548672566371698E-2</v>
      </c>
    </row>
    <row r="57" spans="1:16" hidden="1" x14ac:dyDescent="0.25">
      <c r="A57" t="s">
        <v>271</v>
      </c>
      <c r="B57" t="s">
        <v>768</v>
      </c>
      <c r="C57" t="s">
        <v>767</v>
      </c>
      <c r="D57">
        <v>48448.826999381577</v>
      </c>
      <c r="E57">
        <v>12689.015920017166</v>
      </c>
      <c r="F57">
        <v>24304.467844468891</v>
      </c>
      <c r="G57">
        <v>33514.248866278242</v>
      </c>
      <c r="H57">
        <v>118956.55963014587</v>
      </c>
      <c r="I57">
        <v>118956.55963014587</v>
      </c>
      <c r="J57">
        <v>0</v>
      </c>
      <c r="K57">
        <v>910.94131197463366</v>
      </c>
      <c r="L57">
        <v>0</v>
      </c>
      <c r="M57">
        <v>118045.61831817124</v>
      </c>
      <c r="N57">
        <v>506</v>
      </c>
      <c r="O57">
        <v>45</v>
      </c>
      <c r="P57">
        <v>8.89328063241107E-2</v>
      </c>
    </row>
    <row r="58" spans="1:16" hidden="1" x14ac:dyDescent="0.25">
      <c r="A58" t="s">
        <v>369</v>
      </c>
      <c r="B58" t="s">
        <v>770</v>
      </c>
      <c r="C58" t="s">
        <v>769</v>
      </c>
      <c r="D58">
        <v>71257.431362590156</v>
      </c>
      <c r="E58">
        <v>13705.13634403771</v>
      </c>
      <c r="F58">
        <v>34374.522289966379</v>
      </c>
      <c r="G58">
        <v>46628.017202461626</v>
      </c>
      <c r="H58">
        <v>165965.10719905587</v>
      </c>
      <c r="I58">
        <v>163657.143438378</v>
      </c>
      <c r="J58">
        <v>2307.9637606778706</v>
      </c>
      <c r="K58">
        <v>1253.2478530086594</v>
      </c>
      <c r="L58">
        <v>0</v>
      </c>
      <c r="M58">
        <v>162403.89558536935</v>
      </c>
      <c r="N58">
        <v>588</v>
      </c>
      <c r="O58">
        <v>82</v>
      </c>
      <c r="P58">
        <v>0.13945578231292499</v>
      </c>
    </row>
    <row r="59" spans="1:16" hidden="1" x14ac:dyDescent="0.25">
      <c r="A59" t="s">
        <v>371</v>
      </c>
      <c r="B59" t="s">
        <v>772</v>
      </c>
      <c r="C59" t="s">
        <v>771</v>
      </c>
      <c r="D59">
        <v>80816.355081962014</v>
      </c>
      <c r="E59">
        <v>21742.744516329625</v>
      </c>
      <c r="F59">
        <v>42900.472781680961</v>
      </c>
      <c r="G59">
        <v>58193.21548628022</v>
      </c>
      <c r="H59">
        <v>203652.78786625282</v>
      </c>
      <c r="I59">
        <v>184133.99384862158</v>
      </c>
      <c r="J59">
        <v>19518.79401763124</v>
      </c>
      <c r="K59">
        <v>1410.0547498776616</v>
      </c>
      <c r="L59">
        <v>0</v>
      </c>
      <c r="M59">
        <v>182723.93909874393</v>
      </c>
      <c r="N59">
        <v>517</v>
      </c>
      <c r="O59">
        <v>93</v>
      </c>
      <c r="P59">
        <v>0.179883945841393</v>
      </c>
    </row>
    <row r="60" spans="1:16" hidden="1" x14ac:dyDescent="0.25">
      <c r="A60" t="s">
        <v>373</v>
      </c>
      <c r="B60" t="s">
        <v>774</v>
      </c>
      <c r="C60" t="s">
        <v>773</v>
      </c>
      <c r="D60">
        <v>247178.7082880025</v>
      </c>
      <c r="E60">
        <v>0</v>
      </c>
      <c r="F60">
        <v>118241.20123767485</v>
      </c>
      <c r="G60">
        <v>162524.66496665069</v>
      </c>
      <c r="H60">
        <v>527944.57449232799</v>
      </c>
      <c r="I60">
        <v>527944.57449232799</v>
      </c>
      <c r="J60">
        <v>0</v>
      </c>
      <c r="K60">
        <v>4042.875187658462</v>
      </c>
      <c r="L60">
        <v>0</v>
      </c>
      <c r="M60">
        <v>523901.69930466951</v>
      </c>
      <c r="N60">
        <v>2387</v>
      </c>
      <c r="O60">
        <v>237</v>
      </c>
      <c r="P60">
        <v>9.9287808965228305E-2</v>
      </c>
    </row>
    <row r="61" spans="1:16" hidden="1" x14ac:dyDescent="0.25">
      <c r="A61" t="s">
        <v>273</v>
      </c>
      <c r="B61" t="s">
        <v>776</v>
      </c>
      <c r="C61" t="s">
        <v>775</v>
      </c>
      <c r="D61">
        <v>88637.292670538998</v>
      </c>
      <c r="E61">
        <v>0</v>
      </c>
      <c r="F61">
        <v>0</v>
      </c>
      <c r="G61">
        <v>0</v>
      </c>
      <c r="H61">
        <v>88637.292670538998</v>
      </c>
      <c r="I61">
        <v>79617.4721456478</v>
      </c>
      <c r="J61">
        <v>9019.8205248911981</v>
      </c>
      <c r="K61">
        <v>609.69184682170794</v>
      </c>
      <c r="L61">
        <v>0</v>
      </c>
      <c r="M61">
        <v>79007.780298826096</v>
      </c>
      <c r="N61">
        <v>2293</v>
      </c>
      <c r="O61">
        <v>102</v>
      </c>
      <c r="P61">
        <v>4.4483209768861803E-2</v>
      </c>
    </row>
    <row r="62" spans="1:16" hidden="1" x14ac:dyDescent="0.25">
      <c r="A62" t="s">
        <v>375</v>
      </c>
      <c r="B62" t="s">
        <v>778</v>
      </c>
      <c r="C62" t="s">
        <v>777</v>
      </c>
      <c r="D62">
        <v>0</v>
      </c>
      <c r="E62">
        <v>1235.2061380990931</v>
      </c>
      <c r="F62">
        <v>0</v>
      </c>
      <c r="G62">
        <v>0</v>
      </c>
      <c r="H62">
        <v>1235.2061380990931</v>
      </c>
      <c r="I62">
        <v>1235.2061380990931</v>
      </c>
      <c r="J62">
        <v>0</v>
      </c>
      <c r="K62">
        <v>9.4589176376445998</v>
      </c>
      <c r="L62">
        <v>0</v>
      </c>
      <c r="M62">
        <v>1225.7472204614485</v>
      </c>
      <c r="N62">
        <v>75</v>
      </c>
      <c r="O62">
        <v>6</v>
      </c>
      <c r="P62">
        <v>0.08</v>
      </c>
    </row>
    <row r="63" spans="1:16" hidden="1" x14ac:dyDescent="0.25">
      <c r="A63" t="s">
        <v>377</v>
      </c>
      <c r="B63" t="s">
        <v>780</v>
      </c>
      <c r="C63" t="s">
        <v>779</v>
      </c>
      <c r="D63">
        <v>592351.34234698792</v>
      </c>
      <c r="E63">
        <v>156074.81625966655</v>
      </c>
      <c r="F63">
        <v>304614.11956312542</v>
      </c>
      <c r="G63">
        <v>418697.60462424892</v>
      </c>
      <c r="H63">
        <v>1471737.8827940291</v>
      </c>
      <c r="I63">
        <v>1471737.8827940291</v>
      </c>
      <c r="J63">
        <v>0</v>
      </c>
      <c r="K63">
        <v>11270.222020572053</v>
      </c>
      <c r="L63">
        <v>0</v>
      </c>
      <c r="M63">
        <v>1460467.660773457</v>
      </c>
      <c r="N63">
        <v>4713</v>
      </c>
      <c r="O63">
        <v>596</v>
      </c>
      <c r="P63">
        <v>0.126458731169107</v>
      </c>
    </row>
    <row r="64" spans="1:16" hidden="1" x14ac:dyDescent="0.25">
      <c r="A64" t="s">
        <v>379</v>
      </c>
      <c r="B64" t="s">
        <v>782</v>
      </c>
      <c r="C64" t="s">
        <v>781</v>
      </c>
      <c r="D64">
        <v>425806.60204474605</v>
      </c>
      <c r="E64">
        <v>0</v>
      </c>
      <c r="F64">
        <v>205408.73075711617</v>
      </c>
      <c r="G64">
        <v>278630.83450251451</v>
      </c>
      <c r="H64">
        <v>909846.16730437661</v>
      </c>
      <c r="I64">
        <v>814278.84064478101</v>
      </c>
      <c r="J64">
        <v>95567.326659595594</v>
      </c>
      <c r="K64">
        <v>6235.5555483143298</v>
      </c>
      <c r="L64">
        <v>0</v>
      </c>
      <c r="M64">
        <v>808043.28509646666</v>
      </c>
      <c r="N64">
        <v>3558</v>
      </c>
      <c r="O64">
        <v>490</v>
      </c>
      <c r="P64">
        <v>0.137717818999438</v>
      </c>
    </row>
    <row r="65" spans="1:16" hidden="1" x14ac:dyDescent="0.25">
      <c r="A65" t="s">
        <v>381</v>
      </c>
      <c r="B65" t="s">
        <v>784</v>
      </c>
      <c r="C65" t="s">
        <v>783</v>
      </c>
      <c r="D65">
        <v>769927.855942133</v>
      </c>
      <c r="E65">
        <v>0</v>
      </c>
      <c r="F65">
        <v>412284.66673392605</v>
      </c>
      <c r="G65">
        <v>559251.8892514758</v>
      </c>
      <c r="H65">
        <v>1741464.4119275347</v>
      </c>
      <c r="I65">
        <v>1524012.5755491517</v>
      </c>
      <c r="J65">
        <v>217451.83637838298</v>
      </c>
      <c r="K65">
        <v>11670.529303747338</v>
      </c>
      <c r="L65">
        <v>0</v>
      </c>
      <c r="M65">
        <v>1512342.0462454045</v>
      </c>
      <c r="N65">
        <v>6388</v>
      </c>
      <c r="O65">
        <v>886</v>
      </c>
      <c r="P65">
        <v>0.138697557921102</v>
      </c>
    </row>
    <row r="66" spans="1:16" hidden="1" x14ac:dyDescent="0.25">
      <c r="A66" t="s">
        <v>116</v>
      </c>
      <c r="B66" t="s">
        <v>786</v>
      </c>
      <c r="C66" t="s">
        <v>785</v>
      </c>
      <c r="D66">
        <v>18248.854373346257</v>
      </c>
      <c r="E66">
        <v>0</v>
      </c>
      <c r="F66">
        <v>8803.2313181621212</v>
      </c>
      <c r="G66">
        <v>11941.321478679196</v>
      </c>
      <c r="H66">
        <v>38993.407170187573</v>
      </c>
      <c r="I66">
        <v>30464.55090712653</v>
      </c>
      <c r="J66">
        <v>8528.8562630610431</v>
      </c>
      <c r="K66">
        <v>233.29035454908296</v>
      </c>
      <c r="L66">
        <v>0</v>
      </c>
      <c r="M66">
        <v>30231.260552577445</v>
      </c>
      <c r="N66">
        <v>157</v>
      </c>
      <c r="O66">
        <v>21</v>
      </c>
      <c r="P66">
        <v>0.13375796178343899</v>
      </c>
    </row>
    <row r="67" spans="1:16" hidden="1" x14ac:dyDescent="0.25">
      <c r="A67" t="s">
        <v>118</v>
      </c>
      <c r="B67" t="s">
        <v>788</v>
      </c>
      <c r="C67" t="s">
        <v>787</v>
      </c>
      <c r="D67">
        <v>139677.90912132675</v>
      </c>
      <c r="E67">
        <v>0</v>
      </c>
      <c r="F67">
        <v>66816.773480461226</v>
      </c>
      <c r="G67">
        <v>91840.860972278955</v>
      </c>
      <c r="H67">
        <v>298335.54357406695</v>
      </c>
      <c r="I67">
        <v>298335.54357406695</v>
      </c>
      <c r="J67">
        <v>0</v>
      </c>
      <c r="K67">
        <v>2284.5833161028581</v>
      </c>
      <c r="L67">
        <v>0</v>
      </c>
      <c r="M67">
        <v>296050.96025796409</v>
      </c>
      <c r="N67">
        <v>2222</v>
      </c>
      <c r="O67">
        <v>157</v>
      </c>
      <c r="P67">
        <v>7.0657065706570599E-2</v>
      </c>
    </row>
    <row r="68" spans="1:16" hidden="1" x14ac:dyDescent="0.25">
      <c r="A68" t="s">
        <v>120</v>
      </c>
      <c r="B68" t="s">
        <v>790</v>
      </c>
      <c r="C68" t="s">
        <v>789</v>
      </c>
      <c r="D68">
        <v>2048216.655141768</v>
      </c>
      <c r="E68">
        <v>0</v>
      </c>
      <c r="F68">
        <v>1357164.8282166605</v>
      </c>
      <c r="G68">
        <v>1840953.7279630427</v>
      </c>
      <c r="H68">
        <v>5246335.2113214713</v>
      </c>
      <c r="I68">
        <v>4652475.523494957</v>
      </c>
      <c r="J68">
        <v>593859.68782651424</v>
      </c>
      <c r="K68">
        <v>35627.561611392994</v>
      </c>
      <c r="L68">
        <v>0</v>
      </c>
      <c r="M68">
        <v>4616847.9618835645</v>
      </c>
      <c r="N68">
        <v>24425</v>
      </c>
      <c r="O68">
        <v>2357</v>
      </c>
      <c r="P68">
        <v>9.6499488229273303E-2</v>
      </c>
    </row>
    <row r="69" spans="1:16" hidden="1" x14ac:dyDescent="0.25">
      <c r="A69" t="s">
        <v>383</v>
      </c>
      <c r="B69" t="s">
        <v>792</v>
      </c>
      <c r="C69" t="s">
        <v>791</v>
      </c>
      <c r="D69">
        <v>386701.91410186124</v>
      </c>
      <c r="E69">
        <v>0</v>
      </c>
      <c r="F69">
        <v>186544.66364676872</v>
      </c>
      <c r="G69">
        <v>253042.28847677345</v>
      </c>
      <c r="H69">
        <v>826288.86622540338</v>
      </c>
      <c r="I69">
        <v>747169.95555702469</v>
      </c>
      <c r="J69">
        <v>79118.910668378696</v>
      </c>
      <c r="K69">
        <v>5721.651514631234</v>
      </c>
      <c r="L69">
        <v>0</v>
      </c>
      <c r="M69">
        <v>741448.30404239346</v>
      </c>
      <c r="N69">
        <v>3597</v>
      </c>
      <c r="O69">
        <v>445</v>
      </c>
      <c r="P69">
        <v>0.12371420628301399</v>
      </c>
    </row>
    <row r="70" spans="1:16" hidden="1" x14ac:dyDescent="0.25">
      <c r="A70" t="s">
        <v>385</v>
      </c>
      <c r="B70" t="s">
        <v>794</v>
      </c>
      <c r="C70" t="s">
        <v>793</v>
      </c>
      <c r="D70">
        <v>253975.4775030223</v>
      </c>
      <c r="E70">
        <v>66918.352592379961</v>
      </c>
      <c r="F70">
        <v>143880.5607569252</v>
      </c>
      <c r="G70">
        <v>197766.42733211923</v>
      </c>
      <c r="H70">
        <v>662540.81818444666</v>
      </c>
      <c r="I70">
        <v>624000.19189879391</v>
      </c>
      <c r="J70">
        <v>38540.626285652746</v>
      </c>
      <c r="K70">
        <v>4778.4464786812823</v>
      </c>
      <c r="L70">
        <v>0</v>
      </c>
      <c r="M70">
        <v>619221.74542011262</v>
      </c>
      <c r="N70">
        <v>1593</v>
      </c>
      <c r="O70">
        <v>245</v>
      </c>
      <c r="P70">
        <v>0.15379786566227199</v>
      </c>
    </row>
    <row r="71" spans="1:16" hidden="1" x14ac:dyDescent="0.25">
      <c r="A71" t="s">
        <v>387</v>
      </c>
      <c r="B71" t="s">
        <v>796</v>
      </c>
      <c r="C71" t="s">
        <v>795</v>
      </c>
      <c r="D71">
        <v>19117.847438743713</v>
      </c>
      <c r="E71">
        <v>5143.4449393467949</v>
      </c>
      <c r="F71">
        <v>12391.281682923032</v>
      </c>
      <c r="G71">
        <v>16808.405091364191</v>
      </c>
      <c r="H71">
        <v>53460.979152377731</v>
      </c>
      <c r="I71">
        <v>48174.393166485715</v>
      </c>
      <c r="J71">
        <v>5286.5859858920157</v>
      </c>
      <c r="K71">
        <v>368.90815480123609</v>
      </c>
      <c r="L71">
        <v>0</v>
      </c>
      <c r="M71">
        <v>47805.485011684483</v>
      </c>
      <c r="N71">
        <v>90</v>
      </c>
      <c r="O71">
        <v>22</v>
      </c>
      <c r="P71">
        <v>0.24444444444444399</v>
      </c>
    </row>
    <row r="72" spans="1:16" hidden="1" x14ac:dyDescent="0.25">
      <c r="A72" t="s">
        <v>389</v>
      </c>
      <c r="B72" t="s">
        <v>798</v>
      </c>
      <c r="C72" t="s">
        <v>797</v>
      </c>
      <c r="D72">
        <v>60829.514577820883</v>
      </c>
      <c r="E72">
        <v>16365.506625194343</v>
      </c>
      <c r="F72">
        <v>31317.851735629403</v>
      </c>
      <c r="G72">
        <v>42481.734499603961</v>
      </c>
      <c r="H72">
        <v>150994.60743824858</v>
      </c>
      <c r="I72">
        <v>136745.96566984331</v>
      </c>
      <c r="J72">
        <v>14248.641768405272</v>
      </c>
      <c r="K72">
        <v>1047.1683929143953</v>
      </c>
      <c r="L72">
        <v>0</v>
      </c>
      <c r="M72">
        <v>135698.7972769289</v>
      </c>
      <c r="N72">
        <v>409</v>
      </c>
      <c r="O72">
        <v>70</v>
      </c>
      <c r="P72">
        <v>0.17114914425427899</v>
      </c>
    </row>
    <row r="73" spans="1:16" hidden="1" x14ac:dyDescent="0.25">
      <c r="A73" t="s">
        <v>122</v>
      </c>
      <c r="B73" t="s">
        <v>800</v>
      </c>
      <c r="C73" t="s">
        <v>799</v>
      </c>
      <c r="D73">
        <v>252876.98203065534</v>
      </c>
      <c r="E73">
        <v>0</v>
      </c>
      <c r="F73">
        <v>121987.63398024654</v>
      </c>
      <c r="G73">
        <v>165472.59763312602</v>
      </c>
      <c r="H73">
        <v>540337.21364402794</v>
      </c>
      <c r="I73">
        <v>540337.21364402794</v>
      </c>
      <c r="J73">
        <v>0</v>
      </c>
      <c r="K73">
        <v>4137.7750990444074</v>
      </c>
      <c r="L73">
        <v>0</v>
      </c>
      <c r="M73">
        <v>536199.43854498351</v>
      </c>
      <c r="N73">
        <v>4684</v>
      </c>
      <c r="O73">
        <v>291</v>
      </c>
      <c r="P73">
        <v>6.2126387702818101E-2</v>
      </c>
    </row>
    <row r="74" spans="1:16" hidden="1" x14ac:dyDescent="0.25">
      <c r="A74" t="s">
        <v>391</v>
      </c>
      <c r="B74" t="s">
        <v>802</v>
      </c>
      <c r="C74" t="s">
        <v>801</v>
      </c>
      <c r="D74">
        <v>373667.01812089974</v>
      </c>
      <c r="E74">
        <v>89598.505630549393</v>
      </c>
      <c r="F74">
        <v>180256.64127665295</v>
      </c>
      <c r="G74">
        <v>244512.77313485972</v>
      </c>
      <c r="H74">
        <v>888034.93816296186</v>
      </c>
      <c r="I74">
        <v>807317.2785381471</v>
      </c>
      <c r="J74">
        <v>80717.659624814754</v>
      </c>
      <c r="K74">
        <v>6182.2455455828549</v>
      </c>
      <c r="L74">
        <v>0</v>
      </c>
      <c r="M74">
        <v>801135.03299256426</v>
      </c>
      <c r="N74">
        <v>2908</v>
      </c>
      <c r="O74">
        <v>430</v>
      </c>
      <c r="P74">
        <v>0.147867950481431</v>
      </c>
    </row>
    <row r="75" spans="1:16" hidden="1" x14ac:dyDescent="0.25">
      <c r="A75" t="s">
        <v>393</v>
      </c>
      <c r="B75" t="s">
        <v>804</v>
      </c>
      <c r="C75" t="s">
        <v>803</v>
      </c>
      <c r="D75">
        <v>23296.575491200263</v>
      </c>
      <c r="E75">
        <v>5916.8666470503276</v>
      </c>
      <c r="F75">
        <v>15667.910951663496</v>
      </c>
      <c r="G75">
        <v>20645.483726925377</v>
      </c>
      <c r="H75">
        <v>65526.836816839466</v>
      </c>
      <c r="I75">
        <v>65526.836816839466</v>
      </c>
      <c r="J75">
        <v>0</v>
      </c>
      <c r="K75">
        <v>501.78908069524067</v>
      </c>
      <c r="L75">
        <v>0</v>
      </c>
      <c r="M75">
        <v>65025.047736144224</v>
      </c>
      <c r="N75">
        <v>130</v>
      </c>
      <c r="O75">
        <v>17</v>
      </c>
      <c r="P75">
        <v>0.130769230769231</v>
      </c>
    </row>
    <row r="76" spans="1:16" hidden="1" x14ac:dyDescent="0.25">
      <c r="A76" t="s">
        <v>124</v>
      </c>
      <c r="B76" t="s">
        <v>806</v>
      </c>
      <c r="C76" t="s">
        <v>805</v>
      </c>
      <c r="D76">
        <v>2124688.0448967423</v>
      </c>
      <c r="E76">
        <v>0</v>
      </c>
      <c r="F76">
        <v>1430944.2906926852</v>
      </c>
      <c r="G76">
        <v>1941033.3746414965</v>
      </c>
      <c r="H76">
        <v>5496665.7102309242</v>
      </c>
      <c r="I76">
        <v>4901680.2450789474</v>
      </c>
      <c r="J76">
        <v>594985.46515197679</v>
      </c>
      <c r="K76">
        <v>37535.912666062068</v>
      </c>
      <c r="L76">
        <v>0</v>
      </c>
      <c r="M76">
        <v>4864144.3324128855</v>
      </c>
      <c r="N76">
        <v>22976</v>
      </c>
      <c r="O76">
        <v>2445</v>
      </c>
      <c r="P76">
        <v>0.106415389972145</v>
      </c>
    </row>
    <row r="77" spans="1:16" hidden="1" x14ac:dyDescent="0.25">
      <c r="A77" t="s">
        <v>275</v>
      </c>
      <c r="B77" t="s">
        <v>808</v>
      </c>
      <c r="C77" t="s">
        <v>807</v>
      </c>
      <c r="D77">
        <v>2298486.6579762315</v>
      </c>
      <c r="E77">
        <v>0</v>
      </c>
      <c r="F77">
        <v>1598624.8872291071</v>
      </c>
      <c r="G77">
        <v>2168487.1170925293</v>
      </c>
      <c r="H77">
        <v>6065598.6622978682</v>
      </c>
      <c r="I77">
        <v>5960011.5113981366</v>
      </c>
      <c r="J77">
        <v>105587.15089973155</v>
      </c>
      <c r="K77">
        <v>45640.364200656237</v>
      </c>
      <c r="L77">
        <v>0</v>
      </c>
      <c r="M77">
        <v>5914371.1471974803</v>
      </c>
      <c r="N77">
        <v>26847</v>
      </c>
      <c r="O77">
        <v>2645</v>
      </c>
      <c r="P77">
        <v>9.8521250046560094E-2</v>
      </c>
    </row>
    <row r="78" spans="1:16" hidden="1" x14ac:dyDescent="0.25">
      <c r="A78" t="s">
        <v>395</v>
      </c>
      <c r="B78" t="s">
        <v>810</v>
      </c>
      <c r="C78" t="s">
        <v>809</v>
      </c>
      <c r="D78">
        <v>15641.875177153936</v>
      </c>
      <c r="E78">
        <v>4208.2731321928313</v>
      </c>
      <c r="F78">
        <v>12363.981185799445</v>
      </c>
      <c r="G78">
        <v>16771.372778921381</v>
      </c>
      <c r="H78">
        <v>48985.502274067592</v>
      </c>
      <c r="I78">
        <v>44074.371923855157</v>
      </c>
      <c r="J78">
        <v>4911.1303502124356</v>
      </c>
      <c r="K78">
        <v>337.51115793533768</v>
      </c>
      <c r="L78">
        <v>0</v>
      </c>
      <c r="M78">
        <v>43736.860765919817</v>
      </c>
      <c r="N78">
        <v>57</v>
      </c>
      <c r="O78">
        <v>18</v>
      </c>
      <c r="P78">
        <v>0.31578947368421001</v>
      </c>
    </row>
    <row r="79" spans="1:16" hidden="1" x14ac:dyDescent="0.25">
      <c r="A79" t="s">
        <v>397</v>
      </c>
      <c r="B79" t="s">
        <v>812</v>
      </c>
      <c r="C79" t="s">
        <v>811</v>
      </c>
      <c r="D79">
        <v>3686268.5834159455</v>
      </c>
      <c r="E79">
        <v>991749.70148677728</v>
      </c>
      <c r="F79">
        <v>2937554.4505724316</v>
      </c>
      <c r="G79">
        <v>3984705.2505640211</v>
      </c>
      <c r="H79">
        <v>11600277.986039177</v>
      </c>
      <c r="I79">
        <v>10471442.932631029</v>
      </c>
      <c r="J79">
        <v>1128835.0534081478</v>
      </c>
      <c r="K79">
        <v>80187.84330159027</v>
      </c>
      <c r="L79">
        <v>0</v>
      </c>
      <c r="M79">
        <v>10391255.089329438</v>
      </c>
      <c r="N79">
        <v>24174</v>
      </c>
      <c r="O79">
        <v>4242</v>
      </c>
      <c r="P79">
        <v>0.17547778605112899</v>
      </c>
    </row>
    <row r="80" spans="1:16" hidden="1" x14ac:dyDescent="0.25">
      <c r="A80" t="s">
        <v>126</v>
      </c>
      <c r="B80" t="s">
        <v>814</v>
      </c>
      <c r="C80" t="s">
        <v>813</v>
      </c>
      <c r="D80">
        <v>682159.55633699137</v>
      </c>
      <c r="E80">
        <v>157618.98088599634</v>
      </c>
      <c r="F80">
        <v>348775.64079575642</v>
      </c>
      <c r="G80">
        <v>473103.78429814702</v>
      </c>
      <c r="H80">
        <v>1661657.9623168912</v>
      </c>
      <c r="I80">
        <v>1661657.9623168912</v>
      </c>
      <c r="J80">
        <v>0</v>
      </c>
      <c r="K80">
        <v>12724.585251559778</v>
      </c>
      <c r="L80">
        <v>0</v>
      </c>
      <c r="M80">
        <v>1648933.3770653314</v>
      </c>
      <c r="N80">
        <v>6187</v>
      </c>
      <c r="O80">
        <v>785</v>
      </c>
      <c r="P80">
        <v>0.12687893971229999</v>
      </c>
    </row>
    <row r="81" spans="1:16" hidden="1" x14ac:dyDescent="0.25">
      <c r="A81" t="s">
        <v>128</v>
      </c>
      <c r="B81" t="s">
        <v>816</v>
      </c>
      <c r="C81" t="s">
        <v>815</v>
      </c>
      <c r="D81">
        <v>345859.24002818146</v>
      </c>
      <c r="E81">
        <v>0</v>
      </c>
      <c r="F81">
        <v>166842.19355373929</v>
      </c>
      <c r="G81">
        <v>226316.4737387771</v>
      </c>
      <c r="H81">
        <v>739017.90732069779</v>
      </c>
      <c r="I81">
        <v>665085.32941919111</v>
      </c>
      <c r="J81">
        <v>73932.57790150668</v>
      </c>
      <c r="K81">
        <v>5093.0667837056753</v>
      </c>
      <c r="L81">
        <v>0</v>
      </c>
      <c r="M81">
        <v>659992.26263548539</v>
      </c>
      <c r="N81">
        <v>4094</v>
      </c>
      <c r="O81">
        <v>398</v>
      </c>
      <c r="P81">
        <v>9.7215437225207604E-2</v>
      </c>
    </row>
    <row r="82" spans="1:16" hidden="1" x14ac:dyDescent="0.25">
      <c r="A82" t="s">
        <v>399</v>
      </c>
      <c r="B82" t="s">
        <v>818</v>
      </c>
      <c r="C82" t="s">
        <v>817</v>
      </c>
      <c r="D82">
        <v>106886.14704388524</v>
      </c>
      <c r="E82">
        <v>26632.893843933394</v>
      </c>
      <c r="F82">
        <v>51561.783434949568</v>
      </c>
      <c r="G82">
        <v>69942.02580369245</v>
      </c>
      <c r="H82">
        <v>255022.85012646066</v>
      </c>
      <c r="I82">
        <v>255022.85012646066</v>
      </c>
      <c r="J82">
        <v>0</v>
      </c>
      <c r="K82">
        <v>1952.9049125159504</v>
      </c>
      <c r="L82">
        <v>0</v>
      </c>
      <c r="M82">
        <v>253069.94521394471</v>
      </c>
      <c r="N82">
        <v>920</v>
      </c>
      <c r="O82">
        <v>123</v>
      </c>
      <c r="P82">
        <v>0.13369565217391299</v>
      </c>
    </row>
    <row r="83" spans="1:16" hidden="1" x14ac:dyDescent="0.25">
      <c r="A83" t="s">
        <v>401</v>
      </c>
      <c r="B83" t="s">
        <v>820</v>
      </c>
      <c r="C83" t="s">
        <v>819</v>
      </c>
      <c r="D83">
        <v>1227018.2083411864</v>
      </c>
      <c r="E83">
        <v>330115.64792534889</v>
      </c>
      <c r="F83">
        <v>743034.64340201719</v>
      </c>
      <c r="G83">
        <v>1007904.396236137</v>
      </c>
      <c r="H83">
        <v>3308072.8959046896</v>
      </c>
      <c r="I83">
        <v>2965173.179714893</v>
      </c>
      <c r="J83">
        <v>342899.71618979657</v>
      </c>
      <c r="K83">
        <v>22706.597727436048</v>
      </c>
      <c r="L83">
        <v>0</v>
      </c>
      <c r="M83">
        <v>2942466.5819874569</v>
      </c>
      <c r="N83">
        <v>9340</v>
      </c>
      <c r="O83">
        <v>1412</v>
      </c>
      <c r="P83">
        <v>0.15117773019271999</v>
      </c>
    </row>
    <row r="84" spans="1:16" hidden="1" x14ac:dyDescent="0.25">
      <c r="A84" t="s">
        <v>130</v>
      </c>
      <c r="B84" t="s">
        <v>822</v>
      </c>
      <c r="C84" t="s">
        <v>821</v>
      </c>
      <c r="D84">
        <v>36564.897675740009</v>
      </c>
      <c r="E84">
        <v>0</v>
      </c>
      <c r="F84">
        <v>0</v>
      </c>
      <c r="G84">
        <v>0</v>
      </c>
      <c r="H84">
        <v>36564.897675740009</v>
      </c>
      <c r="I84">
        <v>36564.897675740009</v>
      </c>
      <c r="J84">
        <v>0</v>
      </c>
      <c r="K84">
        <v>280.00537309180748</v>
      </c>
      <c r="L84">
        <v>0</v>
      </c>
      <c r="M84">
        <v>36284.892302648201</v>
      </c>
      <c r="N84">
        <v>1001</v>
      </c>
      <c r="O84">
        <v>36</v>
      </c>
      <c r="P84">
        <v>3.5964035964036002E-2</v>
      </c>
    </row>
    <row r="85" spans="1:16" hidden="1" x14ac:dyDescent="0.25">
      <c r="A85" t="s">
        <v>403</v>
      </c>
      <c r="B85" t="s">
        <v>824</v>
      </c>
      <c r="C85" t="s">
        <v>823</v>
      </c>
      <c r="D85">
        <v>28676.771158115545</v>
      </c>
      <c r="E85">
        <v>7715.1674090201896</v>
      </c>
      <c r="F85">
        <v>19112.950400887334</v>
      </c>
      <c r="G85">
        <v>26271.095252021722</v>
      </c>
      <c r="H85">
        <v>81775.984220044789</v>
      </c>
      <c r="I85">
        <v>74156.314394745234</v>
      </c>
      <c r="J85">
        <v>7619.6698252995557</v>
      </c>
      <c r="K85">
        <v>567.87158720782008</v>
      </c>
      <c r="L85">
        <v>0</v>
      </c>
      <c r="M85">
        <v>73588.442807537416</v>
      </c>
      <c r="N85">
        <v>132</v>
      </c>
      <c r="O85">
        <v>33</v>
      </c>
      <c r="P85">
        <v>0.25</v>
      </c>
    </row>
    <row r="86" spans="1:16" hidden="1" x14ac:dyDescent="0.25">
      <c r="A86" t="s">
        <v>132</v>
      </c>
      <c r="B86" t="s">
        <v>826</v>
      </c>
      <c r="C86" t="s">
        <v>825</v>
      </c>
      <c r="D86">
        <v>10470.618216733825</v>
      </c>
      <c r="E86">
        <v>2742.3128581885594</v>
      </c>
      <c r="F86">
        <v>7149.1800423581171</v>
      </c>
      <c r="G86">
        <v>9858.245021560786</v>
      </c>
      <c r="H86">
        <v>30220.356138841289</v>
      </c>
      <c r="I86">
        <v>30220.356138841289</v>
      </c>
      <c r="J86">
        <v>0</v>
      </c>
      <c r="K86">
        <v>231.42036853661992</v>
      </c>
      <c r="L86">
        <v>0</v>
      </c>
      <c r="M86">
        <v>29988.93577030467</v>
      </c>
      <c r="N86">
        <v>62</v>
      </c>
      <c r="O86">
        <v>10</v>
      </c>
      <c r="P86">
        <v>0.16129032258064499</v>
      </c>
    </row>
    <row r="87" spans="1:16" hidden="1" x14ac:dyDescent="0.25">
      <c r="A87" t="s">
        <v>405</v>
      </c>
      <c r="B87" t="s">
        <v>828</v>
      </c>
      <c r="C87" t="s">
        <v>827</v>
      </c>
      <c r="D87">
        <v>170349.40564227104</v>
      </c>
      <c r="E87">
        <v>44884.260885132906</v>
      </c>
      <c r="F87">
        <v>101972.00712497588</v>
      </c>
      <c r="G87">
        <v>140612.63328413441</v>
      </c>
      <c r="H87">
        <v>457818.30693651421</v>
      </c>
      <c r="I87">
        <v>457818.30693651421</v>
      </c>
      <c r="J87">
        <v>0</v>
      </c>
      <c r="K87">
        <v>3505.8647498163391</v>
      </c>
      <c r="L87">
        <v>0</v>
      </c>
      <c r="M87">
        <v>454312.44218669785</v>
      </c>
      <c r="N87">
        <v>1075</v>
      </c>
      <c r="O87">
        <v>163</v>
      </c>
      <c r="P87">
        <v>0.151627906976744</v>
      </c>
    </row>
    <row r="88" spans="1:16" hidden="1" x14ac:dyDescent="0.25">
      <c r="A88" t="s">
        <v>407</v>
      </c>
      <c r="B88" t="s">
        <v>830</v>
      </c>
      <c r="C88" t="s">
        <v>829</v>
      </c>
      <c r="D88">
        <v>99065.209455308272</v>
      </c>
      <c r="E88">
        <v>26652.396503887925</v>
      </c>
      <c r="F88">
        <v>50713.654977668346</v>
      </c>
      <c r="G88">
        <v>68791.564774375103</v>
      </c>
      <c r="H88">
        <v>245222.82571123965</v>
      </c>
      <c r="I88">
        <v>220747.80956224038</v>
      </c>
      <c r="J88">
        <v>24475.016148999275</v>
      </c>
      <c r="K88">
        <v>1690.4347257803026</v>
      </c>
      <c r="L88">
        <v>0</v>
      </c>
      <c r="M88">
        <v>219057.37483646008</v>
      </c>
      <c r="N88">
        <v>672</v>
      </c>
      <c r="O88">
        <v>114</v>
      </c>
      <c r="P88">
        <v>0.16964285714285701</v>
      </c>
    </row>
    <row r="89" spans="1:16" hidden="1" x14ac:dyDescent="0.25">
      <c r="A89" t="s">
        <v>409</v>
      </c>
      <c r="B89" t="s">
        <v>832</v>
      </c>
      <c r="C89" t="s">
        <v>831</v>
      </c>
      <c r="D89">
        <v>713443.30669129919</v>
      </c>
      <c r="E89">
        <v>191944.01341835075</v>
      </c>
      <c r="F89">
        <v>419382.62830546184</v>
      </c>
      <c r="G89">
        <v>568880.06303286355</v>
      </c>
      <c r="H89">
        <v>1893650.0114479754</v>
      </c>
      <c r="I89">
        <v>1660426.5626785588</v>
      </c>
      <c r="J89">
        <v>233223.44876941666</v>
      </c>
      <c r="K89">
        <v>12715.155483200679</v>
      </c>
      <c r="L89">
        <v>0</v>
      </c>
      <c r="M89">
        <v>1647711.4071953581</v>
      </c>
      <c r="N89">
        <v>3734</v>
      </c>
      <c r="O89">
        <v>821</v>
      </c>
      <c r="P89">
        <v>0.219871451526513</v>
      </c>
    </row>
    <row r="90" spans="1:16" hidden="1" x14ac:dyDescent="0.25">
      <c r="A90" t="s">
        <v>411</v>
      </c>
      <c r="B90" t="s">
        <v>834</v>
      </c>
      <c r="C90" t="s">
        <v>833</v>
      </c>
      <c r="D90">
        <v>287271.04315128434</v>
      </c>
      <c r="E90">
        <v>75691.185401746814</v>
      </c>
      <c r="F90">
        <v>177384.56009816015</v>
      </c>
      <c r="G90">
        <v>243818.27906383268</v>
      </c>
      <c r="H90">
        <v>784165.06771502399</v>
      </c>
      <c r="I90">
        <v>784165.06771502399</v>
      </c>
      <c r="J90">
        <v>0</v>
      </c>
      <c r="K90">
        <v>6004.9513688858979</v>
      </c>
      <c r="L90">
        <v>0</v>
      </c>
      <c r="M90">
        <v>778160.11634613806</v>
      </c>
      <c r="N90">
        <v>1587</v>
      </c>
      <c r="O90">
        <v>253</v>
      </c>
      <c r="P90">
        <v>0.15942028985507201</v>
      </c>
    </row>
    <row r="91" spans="1:16" hidden="1" x14ac:dyDescent="0.25">
      <c r="A91" t="s">
        <v>134</v>
      </c>
      <c r="B91" t="s">
        <v>836</v>
      </c>
      <c r="C91" t="s">
        <v>835</v>
      </c>
      <c r="D91">
        <v>158691.65591271158</v>
      </c>
      <c r="E91">
        <v>0</v>
      </c>
      <c r="F91">
        <v>76294.671424071668</v>
      </c>
      <c r="G91">
        <v>104342.75827740594</v>
      </c>
      <c r="H91">
        <v>339329.08561418916</v>
      </c>
      <c r="I91">
        <v>339329.08561418916</v>
      </c>
      <c r="J91">
        <v>0</v>
      </c>
      <c r="K91">
        <v>2598.5022045157411</v>
      </c>
      <c r="L91">
        <v>0</v>
      </c>
      <c r="M91">
        <v>336730.58340967342</v>
      </c>
      <c r="N91">
        <v>2819</v>
      </c>
      <c r="O91">
        <v>182</v>
      </c>
      <c r="P91">
        <v>6.4561901383469303E-2</v>
      </c>
    </row>
    <row r="92" spans="1:16" hidden="1" x14ac:dyDescent="0.25">
      <c r="A92" t="s">
        <v>413</v>
      </c>
      <c r="B92" t="s">
        <v>838</v>
      </c>
      <c r="C92" t="s">
        <v>837</v>
      </c>
      <c r="D92">
        <v>30414.757288910441</v>
      </c>
      <c r="E92">
        <v>5726.8648220957939</v>
      </c>
      <c r="F92">
        <v>14672.052196936864</v>
      </c>
      <c r="G92">
        <v>19902.202464465328</v>
      </c>
      <c r="H92">
        <v>70715.876772408432</v>
      </c>
      <c r="I92">
        <v>70715.876772408432</v>
      </c>
      <c r="J92">
        <v>0</v>
      </c>
      <c r="K92">
        <v>541.52552633313974</v>
      </c>
      <c r="L92">
        <v>0</v>
      </c>
      <c r="M92">
        <v>70174.351246075297</v>
      </c>
      <c r="N92">
        <v>342</v>
      </c>
      <c r="O92">
        <v>35</v>
      </c>
      <c r="P92">
        <v>0.10233918128654999</v>
      </c>
    </row>
    <row r="93" spans="1:16" hidden="1" x14ac:dyDescent="0.25">
      <c r="A93" t="s">
        <v>415</v>
      </c>
      <c r="B93" t="s">
        <v>840</v>
      </c>
      <c r="C93" t="s">
        <v>839</v>
      </c>
      <c r="D93">
        <v>33295.565648262062</v>
      </c>
      <c r="E93">
        <v>8772.8328093668861</v>
      </c>
      <c r="F93">
        <v>20238.793484930913</v>
      </c>
      <c r="G93">
        <v>27818.586888810871</v>
      </c>
      <c r="H93">
        <v>90125.778831370728</v>
      </c>
      <c r="I93">
        <v>88911.951451279252</v>
      </c>
      <c r="J93">
        <v>1213.8273800914758</v>
      </c>
      <c r="K93">
        <v>680.86677991591773</v>
      </c>
      <c r="L93">
        <v>0</v>
      </c>
      <c r="M93">
        <v>88231.084671363336</v>
      </c>
      <c r="N93">
        <v>188</v>
      </c>
      <c r="O93">
        <v>36</v>
      </c>
      <c r="P93">
        <v>0.19148936170212799</v>
      </c>
    </row>
    <row r="94" spans="1:16" hidden="1" x14ac:dyDescent="0.25">
      <c r="A94" t="s">
        <v>136</v>
      </c>
      <c r="B94" t="s">
        <v>842</v>
      </c>
      <c r="C94" t="s">
        <v>841</v>
      </c>
      <c r="D94">
        <v>11700.767256236799</v>
      </c>
      <c r="E94">
        <v>0</v>
      </c>
      <c r="F94">
        <v>5597.2166266354961</v>
      </c>
      <c r="G94">
        <v>7693.4752646935249</v>
      </c>
      <c r="H94">
        <v>24991.459147565816</v>
      </c>
      <c r="I94">
        <v>24991.459147565816</v>
      </c>
      <c r="J94">
        <v>0</v>
      </c>
      <c r="K94">
        <v>191.37870710809284</v>
      </c>
      <c r="L94">
        <v>0</v>
      </c>
      <c r="M94">
        <v>24800.080440457725</v>
      </c>
      <c r="N94">
        <v>206</v>
      </c>
      <c r="O94">
        <v>12</v>
      </c>
      <c r="P94">
        <v>5.8252427184466E-2</v>
      </c>
    </row>
    <row r="95" spans="1:16" hidden="1" x14ac:dyDescent="0.25">
      <c r="A95" t="s">
        <v>138</v>
      </c>
      <c r="B95" t="s">
        <v>844</v>
      </c>
      <c r="C95" t="s">
        <v>843</v>
      </c>
      <c r="D95">
        <v>41444.177312723994</v>
      </c>
      <c r="E95">
        <v>0</v>
      </c>
      <c r="F95">
        <v>20145.782479523343</v>
      </c>
      <c r="G95">
        <v>27779.697623715147</v>
      </c>
      <c r="H95">
        <v>89369.657415962487</v>
      </c>
      <c r="I95">
        <v>89369.657415962487</v>
      </c>
      <c r="J95">
        <v>0</v>
      </c>
      <c r="K95">
        <v>684.37178437522186</v>
      </c>
      <c r="L95">
        <v>0</v>
      </c>
      <c r="M95">
        <v>88685.285631587263</v>
      </c>
      <c r="N95">
        <v>898</v>
      </c>
      <c r="O95">
        <v>47</v>
      </c>
      <c r="P95">
        <v>5.2338530066815103E-2</v>
      </c>
    </row>
    <row r="96" spans="1:16" hidden="1" x14ac:dyDescent="0.25">
      <c r="A96" t="s">
        <v>417</v>
      </c>
      <c r="B96" t="s">
        <v>846</v>
      </c>
      <c r="C96" t="s">
        <v>845</v>
      </c>
      <c r="D96">
        <v>21724.826634936035</v>
      </c>
      <c r="E96">
        <v>5844.8237947122652</v>
      </c>
      <c r="F96">
        <v>11700.313370201611</v>
      </c>
      <c r="G96">
        <v>15846.282597067166</v>
      </c>
      <c r="H96">
        <v>55116.246396917079</v>
      </c>
      <c r="I96">
        <v>55116.246396917079</v>
      </c>
      <c r="J96">
        <v>0</v>
      </c>
      <c r="K96">
        <v>422.06723160141928</v>
      </c>
      <c r="L96">
        <v>0</v>
      </c>
      <c r="M96">
        <v>54694.179165315662</v>
      </c>
      <c r="N96">
        <v>145</v>
      </c>
      <c r="O96">
        <v>25</v>
      </c>
      <c r="P96">
        <v>0.17241379310344801</v>
      </c>
    </row>
    <row r="97" spans="1:16" hidden="1" x14ac:dyDescent="0.25">
      <c r="A97" t="s">
        <v>419</v>
      </c>
      <c r="B97" t="s">
        <v>848</v>
      </c>
      <c r="C97" t="s">
        <v>847</v>
      </c>
      <c r="D97">
        <v>171855.01907597794</v>
      </c>
      <c r="E97">
        <v>45280.96521113786</v>
      </c>
      <c r="F97">
        <v>91870.194962113019</v>
      </c>
      <c r="G97">
        <v>126277.24093081043</v>
      </c>
      <c r="H97">
        <v>435283.42018003925</v>
      </c>
      <c r="I97">
        <v>435283.42018003925</v>
      </c>
      <c r="J97">
        <v>0</v>
      </c>
      <c r="K97">
        <v>3333.297895403538</v>
      </c>
      <c r="L97">
        <v>0</v>
      </c>
      <c r="M97">
        <v>431950.12228463573</v>
      </c>
      <c r="N97">
        <v>1272</v>
      </c>
      <c r="O97">
        <v>143</v>
      </c>
      <c r="P97">
        <v>0.11242138364779899</v>
      </c>
    </row>
    <row r="98" spans="1:16" hidden="1" x14ac:dyDescent="0.25">
      <c r="A98" t="s">
        <v>57</v>
      </c>
      <c r="B98" t="s">
        <v>849</v>
      </c>
      <c r="C98" t="s">
        <v>18</v>
      </c>
      <c r="D98">
        <v>2880022.5196760688</v>
      </c>
      <c r="E98">
        <v>774838.13496767276</v>
      </c>
      <c r="F98">
        <v>2177077.1852041204</v>
      </c>
      <c r="G98">
        <v>2953140.4563668706</v>
      </c>
      <c r="H98">
        <v>8785078.2962147333</v>
      </c>
      <c r="I98">
        <v>7912703.364104134</v>
      </c>
      <c r="J98">
        <v>872374.93211059924</v>
      </c>
      <c r="K98">
        <v>60593.61842822218</v>
      </c>
      <c r="L98">
        <v>0</v>
      </c>
      <c r="M98">
        <v>7852109.7456759121</v>
      </c>
      <c r="N98">
        <v>19649</v>
      </c>
      <c r="O98">
        <v>3314</v>
      </c>
      <c r="P98">
        <v>0.16867413714330101</v>
      </c>
    </row>
    <row r="99" spans="1:16" hidden="1" x14ac:dyDescent="0.25">
      <c r="A99" t="s">
        <v>140</v>
      </c>
      <c r="B99" t="s">
        <v>851</v>
      </c>
      <c r="C99" t="s">
        <v>850</v>
      </c>
      <c r="D99">
        <v>92113.264932128732</v>
      </c>
      <c r="E99">
        <v>0</v>
      </c>
      <c r="F99">
        <v>0</v>
      </c>
      <c r="G99">
        <v>0</v>
      </c>
      <c r="H99">
        <v>92113.264932128732</v>
      </c>
      <c r="I99">
        <v>92113.264932128732</v>
      </c>
      <c r="J99">
        <v>0</v>
      </c>
      <c r="K99">
        <v>705.38168444370535</v>
      </c>
      <c r="L99">
        <v>0</v>
      </c>
      <c r="M99">
        <v>91407.883247685022</v>
      </c>
      <c r="N99">
        <v>2186</v>
      </c>
      <c r="O99">
        <v>106</v>
      </c>
      <c r="P99">
        <v>4.8490393412625801E-2</v>
      </c>
    </row>
    <row r="100" spans="1:16" hidden="1" x14ac:dyDescent="0.25">
      <c r="A100" t="s">
        <v>421</v>
      </c>
      <c r="B100" t="s">
        <v>853</v>
      </c>
      <c r="C100" t="s">
        <v>852</v>
      </c>
      <c r="D100">
        <v>122528.02222103919</v>
      </c>
      <c r="E100">
        <v>32964.806202177162</v>
      </c>
      <c r="F100">
        <v>68953.447227110679</v>
      </c>
      <c r="G100">
        <v>93533.300516971052</v>
      </c>
      <c r="H100">
        <v>317979.57616729807</v>
      </c>
      <c r="I100">
        <v>284851.87094445887</v>
      </c>
      <c r="J100">
        <v>33127.705222839199</v>
      </c>
      <c r="K100">
        <v>2181.3285273493771</v>
      </c>
      <c r="L100">
        <v>0</v>
      </c>
      <c r="M100">
        <v>282670.54241710948</v>
      </c>
      <c r="N100">
        <v>704</v>
      </c>
      <c r="O100">
        <v>141</v>
      </c>
      <c r="P100">
        <v>0.20028409090909099</v>
      </c>
    </row>
    <row r="101" spans="1:16" hidden="1" x14ac:dyDescent="0.25">
      <c r="A101" t="s">
        <v>423</v>
      </c>
      <c r="B101" t="s">
        <v>855</v>
      </c>
      <c r="C101" t="s">
        <v>854</v>
      </c>
      <c r="D101">
        <v>387157.74009607045</v>
      </c>
      <c r="E101">
        <v>102009.6838298475</v>
      </c>
      <c r="F101">
        <v>272862.65607709519</v>
      </c>
      <c r="G101">
        <v>375054.64505303261</v>
      </c>
      <c r="H101">
        <v>1137084.7250560457</v>
      </c>
      <c r="I101">
        <v>1040475.0666146204</v>
      </c>
      <c r="J101">
        <v>96609.658441425301</v>
      </c>
      <c r="K101">
        <v>7967.7129635028805</v>
      </c>
      <c r="L101">
        <v>0</v>
      </c>
      <c r="M101">
        <v>1032507.3536511175</v>
      </c>
      <c r="N101">
        <v>1821</v>
      </c>
      <c r="O101">
        <v>398</v>
      </c>
      <c r="P101">
        <v>0.21856123009335501</v>
      </c>
    </row>
    <row r="102" spans="1:16" hidden="1" x14ac:dyDescent="0.25">
      <c r="A102" t="s">
        <v>79</v>
      </c>
      <c r="B102" t="s">
        <v>856</v>
      </c>
      <c r="C102" t="s">
        <v>37</v>
      </c>
      <c r="D102">
        <v>43210.804977040636</v>
      </c>
      <c r="E102">
        <v>0</v>
      </c>
      <c r="F102">
        <v>34774.986756522994</v>
      </c>
      <c r="G102">
        <v>47171.235341700361</v>
      </c>
      <c r="H102">
        <v>125157.02707526399</v>
      </c>
      <c r="I102">
        <v>112075.87284249986</v>
      </c>
      <c r="J102">
        <v>13081.154232764136</v>
      </c>
      <c r="K102">
        <v>858.25063338479686</v>
      </c>
      <c r="L102">
        <v>0</v>
      </c>
      <c r="M102">
        <v>111217.62220911506</v>
      </c>
      <c r="N102">
        <v>308</v>
      </c>
      <c r="O102">
        <v>50</v>
      </c>
      <c r="P102">
        <v>0.16134611847385899</v>
      </c>
    </row>
    <row r="103" spans="1:16" hidden="1" x14ac:dyDescent="0.25">
      <c r="A103" t="s">
        <v>74</v>
      </c>
      <c r="B103" t="s">
        <v>857</v>
      </c>
      <c r="C103" t="s">
        <v>40</v>
      </c>
      <c r="D103">
        <v>71141.390794823077</v>
      </c>
      <c r="E103">
        <v>19139.802618163929</v>
      </c>
      <c r="F103">
        <v>41562.54733437689</v>
      </c>
      <c r="G103">
        <v>56378.359406353986</v>
      </c>
      <c r="H103">
        <v>188222.10015371788</v>
      </c>
      <c r="I103">
        <v>188222.10015371788</v>
      </c>
      <c r="J103">
        <v>0</v>
      </c>
      <c r="K103">
        <v>1441.360504958632</v>
      </c>
      <c r="L103">
        <v>0</v>
      </c>
      <c r="M103">
        <v>186780.73964875925</v>
      </c>
      <c r="N103">
        <v>408</v>
      </c>
      <c r="O103">
        <v>82</v>
      </c>
      <c r="P103">
        <v>0.20059580587053799</v>
      </c>
    </row>
    <row r="104" spans="1:16" hidden="1" x14ac:dyDescent="0.25">
      <c r="A104" t="s">
        <v>1418</v>
      </c>
      <c r="B104" t="s">
        <v>1419</v>
      </c>
      <c r="C104" t="s">
        <v>1425</v>
      </c>
      <c r="D104">
        <v>50124.997550765933</v>
      </c>
      <c r="E104">
        <v>0</v>
      </c>
      <c r="F104">
        <v>33403.598722200455</v>
      </c>
      <c r="G104">
        <v>45310.988257646903</v>
      </c>
      <c r="H104">
        <v>128839.5845306133</v>
      </c>
      <c r="I104">
        <v>109280.15729857613</v>
      </c>
      <c r="J104">
        <v>19559.427232037167</v>
      </c>
      <c r="K104">
        <v>836.84170231443011</v>
      </c>
      <c r="L104">
        <v>0</v>
      </c>
      <c r="M104">
        <v>108443.3155962617</v>
      </c>
      <c r="N104">
        <v>327</v>
      </c>
      <c r="O104">
        <v>58</v>
      </c>
      <c r="P104">
        <v>0.17656620419397501</v>
      </c>
    </row>
    <row r="105" spans="1:16" hidden="1" x14ac:dyDescent="0.25">
      <c r="A105" t="s">
        <v>75</v>
      </c>
      <c r="B105" t="s">
        <v>858</v>
      </c>
      <c r="C105" t="s">
        <v>44</v>
      </c>
      <c r="D105">
        <v>52353.308359394985</v>
      </c>
      <c r="E105">
        <v>14085.077297639906</v>
      </c>
      <c r="F105">
        <v>30586.088246069608</v>
      </c>
      <c r="G105">
        <v>41489.119088355408</v>
      </c>
      <c r="H105">
        <v>138513.59299145988</v>
      </c>
      <c r="I105">
        <v>124115.47402558035</v>
      </c>
      <c r="J105">
        <v>14398.118965879534</v>
      </c>
      <c r="K105">
        <v>950.44706316946713</v>
      </c>
      <c r="L105">
        <v>0</v>
      </c>
      <c r="M105">
        <v>123165.02696241088</v>
      </c>
      <c r="N105">
        <v>319</v>
      </c>
      <c r="O105">
        <v>60</v>
      </c>
      <c r="P105">
        <v>0.18899764894447399</v>
      </c>
    </row>
    <row r="106" spans="1:16" hidden="1" x14ac:dyDescent="0.25">
      <c r="A106" t="s">
        <v>425</v>
      </c>
      <c r="B106" t="s">
        <v>860</v>
      </c>
      <c r="C106" t="s">
        <v>859</v>
      </c>
      <c r="D106">
        <v>51270.590858449024</v>
      </c>
      <c r="E106">
        <v>13793.78415552094</v>
      </c>
      <c r="F106">
        <v>38369.659222968599</v>
      </c>
      <c r="G106">
        <v>52047.301638382109</v>
      </c>
      <c r="H106">
        <v>155481.33587532066</v>
      </c>
      <c r="I106">
        <v>136362.82262417686</v>
      </c>
      <c r="J106">
        <v>19118.513251143799</v>
      </c>
      <c r="K106">
        <v>1044.2343737247138</v>
      </c>
      <c r="L106">
        <v>0</v>
      </c>
      <c r="M106">
        <v>135318.58825045213</v>
      </c>
      <c r="N106">
        <v>198</v>
      </c>
      <c r="O106">
        <v>59</v>
      </c>
      <c r="P106">
        <v>0.29797979797979801</v>
      </c>
    </row>
    <row r="107" spans="1:16" hidden="1" x14ac:dyDescent="0.25">
      <c r="A107" t="s">
        <v>427</v>
      </c>
      <c r="B107" t="s">
        <v>862</v>
      </c>
      <c r="C107" t="s">
        <v>861</v>
      </c>
      <c r="D107">
        <v>0</v>
      </c>
      <c r="E107">
        <v>1940.8330033006239</v>
      </c>
      <c r="F107">
        <v>0</v>
      </c>
      <c r="G107">
        <v>0</v>
      </c>
      <c r="H107">
        <v>1940.8330033006239</v>
      </c>
      <c r="I107">
        <v>1940.8330033006239</v>
      </c>
      <c r="J107">
        <v>0</v>
      </c>
      <c r="K107">
        <v>14.862441952316665</v>
      </c>
      <c r="L107">
        <v>0</v>
      </c>
      <c r="M107">
        <v>1925.9705613483072</v>
      </c>
      <c r="N107">
        <v>54</v>
      </c>
      <c r="O107">
        <v>5</v>
      </c>
      <c r="P107">
        <v>9.2592592592592601E-2</v>
      </c>
    </row>
    <row r="108" spans="1:16" hidden="1" x14ac:dyDescent="0.25">
      <c r="A108" t="s">
        <v>142</v>
      </c>
      <c r="B108" t="s">
        <v>864</v>
      </c>
      <c r="C108" t="s">
        <v>863</v>
      </c>
      <c r="D108">
        <v>809032.5438850174</v>
      </c>
      <c r="E108">
        <v>0</v>
      </c>
      <c r="F108">
        <v>0</v>
      </c>
      <c r="G108">
        <v>0</v>
      </c>
      <c r="H108">
        <v>809032.5438850174</v>
      </c>
      <c r="I108">
        <v>726280.41675276076</v>
      </c>
      <c r="J108">
        <v>82752.127132256632</v>
      </c>
      <c r="K108">
        <v>5561.6843472546243</v>
      </c>
      <c r="L108">
        <v>0</v>
      </c>
      <c r="M108">
        <v>720718.73240550619</v>
      </c>
      <c r="N108">
        <v>22819</v>
      </c>
      <c r="O108">
        <v>931</v>
      </c>
      <c r="P108">
        <v>4.0799333888426298E-2</v>
      </c>
    </row>
    <row r="109" spans="1:16" hidden="1" x14ac:dyDescent="0.25">
      <c r="A109" t="s">
        <v>144</v>
      </c>
      <c r="B109" t="s">
        <v>866</v>
      </c>
      <c r="C109" t="s">
        <v>865</v>
      </c>
      <c r="D109">
        <v>0</v>
      </c>
      <c r="E109">
        <v>4239.0690835958831</v>
      </c>
      <c r="F109">
        <v>0</v>
      </c>
      <c r="G109">
        <v>0</v>
      </c>
      <c r="H109">
        <v>4239.0690835958831</v>
      </c>
      <c r="I109">
        <v>4239.0690835958831</v>
      </c>
      <c r="J109">
        <v>0</v>
      </c>
      <c r="K109">
        <v>32.461792477590727</v>
      </c>
      <c r="L109">
        <v>0</v>
      </c>
      <c r="M109">
        <v>4206.6072911182928</v>
      </c>
      <c r="N109">
        <v>60</v>
      </c>
      <c r="O109">
        <v>7</v>
      </c>
      <c r="P109">
        <v>0.116666666666667</v>
      </c>
    </row>
    <row r="110" spans="1:16" hidden="1" x14ac:dyDescent="0.25">
      <c r="A110" t="s">
        <v>146</v>
      </c>
      <c r="B110" t="s">
        <v>868</v>
      </c>
      <c r="C110" t="s">
        <v>867</v>
      </c>
      <c r="D110">
        <v>92113.264932128732</v>
      </c>
      <c r="E110">
        <v>0</v>
      </c>
      <c r="F110">
        <v>44435.358082151652</v>
      </c>
      <c r="G110">
        <v>60275.24174952355</v>
      </c>
      <c r="H110">
        <v>196823.86476380395</v>
      </c>
      <c r="I110">
        <v>192433.5115303355</v>
      </c>
      <c r="J110">
        <v>4390.3532334684569</v>
      </c>
      <c r="K110">
        <v>1473.6105012312946</v>
      </c>
      <c r="L110">
        <v>0</v>
      </c>
      <c r="M110">
        <v>190959.90102910419</v>
      </c>
      <c r="N110">
        <v>1374</v>
      </c>
      <c r="O110">
        <v>106</v>
      </c>
      <c r="P110">
        <v>7.7147016011644795E-2</v>
      </c>
    </row>
    <row r="111" spans="1:16" hidden="1" x14ac:dyDescent="0.25">
      <c r="A111" t="s">
        <v>429</v>
      </c>
      <c r="B111" t="s">
        <v>870</v>
      </c>
      <c r="C111" t="s">
        <v>869</v>
      </c>
      <c r="D111">
        <v>24003.779885956374</v>
      </c>
      <c r="E111">
        <v>6324.6003974505466</v>
      </c>
      <c r="F111">
        <v>17921.805084332831</v>
      </c>
      <c r="G111">
        <v>24633.844518155445</v>
      </c>
      <c r="H111">
        <v>72884.029885895201</v>
      </c>
      <c r="I111">
        <v>71696.511917529948</v>
      </c>
      <c r="J111">
        <v>1187.5179683652532</v>
      </c>
      <c r="K111">
        <v>549.03499927387406</v>
      </c>
      <c r="L111">
        <v>0</v>
      </c>
      <c r="M111">
        <v>71147.47691825607</v>
      </c>
      <c r="N111">
        <v>108</v>
      </c>
      <c r="O111">
        <v>25</v>
      </c>
      <c r="P111">
        <v>0.23148148148148101</v>
      </c>
    </row>
    <row r="112" spans="1:16" hidden="1" x14ac:dyDescent="0.25">
      <c r="A112" t="s">
        <v>431</v>
      </c>
      <c r="B112" t="s">
        <v>872</v>
      </c>
      <c r="C112" t="s">
        <v>871</v>
      </c>
      <c r="D112">
        <v>789914.69644627383</v>
      </c>
      <c r="E112">
        <v>212517.79317573787</v>
      </c>
      <c r="F112">
        <v>426747.11818519246</v>
      </c>
      <c r="G112">
        <v>578869.7745378773</v>
      </c>
      <c r="H112">
        <v>2008049.3823450813</v>
      </c>
      <c r="I112">
        <v>1817616.8705764359</v>
      </c>
      <c r="J112">
        <v>190432.51176864537</v>
      </c>
      <c r="K112">
        <v>13918.881832982413</v>
      </c>
      <c r="L112">
        <v>0</v>
      </c>
      <c r="M112">
        <v>1803697.9887434535</v>
      </c>
      <c r="N112">
        <v>5555</v>
      </c>
      <c r="O112">
        <v>909</v>
      </c>
      <c r="P112">
        <v>0.163636363636364</v>
      </c>
    </row>
    <row r="113" spans="1:16" hidden="1" x14ac:dyDescent="0.25">
      <c r="A113" t="s">
        <v>433</v>
      </c>
      <c r="B113" t="s">
        <v>874</v>
      </c>
      <c r="C113" t="s">
        <v>873</v>
      </c>
      <c r="D113">
        <v>2625228.0505656688</v>
      </c>
      <c r="E113">
        <v>394816.79832331027</v>
      </c>
      <c r="F113">
        <v>1913864.4087175792</v>
      </c>
      <c r="G113">
        <v>2596100.1529004704</v>
      </c>
      <c r="H113">
        <v>7530009.4105070289</v>
      </c>
      <c r="I113">
        <v>6764694.9339548526</v>
      </c>
      <c r="J113">
        <v>765314.47655217629</v>
      </c>
      <c r="K113">
        <v>51802.440297570291</v>
      </c>
      <c r="L113">
        <v>0</v>
      </c>
      <c r="M113">
        <v>6712892.4936572826</v>
      </c>
      <c r="N113">
        <v>20729</v>
      </c>
      <c r="O113">
        <v>3021</v>
      </c>
      <c r="P113">
        <v>0.145737855178735</v>
      </c>
    </row>
    <row r="114" spans="1:16" hidden="1" x14ac:dyDescent="0.25">
      <c r="A114" t="s">
        <v>435</v>
      </c>
      <c r="B114" t="s">
        <v>876</v>
      </c>
      <c r="C114" t="s">
        <v>875</v>
      </c>
      <c r="D114">
        <v>3868757.1271494087</v>
      </c>
      <c r="E114">
        <v>0</v>
      </c>
      <c r="F114">
        <v>3113619.0769356736</v>
      </c>
      <c r="G114">
        <v>4223531.6801376045</v>
      </c>
      <c r="H114">
        <v>11205907.884222686</v>
      </c>
      <c r="I114">
        <v>10141308.651453989</v>
      </c>
      <c r="J114">
        <v>1064599.2327686977</v>
      </c>
      <c r="K114">
        <v>77659.752743505538</v>
      </c>
      <c r="L114">
        <v>0</v>
      </c>
      <c r="M114">
        <v>10063648.898710484</v>
      </c>
      <c r="N114">
        <v>30128</v>
      </c>
      <c r="O114">
        <v>4452</v>
      </c>
      <c r="P114">
        <v>0.14776951672862501</v>
      </c>
    </row>
    <row r="115" spans="1:16" hidden="1" x14ac:dyDescent="0.25">
      <c r="A115" t="s">
        <v>437</v>
      </c>
      <c r="B115" t="s">
        <v>878</v>
      </c>
      <c r="C115" t="s">
        <v>877</v>
      </c>
      <c r="D115">
        <v>128610.97367882126</v>
      </c>
      <c r="E115">
        <v>34601.356864696594</v>
      </c>
      <c r="F115">
        <v>62185.627790080478</v>
      </c>
      <c r="G115">
        <v>84352.954722751558</v>
      </c>
      <c r="H115">
        <v>309750.91305634991</v>
      </c>
      <c r="I115">
        <v>309750.91305634991</v>
      </c>
      <c r="J115">
        <v>0</v>
      </c>
      <c r="K115">
        <v>2371.9995265682355</v>
      </c>
      <c r="L115">
        <v>0</v>
      </c>
      <c r="M115">
        <v>307378.91352978168</v>
      </c>
      <c r="N115">
        <v>947</v>
      </c>
      <c r="O115">
        <v>148</v>
      </c>
      <c r="P115">
        <v>0.156282998944034</v>
      </c>
    </row>
    <row r="116" spans="1:16" hidden="1" x14ac:dyDescent="0.25">
      <c r="A116" t="s">
        <v>439</v>
      </c>
      <c r="B116" t="s">
        <v>880</v>
      </c>
      <c r="C116" t="s">
        <v>879</v>
      </c>
      <c r="D116">
        <v>182824.48837869993</v>
      </c>
      <c r="E116">
        <v>41889.040507044614</v>
      </c>
      <c r="F116">
        <v>87456.509791179604</v>
      </c>
      <c r="G116">
        <v>120210.55101083637</v>
      </c>
      <c r="H116">
        <v>432380.58968776051</v>
      </c>
      <c r="I116">
        <v>432380.58968776051</v>
      </c>
      <c r="J116">
        <v>0</v>
      </c>
      <c r="K116">
        <v>3311.0687032909054</v>
      </c>
      <c r="L116">
        <v>0</v>
      </c>
      <c r="M116">
        <v>429069.52098446962</v>
      </c>
      <c r="N116">
        <v>1759</v>
      </c>
      <c r="O116">
        <v>192</v>
      </c>
      <c r="P116">
        <v>0.109152927799886</v>
      </c>
    </row>
    <row r="117" spans="1:16" hidden="1" x14ac:dyDescent="0.25">
      <c r="A117" t="s">
        <v>277</v>
      </c>
      <c r="B117" t="s">
        <v>882</v>
      </c>
      <c r="C117" t="s">
        <v>881</v>
      </c>
      <c r="D117">
        <v>61698.507643218327</v>
      </c>
      <c r="E117">
        <v>0</v>
      </c>
      <c r="F117">
        <v>29763.305885214799</v>
      </c>
      <c r="G117">
        <v>40373.039285058243</v>
      </c>
      <c r="H117">
        <v>131834.85281349136</v>
      </c>
      <c r="I117">
        <v>116825.15741676181</v>
      </c>
      <c r="J117">
        <v>15009.695396729556</v>
      </c>
      <c r="K117">
        <v>894.61953590240705</v>
      </c>
      <c r="L117">
        <v>0</v>
      </c>
      <c r="M117">
        <v>115930.5378808594</v>
      </c>
      <c r="N117">
        <v>747</v>
      </c>
      <c r="O117">
        <v>71</v>
      </c>
      <c r="P117">
        <v>9.5046854082998594E-2</v>
      </c>
    </row>
    <row r="118" spans="1:16" hidden="1" x14ac:dyDescent="0.25">
      <c r="A118" t="s">
        <v>440</v>
      </c>
      <c r="B118" t="s">
        <v>884</v>
      </c>
      <c r="C118" t="s">
        <v>883</v>
      </c>
      <c r="D118">
        <v>0</v>
      </c>
      <c r="E118">
        <v>2697.5894168337459</v>
      </c>
      <c r="F118">
        <v>0</v>
      </c>
      <c r="G118">
        <v>0</v>
      </c>
      <c r="H118">
        <v>2697.5894168337459</v>
      </c>
      <c r="I118">
        <v>2697.5894168337459</v>
      </c>
      <c r="J118">
        <v>0</v>
      </c>
      <c r="K118">
        <v>20.657504303921389</v>
      </c>
      <c r="L118">
        <v>0</v>
      </c>
      <c r="M118">
        <v>2676.9319125298243</v>
      </c>
      <c r="N118">
        <v>82</v>
      </c>
      <c r="O118">
        <v>5</v>
      </c>
      <c r="P118">
        <v>6.0975609756097601E-2</v>
      </c>
    </row>
    <row r="119" spans="1:16" hidden="1" x14ac:dyDescent="0.25">
      <c r="A119" t="s">
        <v>148</v>
      </c>
      <c r="B119" t="s">
        <v>886</v>
      </c>
      <c r="C119" t="s">
        <v>885</v>
      </c>
      <c r="D119">
        <v>92143.542142864768</v>
      </c>
      <c r="E119">
        <v>0</v>
      </c>
      <c r="F119">
        <v>0</v>
      </c>
      <c r="G119">
        <v>0</v>
      </c>
      <c r="H119">
        <v>92143.542142864768</v>
      </c>
      <c r="I119">
        <v>92143.542142864768</v>
      </c>
      <c r="J119">
        <v>0</v>
      </c>
      <c r="K119">
        <v>705.61354019135445</v>
      </c>
      <c r="L119">
        <v>0</v>
      </c>
      <c r="M119">
        <v>91437.928602673419</v>
      </c>
      <c r="N119">
        <v>1941</v>
      </c>
      <c r="O119">
        <v>85</v>
      </c>
      <c r="P119">
        <v>4.3791859866048402E-2</v>
      </c>
    </row>
    <row r="120" spans="1:16" hidden="1" x14ac:dyDescent="0.25">
      <c r="A120" t="s">
        <v>279</v>
      </c>
      <c r="B120" t="s">
        <v>888</v>
      </c>
      <c r="C120" t="s">
        <v>887</v>
      </c>
      <c r="D120">
        <v>84673.853565184225</v>
      </c>
      <c r="E120">
        <v>22176.550856670681</v>
      </c>
      <c r="F120">
        <v>51773.721280946986</v>
      </c>
      <c r="G120">
        <v>71392.5271208052</v>
      </c>
      <c r="H120">
        <v>230016.65282360709</v>
      </c>
      <c r="I120">
        <v>230016.65282360709</v>
      </c>
      <c r="J120">
        <v>0</v>
      </c>
      <c r="K120">
        <v>1761.4133440864168</v>
      </c>
      <c r="L120">
        <v>0</v>
      </c>
      <c r="M120">
        <v>228255.23947952068</v>
      </c>
      <c r="N120">
        <v>586</v>
      </c>
      <c r="O120">
        <v>63</v>
      </c>
      <c r="P120">
        <v>0.107508532423208</v>
      </c>
    </row>
    <row r="121" spans="1:16" hidden="1" x14ac:dyDescent="0.25">
      <c r="A121" t="s">
        <v>442</v>
      </c>
      <c r="B121" t="s">
        <v>890</v>
      </c>
      <c r="C121" t="s">
        <v>889</v>
      </c>
      <c r="D121">
        <v>14772.882111756497</v>
      </c>
      <c r="E121">
        <v>3974.48018040434</v>
      </c>
      <c r="F121">
        <v>8062.7118837081507</v>
      </c>
      <c r="G121">
        <v>10936.828888579819</v>
      </c>
      <c r="H121">
        <v>37746.903064448808</v>
      </c>
      <c r="I121">
        <v>33347.092075250388</v>
      </c>
      <c r="J121">
        <v>4399.8109891984204</v>
      </c>
      <c r="K121">
        <v>255.36417579673619</v>
      </c>
      <c r="L121">
        <v>0</v>
      </c>
      <c r="M121">
        <v>33091.727899453654</v>
      </c>
      <c r="N121">
        <v>90</v>
      </c>
      <c r="O121">
        <v>17</v>
      </c>
      <c r="P121">
        <v>0.18888888888888899</v>
      </c>
    </row>
    <row r="122" spans="1:16" hidden="1" x14ac:dyDescent="0.25">
      <c r="A122" t="s">
        <v>281</v>
      </c>
      <c r="B122" t="s">
        <v>892</v>
      </c>
      <c r="C122" t="s">
        <v>891</v>
      </c>
      <c r="D122">
        <v>145121.84192137272</v>
      </c>
      <c r="E122">
        <v>0</v>
      </c>
      <c r="F122">
        <v>70006.649053955858</v>
      </c>
      <c r="G122">
        <v>94961.937473305996</v>
      </c>
      <c r="H122">
        <v>310090.42844863457</v>
      </c>
      <c r="I122">
        <v>279903.67402189679</v>
      </c>
      <c r="J122">
        <v>30186.754426737782</v>
      </c>
      <c r="K122">
        <v>2143.4364009247215</v>
      </c>
      <c r="L122">
        <v>0</v>
      </c>
      <c r="M122">
        <v>277760.2376209721</v>
      </c>
      <c r="N122">
        <v>1245</v>
      </c>
      <c r="O122">
        <v>167</v>
      </c>
      <c r="P122">
        <v>0.134136546184739</v>
      </c>
    </row>
    <row r="123" spans="1:16" hidden="1" x14ac:dyDescent="0.25">
      <c r="A123" t="s">
        <v>150</v>
      </c>
      <c r="B123" t="s">
        <v>894</v>
      </c>
      <c r="C123" t="s">
        <v>893</v>
      </c>
      <c r="D123">
        <v>590046.29140486242</v>
      </c>
      <c r="E123">
        <v>0</v>
      </c>
      <c r="F123">
        <v>284637.81262057513</v>
      </c>
      <c r="G123">
        <v>386102.72781062726</v>
      </c>
      <c r="H123">
        <v>1260786.8318360648</v>
      </c>
      <c r="I123">
        <v>1114852.9994447727</v>
      </c>
      <c r="J123">
        <v>145933.83239129209</v>
      </c>
      <c r="K123">
        <v>8537.2816524841146</v>
      </c>
      <c r="L123">
        <v>0</v>
      </c>
      <c r="M123">
        <v>1106315.7177922886</v>
      </c>
      <c r="N123">
        <v>10332</v>
      </c>
      <c r="O123">
        <v>679</v>
      </c>
      <c r="P123">
        <v>6.5718157181571799E-2</v>
      </c>
    </row>
    <row r="124" spans="1:16" hidden="1" x14ac:dyDescent="0.25">
      <c r="A124" t="s">
        <v>152</v>
      </c>
      <c r="B124" t="s">
        <v>896</v>
      </c>
      <c r="C124" t="s">
        <v>895</v>
      </c>
      <c r="D124">
        <v>1264384.9101532765</v>
      </c>
      <c r="E124">
        <v>0</v>
      </c>
      <c r="F124">
        <v>0</v>
      </c>
      <c r="G124">
        <v>0</v>
      </c>
      <c r="H124">
        <v>1264384.9101532765</v>
      </c>
      <c r="I124">
        <v>1142445.7483642194</v>
      </c>
      <c r="J124">
        <v>121939.16178905708</v>
      </c>
      <c r="K124">
        <v>8748.5804238996388</v>
      </c>
      <c r="L124">
        <v>0</v>
      </c>
      <c r="M124">
        <v>1133697.1679403197</v>
      </c>
      <c r="N124">
        <v>35771</v>
      </c>
      <c r="O124">
        <v>1455</v>
      </c>
      <c r="P124">
        <v>4.0675407452964697E-2</v>
      </c>
    </row>
    <row r="125" spans="1:16" hidden="1" x14ac:dyDescent="0.25">
      <c r="A125" t="s">
        <v>154</v>
      </c>
      <c r="B125" t="s">
        <v>898</v>
      </c>
      <c r="C125" t="s">
        <v>897</v>
      </c>
      <c r="D125">
        <v>292850.66303893761</v>
      </c>
      <c r="E125">
        <v>0</v>
      </c>
      <c r="F125">
        <v>141270.90258193499</v>
      </c>
      <c r="G125">
        <v>191629.77801499469</v>
      </c>
      <c r="H125">
        <v>625751.34363586735</v>
      </c>
      <c r="I125">
        <v>567314.2995186795</v>
      </c>
      <c r="J125">
        <v>58437.044117187848</v>
      </c>
      <c r="K125">
        <v>4344.359267889854</v>
      </c>
      <c r="L125">
        <v>0</v>
      </c>
      <c r="M125">
        <v>562969.94025078963</v>
      </c>
      <c r="N125">
        <v>2662</v>
      </c>
      <c r="O125">
        <v>337</v>
      </c>
      <c r="P125">
        <v>0.126596543951916</v>
      </c>
    </row>
    <row r="126" spans="1:16" hidden="1" x14ac:dyDescent="0.25">
      <c r="A126" t="s">
        <v>156</v>
      </c>
      <c r="B126" t="s">
        <v>900</v>
      </c>
      <c r="C126" t="s">
        <v>899</v>
      </c>
      <c r="D126">
        <v>8689.9306539744121</v>
      </c>
      <c r="E126">
        <v>2337.9295178849061</v>
      </c>
      <c r="F126">
        <v>7651.0560192112389</v>
      </c>
      <c r="G126">
        <v>10378.429950862539</v>
      </c>
      <c r="H126">
        <v>29057.3461419331</v>
      </c>
      <c r="I126">
        <v>22701.760759283225</v>
      </c>
      <c r="J126">
        <v>6355.5853826498751</v>
      </c>
      <c r="K126">
        <v>173.84473621709395</v>
      </c>
      <c r="L126">
        <v>0</v>
      </c>
      <c r="M126">
        <v>22527.916023066129</v>
      </c>
      <c r="N126">
        <v>28</v>
      </c>
      <c r="O126">
        <v>10</v>
      </c>
      <c r="P126">
        <v>0.35714285714285698</v>
      </c>
    </row>
    <row r="127" spans="1:16" hidden="1" x14ac:dyDescent="0.25">
      <c r="A127" t="s">
        <v>158</v>
      </c>
      <c r="B127" t="s">
        <v>902</v>
      </c>
      <c r="C127" t="s">
        <v>901</v>
      </c>
      <c r="D127">
        <v>56309.942420639585</v>
      </c>
      <c r="E127">
        <v>0</v>
      </c>
      <c r="F127">
        <v>0</v>
      </c>
      <c r="G127">
        <v>0</v>
      </c>
      <c r="H127">
        <v>56309.942420639585</v>
      </c>
      <c r="I127">
        <v>56309.942420639585</v>
      </c>
      <c r="J127">
        <v>0</v>
      </c>
      <c r="K127">
        <v>431.20827456138329</v>
      </c>
      <c r="L127">
        <v>0</v>
      </c>
      <c r="M127">
        <v>55878.734146078205</v>
      </c>
      <c r="N127">
        <v>833</v>
      </c>
      <c r="O127">
        <v>37</v>
      </c>
      <c r="P127">
        <v>4.4417767106842698E-2</v>
      </c>
    </row>
    <row r="128" spans="1:16" hidden="1" x14ac:dyDescent="0.25">
      <c r="A128" t="s">
        <v>446</v>
      </c>
      <c r="B128" t="s">
        <v>904</v>
      </c>
      <c r="C128" t="s">
        <v>903</v>
      </c>
      <c r="D128">
        <v>62719.553895563447</v>
      </c>
      <c r="E128">
        <v>16525.568780435282</v>
      </c>
      <c r="F128">
        <v>42862.701933786979</v>
      </c>
      <c r="G128">
        <v>58915.557339031031</v>
      </c>
      <c r="H128">
        <v>181023.38194881676</v>
      </c>
      <c r="I128">
        <v>165567.71658341814</v>
      </c>
      <c r="J128">
        <v>15455.665365398629</v>
      </c>
      <c r="K128">
        <v>1267.878572094497</v>
      </c>
      <c r="L128">
        <v>0</v>
      </c>
      <c r="M128">
        <v>164299.83801132365</v>
      </c>
      <c r="N128">
        <v>301</v>
      </c>
      <c r="O128">
        <v>51</v>
      </c>
      <c r="P128">
        <v>0.16943521594684399</v>
      </c>
    </row>
    <row r="129" spans="1:16" hidden="1" x14ac:dyDescent="0.25">
      <c r="A129" t="s">
        <v>448</v>
      </c>
      <c r="B129" t="s">
        <v>906</v>
      </c>
      <c r="C129" t="s">
        <v>905</v>
      </c>
      <c r="D129">
        <v>1180092.5828097248</v>
      </c>
      <c r="E129">
        <v>317490.82852877019</v>
      </c>
      <c r="F129">
        <v>709079.32260339148</v>
      </c>
      <c r="G129">
        <v>961845.01338980312</v>
      </c>
      <c r="H129">
        <v>3168507.7473316896</v>
      </c>
      <c r="I129">
        <v>2859386.2345339856</v>
      </c>
      <c r="J129">
        <v>309121.51279770397</v>
      </c>
      <c r="K129">
        <v>21896.506220649873</v>
      </c>
      <c r="L129">
        <v>0</v>
      </c>
      <c r="M129">
        <v>2837489.7283133357</v>
      </c>
      <c r="N129">
        <v>7321</v>
      </c>
      <c r="O129">
        <v>1358</v>
      </c>
      <c r="P129">
        <v>0.18549378500204899</v>
      </c>
    </row>
    <row r="130" spans="1:16" hidden="1" x14ac:dyDescent="0.25">
      <c r="A130" t="s">
        <v>450</v>
      </c>
      <c r="B130" t="s">
        <v>908</v>
      </c>
      <c r="C130" t="s">
        <v>907</v>
      </c>
      <c r="D130">
        <v>55615.556185436246</v>
      </c>
      <c r="E130">
        <v>14962.748914463398</v>
      </c>
      <c r="F130">
        <v>36618.30875240665</v>
      </c>
      <c r="G130">
        <v>49671.64680949341</v>
      </c>
      <c r="H130">
        <v>156868.26066179969</v>
      </c>
      <c r="I130">
        <v>140589.85796569826</v>
      </c>
      <c r="J130">
        <v>16278.402696101432</v>
      </c>
      <c r="K130">
        <v>1076.6040146401933</v>
      </c>
      <c r="L130">
        <v>0</v>
      </c>
      <c r="M130">
        <v>139513.25395105808</v>
      </c>
      <c r="N130">
        <v>257</v>
      </c>
      <c r="O130">
        <v>64</v>
      </c>
      <c r="P130">
        <v>0.249027237354086</v>
      </c>
    </row>
    <row r="131" spans="1:16" hidden="1" x14ac:dyDescent="0.25">
      <c r="A131" t="s">
        <v>452</v>
      </c>
      <c r="B131" t="s">
        <v>910</v>
      </c>
      <c r="C131" t="s">
        <v>909</v>
      </c>
      <c r="D131">
        <v>42580.660204474625</v>
      </c>
      <c r="E131">
        <v>11455.854637636043</v>
      </c>
      <c r="F131">
        <v>22231.093488798739</v>
      </c>
      <c r="G131">
        <v>30155.817174157859</v>
      </c>
      <c r="H131">
        <v>106423.42550506727</v>
      </c>
      <c r="I131">
        <v>104968.6961191595</v>
      </c>
      <c r="J131">
        <v>1454.7293859077618</v>
      </c>
      <c r="K131">
        <v>803.82554821988799</v>
      </c>
      <c r="L131">
        <v>0</v>
      </c>
      <c r="M131">
        <v>104164.87057093962</v>
      </c>
      <c r="N131">
        <v>280</v>
      </c>
      <c r="O131">
        <v>49</v>
      </c>
      <c r="P131">
        <v>0.17499999999999999</v>
      </c>
    </row>
    <row r="132" spans="1:16" hidden="1" x14ac:dyDescent="0.25">
      <c r="A132" t="s">
        <v>76</v>
      </c>
      <c r="B132" t="s">
        <v>911</v>
      </c>
      <c r="C132" t="s">
        <v>29</v>
      </c>
      <c r="D132">
        <v>0</v>
      </c>
      <c r="E132">
        <v>1873.703092925892</v>
      </c>
      <c r="F132">
        <v>0</v>
      </c>
      <c r="G132">
        <v>0</v>
      </c>
      <c r="H132">
        <v>1873.703092925892</v>
      </c>
      <c r="I132">
        <v>1873.703092925892</v>
      </c>
      <c r="J132">
        <v>0</v>
      </c>
      <c r="K132">
        <v>14.348376911938674</v>
      </c>
      <c r="L132">
        <v>0</v>
      </c>
      <c r="M132">
        <v>1859.3547160139533</v>
      </c>
      <c r="N132">
        <v>38</v>
      </c>
      <c r="O132">
        <v>8</v>
      </c>
      <c r="P132">
        <v>0.203123422714581</v>
      </c>
    </row>
    <row r="133" spans="1:16" hidden="1" x14ac:dyDescent="0.25">
      <c r="A133" t="s">
        <v>454</v>
      </c>
      <c r="B133" t="s">
        <v>913</v>
      </c>
      <c r="C133" t="s">
        <v>912</v>
      </c>
      <c r="D133">
        <v>78209.375885769739</v>
      </c>
      <c r="E133">
        <v>21041.365660964169</v>
      </c>
      <c r="F133">
        <v>45549.050684197457</v>
      </c>
      <c r="G133">
        <v>61785.932643447697</v>
      </c>
      <c r="H133">
        <v>206585.72487437906</v>
      </c>
      <c r="I133">
        <v>188891.50415629335</v>
      </c>
      <c r="J133">
        <v>17694.220718085708</v>
      </c>
      <c r="K133">
        <v>1446.4866431240523</v>
      </c>
      <c r="L133">
        <v>0</v>
      </c>
      <c r="M133">
        <v>187445.0175131693</v>
      </c>
      <c r="N133">
        <v>418</v>
      </c>
      <c r="O133">
        <v>90</v>
      </c>
      <c r="P133">
        <v>0.21531100478468901</v>
      </c>
    </row>
    <row r="134" spans="1:16" hidden="1" x14ac:dyDescent="0.25">
      <c r="A134" t="s">
        <v>160</v>
      </c>
      <c r="B134" t="s">
        <v>915</v>
      </c>
      <c r="C134" t="s">
        <v>914</v>
      </c>
      <c r="D134">
        <v>302409.58675830951</v>
      </c>
      <c r="E134">
        <v>0</v>
      </c>
      <c r="F134">
        <v>145882.11898668663</v>
      </c>
      <c r="G134">
        <v>197884.75593239808</v>
      </c>
      <c r="H134">
        <v>646176.46167739423</v>
      </c>
      <c r="I134">
        <v>617160.20598065015</v>
      </c>
      <c r="J134">
        <v>29016.255696744076</v>
      </c>
      <c r="K134">
        <v>4726.0674777625063</v>
      </c>
      <c r="L134">
        <v>0</v>
      </c>
      <c r="M134">
        <v>612434.13850288768</v>
      </c>
      <c r="N134">
        <v>4363</v>
      </c>
      <c r="O134">
        <v>348</v>
      </c>
      <c r="P134">
        <v>7.9761631904652797E-2</v>
      </c>
    </row>
    <row r="135" spans="1:16" hidden="1" x14ac:dyDescent="0.25">
      <c r="A135" t="s">
        <v>456</v>
      </c>
      <c r="B135" t="s">
        <v>917</v>
      </c>
      <c r="C135" t="s">
        <v>916</v>
      </c>
      <c r="D135">
        <v>147894.2567166989</v>
      </c>
      <c r="E135">
        <v>38967.699223001749</v>
      </c>
      <c r="F135">
        <v>96245.878736191982</v>
      </c>
      <c r="G135">
        <v>132291.69724500761</v>
      </c>
      <c r="H135">
        <v>415399.53192090022</v>
      </c>
      <c r="I135">
        <v>396472.96466087899</v>
      </c>
      <c r="J135">
        <v>18926.567260021227</v>
      </c>
      <c r="K135">
        <v>3036.0965693154421</v>
      </c>
      <c r="L135">
        <v>0</v>
      </c>
      <c r="M135">
        <v>393436.86809156358</v>
      </c>
      <c r="N135">
        <v>770</v>
      </c>
      <c r="O135">
        <v>120</v>
      </c>
      <c r="P135">
        <v>0.15584415584415601</v>
      </c>
    </row>
    <row r="136" spans="1:16" hidden="1" x14ac:dyDescent="0.25">
      <c r="A136" t="s">
        <v>458</v>
      </c>
      <c r="B136" t="s">
        <v>919</v>
      </c>
      <c r="C136" t="s">
        <v>918</v>
      </c>
      <c r="D136">
        <v>16687.547782919519</v>
      </c>
      <c r="E136">
        <v>4370.5611177380197</v>
      </c>
      <c r="F136">
        <v>12909.3573260377</v>
      </c>
      <c r="G136">
        <v>17801.147381509105</v>
      </c>
      <c r="H136">
        <v>51768.613608204338</v>
      </c>
      <c r="I136">
        <v>51768.613608204338</v>
      </c>
      <c r="J136">
        <v>0</v>
      </c>
      <c r="K136">
        <v>396.43184828131791</v>
      </c>
      <c r="L136">
        <v>0</v>
      </c>
      <c r="M136">
        <v>51372.18175992302</v>
      </c>
      <c r="N136">
        <v>86</v>
      </c>
      <c r="O136">
        <v>11</v>
      </c>
      <c r="P136">
        <v>0.127906976744186</v>
      </c>
    </row>
    <row r="137" spans="1:16" hidden="1" x14ac:dyDescent="0.25">
      <c r="A137" t="s">
        <v>283</v>
      </c>
      <c r="B137" t="s">
        <v>921</v>
      </c>
      <c r="C137" t="s">
        <v>920</v>
      </c>
      <c r="D137">
        <v>92917.857623056945</v>
      </c>
      <c r="E137">
        <v>24482.324119163404</v>
      </c>
      <c r="F137">
        <v>51426.28595082165</v>
      </c>
      <c r="G137">
        <v>70686.358115020295</v>
      </c>
      <c r="H137">
        <v>239512.82580806231</v>
      </c>
      <c r="I137">
        <v>226069.14458397444</v>
      </c>
      <c r="J137">
        <v>13443.681224087864</v>
      </c>
      <c r="K137">
        <v>1731.1842558711726</v>
      </c>
      <c r="L137">
        <v>0</v>
      </c>
      <c r="M137">
        <v>224337.96032810328</v>
      </c>
      <c r="N137">
        <v>614</v>
      </c>
      <c r="O137">
        <v>104</v>
      </c>
      <c r="P137">
        <v>0.169381107491857</v>
      </c>
    </row>
    <row r="138" spans="1:16" hidden="1" x14ac:dyDescent="0.25">
      <c r="A138" t="s">
        <v>460</v>
      </c>
      <c r="B138" t="s">
        <v>923</v>
      </c>
      <c r="C138" t="s">
        <v>922</v>
      </c>
      <c r="D138">
        <v>35163.541980459959</v>
      </c>
      <c r="E138">
        <v>8930.8400204539357</v>
      </c>
      <c r="F138">
        <v>19146.525998981546</v>
      </c>
      <c r="G138">
        <v>25229.227569560473</v>
      </c>
      <c r="H138">
        <v>88470.135569455917</v>
      </c>
      <c r="I138">
        <v>88470.135569455917</v>
      </c>
      <c r="J138">
        <v>0</v>
      </c>
      <c r="K138">
        <v>677.48345796805097</v>
      </c>
      <c r="L138">
        <v>0</v>
      </c>
      <c r="M138">
        <v>87792.652111487871</v>
      </c>
      <c r="N138">
        <v>208</v>
      </c>
      <c r="O138">
        <v>25</v>
      </c>
      <c r="P138">
        <v>0.120192307692308</v>
      </c>
    </row>
    <row r="139" spans="1:16" hidden="1" x14ac:dyDescent="0.25">
      <c r="A139" t="s">
        <v>462</v>
      </c>
      <c r="B139" t="s">
        <v>925</v>
      </c>
      <c r="C139" t="s">
        <v>924</v>
      </c>
      <c r="D139">
        <v>113050.06010805261</v>
      </c>
      <c r="E139">
        <v>29786.827678315462</v>
      </c>
      <c r="F139">
        <v>68186.939185857918</v>
      </c>
      <c r="G139">
        <v>93724.178461339106</v>
      </c>
      <c r="H139">
        <v>304748.00543356512</v>
      </c>
      <c r="I139">
        <v>304748.00543356512</v>
      </c>
      <c r="J139">
        <v>0</v>
      </c>
      <c r="K139">
        <v>2333.6884384890495</v>
      </c>
      <c r="L139">
        <v>0</v>
      </c>
      <c r="M139">
        <v>302414.31699507608</v>
      </c>
      <c r="N139">
        <v>644</v>
      </c>
      <c r="O139">
        <v>126</v>
      </c>
      <c r="P139">
        <v>0.19565217391304399</v>
      </c>
    </row>
    <row r="140" spans="1:16" hidden="1" x14ac:dyDescent="0.25">
      <c r="A140" t="s">
        <v>162</v>
      </c>
      <c r="B140" t="s">
        <v>927</v>
      </c>
      <c r="C140" t="s">
        <v>926</v>
      </c>
      <c r="D140">
        <v>1255694.9794993023</v>
      </c>
      <c r="E140">
        <v>0</v>
      </c>
      <c r="F140">
        <v>763785.11722339946</v>
      </c>
      <c r="G140">
        <v>1036051.7968644522</v>
      </c>
      <c r="H140">
        <v>3055531.8935871539</v>
      </c>
      <c r="I140">
        <v>2760048.9230963239</v>
      </c>
      <c r="J140">
        <v>295482.97049083002</v>
      </c>
      <c r="K140">
        <v>21135.804489779333</v>
      </c>
      <c r="L140">
        <v>0</v>
      </c>
      <c r="M140">
        <v>2738913.1186065446</v>
      </c>
      <c r="N140">
        <v>12636</v>
      </c>
      <c r="O140">
        <v>1445</v>
      </c>
      <c r="P140">
        <v>0.11435580880025301</v>
      </c>
    </row>
    <row r="141" spans="1:16" hidden="1" x14ac:dyDescent="0.25">
      <c r="A141" t="s">
        <v>464</v>
      </c>
      <c r="B141" t="s">
        <v>929</v>
      </c>
      <c r="C141" t="s">
        <v>928</v>
      </c>
      <c r="D141">
        <v>54847.346513609977</v>
      </c>
      <c r="E141">
        <v>0</v>
      </c>
      <c r="F141">
        <v>26236.952937353883</v>
      </c>
      <c r="G141">
        <v>36063.165303250906</v>
      </c>
      <c r="H141">
        <v>117147.46475421476</v>
      </c>
      <c r="I141">
        <v>117147.46475421476</v>
      </c>
      <c r="J141">
        <v>0</v>
      </c>
      <c r="K141">
        <v>897.08768956918516</v>
      </c>
      <c r="L141">
        <v>0</v>
      </c>
      <c r="M141">
        <v>116250.37706464557</v>
      </c>
      <c r="N141">
        <v>573</v>
      </c>
      <c r="O141">
        <v>47</v>
      </c>
      <c r="P141">
        <v>8.2024432809773104E-2</v>
      </c>
    </row>
    <row r="142" spans="1:16" hidden="1" x14ac:dyDescent="0.25">
      <c r="A142" t="s">
        <v>164</v>
      </c>
      <c r="B142" t="s">
        <v>931</v>
      </c>
      <c r="C142" t="s">
        <v>930</v>
      </c>
      <c r="D142">
        <v>776879.80046531197</v>
      </c>
      <c r="E142">
        <v>0</v>
      </c>
      <c r="F142">
        <v>420665.8120955741</v>
      </c>
      <c r="G142">
        <v>578212.75036212301</v>
      </c>
      <c r="H142">
        <v>1775758.3629230089</v>
      </c>
      <c r="I142">
        <v>1775758.3629230089</v>
      </c>
      <c r="J142">
        <v>0</v>
      </c>
      <c r="K142">
        <v>13598.339241656076</v>
      </c>
      <c r="L142">
        <v>0</v>
      </c>
      <c r="M142">
        <v>1762160.0236813528</v>
      </c>
      <c r="N142">
        <v>12104</v>
      </c>
      <c r="O142">
        <v>894</v>
      </c>
      <c r="P142">
        <v>7.3859881031064098E-2</v>
      </c>
    </row>
    <row r="143" spans="1:16" hidden="1" x14ac:dyDescent="0.25">
      <c r="A143" t="s">
        <v>166</v>
      </c>
      <c r="B143" t="s">
        <v>933</v>
      </c>
      <c r="C143" t="s">
        <v>932</v>
      </c>
      <c r="D143">
        <v>153572.57023810799</v>
      </c>
      <c r="E143">
        <v>0</v>
      </c>
      <c r="F143">
        <v>73463.468224590892</v>
      </c>
      <c r="G143">
        <v>100976.86284910253</v>
      </c>
      <c r="H143">
        <v>328012.9013118014</v>
      </c>
      <c r="I143">
        <v>328012.9013118014</v>
      </c>
      <c r="J143">
        <v>0</v>
      </c>
      <c r="K143">
        <v>2511.8455307937188</v>
      </c>
      <c r="L143">
        <v>0</v>
      </c>
      <c r="M143">
        <v>325501.05578100769</v>
      </c>
      <c r="N143">
        <v>1814</v>
      </c>
      <c r="O143">
        <v>173</v>
      </c>
      <c r="P143">
        <v>9.5369349503858905E-2</v>
      </c>
    </row>
    <row r="144" spans="1:16" hidden="1" x14ac:dyDescent="0.25">
      <c r="A144" t="s">
        <v>168</v>
      </c>
      <c r="B144" t="s">
        <v>935</v>
      </c>
      <c r="C144" t="s">
        <v>934</v>
      </c>
      <c r="D144">
        <v>132086.94594041104</v>
      </c>
      <c r="E144">
        <v>0</v>
      </c>
      <c r="F144">
        <v>0</v>
      </c>
      <c r="G144">
        <v>0</v>
      </c>
      <c r="H144">
        <v>132086.94594041104</v>
      </c>
      <c r="I144">
        <v>125383.35251821793</v>
      </c>
      <c r="J144">
        <v>6703.5934221931093</v>
      </c>
      <c r="K144">
        <v>960.15617800179461</v>
      </c>
      <c r="L144">
        <v>0</v>
      </c>
      <c r="M144">
        <v>124423.19634021613</v>
      </c>
      <c r="N144">
        <v>4900</v>
      </c>
      <c r="O144">
        <v>152</v>
      </c>
      <c r="P144">
        <v>3.10204081632653E-2</v>
      </c>
    </row>
    <row r="145" spans="1:16" hidden="1" x14ac:dyDescent="0.25">
      <c r="A145" t="s">
        <v>170</v>
      </c>
      <c r="B145" t="s">
        <v>937</v>
      </c>
      <c r="C145" t="s">
        <v>936</v>
      </c>
      <c r="D145">
        <v>187702.50212584724</v>
      </c>
      <c r="E145">
        <v>0</v>
      </c>
      <c r="F145">
        <v>90547.522129667603</v>
      </c>
      <c r="G145">
        <v>122825.02092355747</v>
      </c>
      <c r="H145">
        <v>401075.0451790723</v>
      </c>
      <c r="I145">
        <v>364513.5736057086</v>
      </c>
      <c r="J145">
        <v>36561.471573363699</v>
      </c>
      <c r="K145">
        <v>2791.3590810405253</v>
      </c>
      <c r="L145">
        <v>0</v>
      </c>
      <c r="M145">
        <v>361722.21452466806</v>
      </c>
      <c r="N145">
        <v>1709</v>
      </c>
      <c r="O145">
        <v>216</v>
      </c>
      <c r="P145">
        <v>0.12638970157987101</v>
      </c>
    </row>
    <row r="146" spans="1:16" hidden="1" x14ac:dyDescent="0.25">
      <c r="A146" t="s">
        <v>466</v>
      </c>
      <c r="B146" t="s">
        <v>939</v>
      </c>
      <c r="C146" t="s">
        <v>938</v>
      </c>
      <c r="D146">
        <v>112100.10543626989</v>
      </c>
      <c r="E146">
        <v>30159.290780715281</v>
      </c>
      <c r="F146">
        <v>54076.992382995872</v>
      </c>
      <c r="G146">
        <v>73353.831940457923</v>
      </c>
      <c r="H146">
        <v>269690.22054043901</v>
      </c>
      <c r="I146">
        <v>234484.31190792416</v>
      </c>
      <c r="J146">
        <v>35205.908632514853</v>
      </c>
      <c r="K146">
        <v>1795.6256249423589</v>
      </c>
      <c r="L146">
        <v>0</v>
      </c>
      <c r="M146">
        <v>232688.6862829818</v>
      </c>
      <c r="N146">
        <v>837</v>
      </c>
      <c r="O146">
        <v>129</v>
      </c>
      <c r="P146">
        <v>0.154121863799283</v>
      </c>
    </row>
    <row r="147" spans="1:16" hidden="1" x14ac:dyDescent="0.25">
      <c r="A147" t="s">
        <v>468</v>
      </c>
      <c r="B147" t="s">
        <v>941</v>
      </c>
      <c r="C147" t="s">
        <v>940</v>
      </c>
      <c r="D147">
        <v>13937.678643458541</v>
      </c>
      <c r="E147">
        <v>3672.3486178745097</v>
      </c>
      <c r="F147">
        <v>8920.0886468471053</v>
      </c>
      <c r="G147">
        <v>12260.822823404522</v>
      </c>
      <c r="H147">
        <v>38790.938731584683</v>
      </c>
      <c r="I147">
        <v>35051.932564975163</v>
      </c>
      <c r="J147">
        <v>3739.0061666095207</v>
      </c>
      <c r="K147">
        <v>268.41944267101286</v>
      </c>
      <c r="L147">
        <v>0</v>
      </c>
      <c r="M147">
        <v>34783.513122304146</v>
      </c>
      <c r="N147">
        <v>73</v>
      </c>
      <c r="O147">
        <v>13</v>
      </c>
      <c r="P147">
        <v>0.17808219178082199</v>
      </c>
    </row>
    <row r="148" spans="1:16" hidden="1" x14ac:dyDescent="0.25">
      <c r="A148" t="s">
        <v>172</v>
      </c>
      <c r="B148" t="s">
        <v>943</v>
      </c>
      <c r="C148" t="s">
        <v>942</v>
      </c>
      <c r="D148">
        <v>402343.78927901515</v>
      </c>
      <c r="E148">
        <v>0</v>
      </c>
      <c r="F148">
        <v>194090.29049090773</v>
      </c>
      <c r="G148">
        <v>263277.70688706986</v>
      </c>
      <c r="H148">
        <v>859711.78665699274</v>
      </c>
      <c r="I148">
        <v>769161.57850982843</v>
      </c>
      <c r="J148">
        <v>90550.208147164318</v>
      </c>
      <c r="K148">
        <v>5890.0581828079567</v>
      </c>
      <c r="L148">
        <v>0</v>
      </c>
      <c r="M148">
        <v>763271.52032702044</v>
      </c>
      <c r="N148">
        <v>6696</v>
      </c>
      <c r="O148">
        <v>463</v>
      </c>
      <c r="P148">
        <v>6.9145758661887699E-2</v>
      </c>
    </row>
    <row r="149" spans="1:16" hidden="1" x14ac:dyDescent="0.25">
      <c r="A149" t="s">
        <v>470</v>
      </c>
      <c r="B149" t="s">
        <v>945</v>
      </c>
      <c r="C149" t="s">
        <v>944</v>
      </c>
      <c r="D149">
        <v>155766.46409865239</v>
      </c>
      <c r="E149">
        <v>41041.896127541957</v>
      </c>
      <c r="F149">
        <v>75867.507748334785</v>
      </c>
      <c r="G149">
        <v>104281.25855950882</v>
      </c>
      <c r="H149">
        <v>376957.12653403799</v>
      </c>
      <c r="I149">
        <v>375506.60928039916</v>
      </c>
      <c r="J149">
        <v>1450.5172536388272</v>
      </c>
      <c r="K149">
        <v>2875.5411586932555</v>
      </c>
      <c r="L149">
        <v>0</v>
      </c>
      <c r="M149">
        <v>372631.0681217059</v>
      </c>
      <c r="N149">
        <v>1337</v>
      </c>
      <c r="O149">
        <v>123</v>
      </c>
      <c r="P149">
        <v>9.1997008227374694E-2</v>
      </c>
    </row>
    <row r="150" spans="1:16" hidden="1" x14ac:dyDescent="0.25">
      <c r="A150" t="s">
        <v>472</v>
      </c>
      <c r="B150" t="s">
        <v>947</v>
      </c>
      <c r="C150" t="s">
        <v>946</v>
      </c>
      <c r="D150">
        <v>38525.573276616677</v>
      </c>
      <c r="E150">
        <v>10090.060852061843</v>
      </c>
      <c r="F150">
        <v>21764.765657997483</v>
      </c>
      <c r="G150">
        <v>30012.168027960117</v>
      </c>
      <c r="H150">
        <v>100392.56781463612</v>
      </c>
      <c r="I150">
        <v>100392.56781463612</v>
      </c>
      <c r="J150">
        <v>0</v>
      </c>
      <c r="K150">
        <v>768.78263562685777</v>
      </c>
      <c r="L150">
        <v>0</v>
      </c>
      <c r="M150">
        <v>99623.785179009254</v>
      </c>
      <c r="N150">
        <v>337</v>
      </c>
      <c r="O150">
        <v>43</v>
      </c>
      <c r="P150">
        <v>0.12759643916913899</v>
      </c>
    </row>
    <row r="151" spans="1:16" hidden="1" x14ac:dyDescent="0.25">
      <c r="A151" t="s">
        <v>474</v>
      </c>
      <c r="B151" t="s">
        <v>949</v>
      </c>
      <c r="C151" t="s">
        <v>948</v>
      </c>
      <c r="D151">
        <v>1419934.6688594187</v>
      </c>
      <c r="E151">
        <v>382017.68322239362</v>
      </c>
      <c r="F151">
        <v>882628.74001858779</v>
      </c>
      <c r="G151">
        <v>1197259.6368266214</v>
      </c>
      <c r="H151">
        <v>3881840.7289270218</v>
      </c>
      <c r="I151">
        <v>3462466.6443340783</v>
      </c>
      <c r="J151">
        <v>419374.08459294355</v>
      </c>
      <c r="K151">
        <v>26514.753935929923</v>
      </c>
      <c r="L151">
        <v>0</v>
      </c>
      <c r="M151">
        <v>3435951.8903981484</v>
      </c>
      <c r="N151">
        <v>9768</v>
      </c>
      <c r="O151">
        <v>1634</v>
      </c>
      <c r="P151">
        <v>0.16728091728091701</v>
      </c>
    </row>
    <row r="152" spans="1:16" hidden="1" x14ac:dyDescent="0.25">
      <c r="A152" t="s">
        <v>476</v>
      </c>
      <c r="B152" t="s">
        <v>951</v>
      </c>
      <c r="C152" t="s">
        <v>950</v>
      </c>
      <c r="D152">
        <v>90680.946235835188</v>
      </c>
      <c r="E152">
        <v>23892.934834813172</v>
      </c>
      <c r="F152">
        <v>47339.106797942179</v>
      </c>
      <c r="G152">
        <v>65068.456609222972</v>
      </c>
      <c r="H152">
        <v>226981.44447781352</v>
      </c>
      <c r="I152">
        <v>224746.86323400875</v>
      </c>
      <c r="J152">
        <v>2234.5812438047724</v>
      </c>
      <c r="K152">
        <v>1721.0585367726851</v>
      </c>
      <c r="L152">
        <v>0</v>
      </c>
      <c r="M152">
        <v>223025.80469723608</v>
      </c>
      <c r="N152">
        <v>708</v>
      </c>
      <c r="O152">
        <v>70</v>
      </c>
      <c r="P152">
        <v>9.8870056497175104E-2</v>
      </c>
    </row>
    <row r="153" spans="1:16" hidden="1" x14ac:dyDescent="0.25">
      <c r="A153" t="s">
        <v>478</v>
      </c>
      <c r="B153" t="s">
        <v>953</v>
      </c>
      <c r="C153" t="s">
        <v>952</v>
      </c>
      <c r="D153">
        <v>194525.25563493677</v>
      </c>
      <c r="E153">
        <v>51254.198919841154</v>
      </c>
      <c r="F153">
        <v>133945.01457489276</v>
      </c>
      <c r="G153">
        <v>184109.83980092793</v>
      </c>
      <c r="H153">
        <v>563834.30893059855</v>
      </c>
      <c r="I153">
        <v>563834.30893059855</v>
      </c>
      <c r="J153">
        <v>0</v>
      </c>
      <c r="K153">
        <v>4317.7103197206889</v>
      </c>
      <c r="L153">
        <v>0</v>
      </c>
      <c r="M153">
        <v>559516.59861087787</v>
      </c>
      <c r="N153">
        <v>998</v>
      </c>
      <c r="O153">
        <v>129</v>
      </c>
      <c r="P153">
        <v>0.12925851703406799</v>
      </c>
    </row>
    <row r="154" spans="1:16" hidden="1" x14ac:dyDescent="0.25">
      <c r="A154" t="s">
        <v>480</v>
      </c>
      <c r="B154" t="s">
        <v>955</v>
      </c>
      <c r="C154" t="s">
        <v>954</v>
      </c>
      <c r="D154">
        <v>247497.62226190107</v>
      </c>
      <c r="E154">
        <v>64820.996989003354</v>
      </c>
      <c r="F154">
        <v>128279.02185841523</v>
      </c>
      <c r="G154">
        <v>176888.26146687521</v>
      </c>
      <c r="H154">
        <v>617485.90257619484</v>
      </c>
      <c r="I154">
        <v>617485.90257619484</v>
      </c>
      <c r="J154">
        <v>0</v>
      </c>
      <c r="K154">
        <v>4728.5615855693695</v>
      </c>
      <c r="L154">
        <v>0</v>
      </c>
      <c r="M154">
        <v>612757.34099062544</v>
      </c>
      <c r="N154">
        <v>2441</v>
      </c>
      <c r="O154">
        <v>273</v>
      </c>
      <c r="P154">
        <v>0.111839410077837</v>
      </c>
    </row>
    <row r="155" spans="1:16" hidden="1" x14ac:dyDescent="0.25">
      <c r="A155" t="s">
        <v>174</v>
      </c>
      <c r="B155" t="s">
        <v>957</v>
      </c>
      <c r="C155" t="s">
        <v>956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41</v>
      </c>
      <c r="O155">
        <v>2</v>
      </c>
      <c r="P155">
        <v>4.8780487804878002E-2</v>
      </c>
    </row>
    <row r="156" spans="1:16" hidden="1" x14ac:dyDescent="0.25">
      <c r="A156" t="s">
        <v>482</v>
      </c>
      <c r="B156" t="s">
        <v>959</v>
      </c>
      <c r="C156" t="s">
        <v>958</v>
      </c>
      <c r="D156">
        <v>788176.71031547908</v>
      </c>
      <c r="E156">
        <v>132193.6411546595</v>
      </c>
      <c r="F156">
        <v>425489.51371116948</v>
      </c>
      <c r="G156">
        <v>577163.87146949442</v>
      </c>
      <c r="H156">
        <v>1923023.7366508027</v>
      </c>
      <c r="I156">
        <v>1923023.7366508027</v>
      </c>
      <c r="J156">
        <v>0</v>
      </c>
      <c r="K156">
        <v>14726.062783502985</v>
      </c>
      <c r="L156">
        <v>0</v>
      </c>
      <c r="M156">
        <v>1908297.6738672997</v>
      </c>
      <c r="N156">
        <v>6734</v>
      </c>
      <c r="O156">
        <v>907</v>
      </c>
      <c r="P156">
        <v>0.13468963468963499</v>
      </c>
    </row>
    <row r="157" spans="1:16" hidden="1" x14ac:dyDescent="0.25">
      <c r="A157" t="s">
        <v>285</v>
      </c>
      <c r="B157" t="s">
        <v>961</v>
      </c>
      <c r="C157" t="s">
        <v>960</v>
      </c>
      <c r="D157">
        <v>2137722.9408777049</v>
      </c>
      <c r="E157">
        <v>0</v>
      </c>
      <c r="F157">
        <v>1443520.3354329171</v>
      </c>
      <c r="G157">
        <v>1958092.4053253245</v>
      </c>
      <c r="H157">
        <v>5539335.681635946</v>
      </c>
      <c r="I157">
        <v>4925716.2823082674</v>
      </c>
      <c r="J157">
        <v>613619.39932767861</v>
      </c>
      <c r="K157">
        <v>37719.974977181562</v>
      </c>
      <c r="L157">
        <v>0</v>
      </c>
      <c r="M157">
        <v>4887996.3073310861</v>
      </c>
      <c r="N157">
        <v>17058</v>
      </c>
      <c r="O157">
        <v>2460</v>
      </c>
      <c r="P157">
        <v>0.14421385860006999</v>
      </c>
    </row>
    <row r="158" spans="1:16" hidden="1" x14ac:dyDescent="0.25">
      <c r="A158" t="s">
        <v>484</v>
      </c>
      <c r="B158" t="s">
        <v>963</v>
      </c>
      <c r="C158" t="s">
        <v>962</v>
      </c>
      <c r="D158">
        <v>160154.25181974118</v>
      </c>
      <c r="E158">
        <v>0</v>
      </c>
      <c r="F158">
        <v>76611.902577073372</v>
      </c>
      <c r="G158">
        <v>105304.44268549263</v>
      </c>
      <c r="H158">
        <v>342070.59708230721</v>
      </c>
      <c r="I158">
        <v>342070.59708230721</v>
      </c>
      <c r="J158">
        <v>0</v>
      </c>
      <c r="K158">
        <v>2619.4960535420214</v>
      </c>
      <c r="L158">
        <v>0</v>
      </c>
      <c r="M158">
        <v>339451.1010287652</v>
      </c>
      <c r="N158">
        <v>1614</v>
      </c>
      <c r="O158">
        <v>175</v>
      </c>
      <c r="P158">
        <v>0.108426270136307</v>
      </c>
    </row>
    <row r="159" spans="1:16" hidden="1" x14ac:dyDescent="0.25">
      <c r="A159" t="s">
        <v>486</v>
      </c>
      <c r="B159" t="s">
        <v>965</v>
      </c>
      <c r="C159" t="s">
        <v>964</v>
      </c>
      <c r="D159">
        <v>76471.389754974851</v>
      </c>
      <c r="E159">
        <v>14148.724854589611</v>
      </c>
      <c r="F159">
        <v>36889.731238012711</v>
      </c>
      <c r="G159">
        <v>50039.823339227099</v>
      </c>
      <c r="H159">
        <v>177549.66918680427</v>
      </c>
      <c r="I159">
        <v>159852.77790150707</v>
      </c>
      <c r="J159">
        <v>17696.891285297199</v>
      </c>
      <c r="K159">
        <v>1224.1149178921496</v>
      </c>
      <c r="L159">
        <v>0</v>
      </c>
      <c r="M159">
        <v>158628.66298361492</v>
      </c>
      <c r="N159">
        <v>785</v>
      </c>
      <c r="O159">
        <v>88</v>
      </c>
      <c r="P159">
        <v>0.11210191082802499</v>
      </c>
    </row>
    <row r="160" spans="1:16" hidden="1" x14ac:dyDescent="0.25">
      <c r="A160" t="s">
        <v>488</v>
      </c>
      <c r="B160" t="s">
        <v>967</v>
      </c>
      <c r="C160" t="s">
        <v>966</v>
      </c>
      <c r="D160">
        <v>34759.722615897648</v>
      </c>
      <c r="E160">
        <v>0</v>
      </c>
      <c r="F160">
        <v>16768.059653642144</v>
      </c>
      <c r="G160">
        <v>22745.37424510323</v>
      </c>
      <c r="H160">
        <v>74273.156514643022</v>
      </c>
      <c r="I160">
        <v>74273.156514643022</v>
      </c>
      <c r="J160">
        <v>0</v>
      </c>
      <c r="K160">
        <v>568.76633663840653</v>
      </c>
      <c r="L160">
        <v>0</v>
      </c>
      <c r="M160">
        <v>73704.390178004614</v>
      </c>
      <c r="N160">
        <v>335</v>
      </c>
      <c r="O160">
        <v>40</v>
      </c>
      <c r="P160">
        <v>0.119402985074627</v>
      </c>
    </row>
    <row r="161" spans="1:16" hidden="1" x14ac:dyDescent="0.25">
      <c r="A161" t="s">
        <v>490</v>
      </c>
      <c r="B161" t="s">
        <v>969</v>
      </c>
      <c r="C161" t="s">
        <v>968</v>
      </c>
      <c r="D161">
        <v>60829.514577820883</v>
      </c>
      <c r="E161">
        <v>16365.506625194343</v>
      </c>
      <c r="F161">
        <v>44209.806719735629</v>
      </c>
      <c r="G161">
        <v>59969.288034209123</v>
      </c>
      <c r="H161">
        <v>181374.11595695998</v>
      </c>
      <c r="I161">
        <v>170499.08427740284</v>
      </c>
      <c r="J161">
        <v>10875.031679557142</v>
      </c>
      <c r="K161">
        <v>1305.6418242510376</v>
      </c>
      <c r="L161">
        <v>0</v>
      </c>
      <c r="M161">
        <v>169193.4424531518</v>
      </c>
      <c r="N161">
        <v>246</v>
      </c>
      <c r="O161">
        <v>70</v>
      </c>
      <c r="P161">
        <v>0.284552845528455</v>
      </c>
    </row>
    <row r="162" spans="1:16" hidden="1" x14ac:dyDescent="0.25">
      <c r="A162" t="s">
        <v>492</v>
      </c>
      <c r="B162" t="s">
        <v>971</v>
      </c>
      <c r="C162" t="s">
        <v>970</v>
      </c>
      <c r="D162">
        <v>241580.07218048867</v>
      </c>
      <c r="E162">
        <v>64994.440597200388</v>
      </c>
      <c r="F162">
        <v>133894.84274104345</v>
      </c>
      <c r="G162">
        <v>181624.37220175189</v>
      </c>
      <c r="H162">
        <v>622093.72772048437</v>
      </c>
      <c r="I162">
        <v>612795.34356031683</v>
      </c>
      <c r="J162">
        <v>9298.3841601675376</v>
      </c>
      <c r="K162">
        <v>4692.6423895443395</v>
      </c>
      <c r="L162">
        <v>0</v>
      </c>
      <c r="M162">
        <v>608102.70117077255</v>
      </c>
      <c r="N162">
        <v>1430</v>
      </c>
      <c r="O162">
        <v>278</v>
      </c>
      <c r="P162">
        <v>0.19440559440559399</v>
      </c>
    </row>
    <row r="163" spans="1:16" hidden="1" x14ac:dyDescent="0.25">
      <c r="A163" t="s">
        <v>494</v>
      </c>
      <c r="B163" t="s">
        <v>973</v>
      </c>
      <c r="C163" t="s">
        <v>972</v>
      </c>
      <c r="D163">
        <v>155911.9256559964</v>
      </c>
      <c r="E163">
        <v>40538.350659732583</v>
      </c>
      <c r="F163">
        <v>72591.647621933953</v>
      </c>
      <c r="G163">
        <v>98314.269542001392</v>
      </c>
      <c r="H163">
        <v>367356.19347966439</v>
      </c>
      <c r="I163">
        <v>367356.19347966439</v>
      </c>
      <c r="J163">
        <v>0</v>
      </c>
      <c r="K163">
        <v>2813.1271944213881</v>
      </c>
      <c r="L163">
        <v>0</v>
      </c>
      <c r="M163">
        <v>364543.06628524303</v>
      </c>
      <c r="N163">
        <v>1574</v>
      </c>
      <c r="O163">
        <v>116</v>
      </c>
      <c r="P163">
        <v>7.3697585768741997E-2</v>
      </c>
    </row>
    <row r="164" spans="1:16" hidden="1" x14ac:dyDescent="0.25">
      <c r="A164" t="s">
        <v>176</v>
      </c>
      <c r="B164" t="s">
        <v>975</v>
      </c>
      <c r="C164" t="s">
        <v>974</v>
      </c>
      <c r="D164">
        <v>216379.2732839628</v>
      </c>
      <c r="E164">
        <v>0</v>
      </c>
      <c r="F164">
        <v>104381.17134392231</v>
      </c>
      <c r="G164">
        <v>141589.95467576757</v>
      </c>
      <c r="H164">
        <v>462350.3993036527</v>
      </c>
      <c r="I164">
        <v>443767.57668132451</v>
      </c>
      <c r="J164">
        <v>18582.822622328182</v>
      </c>
      <c r="K164">
        <v>3398.2675673435151</v>
      </c>
      <c r="L164">
        <v>0</v>
      </c>
      <c r="M164">
        <v>440369.30911398097</v>
      </c>
      <c r="N164">
        <v>2216</v>
      </c>
      <c r="O164">
        <v>249</v>
      </c>
      <c r="P164">
        <v>0.11236462093862799</v>
      </c>
    </row>
    <row r="165" spans="1:16" hidden="1" x14ac:dyDescent="0.25">
      <c r="A165" t="s">
        <v>496</v>
      </c>
      <c r="B165" t="s">
        <v>977</v>
      </c>
      <c r="C165" t="s">
        <v>976</v>
      </c>
      <c r="D165">
        <v>123890.47683074261</v>
      </c>
      <c r="E165">
        <v>32643.098825551195</v>
      </c>
      <c r="F165">
        <v>74554.731004663045</v>
      </c>
      <c r="G165">
        <v>102476.823234022</v>
      </c>
      <c r="H165">
        <v>333565.12989497883</v>
      </c>
      <c r="I165">
        <v>333565.12989497883</v>
      </c>
      <c r="J165">
        <v>0</v>
      </c>
      <c r="K165">
        <v>2554.3631893883189</v>
      </c>
      <c r="L165">
        <v>0</v>
      </c>
      <c r="M165">
        <v>331010.76670559053</v>
      </c>
      <c r="N165">
        <v>705</v>
      </c>
      <c r="O165">
        <v>129</v>
      </c>
      <c r="P165">
        <v>0.182978723404255</v>
      </c>
    </row>
    <row r="166" spans="1:16" hidden="1" x14ac:dyDescent="0.25">
      <c r="A166" t="s">
        <v>498</v>
      </c>
      <c r="B166" t="s">
        <v>979</v>
      </c>
      <c r="C166" t="s">
        <v>978</v>
      </c>
      <c r="D166">
        <v>302757.35275512718</v>
      </c>
      <c r="E166">
        <v>79771.572754940731</v>
      </c>
      <c r="F166">
        <v>163069.53658732405</v>
      </c>
      <c r="G166">
        <v>224142.02090901378</v>
      </c>
      <c r="H166">
        <v>769740.48300640576</v>
      </c>
      <c r="I166">
        <v>769740.48300640576</v>
      </c>
      <c r="J166">
        <v>0</v>
      </c>
      <c r="K166">
        <v>5894.4912970747091</v>
      </c>
      <c r="L166">
        <v>0</v>
      </c>
      <c r="M166">
        <v>763845.99170933105</v>
      </c>
      <c r="N166">
        <v>2208</v>
      </c>
      <c r="O166">
        <v>198</v>
      </c>
      <c r="P166">
        <v>8.9673913043478201E-2</v>
      </c>
    </row>
    <row r="167" spans="1:16" hidden="1" x14ac:dyDescent="0.25">
      <c r="A167" t="s">
        <v>178</v>
      </c>
      <c r="B167" t="s">
        <v>981</v>
      </c>
      <c r="C167" t="s">
        <v>980</v>
      </c>
      <c r="D167">
        <v>433627.53963332315</v>
      </c>
      <c r="E167">
        <v>0</v>
      </c>
      <c r="F167">
        <v>209181.54417918567</v>
      </c>
      <c r="G167">
        <v>283748.54370766284</v>
      </c>
      <c r="H167">
        <v>926557.62752017169</v>
      </c>
      <c r="I167">
        <v>926557.62752017169</v>
      </c>
      <c r="J167">
        <v>0</v>
      </c>
      <c r="K167">
        <v>7095.3600495641222</v>
      </c>
      <c r="L167">
        <v>0</v>
      </c>
      <c r="M167">
        <v>919462.26747060753</v>
      </c>
      <c r="N167">
        <v>7160</v>
      </c>
      <c r="O167">
        <v>499</v>
      </c>
      <c r="P167">
        <v>6.9692737430167601E-2</v>
      </c>
    </row>
    <row r="168" spans="1:16" hidden="1" x14ac:dyDescent="0.25">
      <c r="A168" t="s">
        <v>500</v>
      </c>
      <c r="B168" t="s">
        <v>983</v>
      </c>
      <c r="C168" t="s">
        <v>982</v>
      </c>
      <c r="D168">
        <v>323265.42032784806</v>
      </c>
      <c r="E168">
        <v>86970.978065318501</v>
      </c>
      <c r="F168">
        <v>155942.95477887194</v>
      </c>
      <c r="G168">
        <v>211531.98047946003</v>
      </c>
      <c r="H168">
        <v>777711.33365149843</v>
      </c>
      <c r="I168">
        <v>705716.82911206828</v>
      </c>
      <c r="J168">
        <v>71994.504539430141</v>
      </c>
      <c r="K168">
        <v>5404.2132371068601</v>
      </c>
      <c r="L168">
        <v>0</v>
      </c>
      <c r="M168">
        <v>700312.61587496137</v>
      </c>
      <c r="N168">
        <v>2476</v>
      </c>
      <c r="O168">
        <v>372</v>
      </c>
      <c r="P168">
        <v>0.150242326332795</v>
      </c>
    </row>
    <row r="169" spans="1:16" hidden="1" x14ac:dyDescent="0.25">
      <c r="A169" t="s">
        <v>502</v>
      </c>
      <c r="B169" t="s">
        <v>985</v>
      </c>
      <c r="C169" t="s">
        <v>984</v>
      </c>
      <c r="D169">
        <v>8689.9306539744121</v>
      </c>
      <c r="E169">
        <v>2337.9295178849061</v>
      </c>
      <c r="F169">
        <v>4837.8576910451293</v>
      </c>
      <c r="G169">
        <v>6562.4100820437679</v>
      </c>
      <c r="H169">
        <v>22428.127944948214</v>
      </c>
      <c r="I169">
        <v>17687.273662620708</v>
      </c>
      <c r="J169">
        <v>4740.8542823275056</v>
      </c>
      <c r="K169">
        <v>135.44497525463896</v>
      </c>
      <c r="L169">
        <v>0</v>
      </c>
      <c r="M169">
        <v>17551.828687366069</v>
      </c>
      <c r="N169">
        <v>51</v>
      </c>
      <c r="O169">
        <v>10</v>
      </c>
      <c r="P169">
        <v>0.19607843137254899</v>
      </c>
    </row>
    <row r="170" spans="1:16" hidden="1" x14ac:dyDescent="0.25">
      <c r="A170" t="s">
        <v>180</v>
      </c>
      <c r="B170" t="s">
        <v>987</v>
      </c>
      <c r="C170" t="s">
        <v>986</v>
      </c>
      <c r="D170">
        <v>1397340.849159085</v>
      </c>
      <c r="E170">
        <v>0</v>
      </c>
      <c r="F170">
        <v>866279.8818562869</v>
      </c>
      <c r="G170">
        <v>1175082.8969376455</v>
      </c>
      <c r="H170">
        <v>3438703.6279530176</v>
      </c>
      <c r="I170">
        <v>3172332.6334171779</v>
      </c>
      <c r="J170">
        <v>266370.99453583965</v>
      </c>
      <c r="K170">
        <v>24292.976024944288</v>
      </c>
      <c r="L170">
        <v>0</v>
      </c>
      <c r="M170">
        <v>3148039.6573922336</v>
      </c>
      <c r="N170">
        <v>17029</v>
      </c>
      <c r="O170">
        <v>1608</v>
      </c>
      <c r="P170">
        <v>9.4427153679018105E-2</v>
      </c>
    </row>
    <row r="171" spans="1:16" hidden="1" x14ac:dyDescent="0.25">
      <c r="A171" t="s">
        <v>504</v>
      </c>
      <c r="B171" t="s">
        <v>989</v>
      </c>
      <c r="C171" t="s">
        <v>988</v>
      </c>
      <c r="D171">
        <v>54202.083613449875</v>
      </c>
      <c r="E171">
        <v>14281.355736178652</v>
      </c>
      <c r="F171">
        <v>41856.814198572982</v>
      </c>
      <c r="G171">
        <v>57532.946494008349</v>
      </c>
      <c r="H171">
        <v>167873.20004220985</v>
      </c>
      <c r="I171">
        <v>157996.33895430632</v>
      </c>
      <c r="J171">
        <v>9876.8610879035259</v>
      </c>
      <c r="K171">
        <v>1209.898745741393</v>
      </c>
      <c r="L171">
        <v>0</v>
      </c>
      <c r="M171">
        <v>156786.44020856492</v>
      </c>
      <c r="N171">
        <v>227</v>
      </c>
      <c r="O171">
        <v>47</v>
      </c>
      <c r="P171">
        <v>0.20704845814978001</v>
      </c>
    </row>
    <row r="172" spans="1:16" hidden="1" x14ac:dyDescent="0.25">
      <c r="A172" t="s">
        <v>182</v>
      </c>
      <c r="B172" t="s">
        <v>991</v>
      </c>
      <c r="C172" t="s">
        <v>990</v>
      </c>
      <c r="D172">
        <v>908966.74640572292</v>
      </c>
      <c r="E172">
        <v>0</v>
      </c>
      <c r="F172">
        <v>0</v>
      </c>
      <c r="G172">
        <v>0</v>
      </c>
      <c r="H172">
        <v>908966.74640572292</v>
      </c>
      <c r="I172">
        <v>818956.04732863093</v>
      </c>
      <c r="J172">
        <v>90010.699077091995</v>
      </c>
      <c r="K172">
        <v>6271.3724953259934</v>
      </c>
      <c r="L172">
        <v>0</v>
      </c>
      <c r="M172">
        <v>812684.67483330495</v>
      </c>
      <c r="N172">
        <v>26389</v>
      </c>
      <c r="O172">
        <v>1046</v>
      </c>
      <c r="P172">
        <v>3.9637727841145901E-2</v>
      </c>
    </row>
    <row r="173" spans="1:16" hidden="1" x14ac:dyDescent="0.25">
      <c r="A173" t="s">
        <v>184</v>
      </c>
      <c r="B173" t="s">
        <v>993</v>
      </c>
      <c r="C173" t="s">
        <v>992</v>
      </c>
      <c r="D173">
        <v>499671.01260352839</v>
      </c>
      <c r="E173">
        <v>0</v>
      </c>
      <c r="F173">
        <v>241040.85752110562</v>
      </c>
      <c r="G173">
        <v>326964.75477335899</v>
      </c>
      <c r="H173">
        <v>1067676.6248979929</v>
      </c>
      <c r="I173">
        <v>949976.33223405562</v>
      </c>
      <c r="J173">
        <v>117700.29266393732</v>
      </c>
      <c r="K173">
        <v>7274.6949737006271</v>
      </c>
      <c r="L173">
        <v>0</v>
      </c>
      <c r="M173">
        <v>942701.63726035494</v>
      </c>
      <c r="N173">
        <v>5955</v>
      </c>
      <c r="O173">
        <v>575</v>
      </c>
      <c r="P173">
        <v>9.6557514693534796E-2</v>
      </c>
    </row>
    <row r="174" spans="1:16" hidden="1" x14ac:dyDescent="0.25">
      <c r="A174" t="s">
        <v>186</v>
      </c>
      <c r="B174" t="s">
        <v>995</v>
      </c>
      <c r="C174" t="s">
        <v>994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131</v>
      </c>
      <c r="O174">
        <v>9</v>
      </c>
      <c r="P174">
        <v>6.8702290076335895E-2</v>
      </c>
    </row>
    <row r="175" spans="1:16" hidden="1" x14ac:dyDescent="0.25">
      <c r="A175" t="s">
        <v>506</v>
      </c>
      <c r="B175" t="s">
        <v>997</v>
      </c>
      <c r="C175" t="s">
        <v>996</v>
      </c>
      <c r="D175">
        <v>86723.333781519803</v>
      </c>
      <c r="E175">
        <v>22850.169177885848</v>
      </c>
      <c r="F175">
        <v>56596.348521235188</v>
      </c>
      <c r="G175">
        <v>77792.702420708491</v>
      </c>
      <c r="H175">
        <v>243962.55390134934</v>
      </c>
      <c r="I175">
        <v>221591.12319720714</v>
      </c>
      <c r="J175">
        <v>22371.4307041422</v>
      </c>
      <c r="K175">
        <v>1696.8926229440335</v>
      </c>
      <c r="L175">
        <v>0</v>
      </c>
      <c r="M175">
        <v>219894.23057426311</v>
      </c>
      <c r="N175">
        <v>452</v>
      </c>
      <c r="O175">
        <v>68</v>
      </c>
      <c r="P175">
        <v>0.15044247787610601</v>
      </c>
    </row>
    <row r="176" spans="1:16" hidden="1" x14ac:dyDescent="0.25">
      <c r="A176" t="s">
        <v>508</v>
      </c>
      <c r="B176" t="s">
        <v>999</v>
      </c>
      <c r="C176" t="s">
        <v>998</v>
      </c>
      <c r="D176">
        <v>170322.6408178985</v>
      </c>
      <c r="E176">
        <v>45823.418550544171</v>
      </c>
      <c r="F176">
        <v>93675.792298725588</v>
      </c>
      <c r="G176">
        <v>127068.42637444173</v>
      </c>
      <c r="H176">
        <v>436890.27804160997</v>
      </c>
      <c r="I176">
        <v>396404.53650188074</v>
      </c>
      <c r="J176">
        <v>40485.741539729235</v>
      </c>
      <c r="K176">
        <v>3035.5725625929235</v>
      </c>
      <c r="L176">
        <v>0</v>
      </c>
      <c r="M176">
        <v>393368.96393928782</v>
      </c>
      <c r="N176">
        <v>1023</v>
      </c>
      <c r="O176">
        <v>196</v>
      </c>
      <c r="P176">
        <v>0.19159335288367499</v>
      </c>
    </row>
    <row r="177" spans="1:16" hidden="1" x14ac:dyDescent="0.25">
      <c r="A177" t="s">
        <v>510</v>
      </c>
      <c r="B177" t="s">
        <v>1001</v>
      </c>
      <c r="C177" t="s">
        <v>1000</v>
      </c>
      <c r="D177">
        <v>152540.14959785176</v>
      </c>
      <c r="E177">
        <v>40191.815428959919</v>
      </c>
      <c r="F177">
        <v>113319.37522465261</v>
      </c>
      <c r="G177">
        <v>155759.52628895175</v>
      </c>
      <c r="H177">
        <v>461810.86654041603</v>
      </c>
      <c r="I177">
        <v>450675.32637327287</v>
      </c>
      <c r="J177">
        <v>11135.540167143161</v>
      </c>
      <c r="K177">
        <v>3451.1654872795011</v>
      </c>
      <c r="L177">
        <v>0</v>
      </c>
      <c r="M177">
        <v>447224.16088599339</v>
      </c>
      <c r="N177">
        <v>660</v>
      </c>
      <c r="O177">
        <v>140</v>
      </c>
      <c r="P177">
        <v>0.21212121212121199</v>
      </c>
    </row>
    <row r="178" spans="1:16" hidden="1" x14ac:dyDescent="0.25">
      <c r="A178" t="s">
        <v>287</v>
      </c>
      <c r="B178" t="s">
        <v>1003</v>
      </c>
      <c r="C178" t="s">
        <v>1002</v>
      </c>
      <c r="D178">
        <v>39104.68794288487</v>
      </c>
      <c r="E178">
        <v>0</v>
      </c>
      <c r="F178">
        <v>18864.067110347409</v>
      </c>
      <c r="G178">
        <v>25588.546025741136</v>
      </c>
      <c r="H178">
        <v>83557.301078973411</v>
      </c>
      <c r="I178">
        <v>73761.438544013858</v>
      </c>
      <c r="J178">
        <v>9795.8625349595532</v>
      </c>
      <c r="K178">
        <v>564.8477209607571</v>
      </c>
      <c r="L178">
        <v>0</v>
      </c>
      <c r="M178">
        <v>73196.590823053106</v>
      </c>
      <c r="N178">
        <v>308</v>
      </c>
      <c r="O178">
        <v>45</v>
      </c>
      <c r="P178">
        <v>0.14610389610389601</v>
      </c>
    </row>
    <row r="179" spans="1:16" hidden="1" x14ac:dyDescent="0.25">
      <c r="A179" t="s">
        <v>512</v>
      </c>
      <c r="B179" t="s">
        <v>1005</v>
      </c>
      <c r="C179" t="s">
        <v>1004</v>
      </c>
      <c r="D179">
        <v>170586.05700778941</v>
      </c>
      <c r="E179">
        <v>44353.742457781889</v>
      </c>
      <c r="F179">
        <v>107691.39484693202</v>
      </c>
      <c r="G179">
        <v>145851.50175233488</v>
      </c>
      <c r="H179">
        <v>468482.69606483821</v>
      </c>
      <c r="I179">
        <v>468482.69606483821</v>
      </c>
      <c r="J179">
        <v>0</v>
      </c>
      <c r="K179">
        <v>3587.5301296337093</v>
      </c>
      <c r="L179">
        <v>0</v>
      </c>
      <c r="M179">
        <v>464895.16593520448</v>
      </c>
      <c r="N179">
        <v>951</v>
      </c>
      <c r="O179">
        <v>152</v>
      </c>
      <c r="P179">
        <v>0.15983175604626701</v>
      </c>
    </row>
    <row r="180" spans="1:16" hidden="1" x14ac:dyDescent="0.25">
      <c r="A180" t="s">
        <v>188</v>
      </c>
      <c r="B180" t="s">
        <v>1007</v>
      </c>
      <c r="C180" t="s">
        <v>1006</v>
      </c>
      <c r="D180">
        <v>797846.06728464679</v>
      </c>
      <c r="E180">
        <v>0</v>
      </c>
      <c r="F180">
        <v>451625.41656165157</v>
      </c>
      <c r="G180">
        <v>620767.28541995888</v>
      </c>
      <c r="H180">
        <v>1870238.7692662573</v>
      </c>
      <c r="I180">
        <v>1870238.7692662573</v>
      </c>
      <c r="J180">
        <v>0</v>
      </c>
      <c r="K180">
        <v>14321.847937417015</v>
      </c>
      <c r="L180">
        <v>0</v>
      </c>
      <c r="M180">
        <v>1855916.9213288403</v>
      </c>
      <c r="N180">
        <v>10404</v>
      </c>
      <c r="O180">
        <v>890</v>
      </c>
      <c r="P180">
        <v>8.5544021530180703E-2</v>
      </c>
    </row>
    <row r="181" spans="1:16" hidden="1" x14ac:dyDescent="0.25">
      <c r="A181" t="s">
        <v>514</v>
      </c>
      <c r="B181" t="s">
        <v>1009</v>
      </c>
      <c r="C181" t="s">
        <v>1008</v>
      </c>
      <c r="D181">
        <v>341514.27470119431</v>
      </c>
      <c r="E181">
        <v>91880.630052876819</v>
      </c>
      <c r="F181">
        <v>211370.53613208703</v>
      </c>
      <c r="G181">
        <v>286269.02051811712</v>
      </c>
      <c r="H181">
        <v>931034.46140427527</v>
      </c>
      <c r="I181">
        <v>931034.46140427527</v>
      </c>
      <c r="J181">
        <v>0</v>
      </c>
      <c r="K181">
        <v>7129.6425888755921</v>
      </c>
      <c r="L181">
        <v>0</v>
      </c>
      <c r="M181">
        <v>923904.81881539966</v>
      </c>
      <c r="N181">
        <v>1880</v>
      </c>
      <c r="O181">
        <v>393</v>
      </c>
      <c r="P181">
        <v>0.20904255319148901</v>
      </c>
    </row>
    <row r="182" spans="1:16" hidden="1" x14ac:dyDescent="0.25">
      <c r="A182" t="s">
        <v>516</v>
      </c>
      <c r="B182" t="s">
        <v>1011</v>
      </c>
      <c r="C182" t="s">
        <v>1010</v>
      </c>
      <c r="D182">
        <v>101672.18865150066</v>
      </c>
      <c r="E182">
        <v>22320.43764243984</v>
      </c>
      <c r="F182">
        <v>49046.574486903235</v>
      </c>
      <c r="G182">
        <v>66530.219666926947</v>
      </c>
      <c r="H182">
        <v>239569.42044777068</v>
      </c>
      <c r="I182">
        <v>239569.42044777068</v>
      </c>
      <c r="J182">
        <v>0</v>
      </c>
      <c r="K182">
        <v>1834.566188280972</v>
      </c>
      <c r="L182">
        <v>0</v>
      </c>
      <c r="M182">
        <v>237734.85425948972</v>
      </c>
      <c r="N182">
        <v>946</v>
      </c>
      <c r="O182">
        <v>117</v>
      </c>
      <c r="P182">
        <v>0.123678646934461</v>
      </c>
    </row>
    <row r="183" spans="1:16" hidden="1" x14ac:dyDescent="0.25">
      <c r="A183" t="s">
        <v>518</v>
      </c>
      <c r="B183" t="s">
        <v>1013</v>
      </c>
      <c r="C183" t="s">
        <v>1012</v>
      </c>
      <c r="D183">
        <v>20855.833569538583</v>
      </c>
      <c r="E183">
        <v>5611.0308429237757</v>
      </c>
      <c r="F183">
        <v>19258.483313512916</v>
      </c>
      <c r="G183">
        <v>26123.559875562667</v>
      </c>
      <c r="H183">
        <v>71848.90760153794</v>
      </c>
      <c r="I183">
        <v>62471.756943493288</v>
      </c>
      <c r="J183">
        <v>9377.1506580446512</v>
      </c>
      <c r="K183">
        <v>478.39399868659785</v>
      </c>
      <c r="L183">
        <v>0</v>
      </c>
      <c r="M183">
        <v>61993.362944806693</v>
      </c>
      <c r="N183">
        <v>63</v>
      </c>
      <c r="O183">
        <v>24</v>
      </c>
      <c r="P183">
        <v>0.38095238095238099</v>
      </c>
    </row>
    <row r="184" spans="1:16" hidden="1" x14ac:dyDescent="0.25">
      <c r="A184" t="s">
        <v>520</v>
      </c>
      <c r="B184" t="s">
        <v>1015</v>
      </c>
      <c r="C184" t="s">
        <v>1014</v>
      </c>
      <c r="D184">
        <v>72995.41749338503</v>
      </c>
      <c r="E184">
        <v>0</v>
      </c>
      <c r="F184">
        <v>35212.925272648485</v>
      </c>
      <c r="G184">
        <v>47765.285914716784</v>
      </c>
      <c r="H184">
        <v>155973.62868075029</v>
      </c>
      <c r="I184">
        <v>141111.4085115894</v>
      </c>
      <c r="J184">
        <v>14862.220169160893</v>
      </c>
      <c r="K184">
        <v>1080.5979258630155</v>
      </c>
      <c r="L184">
        <v>0</v>
      </c>
      <c r="M184">
        <v>140030.81058572637</v>
      </c>
      <c r="N184">
        <v>573</v>
      </c>
      <c r="O184">
        <v>84</v>
      </c>
      <c r="P184">
        <v>0.146596858638743</v>
      </c>
    </row>
    <row r="185" spans="1:16" hidden="1" x14ac:dyDescent="0.25">
      <c r="A185" t="s">
        <v>289</v>
      </c>
      <c r="B185" t="s">
        <v>1017</v>
      </c>
      <c r="C185" t="s">
        <v>1016</v>
      </c>
      <c r="D185">
        <v>16088.554977325603</v>
      </c>
      <c r="E185">
        <v>0</v>
      </c>
      <c r="F185">
        <v>7696.1728616238088</v>
      </c>
      <c r="G185">
        <v>10578.5284889536</v>
      </c>
      <c r="H185">
        <v>34363.256327903007</v>
      </c>
      <c r="I185">
        <v>34363.256327903007</v>
      </c>
      <c r="J185">
        <v>0</v>
      </c>
      <c r="K185">
        <v>263.14572227362771</v>
      </c>
      <c r="L185">
        <v>0</v>
      </c>
      <c r="M185">
        <v>34100.110605629379</v>
      </c>
      <c r="N185">
        <v>178</v>
      </c>
      <c r="O185">
        <v>16</v>
      </c>
      <c r="P185">
        <v>8.98876404494382E-2</v>
      </c>
    </row>
    <row r="186" spans="1:16" hidden="1" x14ac:dyDescent="0.25">
      <c r="A186" t="s">
        <v>522</v>
      </c>
      <c r="B186" t="s">
        <v>1019</v>
      </c>
      <c r="C186" t="s">
        <v>1018</v>
      </c>
      <c r="D186">
        <v>39104.68794288487</v>
      </c>
      <c r="E186">
        <v>10520.682830482085</v>
      </c>
      <c r="F186">
        <v>33576.467450825847</v>
      </c>
      <c r="G186">
        <v>45545.479546983734</v>
      </c>
      <c r="H186">
        <v>128747.31777117655</v>
      </c>
      <c r="I186">
        <v>111383.3855510343</v>
      </c>
      <c r="J186">
        <v>17363.932220142247</v>
      </c>
      <c r="K186">
        <v>852.9477288306075</v>
      </c>
      <c r="L186">
        <v>0</v>
      </c>
      <c r="M186">
        <v>110530.43782220369</v>
      </c>
      <c r="N186">
        <v>130</v>
      </c>
      <c r="O186">
        <v>45</v>
      </c>
      <c r="P186">
        <v>0.34615384615384598</v>
      </c>
    </row>
    <row r="187" spans="1:16" hidden="1" x14ac:dyDescent="0.25">
      <c r="A187" t="s">
        <v>524</v>
      </c>
      <c r="B187" t="s">
        <v>1021</v>
      </c>
      <c r="C187" t="s">
        <v>1020</v>
      </c>
      <c r="D187">
        <v>43473.871671297296</v>
      </c>
      <c r="E187">
        <v>11303.555176630483</v>
      </c>
      <c r="F187">
        <v>21880.423920906869</v>
      </c>
      <c r="G187">
        <v>29633.683288975371</v>
      </c>
      <c r="H187">
        <v>106291.53405781001</v>
      </c>
      <c r="I187">
        <v>106291.53405781001</v>
      </c>
      <c r="J187">
        <v>0</v>
      </c>
      <c r="K187">
        <v>813.95552954341258</v>
      </c>
      <c r="L187">
        <v>0</v>
      </c>
      <c r="M187">
        <v>105477.5785282666</v>
      </c>
      <c r="N187">
        <v>264</v>
      </c>
      <c r="O187">
        <v>19</v>
      </c>
      <c r="P187">
        <v>7.1969696969697003E-2</v>
      </c>
    </row>
    <row r="188" spans="1:16" hidden="1" x14ac:dyDescent="0.25">
      <c r="A188" t="s">
        <v>526</v>
      </c>
      <c r="B188" t="s">
        <v>1023</v>
      </c>
      <c r="C188" t="s">
        <v>1022</v>
      </c>
      <c r="D188">
        <v>199529.33695055248</v>
      </c>
      <c r="E188">
        <v>51879.227289207352</v>
      </c>
      <c r="F188">
        <v>175697.61470436701</v>
      </c>
      <c r="G188">
        <v>237955.51162986047</v>
      </c>
      <c r="H188">
        <v>665061.69057398732</v>
      </c>
      <c r="I188">
        <v>665061.69057398732</v>
      </c>
      <c r="J188">
        <v>0</v>
      </c>
      <c r="K188">
        <v>5092.8857629975237</v>
      </c>
      <c r="L188">
        <v>0</v>
      </c>
      <c r="M188">
        <v>659968.80481098976</v>
      </c>
      <c r="N188">
        <v>692</v>
      </c>
      <c r="O188">
        <v>149</v>
      </c>
      <c r="P188">
        <v>0.215317919075144</v>
      </c>
    </row>
    <row r="189" spans="1:16" hidden="1" x14ac:dyDescent="0.25">
      <c r="A189" t="s">
        <v>291</v>
      </c>
      <c r="B189" t="s">
        <v>1025</v>
      </c>
      <c r="C189" t="s">
        <v>1024</v>
      </c>
      <c r="D189">
        <v>146859.82805216758</v>
      </c>
      <c r="E189">
        <v>0</v>
      </c>
      <c r="F189">
        <v>70845.052036637993</v>
      </c>
      <c r="G189">
        <v>96099.206185561125</v>
      </c>
      <c r="H189">
        <v>313804.08627436671</v>
      </c>
      <c r="I189">
        <v>313804.08627436671</v>
      </c>
      <c r="J189">
        <v>0</v>
      </c>
      <c r="K189">
        <v>2403.0377722972676</v>
      </c>
      <c r="L189">
        <v>0</v>
      </c>
      <c r="M189">
        <v>311401.04850206943</v>
      </c>
      <c r="N189">
        <v>3274</v>
      </c>
      <c r="O189">
        <v>169</v>
      </c>
      <c r="P189">
        <v>5.16188149053146E-2</v>
      </c>
    </row>
    <row r="190" spans="1:16" hidden="1" x14ac:dyDescent="0.25">
      <c r="A190" t="s">
        <v>528</v>
      </c>
      <c r="B190" t="s">
        <v>1027</v>
      </c>
      <c r="C190" t="s">
        <v>1026</v>
      </c>
      <c r="D190">
        <v>784700.73805388925</v>
      </c>
      <c r="E190">
        <v>211115.03546500692</v>
      </c>
      <c r="F190">
        <v>440253.11951381498</v>
      </c>
      <c r="G190">
        <v>597190.26367733802</v>
      </c>
      <c r="H190">
        <v>2033259.1567100491</v>
      </c>
      <c r="I190">
        <v>1824217.3310168816</v>
      </c>
      <c r="J190">
        <v>209041.82569316751</v>
      </c>
      <c r="K190">
        <v>13969.426604216136</v>
      </c>
      <c r="L190">
        <v>0</v>
      </c>
      <c r="M190">
        <v>1810247.9044126654</v>
      </c>
      <c r="N190">
        <v>4536</v>
      </c>
      <c r="O190">
        <v>903</v>
      </c>
      <c r="P190">
        <v>0.19907407407407399</v>
      </c>
    </row>
    <row r="191" spans="1:16" hidden="1" x14ac:dyDescent="0.25">
      <c r="A191" t="s">
        <v>530</v>
      </c>
      <c r="B191" t="s">
        <v>1029</v>
      </c>
      <c r="C191" t="s">
        <v>1028</v>
      </c>
      <c r="D191">
        <v>0</v>
      </c>
      <c r="E191">
        <v>2102.5690869090085</v>
      </c>
      <c r="F191">
        <v>0</v>
      </c>
      <c r="G191">
        <v>0</v>
      </c>
      <c r="H191">
        <v>2102.5690869090085</v>
      </c>
      <c r="I191">
        <v>2102.5690869090085</v>
      </c>
      <c r="J191">
        <v>0</v>
      </c>
      <c r="K191">
        <v>16.100978781676382</v>
      </c>
      <c r="L191">
        <v>0</v>
      </c>
      <c r="M191">
        <v>2086.468108127332</v>
      </c>
      <c r="N191">
        <v>47</v>
      </c>
      <c r="O191">
        <v>5</v>
      </c>
      <c r="P191">
        <v>0.10638297872340401</v>
      </c>
    </row>
    <row r="192" spans="1:16" hidden="1" x14ac:dyDescent="0.25">
      <c r="A192" t="s">
        <v>532</v>
      </c>
      <c r="B192" t="s">
        <v>1031</v>
      </c>
      <c r="C192" t="s">
        <v>1030</v>
      </c>
      <c r="D192">
        <v>13425.578566093693</v>
      </c>
      <c r="E192">
        <v>0</v>
      </c>
      <c r="F192">
        <v>0</v>
      </c>
      <c r="G192">
        <v>0</v>
      </c>
      <c r="H192">
        <v>13425.578566093693</v>
      </c>
      <c r="I192">
        <v>13425.578566093693</v>
      </c>
      <c r="J192">
        <v>0</v>
      </c>
      <c r="K192">
        <v>102.80991809985581</v>
      </c>
      <c r="L192">
        <v>0</v>
      </c>
      <c r="M192">
        <v>13322.768647993837</v>
      </c>
      <c r="N192">
        <v>247</v>
      </c>
      <c r="O192">
        <v>12</v>
      </c>
      <c r="P192">
        <v>4.8582995951416998E-2</v>
      </c>
    </row>
    <row r="193" spans="1:16" hidden="1" x14ac:dyDescent="0.25">
      <c r="A193" t="s">
        <v>650</v>
      </c>
      <c r="B193" t="s">
        <v>651</v>
      </c>
      <c r="D193">
        <v>823555.38067352574</v>
      </c>
      <c r="E193">
        <v>203598.04963984294</v>
      </c>
      <c r="F193">
        <v>392116.44266631908</v>
      </c>
      <c r="G193">
        <v>520958.44262796786</v>
      </c>
      <c r="H193">
        <v>1940228.3156076556</v>
      </c>
      <c r="I193">
        <v>1940228.3156076556</v>
      </c>
      <c r="J193">
        <v>0</v>
      </c>
      <c r="K193">
        <v>14857.811396405497</v>
      </c>
      <c r="L193">
        <v>0</v>
      </c>
      <c r="M193">
        <v>1925370.50421125</v>
      </c>
      <c r="N193">
        <v>771</v>
      </c>
      <c r="O193">
        <v>771</v>
      </c>
      <c r="P193">
        <v>1</v>
      </c>
    </row>
    <row r="194" spans="1:16" hidden="1" x14ac:dyDescent="0.25">
      <c r="A194" t="s">
        <v>534</v>
      </c>
      <c r="B194" t="s">
        <v>1033</v>
      </c>
      <c r="C194" t="s">
        <v>1032</v>
      </c>
      <c r="D194">
        <v>2773825.8647486325</v>
      </c>
      <c r="E194">
        <v>746267.10210886225</v>
      </c>
      <c r="F194">
        <v>2057231.3187562202</v>
      </c>
      <c r="G194">
        <v>2790573.1026961021</v>
      </c>
      <c r="H194">
        <v>8367897.3883098168</v>
      </c>
      <c r="I194">
        <v>7347947.9570803577</v>
      </c>
      <c r="J194">
        <v>1019949.4312294591</v>
      </c>
      <c r="K194">
        <v>56268.854556279861</v>
      </c>
      <c r="L194">
        <v>0</v>
      </c>
      <c r="M194">
        <v>7291679.1025240775</v>
      </c>
      <c r="N194">
        <v>20387</v>
      </c>
      <c r="O194">
        <v>3192</v>
      </c>
      <c r="P194">
        <v>0.156570363466915</v>
      </c>
    </row>
    <row r="195" spans="1:16" hidden="1" x14ac:dyDescent="0.25">
      <c r="A195" t="s">
        <v>536</v>
      </c>
      <c r="B195" t="s">
        <v>1035</v>
      </c>
      <c r="C195" t="s">
        <v>1034</v>
      </c>
      <c r="D195">
        <v>37729.576315330087</v>
      </c>
      <c r="E195">
        <v>9809.9923304690983</v>
      </c>
      <c r="F195">
        <v>23767.028483033719</v>
      </c>
      <c r="G195">
        <v>32188.800241356883</v>
      </c>
      <c r="H195">
        <v>103495.39737018978</v>
      </c>
      <c r="I195">
        <v>103495.39737018978</v>
      </c>
      <c r="J195">
        <v>0</v>
      </c>
      <c r="K195">
        <v>792.54337345382351</v>
      </c>
      <c r="L195">
        <v>0</v>
      </c>
      <c r="M195">
        <v>102702.85399673595</v>
      </c>
      <c r="N195">
        <v>287</v>
      </c>
      <c r="O195">
        <v>41</v>
      </c>
      <c r="P195">
        <v>0.14285714285714299</v>
      </c>
    </row>
    <row r="196" spans="1:16" hidden="1" x14ac:dyDescent="0.25">
      <c r="A196" t="s">
        <v>190</v>
      </c>
      <c r="B196" t="s">
        <v>1037</v>
      </c>
      <c r="C196" t="s">
        <v>1036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89</v>
      </c>
      <c r="O196">
        <v>4</v>
      </c>
      <c r="P196">
        <v>4.49438202247191E-2</v>
      </c>
    </row>
    <row r="197" spans="1:16" hidden="1" x14ac:dyDescent="0.25">
      <c r="A197" t="s">
        <v>293</v>
      </c>
      <c r="B197" t="s">
        <v>1039</v>
      </c>
      <c r="C197" t="s">
        <v>1038</v>
      </c>
      <c r="D197">
        <v>23858.408552341083</v>
      </c>
      <c r="E197">
        <v>0</v>
      </c>
      <c r="F197">
        <v>10844.106621815814</v>
      </c>
      <c r="G197">
        <v>14686.681681506079</v>
      </c>
      <c r="H197">
        <v>49389.19685566298</v>
      </c>
      <c r="I197">
        <v>49389.19685566298</v>
      </c>
      <c r="J197">
        <v>0</v>
      </c>
      <c r="K197">
        <v>378.21083529108381</v>
      </c>
      <c r="L197">
        <v>0</v>
      </c>
      <c r="M197">
        <v>49010.986020371893</v>
      </c>
      <c r="N197">
        <v>252</v>
      </c>
      <c r="O197">
        <v>24</v>
      </c>
      <c r="P197">
        <v>9.5238095238095205E-2</v>
      </c>
    </row>
    <row r="198" spans="1:16" hidden="1" x14ac:dyDescent="0.25">
      <c r="A198" t="s">
        <v>192</v>
      </c>
      <c r="B198" t="s">
        <v>1041</v>
      </c>
      <c r="C198" t="s">
        <v>1040</v>
      </c>
      <c r="D198">
        <v>454483.37320286146</v>
      </c>
      <c r="E198">
        <v>0</v>
      </c>
      <c r="F198">
        <v>0</v>
      </c>
      <c r="G198">
        <v>0</v>
      </c>
      <c r="H198">
        <v>454483.37320286146</v>
      </c>
      <c r="I198">
        <v>454483.37320286146</v>
      </c>
      <c r="J198">
        <v>0</v>
      </c>
      <c r="K198">
        <v>3480.32661286847</v>
      </c>
      <c r="L198">
        <v>0</v>
      </c>
      <c r="M198">
        <v>451003.046589993</v>
      </c>
      <c r="N198">
        <v>11776</v>
      </c>
      <c r="O198">
        <v>523</v>
      </c>
      <c r="P198">
        <v>4.4412364130434798E-2</v>
      </c>
    </row>
    <row r="199" spans="1:16" hidden="1" x14ac:dyDescent="0.25">
      <c r="A199" t="s">
        <v>82</v>
      </c>
      <c r="B199" t="s">
        <v>1042</v>
      </c>
      <c r="C199" t="s">
        <v>52</v>
      </c>
      <c r="D199">
        <v>20466.22775472542</v>
      </c>
      <c r="E199">
        <v>0</v>
      </c>
      <c r="F199">
        <v>11685.632508271046</v>
      </c>
      <c r="G199">
        <v>15851.212971659306</v>
      </c>
      <c r="H199">
        <v>48003.073234655771</v>
      </c>
      <c r="I199">
        <v>48003.073234655771</v>
      </c>
      <c r="J199">
        <v>0</v>
      </c>
      <c r="K199">
        <v>367.59622711978841</v>
      </c>
      <c r="L199">
        <v>0</v>
      </c>
      <c r="M199">
        <v>47635.477007535985</v>
      </c>
      <c r="N199">
        <v>266</v>
      </c>
      <c r="O199">
        <v>24</v>
      </c>
      <c r="P199">
        <v>8.8673742888640106E-2</v>
      </c>
    </row>
    <row r="200" spans="1:16" hidden="1" x14ac:dyDescent="0.25">
      <c r="A200" t="s">
        <v>538</v>
      </c>
      <c r="B200" t="s">
        <v>1044</v>
      </c>
      <c r="C200" t="s">
        <v>1043</v>
      </c>
      <c r="D200">
        <v>146859.82805216758</v>
      </c>
      <c r="E200">
        <v>38067.047760051493</v>
      </c>
      <c r="F200">
        <v>73775.444403139627</v>
      </c>
      <c r="G200">
        <v>101731.44377278694</v>
      </c>
      <c r="H200">
        <v>360433.76398814563</v>
      </c>
      <c r="I200">
        <v>360433.76398814563</v>
      </c>
      <c r="J200">
        <v>0</v>
      </c>
      <c r="K200">
        <v>2760.1168600382989</v>
      </c>
      <c r="L200">
        <v>0</v>
      </c>
      <c r="M200">
        <v>357673.64712810732</v>
      </c>
      <c r="N200">
        <v>1512</v>
      </c>
      <c r="O200">
        <v>169</v>
      </c>
      <c r="P200">
        <v>0.111772486772487</v>
      </c>
    </row>
    <row r="201" spans="1:16" hidden="1" x14ac:dyDescent="0.25">
      <c r="A201" t="s">
        <v>540</v>
      </c>
      <c r="B201" t="s">
        <v>1046</v>
      </c>
      <c r="C201" t="s">
        <v>1045</v>
      </c>
      <c r="D201">
        <v>51270.590858449024</v>
      </c>
      <c r="E201">
        <v>13793.78415552094</v>
      </c>
      <c r="F201">
        <v>25816.25420045463</v>
      </c>
      <c r="G201">
        <v>35484.907297151942</v>
      </c>
      <c r="H201">
        <v>126365.53651157653</v>
      </c>
      <c r="I201">
        <v>118619.74656570303</v>
      </c>
      <c r="J201">
        <v>7745.7899458735046</v>
      </c>
      <c r="K201">
        <v>908.36207686756859</v>
      </c>
      <c r="L201">
        <v>0</v>
      </c>
      <c r="M201">
        <v>117711.38448883545</v>
      </c>
      <c r="N201">
        <v>363</v>
      </c>
      <c r="O201">
        <v>59</v>
      </c>
      <c r="P201">
        <v>0.16253443526170799</v>
      </c>
    </row>
    <row r="202" spans="1:16" hidden="1" x14ac:dyDescent="0.25">
      <c r="A202" t="s">
        <v>542</v>
      </c>
      <c r="B202" t="s">
        <v>1048</v>
      </c>
      <c r="C202" t="s">
        <v>1047</v>
      </c>
      <c r="D202">
        <v>527478.79069624643</v>
      </c>
      <c r="E202">
        <v>108605.78014303076</v>
      </c>
      <c r="F202">
        <v>254455.3052440194</v>
      </c>
      <c r="G202">
        <v>345161.05416944157</v>
      </c>
      <c r="H202">
        <v>1235700.9302527383</v>
      </c>
      <c r="I202">
        <v>1211432.8899039363</v>
      </c>
      <c r="J202">
        <v>24268.040348801995</v>
      </c>
      <c r="K202">
        <v>9276.8677030455619</v>
      </c>
      <c r="L202">
        <v>0</v>
      </c>
      <c r="M202">
        <v>1202156.0222008908</v>
      </c>
      <c r="N202">
        <v>4253</v>
      </c>
      <c r="O202">
        <v>607</v>
      </c>
      <c r="P202">
        <v>0.142722783917235</v>
      </c>
    </row>
    <row r="203" spans="1:16" hidden="1" x14ac:dyDescent="0.25">
      <c r="A203" t="s">
        <v>544</v>
      </c>
      <c r="B203" t="s">
        <v>1050</v>
      </c>
      <c r="C203" t="s">
        <v>1049</v>
      </c>
      <c r="D203">
        <v>196392.43277982171</v>
      </c>
      <c r="E203">
        <v>52837.20710419886</v>
      </c>
      <c r="F203">
        <v>101870.46881190789</v>
      </c>
      <c r="G203">
        <v>138184.26135833055</v>
      </c>
      <c r="H203">
        <v>489284.37005425902</v>
      </c>
      <c r="I203">
        <v>475472.79366118135</v>
      </c>
      <c r="J203">
        <v>13811.576393077674</v>
      </c>
      <c r="K203">
        <v>3641.0586504234939</v>
      </c>
      <c r="L203">
        <v>0</v>
      </c>
      <c r="M203">
        <v>471831.73501075787</v>
      </c>
      <c r="N203">
        <v>1305</v>
      </c>
      <c r="O203">
        <v>226</v>
      </c>
      <c r="P203">
        <v>0.173180076628352</v>
      </c>
    </row>
    <row r="204" spans="1:16" hidden="1" x14ac:dyDescent="0.25">
      <c r="A204" t="s">
        <v>546</v>
      </c>
      <c r="B204" t="s">
        <v>1052</v>
      </c>
      <c r="C204" t="s">
        <v>1051</v>
      </c>
      <c r="D204">
        <v>59960.521512423416</v>
      </c>
      <c r="E204">
        <v>16131.713673405853</v>
      </c>
      <c r="F204">
        <v>33670.22186436427</v>
      </c>
      <c r="G204">
        <v>45672.654620731671</v>
      </c>
      <c r="H204">
        <v>155435.11167092522</v>
      </c>
      <c r="I204">
        <v>132837.2837399581</v>
      </c>
      <c r="J204">
        <v>22597.82793096712</v>
      </c>
      <c r="K204">
        <v>1017.2366274331847</v>
      </c>
      <c r="L204">
        <v>0</v>
      </c>
      <c r="M204">
        <v>131820.04711252492</v>
      </c>
      <c r="N204">
        <v>346</v>
      </c>
      <c r="O204">
        <v>69</v>
      </c>
      <c r="P204">
        <v>0.199421965317919</v>
      </c>
    </row>
    <row r="205" spans="1:16" hidden="1" x14ac:dyDescent="0.25">
      <c r="A205" t="s">
        <v>77</v>
      </c>
      <c r="B205" t="s">
        <v>1053</v>
      </c>
      <c r="C205" t="s">
        <v>33</v>
      </c>
      <c r="D205">
        <v>46802.418223052831</v>
      </c>
      <c r="E205">
        <v>12331.665858523715</v>
      </c>
      <c r="F205">
        <v>39444.524193136269</v>
      </c>
      <c r="G205">
        <v>54217.210347621163</v>
      </c>
      <c r="H205">
        <v>152795.81862233399</v>
      </c>
      <c r="I205">
        <v>152795.81862233399</v>
      </c>
      <c r="J205">
        <v>0</v>
      </c>
      <c r="K205">
        <v>1170.0743860853402</v>
      </c>
      <c r="L205">
        <v>0</v>
      </c>
      <c r="M205">
        <v>151625.74423624863</v>
      </c>
      <c r="N205">
        <v>274</v>
      </c>
      <c r="O205">
        <v>25</v>
      </c>
      <c r="P205">
        <v>9.0664664515611698E-2</v>
      </c>
    </row>
    <row r="206" spans="1:16" hidden="1" x14ac:dyDescent="0.25">
      <c r="A206" t="s">
        <v>548</v>
      </c>
      <c r="B206" t="s">
        <v>1055</v>
      </c>
      <c r="C206" t="s">
        <v>1054</v>
      </c>
      <c r="D206">
        <v>311099.51741228387</v>
      </c>
      <c r="E206">
        <v>66701.131457351032</v>
      </c>
      <c r="F206">
        <v>150074.13390009711</v>
      </c>
      <c r="G206">
        <v>203571.09949367392</v>
      </c>
      <c r="H206">
        <v>731445.88226340583</v>
      </c>
      <c r="I206">
        <v>710173.86216177756</v>
      </c>
      <c r="J206">
        <v>21272.020101628266</v>
      </c>
      <c r="K206">
        <v>5438.3441462928677</v>
      </c>
      <c r="L206">
        <v>0</v>
      </c>
      <c r="M206">
        <v>704735.51801548467</v>
      </c>
      <c r="N206">
        <v>2951</v>
      </c>
      <c r="O206">
        <v>358</v>
      </c>
      <c r="P206">
        <v>0.121314808539478</v>
      </c>
    </row>
    <row r="207" spans="1:16" hidden="1" x14ac:dyDescent="0.25">
      <c r="A207" t="s">
        <v>58</v>
      </c>
      <c r="B207" t="s">
        <v>1056</v>
      </c>
      <c r="C207" t="s">
        <v>20</v>
      </c>
      <c r="D207">
        <v>364108.09440152778</v>
      </c>
      <c r="E207">
        <v>0</v>
      </c>
      <c r="F207">
        <v>175645.42487190137</v>
      </c>
      <c r="G207">
        <v>238257.79521745627</v>
      </c>
      <c r="H207">
        <v>778011.31449088547</v>
      </c>
      <c r="I207">
        <v>684326.79918525973</v>
      </c>
      <c r="J207">
        <v>93684.51530562574</v>
      </c>
      <c r="K207">
        <v>5240.4134266106112</v>
      </c>
      <c r="L207">
        <v>0</v>
      </c>
      <c r="M207">
        <v>679086.38575864909</v>
      </c>
      <c r="N207">
        <v>3369</v>
      </c>
      <c r="O207">
        <v>419</v>
      </c>
      <c r="P207">
        <v>0.124369249035322</v>
      </c>
    </row>
    <row r="208" spans="1:16" hidden="1" x14ac:dyDescent="0.25">
      <c r="A208" t="s">
        <v>194</v>
      </c>
      <c r="B208" t="s">
        <v>1058</v>
      </c>
      <c r="C208" t="s">
        <v>1057</v>
      </c>
      <c r="D208">
        <v>1817933.4928114458</v>
      </c>
      <c r="E208">
        <v>0</v>
      </c>
      <c r="F208">
        <v>1170620.1645698915</v>
      </c>
      <c r="G208">
        <v>1587911.4394862689</v>
      </c>
      <c r="H208">
        <v>4576465.096867606</v>
      </c>
      <c r="I208">
        <v>4069776.7072570268</v>
      </c>
      <c r="J208">
        <v>506688.38961057924</v>
      </c>
      <c r="K208">
        <v>31165.391338478261</v>
      </c>
      <c r="L208">
        <v>0</v>
      </c>
      <c r="M208">
        <v>4038611.3159185485</v>
      </c>
      <c r="N208">
        <v>25752</v>
      </c>
      <c r="O208">
        <v>2092</v>
      </c>
      <c r="P208">
        <v>8.1236408822615694E-2</v>
      </c>
    </row>
    <row r="209" spans="1:16" hidden="1" x14ac:dyDescent="0.25">
      <c r="A209" t="s">
        <v>550</v>
      </c>
      <c r="B209" t="s">
        <v>1060</v>
      </c>
      <c r="C209" t="s">
        <v>1059</v>
      </c>
      <c r="D209">
        <v>0</v>
      </c>
      <c r="E209">
        <v>2358.8185889551291</v>
      </c>
      <c r="F209">
        <v>0</v>
      </c>
      <c r="G209">
        <v>0</v>
      </c>
      <c r="H209">
        <v>2358.8185889551291</v>
      </c>
      <c r="I209">
        <v>2358.8185889551291</v>
      </c>
      <c r="J209">
        <v>0</v>
      </c>
      <c r="K209">
        <v>18.063277105640221</v>
      </c>
      <c r="L209">
        <v>0</v>
      </c>
      <c r="M209">
        <v>2340.7553118494889</v>
      </c>
      <c r="N209">
        <v>31</v>
      </c>
      <c r="O209">
        <v>9</v>
      </c>
      <c r="P209">
        <v>0.29032258064516098</v>
      </c>
    </row>
    <row r="210" spans="1:16" hidden="1" x14ac:dyDescent="0.25">
      <c r="A210" t="s">
        <v>552</v>
      </c>
      <c r="B210" t="s">
        <v>1062</v>
      </c>
      <c r="C210" t="s">
        <v>1061</v>
      </c>
      <c r="D210">
        <v>26938.785027320668</v>
      </c>
      <c r="E210">
        <v>7247.5815054432087</v>
      </c>
      <c r="F210">
        <v>13287.827912454144</v>
      </c>
      <c r="G210">
        <v>18024.543388814254</v>
      </c>
      <c r="H210">
        <v>65498.737834032276</v>
      </c>
      <c r="I210">
        <v>58824.853143696739</v>
      </c>
      <c r="J210">
        <v>6673.884690335537</v>
      </c>
      <c r="K210">
        <v>450.46686846056491</v>
      </c>
      <c r="L210">
        <v>0</v>
      </c>
      <c r="M210">
        <v>58374.386275236175</v>
      </c>
      <c r="N210">
        <v>193</v>
      </c>
      <c r="O210">
        <v>31</v>
      </c>
      <c r="P210">
        <v>0.16062176165803099</v>
      </c>
    </row>
    <row r="211" spans="1:16" hidden="1" x14ac:dyDescent="0.25">
      <c r="A211" t="s">
        <v>554</v>
      </c>
      <c r="B211" t="s">
        <v>1064</v>
      </c>
      <c r="C211" t="s">
        <v>1063</v>
      </c>
      <c r="D211">
        <v>221959.46413754844</v>
      </c>
      <c r="E211">
        <v>57711.240186380295</v>
      </c>
      <c r="F211">
        <v>143895.93089905556</v>
      </c>
      <c r="G211">
        <v>194885.00123438935</v>
      </c>
      <c r="H211">
        <v>618451.63645737362</v>
      </c>
      <c r="I211">
        <v>618451.63645737362</v>
      </c>
      <c r="J211">
        <v>0</v>
      </c>
      <c r="K211">
        <v>4735.9569481410053</v>
      </c>
      <c r="L211">
        <v>0</v>
      </c>
      <c r="M211">
        <v>613715.67950923264</v>
      </c>
      <c r="N211">
        <v>1162</v>
      </c>
      <c r="O211">
        <v>218</v>
      </c>
      <c r="P211">
        <v>0.187607573149742</v>
      </c>
    </row>
    <row r="212" spans="1:16" hidden="1" x14ac:dyDescent="0.25">
      <c r="A212" t="s">
        <v>444</v>
      </c>
      <c r="B212" t="s">
        <v>1066</v>
      </c>
      <c r="C212" t="s">
        <v>1065</v>
      </c>
      <c r="D212">
        <v>30972.619207685653</v>
      </c>
      <c r="E212">
        <v>8160.7747063877987</v>
      </c>
      <c r="F212">
        <v>18821.91468540447</v>
      </c>
      <c r="G212">
        <v>25871.061408851401</v>
      </c>
      <c r="H212">
        <v>83826.370008329322</v>
      </c>
      <c r="I212">
        <v>82746.582215571965</v>
      </c>
      <c r="J212">
        <v>1079.7877927573572</v>
      </c>
      <c r="K212">
        <v>633.65383463702631</v>
      </c>
      <c r="L212">
        <v>0</v>
      </c>
      <c r="M212">
        <v>82112.928380934944</v>
      </c>
      <c r="N212">
        <v>175</v>
      </c>
      <c r="O212">
        <v>31</v>
      </c>
      <c r="P212">
        <v>0.17714285714285699</v>
      </c>
    </row>
    <row r="213" spans="1:16" hidden="1" x14ac:dyDescent="0.25">
      <c r="A213" t="s">
        <v>556</v>
      </c>
      <c r="B213" t="s">
        <v>1068</v>
      </c>
      <c r="C213" t="s">
        <v>1067</v>
      </c>
      <c r="D213">
        <v>383225.94184027147</v>
      </c>
      <c r="E213">
        <v>82038.824787116231</v>
      </c>
      <c r="F213">
        <v>184867.85768140454</v>
      </c>
      <c r="G213">
        <v>250767.75105226313</v>
      </c>
      <c r="H213">
        <v>900900.37536105537</v>
      </c>
      <c r="I213">
        <v>900900.37536105537</v>
      </c>
      <c r="J213">
        <v>0</v>
      </c>
      <c r="K213">
        <v>6898.8828564092646</v>
      </c>
      <c r="L213">
        <v>0</v>
      </c>
      <c r="M213">
        <v>894001.49250464607</v>
      </c>
      <c r="N213">
        <v>3141</v>
      </c>
      <c r="O213">
        <v>441</v>
      </c>
      <c r="P213">
        <v>0.14040114613180499</v>
      </c>
    </row>
    <row r="214" spans="1:16" hidden="1" x14ac:dyDescent="0.25">
      <c r="A214" t="s">
        <v>196</v>
      </c>
      <c r="B214" t="s">
        <v>1070</v>
      </c>
      <c r="C214" t="s">
        <v>1069</v>
      </c>
      <c r="D214">
        <v>93979.049962655801</v>
      </c>
      <c r="E214">
        <v>24613.633290635702</v>
      </c>
      <c r="F214">
        <v>45682.689847933238</v>
      </c>
      <c r="G214">
        <v>62993.39883687516</v>
      </c>
      <c r="H214">
        <v>227268.7719380999</v>
      </c>
      <c r="I214">
        <v>227268.7719380999</v>
      </c>
      <c r="J214">
        <v>0</v>
      </c>
      <c r="K214">
        <v>1740.3707195621648</v>
      </c>
      <c r="L214">
        <v>0</v>
      </c>
      <c r="M214">
        <v>225528.40121853774</v>
      </c>
      <c r="N214">
        <v>1026</v>
      </c>
      <c r="O214">
        <v>89</v>
      </c>
      <c r="P214">
        <v>8.6744639376218305E-2</v>
      </c>
    </row>
    <row r="215" spans="1:16" hidden="1" x14ac:dyDescent="0.25">
      <c r="A215" t="s">
        <v>69</v>
      </c>
      <c r="B215" t="s">
        <v>1071</v>
      </c>
      <c r="C215" t="s">
        <v>15</v>
      </c>
      <c r="D215">
        <v>59718.402170953057</v>
      </c>
      <c r="E215">
        <v>16066.574148383796</v>
      </c>
      <c r="F215">
        <v>45142.553579007857</v>
      </c>
      <c r="G215">
        <v>61234.531409311487</v>
      </c>
      <c r="H215">
        <v>182162.0613076562</v>
      </c>
      <c r="I215">
        <v>161057.1501869972</v>
      </c>
      <c r="J215">
        <v>21104.911120659002</v>
      </c>
      <c r="K215">
        <v>1233.3377171498057</v>
      </c>
      <c r="L215">
        <v>0</v>
      </c>
      <c r="M215">
        <v>159823.81246984738</v>
      </c>
      <c r="N215">
        <v>399</v>
      </c>
      <c r="O215">
        <v>69</v>
      </c>
      <c r="P215">
        <v>0.172194800399085</v>
      </c>
    </row>
    <row r="216" spans="1:16" hidden="1" x14ac:dyDescent="0.25">
      <c r="A216" t="s">
        <v>71</v>
      </c>
      <c r="B216" t="s">
        <v>1072</v>
      </c>
      <c r="C216" t="s">
        <v>21</v>
      </c>
      <c r="D216">
        <v>40758.682908389936</v>
      </c>
      <c r="E216">
        <v>9791.4235986432614</v>
      </c>
      <c r="F216">
        <v>34328.351836556714</v>
      </c>
      <c r="G216">
        <v>47184.939113389206</v>
      </c>
      <c r="H216">
        <v>132063.39745697912</v>
      </c>
      <c r="I216">
        <v>132063.39745697912</v>
      </c>
      <c r="J216">
        <v>0</v>
      </c>
      <c r="K216">
        <v>1011.3103885765139</v>
      </c>
      <c r="L216">
        <v>0</v>
      </c>
      <c r="M216">
        <v>131052.0870684026</v>
      </c>
      <c r="N216">
        <v>159</v>
      </c>
      <c r="O216">
        <v>23</v>
      </c>
      <c r="P216">
        <v>0.14297469625690201</v>
      </c>
    </row>
    <row r="217" spans="1:16" hidden="1" x14ac:dyDescent="0.25">
      <c r="A217" t="s">
        <v>558</v>
      </c>
      <c r="B217" t="s">
        <v>1074</v>
      </c>
      <c r="C217" t="s">
        <v>1073</v>
      </c>
      <c r="D217">
        <v>104279.16784769295</v>
      </c>
      <c r="E217">
        <v>28055.154214618866</v>
      </c>
      <c r="F217">
        <v>57907.341209751925</v>
      </c>
      <c r="G217">
        <v>78549.586210984635</v>
      </c>
      <c r="H217">
        <v>268791.24948304839</v>
      </c>
      <c r="I217">
        <v>239446.01240179167</v>
      </c>
      <c r="J217">
        <v>29345.237081256724</v>
      </c>
      <c r="K217">
        <v>1833.6211585351398</v>
      </c>
      <c r="L217">
        <v>0</v>
      </c>
      <c r="M217">
        <v>237612.39124325654</v>
      </c>
      <c r="N217">
        <v>615</v>
      </c>
      <c r="O217">
        <v>120</v>
      </c>
      <c r="P217">
        <v>0.19512195121951201</v>
      </c>
    </row>
    <row r="218" spans="1:16" hidden="1" x14ac:dyDescent="0.25">
      <c r="A218" t="s">
        <v>560</v>
      </c>
      <c r="B218" t="s">
        <v>1076</v>
      </c>
      <c r="C218" t="s">
        <v>1075</v>
      </c>
      <c r="D218">
        <v>93606.138049894391</v>
      </c>
      <c r="E218">
        <v>19042.926288557661</v>
      </c>
      <c r="F218">
        <v>44777.733013083969</v>
      </c>
      <c r="G218">
        <v>61547.802117548199</v>
      </c>
      <c r="H218">
        <v>218974.59946908423</v>
      </c>
      <c r="I218">
        <v>218974.59946908423</v>
      </c>
      <c r="J218">
        <v>0</v>
      </c>
      <c r="K218">
        <v>1676.855900588245</v>
      </c>
      <c r="L218">
        <v>0</v>
      </c>
      <c r="M218">
        <v>217297.74356849599</v>
      </c>
      <c r="N218">
        <v>1000</v>
      </c>
      <c r="O218">
        <v>79</v>
      </c>
      <c r="P218">
        <v>7.9000000000000001E-2</v>
      </c>
    </row>
    <row r="219" spans="1:16" hidden="1" x14ac:dyDescent="0.25">
      <c r="A219" t="s">
        <v>562</v>
      </c>
      <c r="B219" t="s">
        <v>1078</v>
      </c>
      <c r="C219" t="s">
        <v>1077</v>
      </c>
      <c r="D219">
        <v>2024161.4495529251</v>
      </c>
      <c r="E219">
        <v>0</v>
      </c>
      <c r="F219">
        <v>1348913.3189749229</v>
      </c>
      <c r="G219">
        <v>1829760.8010730494</v>
      </c>
      <c r="H219">
        <v>5202835.5696008969</v>
      </c>
      <c r="I219">
        <v>4736233.1132494295</v>
      </c>
      <c r="J219">
        <v>466602.45635146741</v>
      </c>
      <c r="K219">
        <v>36268.957503607729</v>
      </c>
      <c r="L219">
        <v>0</v>
      </c>
      <c r="M219">
        <v>4699964.155745822</v>
      </c>
      <c r="N219">
        <v>17472</v>
      </c>
      <c r="O219">
        <v>2329</v>
      </c>
      <c r="P219">
        <v>0.13331481420587499</v>
      </c>
    </row>
    <row r="220" spans="1:16" hidden="1" x14ac:dyDescent="0.25">
      <c r="A220" t="s">
        <v>563</v>
      </c>
      <c r="B220" t="s">
        <v>1080</v>
      </c>
      <c r="C220" t="s">
        <v>1079</v>
      </c>
      <c r="D220">
        <v>82554.341212756932</v>
      </c>
      <c r="E220">
        <v>22210.330419906608</v>
      </c>
      <c r="F220">
        <v>55123.686106688081</v>
      </c>
      <c r="G220">
        <v>74773.640848413983</v>
      </c>
      <c r="H220">
        <v>234661.99858776561</v>
      </c>
      <c r="I220">
        <v>210399.25606614523</v>
      </c>
      <c r="J220">
        <v>24262.742521620385</v>
      </c>
      <c r="K220">
        <v>1611.187940835594</v>
      </c>
      <c r="L220">
        <v>0</v>
      </c>
      <c r="M220">
        <v>208788.06812530963</v>
      </c>
      <c r="N220">
        <v>375</v>
      </c>
      <c r="O220">
        <v>95</v>
      </c>
      <c r="P220">
        <v>0.25333333333333302</v>
      </c>
    </row>
    <row r="221" spans="1:16" hidden="1" x14ac:dyDescent="0.25">
      <c r="A221" t="s">
        <v>198</v>
      </c>
      <c r="B221" t="s">
        <v>1082</v>
      </c>
      <c r="C221" t="s">
        <v>1081</v>
      </c>
      <c r="D221">
        <v>1318262.4802079184</v>
      </c>
      <c r="E221">
        <v>0</v>
      </c>
      <c r="F221">
        <v>809058.87828823272</v>
      </c>
      <c r="G221">
        <v>1097464.3073262309</v>
      </c>
      <c r="H221">
        <v>3224785.6658223821</v>
      </c>
      <c r="I221">
        <v>2892899.832432983</v>
      </c>
      <c r="J221">
        <v>331885.83338939911</v>
      </c>
      <c r="K221">
        <v>22153.145458822379</v>
      </c>
      <c r="L221">
        <v>0</v>
      </c>
      <c r="M221">
        <v>2870746.6869741604</v>
      </c>
      <c r="N221">
        <v>15751</v>
      </c>
      <c r="O221">
        <v>1517</v>
      </c>
      <c r="P221">
        <v>9.6311345311408794E-2</v>
      </c>
    </row>
    <row r="222" spans="1:16" hidden="1" x14ac:dyDescent="0.25">
      <c r="A222" t="s">
        <v>200</v>
      </c>
      <c r="B222" t="s">
        <v>1084</v>
      </c>
      <c r="C222" t="s">
        <v>1083</v>
      </c>
      <c r="D222">
        <v>154686.01391368813</v>
      </c>
      <c r="E222">
        <v>0</v>
      </c>
      <c r="F222">
        <v>0</v>
      </c>
      <c r="G222">
        <v>0</v>
      </c>
      <c r="H222">
        <v>154686.01391368813</v>
      </c>
      <c r="I222">
        <v>154686.01391368813</v>
      </c>
      <c r="J222">
        <v>0</v>
      </c>
      <c r="K222">
        <v>1184.5490563679032</v>
      </c>
      <c r="L222">
        <v>0</v>
      </c>
      <c r="M222">
        <v>153501.46485732024</v>
      </c>
      <c r="N222">
        <v>4165</v>
      </c>
      <c r="O222">
        <v>163</v>
      </c>
      <c r="P222">
        <v>3.9135654261704698E-2</v>
      </c>
    </row>
    <row r="223" spans="1:16" hidden="1" x14ac:dyDescent="0.25">
      <c r="A223" t="s">
        <v>202</v>
      </c>
      <c r="B223" t="s">
        <v>1086</v>
      </c>
      <c r="C223" t="s">
        <v>1085</v>
      </c>
      <c r="D223">
        <v>43146.579257373196</v>
      </c>
      <c r="E223">
        <v>0</v>
      </c>
      <c r="F223">
        <v>20639.736310718396</v>
      </c>
      <c r="G223">
        <v>28369.690038557383</v>
      </c>
      <c r="H223">
        <v>92156.005606648978</v>
      </c>
      <c r="I223">
        <v>92156.005606648978</v>
      </c>
      <c r="J223">
        <v>0</v>
      </c>
      <c r="K223">
        <v>705.70898246109255</v>
      </c>
      <c r="L223">
        <v>0</v>
      </c>
      <c r="M223">
        <v>91450.296624187889</v>
      </c>
      <c r="N223">
        <v>414</v>
      </c>
      <c r="O223">
        <v>48</v>
      </c>
      <c r="P223">
        <v>0.115942028985507</v>
      </c>
    </row>
    <row r="224" spans="1:16" hidden="1" x14ac:dyDescent="0.25">
      <c r="A224" t="s">
        <v>295</v>
      </c>
      <c r="B224" t="s">
        <v>1088</v>
      </c>
      <c r="C224" t="s">
        <v>1087</v>
      </c>
      <c r="D224">
        <v>210296.32182618076</v>
      </c>
      <c r="E224">
        <v>0</v>
      </c>
      <c r="F224">
        <v>101446.76090453488</v>
      </c>
      <c r="G224">
        <v>137609.5141828745</v>
      </c>
      <c r="H224">
        <v>449352.5969135901</v>
      </c>
      <c r="I224">
        <v>449352.5969135901</v>
      </c>
      <c r="J224">
        <v>0</v>
      </c>
      <c r="K224">
        <v>3441.0363366623578</v>
      </c>
      <c r="L224">
        <v>0</v>
      </c>
      <c r="M224">
        <v>445911.56057692773</v>
      </c>
      <c r="N224">
        <v>2057</v>
      </c>
      <c r="O224">
        <v>242</v>
      </c>
      <c r="P224">
        <v>0.11764705882352899</v>
      </c>
    </row>
    <row r="225" spans="1:16" hidden="1" x14ac:dyDescent="0.25">
      <c r="A225" t="s">
        <v>204</v>
      </c>
      <c r="B225" t="s">
        <v>1090</v>
      </c>
      <c r="C225" t="s">
        <v>1089</v>
      </c>
      <c r="D225">
        <v>121997.64870928614</v>
      </c>
      <c r="E225">
        <v>0</v>
      </c>
      <c r="F225">
        <v>0</v>
      </c>
      <c r="G225">
        <v>0</v>
      </c>
      <c r="H225">
        <v>121997.64870928614</v>
      </c>
      <c r="I225">
        <v>121997.64870928614</v>
      </c>
      <c r="J225">
        <v>0</v>
      </c>
      <c r="K225">
        <v>934.22925577695037</v>
      </c>
      <c r="L225">
        <v>0</v>
      </c>
      <c r="M225">
        <v>121063.41945350918</v>
      </c>
      <c r="N225">
        <v>3824</v>
      </c>
      <c r="O225">
        <v>128</v>
      </c>
      <c r="P225">
        <v>3.3472803347280297E-2</v>
      </c>
    </row>
    <row r="226" spans="1:16" hidden="1" x14ac:dyDescent="0.25">
      <c r="A226" t="s">
        <v>565</v>
      </c>
      <c r="B226" t="s">
        <v>1092</v>
      </c>
      <c r="C226" t="s">
        <v>1091</v>
      </c>
      <c r="D226">
        <v>223331.21780714233</v>
      </c>
      <c r="E226">
        <v>49745.119925263476</v>
      </c>
      <c r="F226">
        <v>107734.78327465076</v>
      </c>
      <c r="G226">
        <v>146139.0295247882</v>
      </c>
      <c r="H226">
        <v>526950.1505318447</v>
      </c>
      <c r="I226">
        <v>526950.1505318447</v>
      </c>
      <c r="J226">
        <v>0</v>
      </c>
      <c r="K226">
        <v>4035.2601232178113</v>
      </c>
      <c r="L226">
        <v>0</v>
      </c>
      <c r="M226">
        <v>522914.89040862687</v>
      </c>
      <c r="N226">
        <v>2480</v>
      </c>
      <c r="O226">
        <v>257</v>
      </c>
      <c r="P226">
        <v>0.103629032258065</v>
      </c>
    </row>
    <row r="227" spans="1:16" hidden="1" x14ac:dyDescent="0.25">
      <c r="A227" t="s">
        <v>297</v>
      </c>
      <c r="B227" t="s">
        <v>1094</v>
      </c>
      <c r="C227" t="s">
        <v>1093</v>
      </c>
      <c r="D227">
        <v>0</v>
      </c>
      <c r="E227">
        <v>1528.7970987972483</v>
      </c>
      <c r="F227">
        <v>0</v>
      </c>
      <c r="G227">
        <v>0</v>
      </c>
      <c r="H227">
        <v>1528.7970987972483</v>
      </c>
      <c r="I227">
        <v>1528.7970987972483</v>
      </c>
      <c r="J227">
        <v>0</v>
      </c>
      <c r="K227">
        <v>11.707168055728271</v>
      </c>
      <c r="L227">
        <v>0</v>
      </c>
      <c r="M227">
        <v>1517.08993074152</v>
      </c>
      <c r="N227">
        <v>43</v>
      </c>
      <c r="O227">
        <v>4</v>
      </c>
      <c r="P227">
        <v>9.3023255813953501E-2</v>
      </c>
    </row>
    <row r="228" spans="1:16" hidden="1" x14ac:dyDescent="0.25">
      <c r="A228" t="s">
        <v>1420</v>
      </c>
      <c r="B228" t="s">
        <v>1421</v>
      </c>
      <c r="C228" t="s">
        <v>1426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74</v>
      </c>
      <c r="O228">
        <v>8</v>
      </c>
      <c r="P228">
        <v>0.107245316428542</v>
      </c>
    </row>
    <row r="229" spans="1:16" hidden="1" x14ac:dyDescent="0.25">
      <c r="A229" t="s">
        <v>567</v>
      </c>
      <c r="B229" t="s">
        <v>1096</v>
      </c>
      <c r="C229" t="s">
        <v>1095</v>
      </c>
      <c r="D229">
        <v>40842.674073679715</v>
      </c>
      <c r="E229">
        <v>10988.268734059058</v>
      </c>
      <c r="F229">
        <v>22380.350179790723</v>
      </c>
      <c r="G229">
        <v>30358.279436657092</v>
      </c>
      <c r="H229">
        <v>104569.57242418658</v>
      </c>
      <c r="I229">
        <v>90910.087738655275</v>
      </c>
      <c r="J229">
        <v>13659.484685531308</v>
      </c>
      <c r="K229">
        <v>696.16803691919404</v>
      </c>
      <c r="L229">
        <v>0</v>
      </c>
      <c r="M229">
        <v>90213.919701736086</v>
      </c>
      <c r="N229">
        <v>247</v>
      </c>
      <c r="O229">
        <v>47</v>
      </c>
      <c r="P229">
        <v>0.19028340080971701</v>
      </c>
    </row>
    <row r="230" spans="1:16" hidden="1" x14ac:dyDescent="0.25">
      <c r="A230" t="s">
        <v>569</v>
      </c>
      <c r="B230" t="s">
        <v>1098</v>
      </c>
      <c r="C230" t="s">
        <v>1097</v>
      </c>
      <c r="D230">
        <v>206820.3495645909</v>
      </c>
      <c r="E230">
        <v>52370.564365381637</v>
      </c>
      <c r="F230">
        <v>104555.24047984883</v>
      </c>
      <c r="G230">
        <v>137771.62268479104</v>
      </c>
      <c r="H230">
        <v>501517.77709461242</v>
      </c>
      <c r="I230">
        <v>501517.77709461242</v>
      </c>
      <c r="J230">
        <v>0</v>
      </c>
      <c r="K230">
        <v>3840.5049983422077</v>
      </c>
      <c r="L230">
        <v>0</v>
      </c>
      <c r="M230">
        <v>497677.27209627023</v>
      </c>
      <c r="N230">
        <v>1647</v>
      </c>
      <c r="O230">
        <v>238</v>
      </c>
      <c r="P230">
        <v>0.14450516089860399</v>
      </c>
    </row>
    <row r="231" spans="1:16" hidden="1" x14ac:dyDescent="0.25">
      <c r="A231" t="s">
        <v>206</v>
      </c>
      <c r="B231" t="s">
        <v>1100</v>
      </c>
      <c r="C231" t="s">
        <v>1099</v>
      </c>
      <c r="D231">
        <v>74733.403624179948</v>
      </c>
      <c r="E231">
        <v>0</v>
      </c>
      <c r="F231">
        <v>36051.328255330583</v>
      </c>
      <c r="G231">
        <v>48902.554626971949</v>
      </c>
      <c r="H231">
        <v>159687.28650648249</v>
      </c>
      <c r="I231">
        <v>159687.28650648249</v>
      </c>
      <c r="J231">
        <v>0</v>
      </c>
      <c r="K231">
        <v>1222.847623772574</v>
      </c>
      <c r="L231">
        <v>0</v>
      </c>
      <c r="M231">
        <v>158464.43888270992</v>
      </c>
      <c r="N231">
        <v>870</v>
      </c>
      <c r="O231">
        <v>86</v>
      </c>
      <c r="P231">
        <v>9.8850574712643705E-2</v>
      </c>
    </row>
    <row r="232" spans="1:16" hidden="1" x14ac:dyDescent="0.25">
      <c r="A232" t="s">
        <v>571</v>
      </c>
      <c r="B232" t="s">
        <v>1102</v>
      </c>
      <c r="C232" t="s">
        <v>1101</v>
      </c>
      <c r="D232">
        <v>13597.261156452951</v>
      </c>
      <c r="E232">
        <v>3561.1979477865334</v>
      </c>
      <c r="F232">
        <v>7634.8743479050181</v>
      </c>
      <c r="G232">
        <v>10527.985249291687</v>
      </c>
      <c r="H232">
        <v>35321.31870143619</v>
      </c>
      <c r="I232">
        <v>35321.31870143619</v>
      </c>
      <c r="J232">
        <v>0</v>
      </c>
      <c r="K232">
        <v>270.48233824683109</v>
      </c>
      <c r="L232">
        <v>0</v>
      </c>
      <c r="M232">
        <v>35050.836363189359</v>
      </c>
      <c r="N232">
        <v>110</v>
      </c>
      <c r="O232">
        <v>15</v>
      </c>
      <c r="P232">
        <v>0.13636363636363599</v>
      </c>
    </row>
    <row r="233" spans="1:16" hidden="1" x14ac:dyDescent="0.25">
      <c r="A233" t="s">
        <v>81</v>
      </c>
      <c r="B233" t="s">
        <v>1103</v>
      </c>
      <c r="C233" t="s">
        <v>50</v>
      </c>
      <c r="D233">
        <v>17446.121632891569</v>
      </c>
      <c r="E233">
        <v>0</v>
      </c>
      <c r="F233">
        <v>12323.201297372489</v>
      </c>
      <c r="G233">
        <v>16716.056073046999</v>
      </c>
      <c r="H233">
        <v>46485.379003311056</v>
      </c>
      <c r="I233">
        <v>44166.276055897761</v>
      </c>
      <c r="J233">
        <v>2319.1029474132956</v>
      </c>
      <c r="K233">
        <v>338.21493812937723</v>
      </c>
      <c r="L233">
        <v>0</v>
      </c>
      <c r="M233">
        <v>43828.061117768382</v>
      </c>
      <c r="N233">
        <v>144</v>
      </c>
      <c r="O233">
        <v>20</v>
      </c>
      <c r="P233">
        <v>0.139083769743266</v>
      </c>
    </row>
    <row r="234" spans="1:16" hidden="1" x14ac:dyDescent="0.25">
      <c r="A234" t="s">
        <v>80</v>
      </c>
      <c r="B234" t="s">
        <v>1104</v>
      </c>
      <c r="C234" t="s">
        <v>46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56</v>
      </c>
      <c r="O234">
        <v>4</v>
      </c>
      <c r="P234">
        <v>6.8637002514267006E-2</v>
      </c>
    </row>
    <row r="235" spans="1:16" hidden="1" x14ac:dyDescent="0.25">
      <c r="A235" t="s">
        <v>59</v>
      </c>
      <c r="B235" t="s">
        <v>1105</v>
      </c>
      <c r="C235" t="s">
        <v>24</v>
      </c>
      <c r="D235">
        <v>5651489.4695779271</v>
      </c>
      <c r="E235">
        <v>1520470.5971846825</v>
      </c>
      <c r="F235">
        <v>4848413.4014268834</v>
      </c>
      <c r="G235">
        <v>6576728.5892542154</v>
      </c>
      <c r="H235">
        <v>18597102.057443708</v>
      </c>
      <c r="I235">
        <v>16829686.407646596</v>
      </c>
      <c r="J235">
        <v>1767415.6497971117</v>
      </c>
      <c r="K235">
        <v>128877.77407121749</v>
      </c>
      <c r="L235">
        <v>0</v>
      </c>
      <c r="M235">
        <v>16700808.63357538</v>
      </c>
      <c r="N235">
        <v>68449</v>
      </c>
      <c r="O235">
        <v>6503</v>
      </c>
      <c r="P235">
        <v>9.5012059268042598E-2</v>
      </c>
    </row>
    <row r="236" spans="1:16" hidden="1" x14ac:dyDescent="0.25">
      <c r="A236" t="s">
        <v>299</v>
      </c>
      <c r="B236" t="s">
        <v>1107</v>
      </c>
      <c r="C236" t="s">
        <v>1106</v>
      </c>
      <c r="D236">
        <v>497064.03340733645</v>
      </c>
      <c r="E236">
        <v>0</v>
      </c>
      <c r="F236">
        <v>239783.25304708249</v>
      </c>
      <c r="G236">
        <v>325258.85170497623</v>
      </c>
      <c r="H236">
        <v>1062106.1381593952</v>
      </c>
      <c r="I236">
        <v>1011398.6581744819</v>
      </c>
      <c r="J236">
        <v>50707.479984913254</v>
      </c>
      <c r="K236">
        <v>7745.0526769720509</v>
      </c>
      <c r="L236">
        <v>0</v>
      </c>
      <c r="M236">
        <v>1003653.6054975099</v>
      </c>
      <c r="N236">
        <v>5072</v>
      </c>
      <c r="O236">
        <v>572</v>
      </c>
      <c r="P236">
        <v>0.112776025236593</v>
      </c>
    </row>
    <row r="237" spans="1:16" hidden="1" x14ac:dyDescent="0.25">
      <c r="A237" t="s">
        <v>573</v>
      </c>
      <c r="B237" t="s">
        <v>1109</v>
      </c>
      <c r="C237" t="s">
        <v>1108</v>
      </c>
      <c r="D237">
        <v>439710.49109110521</v>
      </c>
      <c r="E237">
        <v>0</v>
      </c>
      <c r="F237">
        <v>212115.95461857293</v>
      </c>
      <c r="G237">
        <v>287728.98420055583</v>
      </c>
      <c r="H237">
        <v>939555.42991023394</v>
      </c>
      <c r="I237">
        <v>842386.31708924158</v>
      </c>
      <c r="J237">
        <v>97169.112820992363</v>
      </c>
      <c r="K237">
        <v>6450.7959818660447</v>
      </c>
      <c r="L237">
        <v>0</v>
      </c>
      <c r="M237">
        <v>835935.52110737551</v>
      </c>
      <c r="N237">
        <v>4178</v>
      </c>
      <c r="O237">
        <v>506</v>
      </c>
      <c r="P237">
        <v>0.121110579224509</v>
      </c>
    </row>
    <row r="238" spans="1:16" hidden="1" x14ac:dyDescent="0.25">
      <c r="A238" t="s">
        <v>575</v>
      </c>
      <c r="B238" t="s">
        <v>1111</v>
      </c>
      <c r="C238" t="s">
        <v>1110</v>
      </c>
      <c r="D238">
        <v>72126.424427987542</v>
      </c>
      <c r="E238">
        <v>19404.81499844473</v>
      </c>
      <c r="F238">
        <v>49065.019352522257</v>
      </c>
      <c r="G238">
        <v>66555.239578596578</v>
      </c>
      <c r="H238">
        <v>207151.49835755109</v>
      </c>
      <c r="I238">
        <v>187982.29510412237</v>
      </c>
      <c r="J238">
        <v>19169.203253428714</v>
      </c>
      <c r="K238">
        <v>1439.524134377843</v>
      </c>
      <c r="L238">
        <v>0</v>
      </c>
      <c r="M238">
        <v>186542.77096974454</v>
      </c>
      <c r="N238">
        <v>320</v>
      </c>
      <c r="O238">
        <v>83</v>
      </c>
      <c r="P238">
        <v>0.25937500000000002</v>
      </c>
    </row>
    <row r="239" spans="1:16" hidden="1" x14ac:dyDescent="0.25">
      <c r="A239" t="s">
        <v>577</v>
      </c>
      <c r="B239" t="s">
        <v>1113</v>
      </c>
      <c r="C239" t="s">
        <v>1112</v>
      </c>
      <c r="D239">
        <v>399736.81008282286</v>
      </c>
      <c r="E239">
        <v>76286.975229982709</v>
      </c>
      <c r="F239">
        <v>192832.68601688457</v>
      </c>
      <c r="G239">
        <v>261571.80381868707</v>
      </c>
      <c r="H239">
        <v>930428.27514837729</v>
      </c>
      <c r="I239">
        <v>861981.98948200443</v>
      </c>
      <c r="J239">
        <v>68446.28566637286</v>
      </c>
      <c r="K239">
        <v>6600.8550250494427</v>
      </c>
      <c r="L239">
        <v>0</v>
      </c>
      <c r="M239">
        <v>855381.13445695501</v>
      </c>
      <c r="N239">
        <v>3126</v>
      </c>
      <c r="O239">
        <v>460</v>
      </c>
      <c r="P239">
        <v>0.14715291106845799</v>
      </c>
    </row>
    <row r="240" spans="1:16" hidden="1" x14ac:dyDescent="0.25">
      <c r="A240" t="s">
        <v>208</v>
      </c>
      <c r="B240" t="s">
        <v>1115</v>
      </c>
      <c r="C240" t="s">
        <v>1114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22</v>
      </c>
      <c r="O240">
        <v>4</v>
      </c>
      <c r="P240">
        <v>0.18181818181818199</v>
      </c>
    </row>
    <row r="241" spans="1:16" hidden="1" x14ac:dyDescent="0.25">
      <c r="A241" t="s">
        <v>579</v>
      </c>
      <c r="B241" t="s">
        <v>1117</v>
      </c>
      <c r="C241" t="s">
        <v>1116</v>
      </c>
      <c r="D241">
        <v>657827.75050586276</v>
      </c>
      <c r="E241">
        <v>176981.26450388736</v>
      </c>
      <c r="F241">
        <v>350487.36624534952</v>
      </c>
      <c r="G241">
        <v>475425.68896452303</v>
      </c>
      <c r="H241">
        <v>1660722.0702196225</v>
      </c>
      <c r="I241">
        <v>1617313.1914887053</v>
      </c>
      <c r="J241">
        <v>43408.878730917117</v>
      </c>
      <c r="K241">
        <v>12385.003442510846</v>
      </c>
      <c r="L241">
        <v>0</v>
      </c>
      <c r="M241">
        <v>1604928.1880461946</v>
      </c>
      <c r="N241">
        <v>4182</v>
      </c>
      <c r="O241">
        <v>757</v>
      </c>
      <c r="P241">
        <v>0.18101386896221899</v>
      </c>
    </row>
    <row r="242" spans="1:16" hidden="1" x14ac:dyDescent="0.25">
      <c r="A242" t="s">
        <v>210</v>
      </c>
      <c r="B242" t="s">
        <v>1119</v>
      </c>
      <c r="C242" t="s">
        <v>1118</v>
      </c>
      <c r="D242">
        <v>585701.32607787522</v>
      </c>
      <c r="E242">
        <v>0</v>
      </c>
      <c r="F242">
        <v>282541.80516386998</v>
      </c>
      <c r="G242">
        <v>383259.55602998938</v>
      </c>
      <c r="H242">
        <v>1251502.6872717347</v>
      </c>
      <c r="I242">
        <v>1237123.4090968166</v>
      </c>
      <c r="J242">
        <v>14379.278174918145</v>
      </c>
      <c r="K242">
        <v>9473.5996473085252</v>
      </c>
      <c r="L242">
        <v>0</v>
      </c>
      <c r="M242">
        <v>1227649.8094495081</v>
      </c>
      <c r="N242">
        <v>10363</v>
      </c>
      <c r="O242">
        <v>674</v>
      </c>
      <c r="P242">
        <v>6.5039081347100305E-2</v>
      </c>
    </row>
    <row r="243" spans="1:16" hidden="1" x14ac:dyDescent="0.25">
      <c r="A243" t="s">
        <v>301</v>
      </c>
      <c r="B243" t="s">
        <v>1121</v>
      </c>
      <c r="C243" t="s">
        <v>1120</v>
      </c>
      <c r="D243">
        <v>13903.889046359061</v>
      </c>
      <c r="E243">
        <v>0</v>
      </c>
      <c r="F243">
        <v>6707.2238614568541</v>
      </c>
      <c r="G243">
        <v>9098.1496980412903</v>
      </c>
      <c r="H243">
        <v>29709.262605857206</v>
      </c>
      <c r="I243">
        <v>26235.002294702212</v>
      </c>
      <c r="J243">
        <v>3474.2603111549943</v>
      </c>
      <c r="K243">
        <v>200.90146759706059</v>
      </c>
      <c r="L243">
        <v>0</v>
      </c>
      <c r="M243">
        <v>26034.100827105151</v>
      </c>
      <c r="N243">
        <v>126</v>
      </c>
      <c r="O243">
        <v>16</v>
      </c>
      <c r="P243">
        <v>0.126984126984127</v>
      </c>
    </row>
    <row r="244" spans="1:16" hidden="1" x14ac:dyDescent="0.25">
      <c r="A244" t="s">
        <v>212</v>
      </c>
      <c r="B244" t="s">
        <v>1123</v>
      </c>
      <c r="C244" t="s">
        <v>1122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68</v>
      </c>
      <c r="O244">
        <v>5</v>
      </c>
      <c r="P244">
        <v>7.3529411764705899E-2</v>
      </c>
    </row>
    <row r="245" spans="1:16" hidden="1" x14ac:dyDescent="0.25">
      <c r="A245" t="s">
        <v>214</v>
      </c>
      <c r="B245" t="s">
        <v>1125</v>
      </c>
      <c r="C245" t="s">
        <v>1124</v>
      </c>
      <c r="D245">
        <v>500540.00566892594</v>
      </c>
      <c r="E245">
        <v>0</v>
      </c>
      <c r="F245">
        <v>241460.05901244679</v>
      </c>
      <c r="G245">
        <v>327533.38912948652</v>
      </c>
      <c r="H245">
        <v>1069533.4538108592</v>
      </c>
      <c r="I245">
        <v>942940.04918074794</v>
      </c>
      <c r="J245">
        <v>126593.4046301113</v>
      </c>
      <c r="K245">
        <v>7220.8127755609576</v>
      </c>
      <c r="L245">
        <v>0</v>
      </c>
      <c r="M245">
        <v>935719.23640518694</v>
      </c>
      <c r="N245">
        <v>10791</v>
      </c>
      <c r="O245">
        <v>576</v>
      </c>
      <c r="P245">
        <v>5.33778148457048E-2</v>
      </c>
    </row>
    <row r="246" spans="1:16" hidden="1" x14ac:dyDescent="0.25">
      <c r="A246" t="s">
        <v>216</v>
      </c>
      <c r="B246" t="s">
        <v>1127</v>
      </c>
      <c r="C246" t="s">
        <v>1126</v>
      </c>
      <c r="D246">
        <v>231153.43965970015</v>
      </c>
      <c r="E246">
        <v>0</v>
      </c>
      <c r="F246">
        <v>0</v>
      </c>
      <c r="G246">
        <v>0</v>
      </c>
      <c r="H246">
        <v>231153.43965970015</v>
      </c>
      <c r="I246">
        <v>231153.43965970015</v>
      </c>
      <c r="J246">
        <v>0</v>
      </c>
      <c r="K246">
        <v>1770.1185898931699</v>
      </c>
      <c r="L246">
        <v>0</v>
      </c>
      <c r="M246">
        <v>229383.32106980699</v>
      </c>
      <c r="N246">
        <v>7767</v>
      </c>
      <c r="O246">
        <v>248</v>
      </c>
      <c r="P246">
        <v>3.1929960087549898E-2</v>
      </c>
    </row>
    <row r="247" spans="1:16" hidden="1" x14ac:dyDescent="0.25">
      <c r="A247" t="s">
        <v>581</v>
      </c>
      <c r="B247" t="s">
        <v>1129</v>
      </c>
      <c r="C247" t="s">
        <v>1128</v>
      </c>
      <c r="D247">
        <v>178143.57840647543</v>
      </c>
      <c r="E247">
        <v>47927.555116640571</v>
      </c>
      <c r="F247">
        <v>149167.08667320799</v>
      </c>
      <c r="G247">
        <v>202340.71690560295</v>
      </c>
      <c r="H247">
        <v>577578.93710192689</v>
      </c>
      <c r="I247">
        <v>498873.97084190487</v>
      </c>
      <c r="J247">
        <v>78704.966260022018</v>
      </c>
      <c r="K247">
        <v>3820.2593528398825</v>
      </c>
      <c r="L247">
        <v>0</v>
      </c>
      <c r="M247">
        <v>495053.71148906497</v>
      </c>
      <c r="N247">
        <v>610</v>
      </c>
      <c r="O247">
        <v>205</v>
      </c>
      <c r="P247">
        <v>0.33606557377049201</v>
      </c>
    </row>
    <row r="248" spans="1:16" hidden="1" x14ac:dyDescent="0.25">
      <c r="A248" t="s">
        <v>583</v>
      </c>
      <c r="B248" t="s">
        <v>1131</v>
      </c>
      <c r="C248" t="s">
        <v>1130</v>
      </c>
      <c r="D248">
        <v>71237.024177676998</v>
      </c>
      <c r="E248">
        <v>18769.781824691938</v>
      </c>
      <c r="F248">
        <v>44986.60796766854</v>
      </c>
      <c r="G248">
        <v>61834.904512131849</v>
      </c>
      <c r="H248">
        <v>196828.31848216933</v>
      </c>
      <c r="I248">
        <v>188679.65461310957</v>
      </c>
      <c r="J248">
        <v>8148.6638690597611</v>
      </c>
      <c r="K248">
        <v>1444.8643492261024</v>
      </c>
      <c r="L248">
        <v>0</v>
      </c>
      <c r="M248">
        <v>187234.79026388348</v>
      </c>
      <c r="N248">
        <v>375</v>
      </c>
      <c r="O248">
        <v>68</v>
      </c>
      <c r="P248">
        <v>0.18133333333333301</v>
      </c>
    </row>
    <row r="249" spans="1:16" hidden="1" x14ac:dyDescent="0.25">
      <c r="A249" t="s">
        <v>218</v>
      </c>
      <c r="B249" t="s">
        <v>1133</v>
      </c>
      <c r="C249" t="s">
        <v>1132</v>
      </c>
      <c r="D249">
        <v>861172.12780886411</v>
      </c>
      <c r="E249">
        <v>0</v>
      </c>
      <c r="F249">
        <v>483109.76008647622</v>
      </c>
      <c r="G249">
        <v>664043.08378385974</v>
      </c>
      <c r="H249">
        <v>2008324.9716792</v>
      </c>
      <c r="I249">
        <v>2008324.9716792</v>
      </c>
      <c r="J249">
        <v>0</v>
      </c>
      <c r="K249">
        <v>15379.279547600901</v>
      </c>
      <c r="L249">
        <v>0</v>
      </c>
      <c r="M249">
        <v>1992945.6921315989</v>
      </c>
      <c r="N249">
        <v>11662</v>
      </c>
      <c r="O249">
        <v>991</v>
      </c>
      <c r="P249">
        <v>8.4976847882010001E-2</v>
      </c>
    </row>
    <row r="250" spans="1:16" hidden="1" x14ac:dyDescent="0.25">
      <c r="A250" t="s">
        <v>220</v>
      </c>
      <c r="B250" t="s">
        <v>1135</v>
      </c>
      <c r="C250" t="s">
        <v>1134</v>
      </c>
      <c r="D250">
        <v>130348.95980961616</v>
      </c>
      <c r="E250">
        <v>0</v>
      </c>
      <c r="F250">
        <v>62880.223701158022</v>
      </c>
      <c r="G250">
        <v>85295.153419137103</v>
      </c>
      <c r="H250">
        <v>278524.33692991128</v>
      </c>
      <c r="I250">
        <v>263027.80207270564</v>
      </c>
      <c r="J250">
        <v>15496.534857205639</v>
      </c>
      <c r="K250">
        <v>2014.2049488559251</v>
      </c>
      <c r="L250">
        <v>0</v>
      </c>
      <c r="M250">
        <v>261013.59712384973</v>
      </c>
      <c r="N250">
        <v>1742</v>
      </c>
      <c r="O250">
        <v>150</v>
      </c>
      <c r="P250">
        <v>8.6107921928817402E-2</v>
      </c>
    </row>
    <row r="251" spans="1:16" hidden="1" x14ac:dyDescent="0.25">
      <c r="A251" t="s">
        <v>585</v>
      </c>
      <c r="B251" t="s">
        <v>1137</v>
      </c>
      <c r="C251" t="s">
        <v>1136</v>
      </c>
      <c r="D251">
        <v>59960.521512423416</v>
      </c>
      <c r="E251">
        <v>16131.713673405853</v>
      </c>
      <c r="F251">
        <v>33131.401227469054</v>
      </c>
      <c r="G251">
        <v>44941.760451083115</v>
      </c>
      <c r="H251">
        <v>154165.39686438144</v>
      </c>
      <c r="I251">
        <v>136210.21613807025</v>
      </c>
      <c r="J251">
        <v>17955.180726311199</v>
      </c>
      <c r="K251">
        <v>1043.0657492024343</v>
      </c>
      <c r="L251">
        <v>0</v>
      </c>
      <c r="M251">
        <v>135167.1503888678</v>
      </c>
      <c r="N251">
        <v>357</v>
      </c>
      <c r="O251">
        <v>69</v>
      </c>
      <c r="P251">
        <v>0.19327731092437</v>
      </c>
    </row>
    <row r="252" spans="1:16" hidden="1" x14ac:dyDescent="0.25">
      <c r="A252" t="s">
        <v>61</v>
      </c>
      <c r="B252" t="s">
        <v>1138</v>
      </c>
      <c r="C252" t="s">
        <v>32</v>
      </c>
      <c r="D252">
        <v>4414149.4521885253</v>
      </c>
      <c r="E252">
        <v>1162307.3328683204</v>
      </c>
      <c r="F252">
        <v>3719677.172166246</v>
      </c>
      <c r="G252">
        <v>5112653.2319499152</v>
      </c>
      <c r="H252">
        <v>14408787.189173006</v>
      </c>
      <c r="I252">
        <v>14408787.189173006</v>
      </c>
      <c r="J252">
        <v>0</v>
      </c>
      <c r="K252">
        <v>110339.0981285767</v>
      </c>
      <c r="L252">
        <v>0</v>
      </c>
      <c r="M252">
        <v>14298448.09104443</v>
      </c>
      <c r="N252">
        <v>34151</v>
      </c>
      <c r="O252">
        <v>4842</v>
      </c>
      <c r="P252">
        <v>0.14178376698008699</v>
      </c>
    </row>
    <row r="253" spans="1:16" hidden="1" x14ac:dyDescent="0.25">
      <c r="A253" t="s">
        <v>78</v>
      </c>
      <c r="B253" t="s">
        <v>1139</v>
      </c>
      <c r="C253" t="s">
        <v>35</v>
      </c>
      <c r="D253">
        <v>86915.03389674965</v>
      </c>
      <c r="E253">
        <v>0</v>
      </c>
      <c r="F253">
        <v>73240.806865636594</v>
      </c>
      <c r="G253">
        <v>100668.64155153101</v>
      </c>
      <c r="H253">
        <v>260824.48231391725</v>
      </c>
      <c r="I253">
        <v>260824.48231391725</v>
      </c>
      <c r="J253">
        <v>0</v>
      </c>
      <c r="K253">
        <v>1997.3324451620499</v>
      </c>
      <c r="L253">
        <v>0</v>
      </c>
      <c r="M253">
        <v>258827.14986875519</v>
      </c>
      <c r="N253">
        <v>970</v>
      </c>
      <c r="O253">
        <v>95</v>
      </c>
      <c r="P253">
        <v>9.8287212688936795E-2</v>
      </c>
    </row>
    <row r="254" spans="1:16" hidden="1" x14ac:dyDescent="0.25">
      <c r="A254" t="s">
        <v>587</v>
      </c>
      <c r="B254" t="s">
        <v>1141</v>
      </c>
      <c r="C254" t="s">
        <v>1140</v>
      </c>
      <c r="D254">
        <v>17379.861307948824</v>
      </c>
      <c r="E254">
        <v>4675.8590357698122</v>
      </c>
      <c r="F254">
        <v>8677.2147168561896</v>
      </c>
      <c r="G254">
        <v>11926.988223554987</v>
      </c>
      <c r="H254">
        <v>42659.923284129814</v>
      </c>
      <c r="I254">
        <v>41964.02507362717</v>
      </c>
      <c r="J254">
        <v>695.89821050264436</v>
      </c>
      <c r="K254">
        <v>321.35061887431192</v>
      </c>
      <c r="L254">
        <v>0</v>
      </c>
      <c r="M254">
        <v>41642.674454752858</v>
      </c>
      <c r="N254">
        <v>129</v>
      </c>
      <c r="O254">
        <v>20</v>
      </c>
      <c r="P254">
        <v>0.15503875968992201</v>
      </c>
    </row>
    <row r="255" spans="1:16" hidden="1" x14ac:dyDescent="0.25">
      <c r="A255" t="s">
        <v>589</v>
      </c>
      <c r="B255" t="s">
        <v>1143</v>
      </c>
      <c r="C255" t="s">
        <v>1142</v>
      </c>
      <c r="D255">
        <v>20855.833569538583</v>
      </c>
      <c r="E255">
        <v>0</v>
      </c>
      <c r="F255">
        <v>10060.835792185284</v>
      </c>
      <c r="G255">
        <v>13647.224547061936</v>
      </c>
      <c r="H255">
        <v>44563.893908785802</v>
      </c>
      <c r="I255">
        <v>39435.339376599615</v>
      </c>
      <c r="J255">
        <v>5128.5545321861864</v>
      </c>
      <c r="K255">
        <v>301.98653946932859</v>
      </c>
      <c r="L255">
        <v>0</v>
      </c>
      <c r="M255">
        <v>39133.352837130289</v>
      </c>
      <c r="N255">
        <v>162</v>
      </c>
      <c r="O255">
        <v>24</v>
      </c>
      <c r="P255">
        <v>0.148148148148148</v>
      </c>
    </row>
    <row r="256" spans="1:16" hidden="1" x14ac:dyDescent="0.25">
      <c r="A256" t="s">
        <v>222</v>
      </c>
      <c r="B256" t="s">
        <v>1145</v>
      </c>
      <c r="C256" t="s">
        <v>1144</v>
      </c>
      <c r="D256">
        <v>371929.0319901047</v>
      </c>
      <c r="E256">
        <v>0</v>
      </c>
      <c r="F256">
        <v>179418.23829397091</v>
      </c>
      <c r="G256">
        <v>243375.5044226046</v>
      </c>
      <c r="H256">
        <v>794722.77470668021</v>
      </c>
      <c r="I256">
        <v>713805.86035981379</v>
      </c>
      <c r="J256">
        <v>80916.914346866426</v>
      </c>
      <c r="K256">
        <v>5466.1571329318176</v>
      </c>
      <c r="L256">
        <v>0</v>
      </c>
      <c r="M256">
        <v>708339.70322688192</v>
      </c>
      <c r="N256">
        <v>5421</v>
      </c>
      <c r="O256">
        <v>428</v>
      </c>
      <c r="P256">
        <v>7.8952222837114894E-2</v>
      </c>
    </row>
    <row r="257" spans="1:16" hidden="1" x14ac:dyDescent="0.25">
      <c r="A257" t="s">
        <v>224</v>
      </c>
      <c r="B257" t="s">
        <v>1147</v>
      </c>
      <c r="C257" t="s">
        <v>1146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25</v>
      </c>
      <c r="O257">
        <v>1</v>
      </c>
      <c r="P257">
        <v>0.04</v>
      </c>
    </row>
    <row r="258" spans="1:16" hidden="1" x14ac:dyDescent="0.25">
      <c r="A258" t="s">
        <v>591</v>
      </c>
      <c r="B258" t="s">
        <v>1149</v>
      </c>
      <c r="C258" t="s">
        <v>1148</v>
      </c>
      <c r="D258">
        <v>0</v>
      </c>
      <c r="E258">
        <v>3230.306654611838</v>
      </c>
      <c r="F258">
        <v>0</v>
      </c>
      <c r="G258">
        <v>0</v>
      </c>
      <c r="H258">
        <v>3230.306654611838</v>
      </c>
      <c r="I258">
        <v>3230.306654611838</v>
      </c>
      <c r="J258">
        <v>0</v>
      </c>
      <c r="K258">
        <v>24.736927422763003</v>
      </c>
      <c r="L258">
        <v>0</v>
      </c>
      <c r="M258">
        <v>3205.5697271890749</v>
      </c>
      <c r="N258">
        <v>16</v>
      </c>
      <c r="O258">
        <v>5</v>
      </c>
      <c r="P258">
        <v>0.3125</v>
      </c>
    </row>
    <row r="259" spans="1:16" hidden="1" x14ac:dyDescent="0.25">
      <c r="A259" t="s">
        <v>226</v>
      </c>
      <c r="B259" t="s">
        <v>1151</v>
      </c>
      <c r="C259" t="s">
        <v>1150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15</v>
      </c>
      <c r="O259">
        <v>2</v>
      </c>
      <c r="P259">
        <v>0.133333333333333</v>
      </c>
    </row>
    <row r="260" spans="1:16" hidden="1" x14ac:dyDescent="0.25">
      <c r="A260" t="s">
        <v>228</v>
      </c>
      <c r="B260" t="s">
        <v>1153</v>
      </c>
      <c r="C260" t="s">
        <v>1152</v>
      </c>
      <c r="D260">
        <v>217248.26634936035</v>
      </c>
      <c r="E260">
        <v>0</v>
      </c>
      <c r="F260">
        <v>104800.37283526333</v>
      </c>
      <c r="G260">
        <v>142158.58903189519</v>
      </c>
      <c r="H260">
        <v>464207.22821651888</v>
      </c>
      <c r="I260">
        <v>442179.93023526401</v>
      </c>
      <c r="J260">
        <v>22027.297981254873</v>
      </c>
      <c r="K260">
        <v>3386.1097448491291</v>
      </c>
      <c r="L260">
        <v>0</v>
      </c>
      <c r="M260">
        <v>438793.82049041486</v>
      </c>
      <c r="N260">
        <v>3984</v>
      </c>
      <c r="O260">
        <v>250</v>
      </c>
      <c r="P260">
        <v>6.2751004016064302E-2</v>
      </c>
    </row>
    <row r="261" spans="1:16" hidden="1" x14ac:dyDescent="0.25">
      <c r="A261" t="s">
        <v>593</v>
      </c>
      <c r="B261" t="s">
        <v>1155</v>
      </c>
      <c r="C261" t="s">
        <v>1154</v>
      </c>
      <c r="D261">
        <v>0</v>
      </c>
      <c r="E261">
        <v>1617.3608360838525</v>
      </c>
      <c r="F261">
        <v>0</v>
      </c>
      <c r="G261">
        <v>0</v>
      </c>
      <c r="H261">
        <v>1617.3608360838525</v>
      </c>
      <c r="I261">
        <v>1617.3608360838525</v>
      </c>
      <c r="J261">
        <v>0</v>
      </c>
      <c r="K261">
        <v>12.385368293597216</v>
      </c>
      <c r="L261">
        <v>0</v>
      </c>
      <c r="M261">
        <v>1604.9754677902554</v>
      </c>
      <c r="N261">
        <v>53</v>
      </c>
      <c r="O261">
        <v>8</v>
      </c>
      <c r="P261">
        <v>0.15094339622641501</v>
      </c>
    </row>
    <row r="262" spans="1:16" hidden="1" x14ac:dyDescent="0.25">
      <c r="A262" t="s">
        <v>595</v>
      </c>
      <c r="B262" t="s">
        <v>1157</v>
      </c>
      <c r="C262" t="s">
        <v>1156</v>
      </c>
      <c r="D262">
        <v>123397.01528643665</v>
      </c>
      <c r="E262">
        <v>33198.599153965675</v>
      </c>
      <c r="F262">
        <v>59596.408818737858</v>
      </c>
      <c r="G262">
        <v>80840.756190411703</v>
      </c>
      <c r="H262">
        <v>297032.77944955189</v>
      </c>
      <c r="I262">
        <v>267197.29574404209</v>
      </c>
      <c r="J262">
        <v>29835.483705509803</v>
      </c>
      <c r="K262">
        <v>2046.1339492157726</v>
      </c>
      <c r="L262">
        <v>0</v>
      </c>
      <c r="M262">
        <v>265151.16179482633</v>
      </c>
      <c r="N262">
        <v>910</v>
      </c>
      <c r="O262">
        <v>142</v>
      </c>
      <c r="P262">
        <v>0.15604395604395599</v>
      </c>
    </row>
    <row r="263" spans="1:16" hidden="1" x14ac:dyDescent="0.25">
      <c r="A263" t="s">
        <v>230</v>
      </c>
      <c r="B263" t="s">
        <v>1159</v>
      </c>
      <c r="C263" t="s">
        <v>1158</v>
      </c>
      <c r="D263">
        <v>187702.50212584724</v>
      </c>
      <c r="E263">
        <v>0</v>
      </c>
      <c r="F263">
        <v>90547.522129667603</v>
      </c>
      <c r="G263">
        <v>122825.02092355747</v>
      </c>
      <c r="H263">
        <v>401075.0451790723</v>
      </c>
      <c r="I263">
        <v>386394.27315218165</v>
      </c>
      <c r="J263">
        <v>14680.772026890656</v>
      </c>
      <c r="K263">
        <v>2958.9163239009326</v>
      </c>
      <c r="L263">
        <v>0</v>
      </c>
      <c r="M263">
        <v>383435.35682828072</v>
      </c>
      <c r="N263">
        <v>2515</v>
      </c>
      <c r="O263">
        <v>216</v>
      </c>
      <c r="P263">
        <v>8.5884691848906597E-2</v>
      </c>
    </row>
    <row r="264" spans="1:16" hidden="1" x14ac:dyDescent="0.25">
      <c r="A264" t="s">
        <v>72</v>
      </c>
      <c r="B264" t="s">
        <v>1160</v>
      </c>
      <c r="C264" t="s">
        <v>25</v>
      </c>
      <c r="D264">
        <v>87908.76148636383</v>
      </c>
      <c r="E264">
        <v>23650.877842814029</v>
      </c>
      <c r="F264">
        <v>75416.93558621408</v>
      </c>
      <c r="G264">
        <v>102300.83025466157</v>
      </c>
      <c r="H264">
        <v>289277.40517005348</v>
      </c>
      <c r="I264">
        <v>262241.40546665981</v>
      </c>
      <c r="J264">
        <v>27035.999703393667</v>
      </c>
      <c r="K264">
        <v>2008.1829088921679</v>
      </c>
      <c r="L264">
        <v>0</v>
      </c>
      <c r="M264">
        <v>260233.22255776764</v>
      </c>
      <c r="N264">
        <v>770</v>
      </c>
      <c r="O264">
        <v>101</v>
      </c>
      <c r="P264">
        <v>0.131437712257298</v>
      </c>
    </row>
    <row r="265" spans="1:16" hidden="1" x14ac:dyDescent="0.25">
      <c r="A265" t="s">
        <v>73</v>
      </c>
      <c r="B265" t="s">
        <v>1161</v>
      </c>
      <c r="C265" t="s">
        <v>27</v>
      </c>
      <c r="D265">
        <v>31495.345883755865</v>
      </c>
      <c r="E265">
        <v>0</v>
      </c>
      <c r="F265">
        <v>26599.334127917802</v>
      </c>
      <c r="G265">
        <v>36461.089314891666</v>
      </c>
      <c r="H265">
        <v>94555.769326565336</v>
      </c>
      <c r="I265">
        <v>92384.336504161402</v>
      </c>
      <c r="J265">
        <v>2171.4328224039346</v>
      </c>
      <c r="K265">
        <v>707.4574866881062</v>
      </c>
      <c r="L265">
        <v>0</v>
      </c>
      <c r="M265">
        <v>91676.8790174733</v>
      </c>
      <c r="N265">
        <v>293</v>
      </c>
      <c r="O265">
        <v>36</v>
      </c>
      <c r="P265">
        <v>0.121903579756077</v>
      </c>
    </row>
    <row r="266" spans="1:16" hidden="1" x14ac:dyDescent="0.25">
      <c r="A266" t="s">
        <v>597</v>
      </c>
      <c r="B266" t="s">
        <v>1163</v>
      </c>
      <c r="C266" t="s">
        <v>1162</v>
      </c>
      <c r="D266">
        <v>22593.819700333479</v>
      </c>
      <c r="E266">
        <v>6078.6167465007529</v>
      </c>
      <c r="F266">
        <v>13739.349838777591</v>
      </c>
      <c r="G266">
        <v>18637.019453799265</v>
      </c>
      <c r="H266">
        <v>61048.805739411087</v>
      </c>
      <c r="I266">
        <v>55125.702543292537</v>
      </c>
      <c r="J266">
        <v>5923.1031961185508</v>
      </c>
      <c r="K266">
        <v>422.13964454285156</v>
      </c>
      <c r="L266">
        <v>0</v>
      </c>
      <c r="M266">
        <v>54703.562898749682</v>
      </c>
      <c r="N266">
        <v>114</v>
      </c>
      <c r="O266">
        <v>26</v>
      </c>
      <c r="P266">
        <v>0.22807017543859601</v>
      </c>
    </row>
    <row r="267" spans="1:16" hidden="1" x14ac:dyDescent="0.25">
      <c r="A267" t="s">
        <v>232</v>
      </c>
      <c r="B267" t="s">
        <v>1165</v>
      </c>
      <c r="C267" t="s">
        <v>1164</v>
      </c>
      <c r="D267">
        <v>486636.11662256706</v>
      </c>
      <c r="E267">
        <v>0</v>
      </c>
      <c r="F267">
        <v>234752.83515098982</v>
      </c>
      <c r="G267">
        <v>318435.23943144525</v>
      </c>
      <c r="H267">
        <v>1039824.1912050021</v>
      </c>
      <c r="I267">
        <v>993500.48827254912</v>
      </c>
      <c r="J267">
        <v>46323.702932453016</v>
      </c>
      <c r="K267">
        <v>7607.9927079959489</v>
      </c>
      <c r="L267">
        <v>0</v>
      </c>
      <c r="M267">
        <v>985892.49556455319</v>
      </c>
      <c r="N267">
        <v>10698</v>
      </c>
      <c r="O267">
        <v>560</v>
      </c>
      <c r="P267">
        <v>5.2346232940736599E-2</v>
      </c>
    </row>
    <row r="268" spans="1:16" hidden="1" x14ac:dyDescent="0.25">
      <c r="A268" t="s">
        <v>599</v>
      </c>
      <c r="B268" t="s">
        <v>1167</v>
      </c>
      <c r="C268" t="s">
        <v>1166</v>
      </c>
      <c r="D268">
        <v>1140118.9018014425</v>
      </c>
      <c r="E268">
        <v>306736.3527464997</v>
      </c>
      <c r="F268">
        <v>680154.41970085911</v>
      </c>
      <c r="G268">
        <v>922609.2428169999</v>
      </c>
      <c r="H268">
        <v>3049618.9170658016</v>
      </c>
      <c r="I268">
        <v>2731062.2344156052</v>
      </c>
      <c r="J268">
        <v>318556.68265019637</v>
      </c>
      <c r="K268">
        <v>20913.831256031553</v>
      </c>
      <c r="L268">
        <v>0</v>
      </c>
      <c r="M268">
        <v>2710148.4031595737</v>
      </c>
      <c r="N268">
        <v>6203</v>
      </c>
      <c r="O268">
        <v>1312</v>
      </c>
      <c r="P268">
        <v>0.21151055940673899</v>
      </c>
    </row>
    <row r="269" spans="1:16" hidden="1" x14ac:dyDescent="0.25">
      <c r="A269" t="s">
        <v>67</v>
      </c>
      <c r="B269" t="s">
        <v>1168</v>
      </c>
      <c r="C269" t="s">
        <v>11</v>
      </c>
      <c r="D269">
        <v>14741.468936946862</v>
      </c>
      <c r="E269">
        <v>3881.0824915780217</v>
      </c>
      <c r="F269">
        <v>8242.751003376763</v>
      </c>
      <c r="G269">
        <v>11329.565875478922</v>
      </c>
      <c r="H269">
        <v>38194.868307380573</v>
      </c>
      <c r="I269">
        <v>35253.301071581576</v>
      </c>
      <c r="J269">
        <v>2941.567235798997</v>
      </c>
      <c r="K269">
        <v>269.96147525978938</v>
      </c>
      <c r="L269">
        <v>0</v>
      </c>
      <c r="M269">
        <v>34983.339596321784</v>
      </c>
      <c r="N269">
        <v>83</v>
      </c>
      <c r="O269">
        <v>16</v>
      </c>
      <c r="P269">
        <v>0.191899475639566</v>
      </c>
    </row>
    <row r="270" spans="1:16" hidden="1" x14ac:dyDescent="0.25">
      <c r="A270" t="s">
        <v>62</v>
      </c>
      <c r="B270" t="s">
        <v>1169</v>
      </c>
      <c r="C270" t="s">
        <v>39</v>
      </c>
      <c r="D270">
        <v>3824677.3291069693</v>
      </c>
      <c r="E270">
        <v>0</v>
      </c>
      <c r="F270">
        <v>3078005.6871964685</v>
      </c>
      <c r="G270">
        <v>4175223.1760836504</v>
      </c>
      <c r="H270">
        <v>11077906.192387089</v>
      </c>
      <c r="I270">
        <v>10236814.259084687</v>
      </c>
      <c r="J270">
        <v>841091.9333024025</v>
      </c>
      <c r="K270">
        <v>78391.112189227046</v>
      </c>
      <c r="L270">
        <v>0</v>
      </c>
      <c r="M270">
        <v>10158423.146895459</v>
      </c>
      <c r="N270">
        <v>33071</v>
      </c>
      <c r="O270">
        <v>4401</v>
      </c>
      <c r="P270">
        <v>0.13308639129723801</v>
      </c>
    </row>
    <row r="271" spans="1:16" hidden="1" x14ac:dyDescent="0.25">
      <c r="A271" t="s">
        <v>601</v>
      </c>
      <c r="B271" t="s">
        <v>1171</v>
      </c>
      <c r="C271" t="s">
        <v>1170</v>
      </c>
      <c r="D271">
        <v>67365.446776716301</v>
      </c>
      <c r="E271">
        <v>17749.684986393455</v>
      </c>
      <c r="F271">
        <v>44335.308021352357</v>
      </c>
      <c r="G271">
        <v>60939.680982094593</v>
      </c>
      <c r="H271">
        <v>190390.12076655671</v>
      </c>
      <c r="I271">
        <v>175791.9873349345</v>
      </c>
      <c r="J271">
        <v>14598.133431622206</v>
      </c>
      <c r="K271">
        <v>1346.1736290575425</v>
      </c>
      <c r="L271">
        <v>0</v>
      </c>
      <c r="M271">
        <v>174445.81370587696</v>
      </c>
      <c r="N271">
        <v>347</v>
      </c>
      <c r="O271">
        <v>54</v>
      </c>
      <c r="P271">
        <v>0.155619596541787</v>
      </c>
    </row>
    <row r="272" spans="1:16" hidden="1" x14ac:dyDescent="0.25">
      <c r="A272" t="s">
        <v>234</v>
      </c>
      <c r="B272" t="s">
        <v>1173</v>
      </c>
      <c r="C272" t="s">
        <v>1172</v>
      </c>
      <c r="D272">
        <v>361501.11520533566</v>
      </c>
      <c r="E272">
        <v>0</v>
      </c>
      <c r="F272">
        <v>0</v>
      </c>
      <c r="G272">
        <v>0</v>
      </c>
      <c r="H272">
        <v>361501.11520533566</v>
      </c>
      <c r="I272">
        <v>327290.61511936615</v>
      </c>
      <c r="J272">
        <v>34210.500085969514</v>
      </c>
      <c r="K272">
        <v>2506.3144332753991</v>
      </c>
      <c r="L272">
        <v>0</v>
      </c>
      <c r="M272">
        <v>324784.30068609078</v>
      </c>
      <c r="N272">
        <v>9095</v>
      </c>
      <c r="O272">
        <v>416</v>
      </c>
      <c r="P272">
        <v>4.5739417262231997E-2</v>
      </c>
    </row>
    <row r="273" spans="1:16" hidden="1" x14ac:dyDescent="0.25">
      <c r="A273" t="s">
        <v>236</v>
      </c>
      <c r="B273" t="s">
        <v>1175</v>
      </c>
      <c r="C273" t="s">
        <v>1174</v>
      </c>
      <c r="D273">
        <v>20476.342698414395</v>
      </c>
      <c r="E273">
        <v>5395.1788336674917</v>
      </c>
      <c r="F273">
        <v>10478.496772818438</v>
      </c>
      <c r="G273">
        <v>14402.882916702147</v>
      </c>
      <c r="H273">
        <v>50752.901221602471</v>
      </c>
      <c r="I273">
        <v>50752.901221602471</v>
      </c>
      <c r="J273">
        <v>0</v>
      </c>
      <c r="K273">
        <v>388.65376208820044</v>
      </c>
      <c r="L273">
        <v>0</v>
      </c>
      <c r="M273">
        <v>50364.24745951427</v>
      </c>
      <c r="N273">
        <v>169</v>
      </c>
      <c r="O273">
        <v>21</v>
      </c>
      <c r="P273">
        <v>0.124260355029586</v>
      </c>
    </row>
    <row r="274" spans="1:16" hidden="1" x14ac:dyDescent="0.25">
      <c r="A274" t="s">
        <v>303</v>
      </c>
      <c r="B274" t="s">
        <v>1177</v>
      </c>
      <c r="C274" t="s">
        <v>1176</v>
      </c>
      <c r="D274">
        <v>142603.10093538597</v>
      </c>
      <c r="E274">
        <v>0</v>
      </c>
      <c r="F274">
        <v>68216.077637120121</v>
      </c>
      <c r="G274">
        <v>93764.229788452358</v>
      </c>
      <c r="H274">
        <v>304583.40836095845</v>
      </c>
      <c r="I274">
        <v>304583.40836095845</v>
      </c>
      <c r="J274">
        <v>0</v>
      </c>
      <c r="K274">
        <v>2332.4279928798815</v>
      </c>
      <c r="L274">
        <v>0</v>
      </c>
      <c r="M274">
        <v>302250.98036807857</v>
      </c>
      <c r="N274">
        <v>1511</v>
      </c>
      <c r="O274">
        <v>127</v>
      </c>
      <c r="P274">
        <v>8.4050297816015904E-2</v>
      </c>
    </row>
    <row r="275" spans="1:16" hidden="1" x14ac:dyDescent="0.25">
      <c r="A275" t="s">
        <v>238</v>
      </c>
      <c r="B275" t="s">
        <v>1179</v>
      </c>
      <c r="C275" t="s">
        <v>1178</v>
      </c>
      <c r="D275">
        <v>26938.785027320668</v>
      </c>
      <c r="E275">
        <v>4739.2710062714723</v>
      </c>
      <c r="F275">
        <v>12995.246231572653</v>
      </c>
      <c r="G275">
        <v>17627.665039955002</v>
      </c>
      <c r="H275">
        <v>62300.96730511979</v>
      </c>
      <c r="I275">
        <v>55894.898690926435</v>
      </c>
      <c r="J275">
        <v>6406.0686141933547</v>
      </c>
      <c r="K275">
        <v>428.0299674478685</v>
      </c>
      <c r="L275">
        <v>0</v>
      </c>
      <c r="M275">
        <v>55466.868723478568</v>
      </c>
      <c r="N275">
        <v>208</v>
      </c>
      <c r="O275">
        <v>31</v>
      </c>
      <c r="P275">
        <v>0.14903846153846201</v>
      </c>
    </row>
    <row r="276" spans="1:16" hidden="1" x14ac:dyDescent="0.25">
      <c r="A276" t="s">
        <v>240</v>
      </c>
      <c r="B276" t="s">
        <v>1181</v>
      </c>
      <c r="C276" t="s">
        <v>1180</v>
      </c>
      <c r="D276">
        <v>66043.472970205519</v>
      </c>
      <c r="E276">
        <v>0</v>
      </c>
      <c r="F276">
        <v>31859.313341920057</v>
      </c>
      <c r="G276">
        <v>43216.211065696123</v>
      </c>
      <c r="H276">
        <v>141118.99737782171</v>
      </c>
      <c r="I276">
        <v>141118.99737782171</v>
      </c>
      <c r="J276">
        <v>0</v>
      </c>
      <c r="K276">
        <v>1080.6560396129721</v>
      </c>
      <c r="L276">
        <v>0</v>
      </c>
      <c r="M276">
        <v>140038.34133820873</v>
      </c>
      <c r="N276">
        <v>864</v>
      </c>
      <c r="O276">
        <v>76</v>
      </c>
      <c r="P276">
        <v>8.7962962962963007E-2</v>
      </c>
    </row>
    <row r="277" spans="1:16" hidden="1" x14ac:dyDescent="0.25">
      <c r="A277" t="s">
        <v>603</v>
      </c>
      <c r="B277" t="s">
        <v>1183</v>
      </c>
      <c r="C277" t="s">
        <v>1182</v>
      </c>
      <c r="D277">
        <v>233759.13459191163</v>
      </c>
      <c r="E277">
        <v>62890.304031103966</v>
      </c>
      <c r="F277">
        <v>171591.55535728298</v>
      </c>
      <c r="G277">
        <v>232394.48307314407</v>
      </c>
      <c r="H277">
        <v>700635.47705344262</v>
      </c>
      <c r="I277">
        <v>700635.47705344262</v>
      </c>
      <c r="J277">
        <v>0</v>
      </c>
      <c r="K277">
        <v>5365.3014400165512</v>
      </c>
      <c r="L277">
        <v>0</v>
      </c>
      <c r="M277">
        <v>695270.17561342602</v>
      </c>
      <c r="N277">
        <v>1100</v>
      </c>
      <c r="O277">
        <v>269</v>
      </c>
      <c r="P277">
        <v>0.24454545454545501</v>
      </c>
    </row>
    <row r="278" spans="1:16" hidden="1" x14ac:dyDescent="0.25">
      <c r="A278" t="s">
        <v>605</v>
      </c>
      <c r="B278" t="s">
        <v>1185</v>
      </c>
      <c r="C278" t="s">
        <v>1184</v>
      </c>
      <c r="D278">
        <v>585701.32607787522</v>
      </c>
      <c r="E278">
        <v>157576.44950544261</v>
      </c>
      <c r="F278">
        <v>324376.77255493478</v>
      </c>
      <c r="G278">
        <v>440007.44514158223</v>
      </c>
      <c r="H278">
        <v>1507661.993279835</v>
      </c>
      <c r="I278">
        <v>1507661.993279835</v>
      </c>
      <c r="J278">
        <v>0</v>
      </c>
      <c r="K278">
        <v>11545.320396308609</v>
      </c>
      <c r="L278">
        <v>0</v>
      </c>
      <c r="M278">
        <v>1496116.6728835264</v>
      </c>
      <c r="N278">
        <v>3472</v>
      </c>
      <c r="O278">
        <v>674</v>
      </c>
      <c r="P278">
        <v>0.19412442396313401</v>
      </c>
    </row>
    <row r="279" spans="1:16" hidden="1" x14ac:dyDescent="0.25">
      <c r="A279" t="s">
        <v>242</v>
      </c>
      <c r="B279" t="s">
        <v>1187</v>
      </c>
      <c r="C279" t="s">
        <v>1186</v>
      </c>
      <c r="D279">
        <v>20855.833569538583</v>
      </c>
      <c r="E279">
        <v>0</v>
      </c>
      <c r="F279">
        <v>10060.835792185284</v>
      </c>
      <c r="G279">
        <v>13647.224547061936</v>
      </c>
      <c r="H279">
        <v>44563.893908785802</v>
      </c>
      <c r="I279">
        <v>41863.459968998788</v>
      </c>
      <c r="J279">
        <v>2700.4339397870135</v>
      </c>
      <c r="K279">
        <v>320.5805149924085</v>
      </c>
      <c r="L279">
        <v>0</v>
      </c>
      <c r="M279">
        <v>41542.879454006383</v>
      </c>
      <c r="N279">
        <v>219</v>
      </c>
      <c r="O279">
        <v>24</v>
      </c>
      <c r="P279">
        <v>0.10958904109589</v>
      </c>
    </row>
    <row r="280" spans="1:16" hidden="1" x14ac:dyDescent="0.25">
      <c r="A280" t="s">
        <v>244</v>
      </c>
      <c r="B280" t="s">
        <v>1189</v>
      </c>
      <c r="C280" t="s">
        <v>1188</v>
      </c>
      <c r="D280">
        <v>63436.493774013201</v>
      </c>
      <c r="E280">
        <v>0</v>
      </c>
      <c r="F280">
        <v>30601.708867896894</v>
      </c>
      <c r="G280">
        <v>41510.307997313401</v>
      </c>
      <c r="H280">
        <v>135548.5106392235</v>
      </c>
      <c r="I280">
        <v>132870.75796142218</v>
      </c>
      <c r="J280">
        <v>2677.7526778013271</v>
      </c>
      <c r="K280">
        <v>1017.4929651358941</v>
      </c>
      <c r="L280">
        <v>0</v>
      </c>
      <c r="M280">
        <v>131853.26499628628</v>
      </c>
      <c r="N280">
        <v>780</v>
      </c>
      <c r="O280">
        <v>73</v>
      </c>
      <c r="P280">
        <v>9.3589743589743604E-2</v>
      </c>
    </row>
    <row r="281" spans="1:16" hidden="1" x14ac:dyDescent="0.25">
      <c r="A281" t="s">
        <v>607</v>
      </c>
      <c r="B281" t="s">
        <v>1191</v>
      </c>
      <c r="C281" t="s">
        <v>1190</v>
      </c>
      <c r="D281">
        <v>39104.68794288487</v>
      </c>
      <c r="E281">
        <v>10520.682830482085</v>
      </c>
      <c r="F281">
        <v>23223.615899772383</v>
      </c>
      <c r="G281">
        <v>31502.14430744333</v>
      </c>
      <c r="H281">
        <v>104351.13098058267</v>
      </c>
      <c r="I281">
        <v>94815.121896290744</v>
      </c>
      <c r="J281">
        <v>9536.0090842919308</v>
      </c>
      <c r="K281">
        <v>726.07186861979358</v>
      </c>
      <c r="L281">
        <v>0</v>
      </c>
      <c r="M281">
        <v>94089.05002767095</v>
      </c>
      <c r="N281">
        <v>202</v>
      </c>
      <c r="O281">
        <v>45</v>
      </c>
      <c r="P281">
        <v>0.222772277227723</v>
      </c>
    </row>
    <row r="282" spans="1:16" hidden="1" x14ac:dyDescent="0.25">
      <c r="A282" t="s">
        <v>60</v>
      </c>
      <c r="B282" t="s">
        <v>1192</v>
      </c>
      <c r="C282" t="s">
        <v>43</v>
      </c>
      <c r="D282">
        <v>438743.81415792613</v>
      </c>
      <c r="E282">
        <v>118039.15989134953</v>
      </c>
      <c r="F282">
        <v>256324.90930906625</v>
      </c>
      <c r="G282">
        <v>347697.11648243648</v>
      </c>
      <c r="H282">
        <v>1160804.9998407783</v>
      </c>
      <c r="I282">
        <v>1069809.0099602554</v>
      </c>
      <c r="J282">
        <v>90995.989880522946</v>
      </c>
      <c r="K282">
        <v>8192.3453916745057</v>
      </c>
      <c r="L282">
        <v>0</v>
      </c>
      <c r="M282">
        <v>1061616.6645685809</v>
      </c>
      <c r="N282">
        <v>2257</v>
      </c>
      <c r="O282">
        <v>505</v>
      </c>
      <c r="P282">
        <v>0.223686849909671</v>
      </c>
    </row>
    <row r="283" spans="1:16" hidden="1" x14ac:dyDescent="0.25">
      <c r="A283" t="s">
        <v>246</v>
      </c>
      <c r="B283" t="s">
        <v>1194</v>
      </c>
      <c r="C283" t="s">
        <v>1193</v>
      </c>
      <c r="D283">
        <v>556155.56185436237</v>
      </c>
      <c r="E283">
        <v>0</v>
      </c>
      <c r="F283">
        <v>268288.9544582743</v>
      </c>
      <c r="G283">
        <v>363925.98792165169</v>
      </c>
      <c r="H283">
        <v>1188370.5042342884</v>
      </c>
      <c r="I283">
        <v>1146358.0521847396</v>
      </c>
      <c r="J283">
        <v>42012.452049548738</v>
      </c>
      <c r="K283">
        <v>8778.5399249661532</v>
      </c>
      <c r="L283">
        <v>0</v>
      </c>
      <c r="M283">
        <v>1137579.5122597734</v>
      </c>
      <c r="N283">
        <v>6882</v>
      </c>
      <c r="O283">
        <v>640</v>
      </c>
      <c r="P283">
        <v>9.2996222028480097E-2</v>
      </c>
    </row>
    <row r="284" spans="1:16" hidden="1" x14ac:dyDescent="0.25">
      <c r="A284" t="s">
        <v>609</v>
      </c>
      <c r="B284" t="s">
        <v>1196</v>
      </c>
      <c r="C284" t="s">
        <v>1195</v>
      </c>
      <c r="D284">
        <v>220724.23861095007</v>
      </c>
      <c r="E284">
        <v>59383.409754276603</v>
      </c>
      <c r="F284">
        <v>173260.69238803495</v>
      </c>
      <c r="G284">
        <v>235022.97652403562</v>
      </c>
      <c r="H284">
        <v>688391.31727729726</v>
      </c>
      <c r="I284">
        <v>595210.76318694442</v>
      </c>
      <c r="J284">
        <v>93180.554090352845</v>
      </c>
      <c r="K284">
        <v>4557.9838153081027</v>
      </c>
      <c r="L284">
        <v>0</v>
      </c>
      <c r="M284">
        <v>590652.77937163634</v>
      </c>
      <c r="N284">
        <v>810</v>
      </c>
      <c r="O284">
        <v>254</v>
      </c>
      <c r="P284">
        <v>0.31358024691358</v>
      </c>
    </row>
    <row r="285" spans="1:16" hidden="1" x14ac:dyDescent="0.25">
      <c r="A285" t="s">
        <v>248</v>
      </c>
      <c r="B285" t="s">
        <v>1198</v>
      </c>
      <c r="C285" t="s">
        <v>1197</v>
      </c>
      <c r="D285">
        <v>412771.70606378443</v>
      </c>
      <c r="E285">
        <v>0</v>
      </c>
      <c r="F285">
        <v>199120.7083870004</v>
      </c>
      <c r="G285">
        <v>270101.31916060083</v>
      </c>
      <c r="H285">
        <v>881993.73361138557</v>
      </c>
      <c r="I285">
        <v>800045.64059884043</v>
      </c>
      <c r="J285">
        <v>81948.093012545141</v>
      </c>
      <c r="K285">
        <v>6126.561055166927</v>
      </c>
      <c r="L285">
        <v>0</v>
      </c>
      <c r="M285">
        <v>793919.07954367355</v>
      </c>
      <c r="N285">
        <v>5730</v>
      </c>
      <c r="O285">
        <v>475</v>
      </c>
      <c r="P285">
        <v>8.2897033158813305E-2</v>
      </c>
    </row>
    <row r="286" spans="1:16" hidden="1" x14ac:dyDescent="0.25">
      <c r="A286" t="s">
        <v>611</v>
      </c>
      <c r="B286" t="s">
        <v>1200</v>
      </c>
      <c r="C286" t="s">
        <v>1199</v>
      </c>
      <c r="D286">
        <v>66912.466035602949</v>
      </c>
      <c r="E286">
        <v>18002.057287713775</v>
      </c>
      <c r="F286">
        <v>46331.930429351429</v>
      </c>
      <c r="G286">
        <v>62847.885735233744</v>
      </c>
      <c r="H286">
        <v>194094.33948790192</v>
      </c>
      <c r="I286">
        <v>171964.38787779442</v>
      </c>
      <c r="J286">
        <v>22129.951610107499</v>
      </c>
      <c r="K286">
        <v>1316.8627740526456</v>
      </c>
      <c r="L286">
        <v>0</v>
      </c>
      <c r="M286">
        <v>170647.52510374176</v>
      </c>
      <c r="N286">
        <v>290</v>
      </c>
      <c r="O286">
        <v>77</v>
      </c>
      <c r="P286">
        <v>0.26551724137930999</v>
      </c>
    </row>
    <row r="287" spans="1:16" hidden="1" x14ac:dyDescent="0.25">
      <c r="A287" t="s">
        <v>63</v>
      </c>
      <c r="B287" t="s">
        <v>1201</v>
      </c>
      <c r="C287" t="s">
        <v>49</v>
      </c>
      <c r="D287">
        <v>2367199.2490119534</v>
      </c>
      <c r="E287">
        <v>0</v>
      </c>
      <c r="F287">
        <v>1672089.2740748546</v>
      </c>
      <c r="G287">
        <v>2268139.3730487283</v>
      </c>
      <c r="H287">
        <v>6307427.896135536</v>
      </c>
      <c r="I287">
        <v>6307427.896135536</v>
      </c>
      <c r="J287">
        <v>0</v>
      </c>
      <c r="K287">
        <v>48300.797036795266</v>
      </c>
      <c r="L287">
        <v>0</v>
      </c>
      <c r="M287">
        <v>6259127.0990987411</v>
      </c>
      <c r="N287">
        <v>24671</v>
      </c>
      <c r="O287">
        <v>2724</v>
      </c>
      <c r="P287">
        <v>0.110416652001605</v>
      </c>
    </row>
    <row r="288" spans="1:16" hidden="1" x14ac:dyDescent="0.25">
      <c r="A288" t="s">
        <v>250</v>
      </c>
      <c r="B288" t="s">
        <v>1203</v>
      </c>
      <c r="C288" t="s">
        <v>1202</v>
      </c>
      <c r="D288">
        <v>99065.209455308272</v>
      </c>
      <c r="E288">
        <v>0</v>
      </c>
      <c r="F288">
        <v>47788.970012880083</v>
      </c>
      <c r="G288">
        <v>64824.31659854421</v>
      </c>
      <c r="H288">
        <v>211678.49606673256</v>
      </c>
      <c r="I288">
        <v>211678.49606673256</v>
      </c>
      <c r="J288">
        <v>0</v>
      </c>
      <c r="K288">
        <v>1620.9840594194584</v>
      </c>
      <c r="L288">
        <v>0</v>
      </c>
      <c r="M288">
        <v>210057.51200731311</v>
      </c>
      <c r="N288">
        <v>1416</v>
      </c>
      <c r="O288">
        <v>114</v>
      </c>
      <c r="P288">
        <v>8.0508474576271194E-2</v>
      </c>
    </row>
    <row r="289" spans="1:16" hidden="1" x14ac:dyDescent="0.25">
      <c r="A289" t="s">
        <v>613</v>
      </c>
      <c r="B289" t="s">
        <v>1205</v>
      </c>
      <c r="C289" t="s">
        <v>1204</v>
      </c>
      <c r="D289">
        <v>85174.702821135521</v>
      </c>
      <c r="E289">
        <v>22442.130442566453</v>
      </c>
      <c r="F289">
        <v>50032.650004897354</v>
      </c>
      <c r="G289">
        <v>68770.780356794188</v>
      </c>
      <c r="H289">
        <v>226420.26362539351</v>
      </c>
      <c r="I289">
        <v>209699.50165571424</v>
      </c>
      <c r="J289">
        <v>16720.761969679268</v>
      </c>
      <c r="K289">
        <v>1605.829386396226</v>
      </c>
      <c r="L289">
        <v>0</v>
      </c>
      <c r="M289">
        <v>208093.67226931802</v>
      </c>
      <c r="N289">
        <v>504</v>
      </c>
      <c r="O289">
        <v>92</v>
      </c>
      <c r="P289">
        <v>0.182539682539683</v>
      </c>
    </row>
    <row r="290" spans="1:16" hidden="1" x14ac:dyDescent="0.25">
      <c r="A290" t="s">
        <v>615</v>
      </c>
      <c r="B290" t="s">
        <v>1207</v>
      </c>
      <c r="C290" t="s">
        <v>1206</v>
      </c>
      <c r="D290">
        <v>271784.73354744149</v>
      </c>
      <c r="E290">
        <v>71610.798048552926</v>
      </c>
      <c r="F290">
        <v>140437.87743390026</v>
      </c>
      <c r="G290">
        <v>193034.39697549067</v>
      </c>
      <c r="H290">
        <v>676867.80600538536</v>
      </c>
      <c r="I290">
        <v>662201.21529031498</v>
      </c>
      <c r="J290">
        <v>14666.590715070372</v>
      </c>
      <c r="K290">
        <v>5070.9809170951112</v>
      </c>
      <c r="L290">
        <v>0</v>
      </c>
      <c r="M290">
        <v>657130.23437321989</v>
      </c>
      <c r="N290">
        <v>2014</v>
      </c>
      <c r="O290">
        <v>306</v>
      </c>
      <c r="P290">
        <v>0.15193644488579899</v>
      </c>
    </row>
    <row r="291" spans="1:16" hidden="1" x14ac:dyDescent="0.25">
      <c r="A291" t="s">
        <v>617</v>
      </c>
      <c r="B291" t="s">
        <v>1209</v>
      </c>
      <c r="C291" t="s">
        <v>1208</v>
      </c>
      <c r="D291">
        <v>32152.743419705315</v>
      </c>
      <c r="E291">
        <v>0</v>
      </c>
      <c r="F291">
        <v>15510.455179618972</v>
      </c>
      <c r="G291">
        <v>21039.47117672049</v>
      </c>
      <c r="H291">
        <v>68702.669776044771</v>
      </c>
      <c r="I291">
        <v>62296.878467553106</v>
      </c>
      <c r="J291">
        <v>6405.7913084916654</v>
      </c>
      <c r="K291">
        <v>477.05482051261259</v>
      </c>
      <c r="L291">
        <v>0</v>
      </c>
      <c r="M291">
        <v>61819.823647040495</v>
      </c>
      <c r="N291">
        <v>275</v>
      </c>
      <c r="O291">
        <v>37</v>
      </c>
      <c r="P291">
        <v>0.134545454545455</v>
      </c>
    </row>
    <row r="292" spans="1:16" hidden="1" x14ac:dyDescent="0.25">
      <c r="A292" t="s">
        <v>619</v>
      </c>
      <c r="B292" t="s">
        <v>1211</v>
      </c>
      <c r="C292" t="s">
        <v>1210</v>
      </c>
      <c r="D292">
        <v>924608.62158287689</v>
      </c>
      <c r="E292">
        <v>248755.70070295394</v>
      </c>
      <c r="F292">
        <v>524211.46492198692</v>
      </c>
      <c r="G292">
        <v>711077.26233753958</v>
      </c>
      <c r="H292">
        <v>2408653.049545357</v>
      </c>
      <c r="I292">
        <v>2093503.8062065672</v>
      </c>
      <c r="J292">
        <v>315149.24333878979</v>
      </c>
      <c r="K292">
        <v>16031.558997494867</v>
      </c>
      <c r="L292">
        <v>0</v>
      </c>
      <c r="M292">
        <v>2077472.2472090723</v>
      </c>
      <c r="N292">
        <v>5939</v>
      </c>
      <c r="O292">
        <v>1064</v>
      </c>
      <c r="P292">
        <v>0.17915473985519401</v>
      </c>
    </row>
    <row r="293" spans="1:16" hidden="1" x14ac:dyDescent="0.25">
      <c r="A293" t="s">
        <v>620</v>
      </c>
      <c r="B293" t="s">
        <v>1213</v>
      </c>
      <c r="C293" t="s">
        <v>1212</v>
      </c>
      <c r="D293">
        <v>661265.42008408858</v>
      </c>
      <c r="E293">
        <v>175110.92088957946</v>
      </c>
      <c r="F293">
        <v>425395.79968211905</v>
      </c>
      <c r="G293">
        <v>584714.20366057509</v>
      </c>
      <c r="H293">
        <v>1846486.3443163624</v>
      </c>
      <c r="I293">
        <v>1815122.4719472285</v>
      </c>
      <c r="J293">
        <v>31363.872369133867</v>
      </c>
      <c r="K293">
        <v>13899.780315866059</v>
      </c>
      <c r="L293">
        <v>0</v>
      </c>
      <c r="M293">
        <v>1801222.6916313625</v>
      </c>
      <c r="N293">
        <v>3491</v>
      </c>
      <c r="O293">
        <v>749</v>
      </c>
      <c r="P293">
        <v>0.21455170438269799</v>
      </c>
    </row>
    <row r="294" spans="1:16" hidden="1" x14ac:dyDescent="0.25">
      <c r="A294" t="s">
        <v>622</v>
      </c>
      <c r="B294" t="s">
        <v>1215</v>
      </c>
      <c r="C294" t="s">
        <v>1214</v>
      </c>
      <c r="D294">
        <v>175536.59921028311</v>
      </c>
      <c r="E294">
        <v>47226.176261275112</v>
      </c>
      <c r="F294">
        <v>108959.17651052236</v>
      </c>
      <c r="G294">
        <v>147799.88253630677</v>
      </c>
      <c r="H294">
        <v>479521.83451838733</v>
      </c>
      <c r="I294">
        <v>424855.22735403094</v>
      </c>
      <c r="J294">
        <v>54666.607164356392</v>
      </c>
      <c r="K294">
        <v>3253.4412512303729</v>
      </c>
      <c r="L294">
        <v>0</v>
      </c>
      <c r="M294">
        <v>421601.78610280057</v>
      </c>
      <c r="N294">
        <v>867</v>
      </c>
      <c r="O294">
        <v>202</v>
      </c>
      <c r="P294">
        <v>0.23298731257208799</v>
      </c>
    </row>
    <row r="295" spans="1:16" hidden="1" x14ac:dyDescent="0.25">
      <c r="A295" t="s">
        <v>252</v>
      </c>
      <c r="B295" t="s">
        <v>1217</v>
      </c>
      <c r="C295" t="s">
        <v>1216</v>
      </c>
      <c r="D295">
        <v>221593.23167634747</v>
      </c>
      <c r="E295">
        <v>0</v>
      </c>
      <c r="F295">
        <v>106896.38029196864</v>
      </c>
      <c r="G295">
        <v>145001.76081253309</v>
      </c>
      <c r="H295">
        <v>473491.37278084923</v>
      </c>
      <c r="I295">
        <v>473491.37278084923</v>
      </c>
      <c r="J295">
        <v>0</v>
      </c>
      <c r="K295">
        <v>3625.8853960698411</v>
      </c>
      <c r="L295">
        <v>0</v>
      </c>
      <c r="M295">
        <v>469865.48738477938</v>
      </c>
      <c r="N295">
        <v>3759</v>
      </c>
      <c r="O295">
        <v>255</v>
      </c>
      <c r="P295">
        <v>6.7837190742218695E-2</v>
      </c>
    </row>
    <row r="296" spans="1:16" hidden="1" x14ac:dyDescent="0.25">
      <c r="A296" t="s">
        <v>624</v>
      </c>
      <c r="B296" t="s">
        <v>1219</v>
      </c>
      <c r="C296" t="s">
        <v>1218</v>
      </c>
      <c r="D296">
        <v>0</v>
      </c>
      <c r="E296">
        <v>1545.6590177282774</v>
      </c>
      <c r="F296">
        <v>0</v>
      </c>
      <c r="G296">
        <v>0</v>
      </c>
      <c r="H296">
        <v>1545.6590177282774</v>
      </c>
      <c r="I296">
        <v>1545.6590177282774</v>
      </c>
      <c r="J296">
        <v>0</v>
      </c>
      <c r="K296">
        <v>11.836292658870788</v>
      </c>
      <c r="L296">
        <v>0</v>
      </c>
      <c r="M296">
        <v>1533.8227250694065</v>
      </c>
      <c r="N296">
        <v>66</v>
      </c>
      <c r="O296">
        <v>2</v>
      </c>
      <c r="P296">
        <v>3.03030303030303E-2</v>
      </c>
    </row>
    <row r="297" spans="1:16" hidden="1" x14ac:dyDescent="0.25">
      <c r="A297" t="s">
        <v>626</v>
      </c>
      <c r="B297" t="s">
        <v>1221</v>
      </c>
      <c r="C297" t="s">
        <v>1220</v>
      </c>
      <c r="D297">
        <v>33890.729550500218</v>
      </c>
      <c r="E297">
        <v>7949.7449137456952</v>
      </c>
      <c r="F297">
        <v>16348.85816230107</v>
      </c>
      <c r="G297">
        <v>22176.739888975648</v>
      </c>
      <c r="H297">
        <v>80366.072515522625</v>
      </c>
      <c r="I297">
        <v>80366.072515522625</v>
      </c>
      <c r="J297">
        <v>0</v>
      </c>
      <c r="K297">
        <v>615.42445211223333</v>
      </c>
      <c r="L297">
        <v>0</v>
      </c>
      <c r="M297">
        <v>79750.648063410394</v>
      </c>
      <c r="N297">
        <v>331</v>
      </c>
      <c r="O297">
        <v>39</v>
      </c>
      <c r="P297">
        <v>0.11782477341389699</v>
      </c>
    </row>
    <row r="298" spans="1:16" hidden="1" x14ac:dyDescent="0.25">
      <c r="A298" t="s">
        <v>628</v>
      </c>
      <c r="B298" t="s">
        <v>1223</v>
      </c>
      <c r="C298" t="s">
        <v>1222</v>
      </c>
      <c r="D298">
        <v>72995.41749338503</v>
      </c>
      <c r="E298">
        <v>19638.60795023321</v>
      </c>
      <c r="F298">
        <v>50468.516425569396</v>
      </c>
      <c r="G298">
        <v>68459.041618770614</v>
      </c>
      <c r="H298">
        <v>211561.58348795824</v>
      </c>
      <c r="I298">
        <v>188945.28796468797</v>
      </c>
      <c r="J298">
        <v>22616.295523270266</v>
      </c>
      <c r="K298">
        <v>1446.898506859304</v>
      </c>
      <c r="L298">
        <v>0</v>
      </c>
      <c r="M298">
        <v>187498.38945782866</v>
      </c>
      <c r="N298">
        <v>317</v>
      </c>
      <c r="O298">
        <v>84</v>
      </c>
      <c r="P298">
        <v>0.264984227129338</v>
      </c>
    </row>
    <row r="299" spans="1:16" hidden="1" x14ac:dyDescent="0.25">
      <c r="A299" t="s">
        <v>64</v>
      </c>
      <c r="B299" t="s">
        <v>1224</v>
      </c>
      <c r="C299" t="s">
        <v>53</v>
      </c>
      <c r="D299">
        <v>928474.19965927966</v>
      </c>
      <c r="E299">
        <v>149048.33912906065</v>
      </c>
      <c r="F299">
        <v>530132.29505004059</v>
      </c>
      <c r="G299">
        <v>719108.69232323871</v>
      </c>
      <c r="H299">
        <v>2326763.5261616195</v>
      </c>
      <c r="I299">
        <v>2098245.0850178078</v>
      </c>
      <c r="J299">
        <v>228518.44114381168</v>
      </c>
      <c r="K299">
        <v>16067.866593765115</v>
      </c>
      <c r="L299">
        <v>0</v>
      </c>
      <c r="M299">
        <v>2082177.2184240427</v>
      </c>
      <c r="N299">
        <v>7988</v>
      </c>
      <c r="O299">
        <v>1068</v>
      </c>
      <c r="P299">
        <v>0.13374996360458399</v>
      </c>
    </row>
    <row r="300" spans="1:16" hidden="1" x14ac:dyDescent="0.25">
      <c r="A300" t="s">
        <v>305</v>
      </c>
      <c r="B300" t="s">
        <v>1226</v>
      </c>
      <c r="C300" t="s">
        <v>1225</v>
      </c>
      <c r="D300">
        <v>318114.609778938</v>
      </c>
      <c r="E300">
        <v>0</v>
      </c>
      <c r="F300">
        <v>152174.3270366526</v>
      </c>
      <c r="G300">
        <v>209166.35875885526</v>
      </c>
      <c r="H300">
        <v>679455.29557444586</v>
      </c>
      <c r="I300">
        <v>679455.29557444586</v>
      </c>
      <c r="J300">
        <v>0</v>
      </c>
      <c r="K300">
        <v>5203.1085995012754</v>
      </c>
      <c r="L300">
        <v>0</v>
      </c>
      <c r="M300">
        <v>674252.18697494455</v>
      </c>
      <c r="N300">
        <v>3230</v>
      </c>
      <c r="O300">
        <v>350</v>
      </c>
      <c r="P300">
        <v>0.108359133126935</v>
      </c>
    </row>
    <row r="301" spans="1:16" hidden="1" x14ac:dyDescent="0.25">
      <c r="A301" t="s">
        <v>254</v>
      </c>
      <c r="B301" t="s">
        <v>1228</v>
      </c>
      <c r="C301" t="s">
        <v>1227</v>
      </c>
      <c r="D301">
        <v>636971.91693632398</v>
      </c>
      <c r="E301">
        <v>0</v>
      </c>
      <c r="F301">
        <v>316077.92447115429</v>
      </c>
      <c r="G301">
        <v>428750.30452019587</v>
      </c>
      <c r="H301">
        <v>1381800.1459276741</v>
      </c>
      <c r="I301">
        <v>1252321.1772190055</v>
      </c>
      <c r="J301">
        <v>129478.9687086686</v>
      </c>
      <c r="K301">
        <v>9589.9805755680263</v>
      </c>
      <c r="L301">
        <v>0</v>
      </c>
      <c r="M301">
        <v>1242731.1966434375</v>
      </c>
      <c r="N301">
        <v>6290</v>
      </c>
      <c r="O301">
        <v>733</v>
      </c>
      <c r="P301">
        <v>0.116534181240064</v>
      </c>
    </row>
    <row r="302" spans="1:16" hidden="1" x14ac:dyDescent="0.25">
      <c r="A302" t="s">
        <v>68</v>
      </c>
      <c r="B302" t="s">
        <v>1229</v>
      </c>
      <c r="C302" t="s">
        <v>13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118</v>
      </c>
      <c r="O302">
        <v>8</v>
      </c>
      <c r="P302">
        <v>7.0311301925765499E-2</v>
      </c>
    </row>
    <row r="303" spans="1:16" hidden="1" x14ac:dyDescent="0.25">
      <c r="A303" t="s">
        <v>630</v>
      </c>
      <c r="B303" t="s">
        <v>1231</v>
      </c>
      <c r="C303" t="s">
        <v>1230</v>
      </c>
      <c r="D303">
        <v>84292.327343551762</v>
      </c>
      <c r="E303">
        <v>22677.916323483594</v>
      </c>
      <c r="F303">
        <v>47892.198380122827</v>
      </c>
      <c r="G303">
        <v>64964.342808740621</v>
      </c>
      <c r="H303">
        <v>219826.78485589882</v>
      </c>
      <c r="I303">
        <v>212702.66845369089</v>
      </c>
      <c r="J303">
        <v>7124.116402207932</v>
      </c>
      <c r="K303">
        <v>1628.8269303024488</v>
      </c>
      <c r="L303">
        <v>0</v>
      </c>
      <c r="M303">
        <v>211073.84152338843</v>
      </c>
      <c r="N303">
        <v>475</v>
      </c>
      <c r="O303">
        <v>97</v>
      </c>
      <c r="P303">
        <v>0.20421052631578901</v>
      </c>
    </row>
    <row r="304" spans="1:16" hidden="1" x14ac:dyDescent="0.25">
      <c r="A304" t="s">
        <v>255</v>
      </c>
      <c r="B304" t="s">
        <v>1233</v>
      </c>
      <c r="C304" t="s">
        <v>1232</v>
      </c>
      <c r="D304">
        <v>172929.62001409073</v>
      </c>
      <c r="E304">
        <v>0</v>
      </c>
      <c r="F304">
        <v>0</v>
      </c>
      <c r="G304">
        <v>0</v>
      </c>
      <c r="H304">
        <v>172929.62001409073</v>
      </c>
      <c r="I304">
        <v>172929.62001409073</v>
      </c>
      <c r="J304">
        <v>0</v>
      </c>
      <c r="K304">
        <v>1324.2542943801636</v>
      </c>
      <c r="L304">
        <v>0</v>
      </c>
      <c r="M304">
        <v>171605.36571971056</v>
      </c>
      <c r="N304">
        <v>4732</v>
      </c>
      <c r="O304">
        <v>199</v>
      </c>
      <c r="P304">
        <v>4.2054099746407399E-2</v>
      </c>
    </row>
    <row r="305" spans="1:28" hidden="1" x14ac:dyDescent="0.25">
      <c r="A305" t="s">
        <v>306</v>
      </c>
      <c r="B305" t="s">
        <v>1235</v>
      </c>
      <c r="C305" t="s">
        <v>1234</v>
      </c>
      <c r="D305">
        <v>131217.95287501361</v>
      </c>
      <c r="E305">
        <v>0</v>
      </c>
      <c r="F305">
        <v>63299.42519249906</v>
      </c>
      <c r="G305">
        <v>85863.787775264675</v>
      </c>
      <c r="H305">
        <v>280381.16584277735</v>
      </c>
      <c r="I305">
        <v>254310.42950466654</v>
      </c>
      <c r="J305">
        <v>26070.736338110815</v>
      </c>
      <c r="K305">
        <v>1947.4493632136448</v>
      </c>
      <c r="L305">
        <v>0</v>
      </c>
      <c r="M305">
        <v>252362.98014145289</v>
      </c>
      <c r="N305">
        <v>1231</v>
      </c>
      <c r="O305">
        <v>151</v>
      </c>
      <c r="P305">
        <v>0.12266450040617401</v>
      </c>
    </row>
    <row r="306" spans="1:28" hidden="1" x14ac:dyDescent="0.25">
      <c r="A306" t="s">
        <v>70</v>
      </c>
      <c r="B306" t="s">
        <v>1236</v>
      </c>
      <c r="C306" t="s">
        <v>19</v>
      </c>
      <c r="D306">
        <v>27938.677967940141</v>
      </c>
      <c r="E306">
        <v>7361.3811916204668</v>
      </c>
      <c r="F306">
        <v>20388.675402595105</v>
      </c>
      <c r="G306">
        <v>28112.107567798615</v>
      </c>
      <c r="H306">
        <v>83800.842129954341</v>
      </c>
      <c r="I306">
        <v>82909.542787263592</v>
      </c>
      <c r="J306">
        <v>891.29934269074874</v>
      </c>
      <c r="K306">
        <v>634.90174830768444</v>
      </c>
      <c r="L306">
        <v>0</v>
      </c>
      <c r="M306">
        <v>82274.641038955902</v>
      </c>
      <c r="N306">
        <v>146</v>
      </c>
      <c r="O306">
        <v>27</v>
      </c>
      <c r="P306">
        <v>0.18500267811471999</v>
      </c>
    </row>
    <row r="307" spans="1:28" hidden="1" x14ac:dyDescent="0.25">
      <c r="A307" t="s">
        <v>257</v>
      </c>
      <c r="B307" t="s">
        <v>1238</v>
      </c>
      <c r="C307" t="s">
        <v>1237</v>
      </c>
      <c r="D307">
        <v>25200.798896525794</v>
      </c>
      <c r="E307">
        <v>0</v>
      </c>
      <c r="F307">
        <v>12156.843248890547</v>
      </c>
      <c r="G307">
        <v>16490.396327699844</v>
      </c>
      <c r="H307">
        <v>53848.03847311619</v>
      </c>
      <c r="I307">
        <v>52129.492671622822</v>
      </c>
      <c r="J307">
        <v>1718.5458014933683</v>
      </c>
      <c r="K307">
        <v>399.19537513949803</v>
      </c>
      <c r="L307">
        <v>0</v>
      </c>
      <c r="M307">
        <v>51730.297296483324</v>
      </c>
      <c r="N307">
        <v>226</v>
      </c>
      <c r="O307">
        <v>29</v>
      </c>
      <c r="P307">
        <v>0.12831858407079599</v>
      </c>
    </row>
    <row r="308" spans="1:28" hidden="1" x14ac:dyDescent="0.25">
      <c r="A308" t="s">
        <v>632</v>
      </c>
      <c r="B308" t="s">
        <v>1240</v>
      </c>
      <c r="C308" t="s">
        <v>1239</v>
      </c>
      <c r="D308">
        <v>37011.539395834203</v>
      </c>
      <c r="E308">
        <v>9623.296974698922</v>
      </c>
      <c r="F308">
        <v>19756.00479126177</v>
      </c>
      <c r="G308">
        <v>24933.148748039624</v>
      </c>
      <c r="H308">
        <v>91323.989909834519</v>
      </c>
      <c r="I308">
        <v>91323.989909834519</v>
      </c>
      <c r="J308">
        <v>0</v>
      </c>
      <c r="K308">
        <v>699.33760224636433</v>
      </c>
      <c r="L308">
        <v>0</v>
      </c>
      <c r="M308">
        <v>90624.652307588156</v>
      </c>
      <c r="N308">
        <v>319</v>
      </c>
      <c r="O308">
        <v>27</v>
      </c>
      <c r="P308">
        <v>8.4639498432601906E-2</v>
      </c>
    </row>
    <row r="309" spans="1:28" hidden="1" x14ac:dyDescent="0.25">
      <c r="A309" t="s">
        <v>634</v>
      </c>
      <c r="B309" t="s">
        <v>1242</v>
      </c>
      <c r="C309" t="s">
        <v>1241</v>
      </c>
      <c r="D309">
        <v>13903.889046359061</v>
      </c>
      <c r="E309">
        <v>2133.5378748984335</v>
      </c>
      <c r="F309">
        <v>6707.2238614568541</v>
      </c>
      <c r="G309">
        <v>9098.1496980412903</v>
      </c>
      <c r="H309">
        <v>31842.800480755643</v>
      </c>
      <c r="I309">
        <v>28668.854226823929</v>
      </c>
      <c r="J309">
        <v>3173.9462539317137</v>
      </c>
      <c r="K309">
        <v>219.53933236964858</v>
      </c>
      <c r="L309">
        <v>0</v>
      </c>
      <c r="M309">
        <v>28449.314894454281</v>
      </c>
      <c r="N309">
        <v>112</v>
      </c>
      <c r="O309">
        <v>16</v>
      </c>
      <c r="P309">
        <v>0.14285714285714299</v>
      </c>
    </row>
    <row r="310" spans="1:28" x14ac:dyDescent="0.25">
      <c r="A310" t="s">
        <v>636</v>
      </c>
      <c r="B310" t="s">
        <v>1244</v>
      </c>
      <c r="C310" t="s">
        <v>1243</v>
      </c>
      <c r="D310">
        <v>86899.306539744139</v>
      </c>
      <c r="E310">
        <v>18754.397102367388</v>
      </c>
      <c r="F310">
        <v>41920.149134105348</v>
      </c>
      <c r="G310">
        <v>56863.435612758076</v>
      </c>
      <c r="H310">
        <v>204437.28838897494</v>
      </c>
      <c r="I310">
        <v>204437.28838897494</v>
      </c>
      <c r="J310">
        <v>0</v>
      </c>
      <c r="K310">
        <v>1565.5325967782533</v>
      </c>
      <c r="L310">
        <v>0</v>
      </c>
      <c r="M310">
        <v>202871.75579219669</v>
      </c>
      <c r="N310">
        <v>822</v>
      </c>
      <c r="O310">
        <v>100</v>
      </c>
      <c r="P310">
        <v>0.121654501216545</v>
      </c>
    </row>
    <row r="311" spans="1:28" hidden="1" x14ac:dyDescent="0.25">
      <c r="A311" t="s">
        <v>638</v>
      </c>
      <c r="B311" t="s">
        <v>1246</v>
      </c>
      <c r="C311" t="s">
        <v>1245</v>
      </c>
      <c r="D311">
        <v>24331.805831128342</v>
      </c>
      <c r="E311">
        <v>6546.2026500777365</v>
      </c>
      <c r="F311">
        <v>13340.270019020911</v>
      </c>
      <c r="G311">
        <v>18095.679546765808</v>
      </c>
      <c r="H311">
        <v>62313.958046992797</v>
      </c>
      <c r="I311">
        <v>53730.222378614773</v>
      </c>
      <c r="J311">
        <v>8583.7356683780235</v>
      </c>
      <c r="K311">
        <v>411.45338616417536</v>
      </c>
      <c r="L311">
        <v>0</v>
      </c>
      <c r="M311">
        <v>53318.768992450598</v>
      </c>
      <c r="N311">
        <v>147</v>
      </c>
      <c r="O311">
        <v>28</v>
      </c>
      <c r="P311">
        <v>0.19047619047618999</v>
      </c>
    </row>
    <row r="312" spans="1:28" hidden="1" x14ac:dyDescent="0.25">
      <c r="A312" t="s">
        <v>640</v>
      </c>
      <c r="B312" t="s">
        <v>1248</v>
      </c>
      <c r="C312" t="s">
        <v>1247</v>
      </c>
      <c r="D312">
        <v>26938.785027320668</v>
      </c>
      <c r="E312">
        <v>7247.5815054432087</v>
      </c>
      <c r="F312">
        <v>37304.866474887727</v>
      </c>
      <c r="G312">
        <v>50602.941942100253</v>
      </c>
      <c r="H312">
        <v>122094.17494975186</v>
      </c>
      <c r="I312">
        <v>101038.96532942889</v>
      </c>
      <c r="J312">
        <v>21055.209620322974</v>
      </c>
      <c r="K312">
        <v>773.73259552829779</v>
      </c>
      <c r="L312">
        <v>0</v>
      </c>
      <c r="M312">
        <v>100265.23273390059</v>
      </c>
      <c r="N312">
        <v>44</v>
      </c>
      <c r="O312">
        <v>31</v>
      </c>
      <c r="P312">
        <v>0.70454545454545403</v>
      </c>
    </row>
    <row r="313" spans="1:28" hidden="1" x14ac:dyDescent="0.25">
      <c r="A313" t="s">
        <v>642</v>
      </c>
      <c r="B313" t="s">
        <v>1250</v>
      </c>
      <c r="C313" t="s">
        <v>1249</v>
      </c>
      <c r="D313">
        <v>232021.14846111674</v>
      </c>
      <c r="E313">
        <v>0</v>
      </c>
      <c r="F313">
        <v>111926.79818806124</v>
      </c>
      <c r="G313">
        <v>151825.37308606409</v>
      </c>
      <c r="H313">
        <v>495773.31973524205</v>
      </c>
      <c r="I313">
        <v>444789.40628678567</v>
      </c>
      <c r="J313">
        <v>50983.913448456384</v>
      </c>
      <c r="K313">
        <v>3406.0924977576715</v>
      </c>
      <c r="L313">
        <v>0</v>
      </c>
      <c r="M313">
        <v>441383.31378902798</v>
      </c>
      <c r="N313">
        <v>2686</v>
      </c>
      <c r="O313">
        <v>267</v>
      </c>
      <c r="P313">
        <v>9.9404318689501101E-2</v>
      </c>
    </row>
    <row r="314" spans="1:28" hidden="1" x14ac:dyDescent="0.25">
      <c r="A314" t="s">
        <v>644</v>
      </c>
      <c r="B314" t="s">
        <v>1252</v>
      </c>
      <c r="C314" t="s">
        <v>1251</v>
      </c>
      <c r="D314">
        <v>3867888.1340840105</v>
      </c>
      <c r="E314">
        <v>1040612.4284105719</v>
      </c>
      <c r="F314">
        <v>3112780.6739529921</v>
      </c>
      <c r="G314">
        <v>4222394.4114253521</v>
      </c>
      <c r="H314">
        <v>12243675.647872927</v>
      </c>
      <c r="I314">
        <v>10989332.717390718</v>
      </c>
      <c r="J314">
        <v>1254342.9304822087</v>
      </c>
      <c r="K314">
        <v>84153.721278004916</v>
      </c>
      <c r="L314">
        <v>0</v>
      </c>
      <c r="M314">
        <v>10905178.996112714</v>
      </c>
      <c r="N314">
        <v>16517</v>
      </c>
      <c r="O314">
        <v>4451</v>
      </c>
      <c r="P314">
        <v>0.269479929769329</v>
      </c>
    </row>
    <row r="315" spans="1:28" hidden="1" x14ac:dyDescent="0.25">
      <c r="A315" t="s">
        <v>646</v>
      </c>
      <c r="B315" t="s">
        <v>1254</v>
      </c>
      <c r="C315" t="s">
        <v>1253</v>
      </c>
      <c r="D315">
        <v>468387.26224922074</v>
      </c>
      <c r="E315">
        <v>0</v>
      </c>
      <c r="F315">
        <v>225949.60383282774</v>
      </c>
      <c r="G315">
        <v>306493.91795276606</v>
      </c>
      <c r="H315">
        <v>1000830.7840348146</v>
      </c>
      <c r="I315">
        <v>1000830.7840348146</v>
      </c>
      <c r="J315">
        <v>0</v>
      </c>
      <c r="K315">
        <v>7664.1263862025271</v>
      </c>
      <c r="L315">
        <v>0</v>
      </c>
      <c r="M315">
        <v>993166.65764861205</v>
      </c>
      <c r="N315">
        <v>6541</v>
      </c>
      <c r="O315">
        <v>539</v>
      </c>
      <c r="P315">
        <v>8.2403302247362795E-2</v>
      </c>
    </row>
    <row r="316" spans="1:28" hidden="1" x14ac:dyDescent="0.25">
      <c r="A316" t="s">
        <v>648</v>
      </c>
      <c r="B316" t="s">
        <v>1256</v>
      </c>
      <c r="C316" t="s">
        <v>1255</v>
      </c>
      <c r="D316">
        <v>139038.89046359059</v>
      </c>
      <c r="E316">
        <v>24367.248360682115</v>
      </c>
      <c r="F316">
        <v>67072.238614568574</v>
      </c>
      <c r="G316">
        <v>90981.496980412921</v>
      </c>
      <c r="H316">
        <v>321459.87441925419</v>
      </c>
      <c r="I316">
        <v>290809.79174610443</v>
      </c>
      <c r="J316">
        <v>30650.082673149765</v>
      </c>
      <c r="K316">
        <v>2226.9528813872398</v>
      </c>
      <c r="L316">
        <v>0</v>
      </c>
      <c r="M316">
        <v>288582.83886471717</v>
      </c>
      <c r="N316">
        <v>1203</v>
      </c>
      <c r="O316">
        <v>160</v>
      </c>
      <c r="P316">
        <v>0.13300083125519499</v>
      </c>
    </row>
    <row r="318" spans="1:28" x14ac:dyDescent="0.25">
      <c r="A318">
        <v>1</v>
      </c>
      <c r="B318">
        <v>2</v>
      </c>
      <c r="C318">
        <v>3</v>
      </c>
      <c r="D318">
        <v>4</v>
      </c>
      <c r="E318">
        <v>5</v>
      </c>
      <c r="F318">
        <v>6</v>
      </c>
      <c r="G318">
        <v>7</v>
      </c>
      <c r="H318">
        <v>8</v>
      </c>
      <c r="I318">
        <v>9</v>
      </c>
      <c r="J318">
        <v>10</v>
      </c>
      <c r="K318">
        <v>11</v>
      </c>
      <c r="L318">
        <v>12</v>
      </c>
      <c r="M318">
        <v>13</v>
      </c>
      <c r="N318">
        <v>14</v>
      </c>
      <c r="O318">
        <v>15</v>
      </c>
    </row>
    <row r="320" spans="1:28" x14ac:dyDescent="0.25">
      <c r="S320">
        <v>9</v>
      </c>
      <c r="T320">
        <v>10</v>
      </c>
      <c r="U320">
        <v>11</v>
      </c>
      <c r="V320">
        <v>12</v>
      </c>
      <c r="W320">
        <v>13</v>
      </c>
      <c r="X320">
        <v>14</v>
      </c>
      <c r="AB320">
        <v>12</v>
      </c>
    </row>
  </sheetData>
  <sheetProtection algorithmName="SHA-512" hashValue="rDqTiY1ngVFRBsuFUuVEBML4aSt8MPG7iJvwHxodeYholsnQZUN4V96M/up7iknJjQxzEFP0tAAGP0la6VoatA==" saltValue="Dj1fEXvOGpaPBIDwgD2yTw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2082-3702-49B9-8F49-1B3014A1CB77}">
  <dimension ref="A1:E316"/>
  <sheetViews>
    <sheetView workbookViewId="0">
      <selection activeCell="D4" sqref="D4"/>
    </sheetView>
    <sheetView workbookViewId="1"/>
  </sheetViews>
  <sheetFormatPr defaultRowHeight="15" x14ac:dyDescent="0.25"/>
  <cols>
    <col min="1" max="1" width="8.28515625" bestFit="1" customWidth="1"/>
    <col min="2" max="2" width="47.5703125" bestFit="1" customWidth="1"/>
    <col min="3" max="3" width="18.5703125" bestFit="1" customWidth="1"/>
    <col min="4" max="4" width="16.140625" bestFit="1" customWidth="1"/>
    <col min="5" max="5" width="16.85546875" bestFit="1" customWidth="1"/>
    <col min="6" max="6" width="16.140625" bestFit="1" customWidth="1"/>
    <col min="7" max="9" width="16.85546875" customWidth="1"/>
    <col min="10" max="10" width="34.7109375" bestFit="1" customWidth="1"/>
  </cols>
  <sheetData>
    <row r="1" spans="1:5" x14ac:dyDescent="0.25">
      <c r="A1" t="s">
        <v>4</v>
      </c>
      <c r="B1" t="s">
        <v>1277</v>
      </c>
      <c r="C1" t="s">
        <v>1303</v>
      </c>
      <c r="D1" t="s">
        <v>1357</v>
      </c>
      <c r="E1" t="s">
        <v>1358</v>
      </c>
    </row>
    <row r="2" spans="1:5" x14ac:dyDescent="0.25">
      <c r="A2" t="s">
        <v>308</v>
      </c>
      <c r="B2" t="s">
        <v>1381</v>
      </c>
      <c r="C2" t="s">
        <v>652</v>
      </c>
      <c r="D2" t="s">
        <v>1490</v>
      </c>
      <c r="E2" t="s">
        <v>1496</v>
      </c>
    </row>
    <row r="3" spans="1:5" x14ac:dyDescent="0.25">
      <c r="A3" t="s">
        <v>259</v>
      </c>
      <c r="B3" t="s">
        <v>260</v>
      </c>
      <c r="C3" t="s">
        <v>87</v>
      </c>
      <c r="D3" t="s">
        <v>1271</v>
      </c>
      <c r="E3" t="s">
        <v>87</v>
      </c>
    </row>
    <row r="4" spans="1:5" x14ac:dyDescent="0.25">
      <c r="A4" t="s">
        <v>261</v>
      </c>
      <c r="B4" t="s">
        <v>262</v>
      </c>
      <c r="C4" t="s">
        <v>87</v>
      </c>
      <c r="D4" t="s">
        <v>1271</v>
      </c>
      <c r="E4" t="s">
        <v>87</v>
      </c>
    </row>
    <row r="5" spans="1:5" x14ac:dyDescent="0.25">
      <c r="A5" t="s">
        <v>88</v>
      </c>
      <c r="B5" t="s">
        <v>89</v>
      </c>
      <c r="C5" t="s">
        <v>87</v>
      </c>
      <c r="D5" t="s">
        <v>1271</v>
      </c>
      <c r="E5" t="s">
        <v>87</v>
      </c>
    </row>
    <row r="6" spans="1:5" x14ac:dyDescent="0.25">
      <c r="A6" t="s">
        <v>90</v>
      </c>
      <c r="B6" t="s">
        <v>91</v>
      </c>
      <c r="C6" t="s">
        <v>87</v>
      </c>
      <c r="D6" t="s">
        <v>1271</v>
      </c>
      <c r="E6" t="s">
        <v>87</v>
      </c>
    </row>
    <row r="7" spans="1:5" x14ac:dyDescent="0.25">
      <c r="A7" t="s">
        <v>309</v>
      </c>
      <c r="B7" t="s">
        <v>310</v>
      </c>
      <c r="C7" t="s">
        <v>87</v>
      </c>
      <c r="D7" t="s">
        <v>1271</v>
      </c>
      <c r="E7" t="s">
        <v>87</v>
      </c>
    </row>
    <row r="8" spans="1:5" x14ac:dyDescent="0.25">
      <c r="A8" t="s">
        <v>311</v>
      </c>
      <c r="B8" t="s">
        <v>312</v>
      </c>
      <c r="C8" t="s">
        <v>652</v>
      </c>
      <c r="D8" t="s">
        <v>1490</v>
      </c>
      <c r="E8" t="s">
        <v>1499</v>
      </c>
    </row>
    <row r="9" spans="1:5" x14ac:dyDescent="0.25">
      <c r="A9" t="s">
        <v>92</v>
      </c>
      <c r="B9" t="s">
        <v>93</v>
      </c>
      <c r="C9" t="s">
        <v>87</v>
      </c>
      <c r="D9" t="s">
        <v>1271</v>
      </c>
      <c r="E9" t="s">
        <v>87</v>
      </c>
    </row>
    <row r="10" spans="1:5" x14ac:dyDescent="0.25">
      <c r="A10" t="s">
        <v>94</v>
      </c>
      <c r="B10" t="s">
        <v>95</v>
      </c>
      <c r="C10" t="s">
        <v>87</v>
      </c>
      <c r="D10" t="s">
        <v>1271</v>
      </c>
      <c r="E10" t="s">
        <v>87</v>
      </c>
    </row>
    <row r="11" spans="1:5" x14ac:dyDescent="0.25">
      <c r="A11" t="s">
        <v>96</v>
      </c>
      <c r="B11" t="s">
        <v>97</v>
      </c>
      <c r="C11" t="s">
        <v>87</v>
      </c>
      <c r="D11" t="s">
        <v>1271</v>
      </c>
      <c r="E11" t="s">
        <v>87</v>
      </c>
    </row>
    <row r="12" spans="1:5" x14ac:dyDescent="0.25">
      <c r="A12" t="s">
        <v>56</v>
      </c>
      <c r="B12" t="s">
        <v>1383</v>
      </c>
      <c r="C12" t="s">
        <v>87</v>
      </c>
      <c r="D12" t="s">
        <v>1271</v>
      </c>
      <c r="E12" t="s">
        <v>87</v>
      </c>
    </row>
    <row r="13" spans="1:5" x14ac:dyDescent="0.25">
      <c r="A13" t="s">
        <v>98</v>
      </c>
      <c r="B13" t="s">
        <v>99</v>
      </c>
      <c r="C13" t="s">
        <v>87</v>
      </c>
      <c r="D13" t="s">
        <v>1271</v>
      </c>
      <c r="E13" t="s">
        <v>87</v>
      </c>
    </row>
    <row r="14" spans="1:5" x14ac:dyDescent="0.25">
      <c r="A14" t="s">
        <v>263</v>
      </c>
      <c r="B14" t="s">
        <v>264</v>
      </c>
      <c r="C14" t="s">
        <v>87</v>
      </c>
      <c r="D14" t="s">
        <v>1271</v>
      </c>
      <c r="E14" t="s">
        <v>87</v>
      </c>
    </row>
    <row r="15" spans="1:5" x14ac:dyDescent="0.25">
      <c r="A15" t="s">
        <v>313</v>
      </c>
      <c r="B15" t="s">
        <v>314</v>
      </c>
      <c r="C15" t="s">
        <v>87</v>
      </c>
      <c r="D15" t="s">
        <v>1271</v>
      </c>
      <c r="E15" t="s">
        <v>87</v>
      </c>
    </row>
    <row r="16" spans="1:5" x14ac:dyDescent="0.25">
      <c r="A16" t="s">
        <v>315</v>
      </c>
      <c r="B16" t="s">
        <v>316</v>
      </c>
      <c r="C16" t="s">
        <v>87</v>
      </c>
      <c r="D16" t="s">
        <v>1271</v>
      </c>
      <c r="E16" t="s">
        <v>87</v>
      </c>
    </row>
    <row r="17" spans="1:5" x14ac:dyDescent="0.25">
      <c r="A17" t="s">
        <v>317</v>
      </c>
      <c r="B17" t="s">
        <v>318</v>
      </c>
      <c r="C17" t="s">
        <v>87</v>
      </c>
      <c r="D17" t="s">
        <v>1271</v>
      </c>
      <c r="E17" t="s">
        <v>87</v>
      </c>
    </row>
    <row r="18" spans="1:5" x14ac:dyDescent="0.25">
      <c r="A18" t="s">
        <v>55</v>
      </c>
      <c r="B18" t="s">
        <v>9</v>
      </c>
      <c r="C18" t="s">
        <v>652</v>
      </c>
      <c r="D18" t="s">
        <v>1490</v>
      </c>
      <c r="E18" t="s">
        <v>1497</v>
      </c>
    </row>
    <row r="19" spans="1:5" x14ac:dyDescent="0.25">
      <c r="A19" t="s">
        <v>319</v>
      </c>
      <c r="B19" t="s">
        <v>320</v>
      </c>
      <c r="C19" t="s">
        <v>652</v>
      </c>
      <c r="D19" t="s">
        <v>1490</v>
      </c>
      <c r="E19" t="s">
        <v>1462</v>
      </c>
    </row>
    <row r="20" spans="1:5" x14ac:dyDescent="0.25">
      <c r="A20" t="s">
        <v>321</v>
      </c>
      <c r="B20" t="s">
        <v>322</v>
      </c>
      <c r="C20" t="s">
        <v>87</v>
      </c>
      <c r="D20" t="s">
        <v>1271</v>
      </c>
      <c r="E20" t="s">
        <v>87</v>
      </c>
    </row>
    <row r="21" spans="1:5" x14ac:dyDescent="0.25">
      <c r="A21" t="s">
        <v>323</v>
      </c>
      <c r="B21" t="s">
        <v>324</v>
      </c>
      <c r="C21" t="s">
        <v>87</v>
      </c>
      <c r="D21" t="s">
        <v>1271</v>
      </c>
      <c r="E21" t="s">
        <v>87</v>
      </c>
    </row>
    <row r="22" spans="1:5" x14ac:dyDescent="0.25">
      <c r="A22" t="s">
        <v>325</v>
      </c>
      <c r="B22" t="s">
        <v>326</v>
      </c>
      <c r="C22" t="s">
        <v>87</v>
      </c>
      <c r="D22" t="s">
        <v>1271</v>
      </c>
      <c r="E22" t="s">
        <v>87</v>
      </c>
    </row>
    <row r="23" spans="1:5" x14ac:dyDescent="0.25">
      <c r="A23" t="s">
        <v>100</v>
      </c>
      <c r="B23" t="s">
        <v>101</v>
      </c>
      <c r="C23" t="s">
        <v>87</v>
      </c>
      <c r="D23" t="s">
        <v>1271</v>
      </c>
      <c r="E23" t="s">
        <v>87</v>
      </c>
    </row>
    <row r="24" spans="1:5" x14ac:dyDescent="0.25">
      <c r="A24" t="s">
        <v>327</v>
      </c>
      <c r="B24" t="s">
        <v>328</v>
      </c>
      <c r="C24" t="s">
        <v>87</v>
      </c>
      <c r="D24" t="s">
        <v>1271</v>
      </c>
      <c r="E24" t="s">
        <v>87</v>
      </c>
    </row>
    <row r="25" spans="1:5" x14ac:dyDescent="0.25">
      <c r="A25" t="s">
        <v>102</v>
      </c>
      <c r="B25" t="s">
        <v>103</v>
      </c>
      <c r="C25" t="s">
        <v>87</v>
      </c>
      <c r="D25" t="s">
        <v>1271</v>
      </c>
      <c r="E25" t="s">
        <v>87</v>
      </c>
    </row>
    <row r="26" spans="1:5" x14ac:dyDescent="0.25">
      <c r="A26" t="s">
        <v>329</v>
      </c>
      <c r="B26" t="s">
        <v>330</v>
      </c>
      <c r="C26" t="s">
        <v>87</v>
      </c>
      <c r="D26" t="s">
        <v>1271</v>
      </c>
      <c r="E26" t="s">
        <v>87</v>
      </c>
    </row>
    <row r="27" spans="1:5" x14ac:dyDescent="0.25">
      <c r="A27" t="s">
        <v>331</v>
      </c>
      <c r="B27" t="s">
        <v>332</v>
      </c>
      <c r="C27" t="s">
        <v>87</v>
      </c>
      <c r="D27" t="s">
        <v>1271</v>
      </c>
      <c r="E27" t="s">
        <v>87</v>
      </c>
    </row>
    <row r="28" spans="1:5" x14ac:dyDescent="0.25">
      <c r="A28" t="s">
        <v>104</v>
      </c>
      <c r="B28" t="s">
        <v>105</v>
      </c>
      <c r="C28" t="s">
        <v>87</v>
      </c>
      <c r="D28" t="s">
        <v>1271</v>
      </c>
      <c r="E28" t="s">
        <v>87</v>
      </c>
    </row>
    <row r="29" spans="1:5" x14ac:dyDescent="0.25">
      <c r="A29" t="s">
        <v>66</v>
      </c>
      <c r="B29" t="s">
        <v>1394</v>
      </c>
      <c r="C29" t="s">
        <v>87</v>
      </c>
      <c r="D29" t="s">
        <v>1271</v>
      </c>
      <c r="E29" t="s">
        <v>87</v>
      </c>
    </row>
    <row r="30" spans="1:5" x14ac:dyDescent="0.25">
      <c r="A30" t="s">
        <v>333</v>
      </c>
      <c r="B30" t="s">
        <v>334</v>
      </c>
      <c r="C30" t="s">
        <v>652</v>
      </c>
      <c r="D30" t="s">
        <v>1490</v>
      </c>
      <c r="E30" t="s">
        <v>1500</v>
      </c>
    </row>
    <row r="31" spans="1:5" x14ac:dyDescent="0.25">
      <c r="A31" t="s">
        <v>106</v>
      </c>
      <c r="B31" t="s">
        <v>107</v>
      </c>
      <c r="C31" t="s">
        <v>87</v>
      </c>
      <c r="D31" t="s">
        <v>1271</v>
      </c>
      <c r="E31" t="s">
        <v>87</v>
      </c>
    </row>
    <row r="32" spans="1:5" x14ac:dyDescent="0.25">
      <c r="A32" t="s">
        <v>265</v>
      </c>
      <c r="B32" t="s">
        <v>266</v>
      </c>
      <c r="C32" t="s">
        <v>87</v>
      </c>
      <c r="D32" t="s">
        <v>1271</v>
      </c>
      <c r="E32" t="s">
        <v>87</v>
      </c>
    </row>
    <row r="33" spans="1:5" x14ac:dyDescent="0.25">
      <c r="A33" t="s">
        <v>335</v>
      </c>
      <c r="B33" t="s">
        <v>336</v>
      </c>
      <c r="C33" t="s">
        <v>652</v>
      </c>
      <c r="D33" t="s">
        <v>1490</v>
      </c>
      <c r="E33" t="s">
        <v>1501</v>
      </c>
    </row>
    <row r="34" spans="1:5" x14ac:dyDescent="0.25">
      <c r="A34" t="s">
        <v>337</v>
      </c>
      <c r="B34" t="s">
        <v>338</v>
      </c>
      <c r="C34" t="s">
        <v>87</v>
      </c>
      <c r="D34" t="s">
        <v>1271</v>
      </c>
      <c r="E34" t="s">
        <v>87</v>
      </c>
    </row>
    <row r="35" spans="1:5" x14ac:dyDescent="0.25">
      <c r="A35" t="s">
        <v>267</v>
      </c>
      <c r="B35" t="s">
        <v>268</v>
      </c>
      <c r="C35" t="s">
        <v>87</v>
      </c>
      <c r="D35" t="s">
        <v>1271</v>
      </c>
      <c r="E35" t="s">
        <v>87</v>
      </c>
    </row>
    <row r="36" spans="1:5" x14ac:dyDescent="0.25">
      <c r="A36" t="s">
        <v>339</v>
      </c>
      <c r="B36" t="s">
        <v>340</v>
      </c>
      <c r="C36" t="s">
        <v>87</v>
      </c>
      <c r="D36" t="s">
        <v>1271</v>
      </c>
      <c r="E36" t="s">
        <v>87</v>
      </c>
    </row>
    <row r="37" spans="1:5" x14ac:dyDescent="0.25">
      <c r="A37" t="s">
        <v>108</v>
      </c>
      <c r="B37" t="s">
        <v>109</v>
      </c>
      <c r="C37" t="s">
        <v>652</v>
      </c>
      <c r="D37" t="s">
        <v>1490</v>
      </c>
      <c r="E37" t="s">
        <v>1502</v>
      </c>
    </row>
    <row r="38" spans="1:5" x14ac:dyDescent="0.25">
      <c r="A38" t="s">
        <v>341</v>
      </c>
      <c r="B38" t="s">
        <v>342</v>
      </c>
      <c r="C38" t="s">
        <v>652</v>
      </c>
      <c r="D38" t="s">
        <v>1490</v>
      </c>
      <c r="E38" t="s">
        <v>1503</v>
      </c>
    </row>
    <row r="39" spans="1:5" x14ac:dyDescent="0.25">
      <c r="A39" t="s">
        <v>343</v>
      </c>
      <c r="B39" t="s">
        <v>344</v>
      </c>
      <c r="C39" t="s">
        <v>87</v>
      </c>
      <c r="D39" t="s">
        <v>1271</v>
      </c>
      <c r="E39" t="s">
        <v>87</v>
      </c>
    </row>
    <row r="40" spans="1:5" x14ac:dyDescent="0.25">
      <c r="A40" t="s">
        <v>345</v>
      </c>
      <c r="B40" t="s">
        <v>346</v>
      </c>
      <c r="C40" t="s">
        <v>87</v>
      </c>
      <c r="D40" t="s">
        <v>1271</v>
      </c>
      <c r="E40" t="s">
        <v>87</v>
      </c>
    </row>
    <row r="41" spans="1:5" x14ac:dyDescent="0.25">
      <c r="A41" t="s">
        <v>269</v>
      </c>
      <c r="B41" t="s">
        <v>270</v>
      </c>
      <c r="C41" t="s">
        <v>87</v>
      </c>
      <c r="D41" t="s">
        <v>1271</v>
      </c>
      <c r="E41" t="s">
        <v>87</v>
      </c>
    </row>
    <row r="42" spans="1:5" x14ac:dyDescent="0.25">
      <c r="A42" t="s">
        <v>347</v>
      </c>
      <c r="B42" t="s">
        <v>348</v>
      </c>
      <c r="C42" t="s">
        <v>87</v>
      </c>
      <c r="D42" t="s">
        <v>1271</v>
      </c>
      <c r="E42" t="s">
        <v>87</v>
      </c>
    </row>
    <row r="43" spans="1:5" x14ac:dyDescent="0.25">
      <c r="A43" t="s">
        <v>349</v>
      </c>
      <c r="B43" t="s">
        <v>350</v>
      </c>
      <c r="C43" t="s">
        <v>87</v>
      </c>
      <c r="D43" t="s">
        <v>1271</v>
      </c>
      <c r="E43" t="s">
        <v>87</v>
      </c>
    </row>
    <row r="44" spans="1:5" x14ac:dyDescent="0.25">
      <c r="A44" t="s">
        <v>351</v>
      </c>
      <c r="B44" t="s">
        <v>1386</v>
      </c>
      <c r="C44" t="s">
        <v>652</v>
      </c>
      <c r="D44" t="s">
        <v>1490</v>
      </c>
      <c r="E44" t="s">
        <v>1504</v>
      </c>
    </row>
    <row r="45" spans="1:5" x14ac:dyDescent="0.25">
      <c r="A45" t="s">
        <v>352</v>
      </c>
      <c r="B45" t="s">
        <v>1387</v>
      </c>
      <c r="C45" t="s">
        <v>87</v>
      </c>
      <c r="D45" t="s">
        <v>1271</v>
      </c>
      <c r="E45" t="s">
        <v>87</v>
      </c>
    </row>
    <row r="46" spans="1:5" x14ac:dyDescent="0.25">
      <c r="A46" t="s">
        <v>353</v>
      </c>
      <c r="B46" t="s">
        <v>354</v>
      </c>
      <c r="C46" t="s">
        <v>652</v>
      </c>
      <c r="D46" t="s">
        <v>1490</v>
      </c>
      <c r="E46" t="s">
        <v>1505</v>
      </c>
    </row>
    <row r="47" spans="1:5" x14ac:dyDescent="0.25">
      <c r="A47" t="s">
        <v>355</v>
      </c>
      <c r="B47" t="s">
        <v>356</v>
      </c>
      <c r="C47" t="s">
        <v>87</v>
      </c>
      <c r="D47" t="s">
        <v>1271</v>
      </c>
      <c r="E47" t="s">
        <v>87</v>
      </c>
    </row>
    <row r="48" spans="1:5" x14ac:dyDescent="0.25">
      <c r="A48" t="s">
        <v>110</v>
      </c>
      <c r="B48" t="s">
        <v>111</v>
      </c>
      <c r="C48" t="s">
        <v>87</v>
      </c>
      <c r="D48" t="s">
        <v>1271</v>
      </c>
      <c r="E48" t="s">
        <v>87</v>
      </c>
    </row>
    <row r="49" spans="1:5" x14ac:dyDescent="0.25">
      <c r="A49" t="s">
        <v>112</v>
      </c>
      <c r="B49" t="s">
        <v>113</v>
      </c>
      <c r="C49" t="s">
        <v>87</v>
      </c>
      <c r="D49" t="s">
        <v>1271</v>
      </c>
      <c r="E49" t="s">
        <v>87</v>
      </c>
    </row>
    <row r="50" spans="1:5" x14ac:dyDescent="0.25">
      <c r="A50" t="s">
        <v>357</v>
      </c>
      <c r="B50" t="s">
        <v>358</v>
      </c>
      <c r="C50" t="s">
        <v>652</v>
      </c>
      <c r="D50" t="s">
        <v>1490</v>
      </c>
      <c r="E50" t="s">
        <v>1463</v>
      </c>
    </row>
    <row r="51" spans="1:5" x14ac:dyDescent="0.25">
      <c r="A51" t="s">
        <v>359</v>
      </c>
      <c r="B51" t="s">
        <v>360</v>
      </c>
      <c r="C51" t="s">
        <v>87</v>
      </c>
      <c r="D51" t="s">
        <v>1271</v>
      </c>
      <c r="E51" t="s">
        <v>87</v>
      </c>
    </row>
    <row r="52" spans="1:5" x14ac:dyDescent="0.25">
      <c r="A52" t="s">
        <v>361</v>
      </c>
      <c r="B52" t="s">
        <v>362</v>
      </c>
      <c r="C52" t="s">
        <v>652</v>
      </c>
      <c r="D52" t="s">
        <v>1490</v>
      </c>
      <c r="E52" t="s">
        <v>1507</v>
      </c>
    </row>
    <row r="53" spans="1:5" x14ac:dyDescent="0.25">
      <c r="A53" t="s">
        <v>363</v>
      </c>
      <c r="B53" t="s">
        <v>364</v>
      </c>
      <c r="C53" t="s">
        <v>652</v>
      </c>
      <c r="D53" t="s">
        <v>1490</v>
      </c>
      <c r="E53" t="s">
        <v>1500</v>
      </c>
    </row>
    <row r="54" spans="1:5" x14ac:dyDescent="0.25">
      <c r="A54" t="s">
        <v>365</v>
      </c>
      <c r="B54" t="s">
        <v>366</v>
      </c>
      <c r="C54" t="s">
        <v>652</v>
      </c>
      <c r="D54" t="s">
        <v>1490</v>
      </c>
      <c r="E54" t="s">
        <v>1464</v>
      </c>
    </row>
    <row r="55" spans="1:5" x14ac:dyDescent="0.25">
      <c r="A55" t="s">
        <v>367</v>
      </c>
      <c r="B55" t="s">
        <v>368</v>
      </c>
      <c r="C55" t="s">
        <v>652</v>
      </c>
      <c r="D55" t="s">
        <v>1490</v>
      </c>
      <c r="E55" t="s">
        <v>1508</v>
      </c>
    </row>
    <row r="56" spans="1:5" x14ac:dyDescent="0.25">
      <c r="A56" t="s">
        <v>114</v>
      </c>
      <c r="B56" t="s">
        <v>115</v>
      </c>
      <c r="C56" t="s">
        <v>87</v>
      </c>
      <c r="D56" t="s">
        <v>1271</v>
      </c>
      <c r="E56" t="s">
        <v>87</v>
      </c>
    </row>
    <row r="57" spans="1:5" x14ac:dyDescent="0.25">
      <c r="A57" t="s">
        <v>271</v>
      </c>
      <c r="B57" t="s">
        <v>272</v>
      </c>
      <c r="C57" t="s">
        <v>87</v>
      </c>
      <c r="D57" t="s">
        <v>1271</v>
      </c>
      <c r="E57" t="s">
        <v>87</v>
      </c>
    </row>
    <row r="58" spans="1:5" x14ac:dyDescent="0.25">
      <c r="A58" t="s">
        <v>369</v>
      </c>
      <c r="B58" t="s">
        <v>370</v>
      </c>
      <c r="C58" t="s">
        <v>652</v>
      </c>
      <c r="D58" t="s">
        <v>1490</v>
      </c>
      <c r="E58" t="s">
        <v>1509</v>
      </c>
    </row>
    <row r="59" spans="1:5" x14ac:dyDescent="0.25">
      <c r="A59" t="s">
        <v>371</v>
      </c>
      <c r="B59" t="s">
        <v>372</v>
      </c>
      <c r="C59" t="s">
        <v>652</v>
      </c>
      <c r="D59" t="s">
        <v>1490</v>
      </c>
      <c r="E59" t="s">
        <v>1510</v>
      </c>
    </row>
    <row r="60" spans="1:5" x14ac:dyDescent="0.25">
      <c r="A60" t="s">
        <v>373</v>
      </c>
      <c r="B60" t="s">
        <v>374</v>
      </c>
      <c r="C60" t="s">
        <v>87</v>
      </c>
      <c r="D60" t="s">
        <v>1271</v>
      </c>
      <c r="E60" t="s">
        <v>87</v>
      </c>
    </row>
    <row r="61" spans="1:5" x14ac:dyDescent="0.25">
      <c r="A61" t="s">
        <v>273</v>
      </c>
      <c r="B61" t="s">
        <v>274</v>
      </c>
      <c r="C61" t="s">
        <v>87</v>
      </c>
      <c r="D61" t="s">
        <v>1271</v>
      </c>
      <c r="E61" t="s">
        <v>87</v>
      </c>
    </row>
    <row r="62" spans="1:5" x14ac:dyDescent="0.25">
      <c r="A62" t="s">
        <v>375</v>
      </c>
      <c r="B62" t="s">
        <v>376</v>
      </c>
      <c r="C62" t="s">
        <v>87</v>
      </c>
      <c r="D62" t="s">
        <v>1271</v>
      </c>
      <c r="E62" t="s">
        <v>87</v>
      </c>
    </row>
    <row r="63" spans="1:5" x14ac:dyDescent="0.25">
      <c r="A63" t="s">
        <v>377</v>
      </c>
      <c r="B63" t="s">
        <v>378</v>
      </c>
      <c r="C63" t="s">
        <v>87</v>
      </c>
      <c r="D63" t="s">
        <v>1271</v>
      </c>
      <c r="E63" t="s">
        <v>87</v>
      </c>
    </row>
    <row r="64" spans="1:5" x14ac:dyDescent="0.25">
      <c r="A64" t="s">
        <v>379</v>
      </c>
      <c r="B64" t="s">
        <v>380</v>
      </c>
      <c r="C64" t="s">
        <v>87</v>
      </c>
      <c r="D64" t="s">
        <v>1271</v>
      </c>
      <c r="E64" t="s">
        <v>87</v>
      </c>
    </row>
    <row r="65" spans="1:5" x14ac:dyDescent="0.25">
      <c r="A65" t="s">
        <v>381</v>
      </c>
      <c r="B65" t="s">
        <v>382</v>
      </c>
      <c r="C65" t="s">
        <v>87</v>
      </c>
      <c r="D65" t="s">
        <v>1271</v>
      </c>
      <c r="E65" t="s">
        <v>87</v>
      </c>
    </row>
    <row r="66" spans="1:5" x14ac:dyDescent="0.25">
      <c r="A66" t="s">
        <v>116</v>
      </c>
      <c r="B66" t="s">
        <v>117</v>
      </c>
      <c r="C66" t="s">
        <v>87</v>
      </c>
      <c r="D66" t="s">
        <v>1271</v>
      </c>
      <c r="E66" t="s">
        <v>87</v>
      </c>
    </row>
    <row r="67" spans="1:5" x14ac:dyDescent="0.25">
      <c r="A67" t="s">
        <v>118</v>
      </c>
      <c r="B67" t="s">
        <v>119</v>
      </c>
      <c r="C67" t="s">
        <v>87</v>
      </c>
      <c r="D67" t="s">
        <v>1271</v>
      </c>
      <c r="E67" t="s">
        <v>87</v>
      </c>
    </row>
    <row r="68" spans="1:5" x14ac:dyDescent="0.25">
      <c r="A68" t="s">
        <v>120</v>
      </c>
      <c r="B68" t="s">
        <v>121</v>
      </c>
      <c r="C68" t="s">
        <v>87</v>
      </c>
      <c r="D68" t="s">
        <v>1271</v>
      </c>
      <c r="E68" t="s">
        <v>87</v>
      </c>
    </row>
    <row r="69" spans="1:5" x14ac:dyDescent="0.25">
      <c r="A69" t="s">
        <v>383</v>
      </c>
      <c r="B69" t="s">
        <v>384</v>
      </c>
      <c r="C69" t="s">
        <v>87</v>
      </c>
      <c r="D69" t="s">
        <v>1271</v>
      </c>
      <c r="E69" t="s">
        <v>87</v>
      </c>
    </row>
    <row r="70" spans="1:5" x14ac:dyDescent="0.25">
      <c r="A70" t="s">
        <v>385</v>
      </c>
      <c r="B70" t="s">
        <v>386</v>
      </c>
      <c r="C70" t="s">
        <v>652</v>
      </c>
      <c r="D70" t="s">
        <v>1490</v>
      </c>
      <c r="E70" t="s">
        <v>1511</v>
      </c>
    </row>
    <row r="71" spans="1:5" x14ac:dyDescent="0.25">
      <c r="A71" t="s">
        <v>387</v>
      </c>
      <c r="B71" t="s">
        <v>388</v>
      </c>
      <c r="C71" t="s">
        <v>87</v>
      </c>
      <c r="D71" t="s">
        <v>1271</v>
      </c>
      <c r="E71" t="s">
        <v>87</v>
      </c>
    </row>
    <row r="72" spans="1:5" x14ac:dyDescent="0.25">
      <c r="A72" t="s">
        <v>389</v>
      </c>
      <c r="B72" t="s">
        <v>390</v>
      </c>
      <c r="C72" t="s">
        <v>87</v>
      </c>
      <c r="D72" t="s">
        <v>1271</v>
      </c>
      <c r="E72" t="s">
        <v>87</v>
      </c>
    </row>
    <row r="73" spans="1:5" x14ac:dyDescent="0.25">
      <c r="A73" t="s">
        <v>122</v>
      </c>
      <c r="B73" t="s">
        <v>123</v>
      </c>
      <c r="C73" t="s">
        <v>87</v>
      </c>
      <c r="D73" t="s">
        <v>1271</v>
      </c>
      <c r="E73" t="s">
        <v>87</v>
      </c>
    </row>
    <row r="74" spans="1:5" x14ac:dyDescent="0.25">
      <c r="A74" t="s">
        <v>391</v>
      </c>
      <c r="B74" t="s">
        <v>392</v>
      </c>
      <c r="C74" t="s">
        <v>652</v>
      </c>
      <c r="D74" t="s">
        <v>1490</v>
      </c>
      <c r="E74" t="s">
        <v>1512</v>
      </c>
    </row>
    <row r="75" spans="1:5" x14ac:dyDescent="0.25">
      <c r="A75" t="s">
        <v>393</v>
      </c>
      <c r="B75" t="s">
        <v>394</v>
      </c>
      <c r="C75" t="s">
        <v>87</v>
      </c>
      <c r="D75" t="s">
        <v>1271</v>
      </c>
      <c r="E75" t="s">
        <v>87</v>
      </c>
    </row>
    <row r="76" spans="1:5" x14ac:dyDescent="0.25">
      <c r="A76" t="s">
        <v>124</v>
      </c>
      <c r="B76" t="s">
        <v>125</v>
      </c>
      <c r="C76" t="s">
        <v>87</v>
      </c>
      <c r="D76" t="s">
        <v>1271</v>
      </c>
      <c r="E76" t="s">
        <v>87</v>
      </c>
    </row>
    <row r="77" spans="1:5" x14ac:dyDescent="0.25">
      <c r="A77" t="s">
        <v>275</v>
      </c>
      <c r="B77" t="s">
        <v>276</v>
      </c>
      <c r="C77" t="s">
        <v>87</v>
      </c>
      <c r="D77" t="s">
        <v>1271</v>
      </c>
      <c r="E77" t="s">
        <v>87</v>
      </c>
    </row>
    <row r="78" spans="1:5" x14ac:dyDescent="0.25">
      <c r="A78" t="s">
        <v>395</v>
      </c>
      <c r="B78" t="s">
        <v>396</v>
      </c>
      <c r="C78" t="s">
        <v>652</v>
      </c>
      <c r="D78" t="s">
        <v>1490</v>
      </c>
      <c r="E78" t="s">
        <v>1513</v>
      </c>
    </row>
    <row r="79" spans="1:5" x14ac:dyDescent="0.25">
      <c r="A79" t="s">
        <v>397</v>
      </c>
      <c r="B79" t="s">
        <v>398</v>
      </c>
      <c r="C79" t="s">
        <v>652</v>
      </c>
      <c r="D79" t="s">
        <v>1490</v>
      </c>
      <c r="E79" t="s">
        <v>1514</v>
      </c>
    </row>
    <row r="80" spans="1:5" x14ac:dyDescent="0.25">
      <c r="A80" t="s">
        <v>126</v>
      </c>
      <c r="B80" t="s">
        <v>127</v>
      </c>
      <c r="C80" t="s">
        <v>87</v>
      </c>
      <c r="D80" t="s">
        <v>1271</v>
      </c>
      <c r="E80" t="s">
        <v>87</v>
      </c>
    </row>
    <row r="81" spans="1:5" x14ac:dyDescent="0.25">
      <c r="A81" t="s">
        <v>128</v>
      </c>
      <c r="B81" t="s">
        <v>129</v>
      </c>
      <c r="C81" t="s">
        <v>87</v>
      </c>
      <c r="D81" t="s">
        <v>1271</v>
      </c>
      <c r="E81" t="s">
        <v>87</v>
      </c>
    </row>
    <row r="82" spans="1:5" x14ac:dyDescent="0.25">
      <c r="A82" t="s">
        <v>399</v>
      </c>
      <c r="B82" t="s">
        <v>400</v>
      </c>
      <c r="C82" t="s">
        <v>87</v>
      </c>
      <c r="D82" t="s">
        <v>1271</v>
      </c>
      <c r="E82" t="s">
        <v>87</v>
      </c>
    </row>
    <row r="83" spans="1:5" x14ac:dyDescent="0.25">
      <c r="A83" t="s">
        <v>401</v>
      </c>
      <c r="B83" t="s">
        <v>402</v>
      </c>
      <c r="C83" t="s">
        <v>652</v>
      </c>
      <c r="D83" t="s">
        <v>1490</v>
      </c>
      <c r="E83" t="s">
        <v>1515</v>
      </c>
    </row>
    <row r="84" spans="1:5" x14ac:dyDescent="0.25">
      <c r="A84" t="s">
        <v>130</v>
      </c>
      <c r="B84" t="s">
        <v>131</v>
      </c>
      <c r="C84" t="s">
        <v>87</v>
      </c>
      <c r="D84" t="s">
        <v>1271</v>
      </c>
      <c r="E84" t="s">
        <v>87</v>
      </c>
    </row>
    <row r="85" spans="1:5" x14ac:dyDescent="0.25">
      <c r="A85" t="s">
        <v>403</v>
      </c>
      <c r="B85" t="s">
        <v>404</v>
      </c>
      <c r="C85" t="s">
        <v>652</v>
      </c>
      <c r="D85" t="s">
        <v>1490</v>
      </c>
      <c r="E85" t="s">
        <v>1465</v>
      </c>
    </row>
    <row r="86" spans="1:5" x14ac:dyDescent="0.25">
      <c r="A86" t="s">
        <v>132</v>
      </c>
      <c r="B86" t="s">
        <v>133</v>
      </c>
      <c r="C86" t="s">
        <v>652</v>
      </c>
      <c r="D86" t="s">
        <v>1490</v>
      </c>
      <c r="E86" t="s">
        <v>1516</v>
      </c>
    </row>
    <row r="87" spans="1:5" x14ac:dyDescent="0.25">
      <c r="A87" t="s">
        <v>405</v>
      </c>
      <c r="B87" t="s">
        <v>406</v>
      </c>
      <c r="C87" t="s">
        <v>652</v>
      </c>
      <c r="D87" t="s">
        <v>1490</v>
      </c>
      <c r="E87" t="s">
        <v>1466</v>
      </c>
    </row>
    <row r="88" spans="1:5" x14ac:dyDescent="0.25">
      <c r="A88" t="s">
        <v>407</v>
      </c>
      <c r="B88" t="s">
        <v>408</v>
      </c>
      <c r="C88" t="s">
        <v>652</v>
      </c>
      <c r="D88" t="s">
        <v>1490</v>
      </c>
      <c r="E88" t="s">
        <v>1517</v>
      </c>
    </row>
    <row r="89" spans="1:5" x14ac:dyDescent="0.25">
      <c r="A89" t="s">
        <v>409</v>
      </c>
      <c r="B89" t="s">
        <v>410</v>
      </c>
      <c r="C89" t="s">
        <v>652</v>
      </c>
      <c r="D89" t="s">
        <v>1490</v>
      </c>
      <c r="E89" t="s">
        <v>1518</v>
      </c>
    </row>
    <row r="90" spans="1:5" x14ac:dyDescent="0.25">
      <c r="A90" t="s">
        <v>411</v>
      </c>
      <c r="B90" t="s">
        <v>412</v>
      </c>
      <c r="C90" t="s">
        <v>652</v>
      </c>
      <c r="D90" t="s">
        <v>1490</v>
      </c>
      <c r="E90" t="s">
        <v>1467</v>
      </c>
    </row>
    <row r="91" spans="1:5" x14ac:dyDescent="0.25">
      <c r="A91" t="s">
        <v>134</v>
      </c>
      <c r="B91" t="s">
        <v>135</v>
      </c>
      <c r="C91" t="s">
        <v>87</v>
      </c>
      <c r="D91" t="s">
        <v>1271</v>
      </c>
      <c r="E91" t="s">
        <v>87</v>
      </c>
    </row>
    <row r="92" spans="1:5" x14ac:dyDescent="0.25">
      <c r="A92" t="s">
        <v>413</v>
      </c>
      <c r="B92" t="s">
        <v>414</v>
      </c>
      <c r="C92" t="s">
        <v>87</v>
      </c>
      <c r="D92" t="s">
        <v>1271</v>
      </c>
      <c r="E92" t="s">
        <v>87</v>
      </c>
    </row>
    <row r="93" spans="1:5" x14ac:dyDescent="0.25">
      <c r="A93" t="s">
        <v>415</v>
      </c>
      <c r="B93" t="s">
        <v>416</v>
      </c>
      <c r="C93" t="s">
        <v>652</v>
      </c>
      <c r="D93" t="s">
        <v>1490</v>
      </c>
      <c r="E93" t="s">
        <v>1519</v>
      </c>
    </row>
    <row r="94" spans="1:5" x14ac:dyDescent="0.25">
      <c r="A94" t="s">
        <v>136</v>
      </c>
      <c r="B94" t="s">
        <v>137</v>
      </c>
      <c r="C94" t="s">
        <v>87</v>
      </c>
      <c r="D94" t="s">
        <v>1271</v>
      </c>
      <c r="E94" t="s">
        <v>87</v>
      </c>
    </row>
    <row r="95" spans="1:5" x14ac:dyDescent="0.25">
      <c r="A95" t="s">
        <v>138</v>
      </c>
      <c r="B95" t="s">
        <v>139</v>
      </c>
      <c r="C95" t="s">
        <v>87</v>
      </c>
      <c r="D95" t="s">
        <v>1271</v>
      </c>
      <c r="E95" t="s">
        <v>87</v>
      </c>
    </row>
    <row r="96" spans="1:5" x14ac:dyDescent="0.25">
      <c r="A96" t="s">
        <v>417</v>
      </c>
      <c r="B96" t="s">
        <v>418</v>
      </c>
      <c r="C96" t="s">
        <v>652</v>
      </c>
      <c r="D96" t="s">
        <v>1490</v>
      </c>
      <c r="E96" t="s">
        <v>1520</v>
      </c>
    </row>
    <row r="97" spans="1:5" x14ac:dyDescent="0.25">
      <c r="A97" t="s">
        <v>419</v>
      </c>
      <c r="B97" t="s">
        <v>420</v>
      </c>
      <c r="C97" t="s">
        <v>87</v>
      </c>
      <c r="D97" t="s">
        <v>1271</v>
      </c>
      <c r="E97" t="s">
        <v>87</v>
      </c>
    </row>
    <row r="98" spans="1:5" x14ac:dyDescent="0.25">
      <c r="A98" t="s">
        <v>57</v>
      </c>
      <c r="B98" t="s">
        <v>17</v>
      </c>
      <c r="C98" t="s">
        <v>652</v>
      </c>
      <c r="D98" t="s">
        <v>1490</v>
      </c>
      <c r="E98" t="s">
        <v>1521</v>
      </c>
    </row>
    <row r="99" spans="1:5" x14ac:dyDescent="0.25">
      <c r="A99" t="s">
        <v>140</v>
      </c>
      <c r="B99" t="s">
        <v>141</v>
      </c>
      <c r="C99" t="s">
        <v>87</v>
      </c>
      <c r="D99" t="s">
        <v>1271</v>
      </c>
      <c r="E99" t="s">
        <v>87</v>
      </c>
    </row>
    <row r="100" spans="1:5" x14ac:dyDescent="0.25">
      <c r="A100" t="s">
        <v>421</v>
      </c>
      <c r="B100" t="s">
        <v>422</v>
      </c>
      <c r="C100" t="s">
        <v>652</v>
      </c>
      <c r="D100" t="s">
        <v>1490</v>
      </c>
      <c r="E100" t="s">
        <v>1468</v>
      </c>
    </row>
    <row r="101" spans="1:5" x14ac:dyDescent="0.25">
      <c r="A101" t="s">
        <v>423</v>
      </c>
      <c r="B101" t="s">
        <v>424</v>
      </c>
      <c r="C101" t="s">
        <v>652</v>
      </c>
      <c r="D101" t="s">
        <v>1490</v>
      </c>
      <c r="E101" t="s">
        <v>1524</v>
      </c>
    </row>
    <row r="102" spans="1:5" x14ac:dyDescent="0.25">
      <c r="A102" t="s">
        <v>1418</v>
      </c>
      <c r="B102" t="s">
        <v>1433</v>
      </c>
      <c r="C102" t="s">
        <v>652</v>
      </c>
      <c r="D102" t="s">
        <v>1490</v>
      </c>
      <c r="E102" t="s">
        <v>87</v>
      </c>
    </row>
    <row r="103" spans="1:5" x14ac:dyDescent="0.25">
      <c r="A103" t="s">
        <v>74</v>
      </c>
      <c r="B103" t="s">
        <v>41</v>
      </c>
      <c r="C103" t="s">
        <v>652</v>
      </c>
      <c r="D103" t="s">
        <v>1490</v>
      </c>
      <c r="E103" t="s">
        <v>1526</v>
      </c>
    </row>
    <row r="104" spans="1:5" x14ac:dyDescent="0.25">
      <c r="A104" t="s">
        <v>75</v>
      </c>
      <c r="B104" t="s">
        <v>45</v>
      </c>
      <c r="C104" t="s">
        <v>652</v>
      </c>
      <c r="D104" t="s">
        <v>1490</v>
      </c>
      <c r="E104" t="s">
        <v>1527</v>
      </c>
    </row>
    <row r="105" spans="1:5" x14ac:dyDescent="0.25">
      <c r="A105" t="s">
        <v>79</v>
      </c>
      <c r="B105" t="s">
        <v>1395</v>
      </c>
      <c r="C105" t="s">
        <v>652</v>
      </c>
      <c r="D105" t="s">
        <v>1490</v>
      </c>
      <c r="E105" t="s">
        <v>87</v>
      </c>
    </row>
    <row r="106" spans="1:5" x14ac:dyDescent="0.25">
      <c r="A106" t="s">
        <v>425</v>
      </c>
      <c r="B106" t="s">
        <v>426</v>
      </c>
      <c r="C106" t="s">
        <v>652</v>
      </c>
      <c r="D106" t="s">
        <v>1490</v>
      </c>
      <c r="E106" t="s">
        <v>1461</v>
      </c>
    </row>
    <row r="107" spans="1:5" x14ac:dyDescent="0.25">
      <c r="A107" t="s">
        <v>427</v>
      </c>
      <c r="B107" t="s">
        <v>428</v>
      </c>
      <c r="C107" t="s">
        <v>87</v>
      </c>
      <c r="D107" t="s">
        <v>1271</v>
      </c>
      <c r="E107" t="s">
        <v>87</v>
      </c>
    </row>
    <row r="108" spans="1:5" x14ac:dyDescent="0.25">
      <c r="A108" t="s">
        <v>142</v>
      </c>
      <c r="B108" t="s">
        <v>143</v>
      </c>
      <c r="C108" t="s">
        <v>87</v>
      </c>
      <c r="D108" t="s">
        <v>1271</v>
      </c>
      <c r="E108" t="s">
        <v>87</v>
      </c>
    </row>
    <row r="109" spans="1:5" x14ac:dyDescent="0.25">
      <c r="A109" t="s">
        <v>144</v>
      </c>
      <c r="B109" t="s">
        <v>145</v>
      </c>
      <c r="C109" t="s">
        <v>87</v>
      </c>
      <c r="D109" t="s">
        <v>1271</v>
      </c>
      <c r="E109" t="s">
        <v>87</v>
      </c>
    </row>
    <row r="110" spans="1:5" x14ac:dyDescent="0.25">
      <c r="A110" t="s">
        <v>146</v>
      </c>
      <c r="B110" t="s">
        <v>147</v>
      </c>
      <c r="C110" t="s">
        <v>87</v>
      </c>
      <c r="D110" t="s">
        <v>1271</v>
      </c>
      <c r="E110" t="s">
        <v>87</v>
      </c>
    </row>
    <row r="111" spans="1:5" x14ac:dyDescent="0.25">
      <c r="A111" t="s">
        <v>429</v>
      </c>
      <c r="B111" t="s">
        <v>430</v>
      </c>
      <c r="C111" t="s">
        <v>652</v>
      </c>
      <c r="D111" t="s">
        <v>1490</v>
      </c>
      <c r="E111" t="s">
        <v>1525</v>
      </c>
    </row>
    <row r="112" spans="1:5" x14ac:dyDescent="0.25">
      <c r="A112" t="s">
        <v>431</v>
      </c>
      <c r="B112" t="s">
        <v>432</v>
      </c>
      <c r="C112" t="s">
        <v>87</v>
      </c>
      <c r="D112" t="s">
        <v>1271</v>
      </c>
      <c r="E112" t="s">
        <v>87</v>
      </c>
    </row>
    <row r="113" spans="1:5" x14ac:dyDescent="0.25">
      <c r="A113" t="s">
        <v>433</v>
      </c>
      <c r="B113" t="s">
        <v>434</v>
      </c>
      <c r="C113" t="s">
        <v>87</v>
      </c>
      <c r="D113" t="s">
        <v>1271</v>
      </c>
      <c r="E113" t="s">
        <v>87</v>
      </c>
    </row>
    <row r="114" spans="1:5" x14ac:dyDescent="0.25">
      <c r="A114" t="s">
        <v>435</v>
      </c>
      <c r="B114" t="s">
        <v>436</v>
      </c>
      <c r="C114" t="s">
        <v>87</v>
      </c>
      <c r="D114" t="s">
        <v>1271</v>
      </c>
      <c r="E114" t="s">
        <v>87</v>
      </c>
    </row>
    <row r="115" spans="1:5" x14ac:dyDescent="0.25">
      <c r="A115" t="s">
        <v>437</v>
      </c>
      <c r="B115" t="s">
        <v>438</v>
      </c>
      <c r="C115" t="s">
        <v>652</v>
      </c>
      <c r="D115" t="s">
        <v>1490</v>
      </c>
      <c r="E115" t="s">
        <v>1528</v>
      </c>
    </row>
    <row r="116" spans="1:5" x14ac:dyDescent="0.25">
      <c r="A116" t="s">
        <v>439</v>
      </c>
      <c r="B116" t="s">
        <v>1388</v>
      </c>
      <c r="C116" t="s">
        <v>87</v>
      </c>
      <c r="D116" t="s">
        <v>1271</v>
      </c>
      <c r="E116" t="s">
        <v>87</v>
      </c>
    </row>
    <row r="117" spans="1:5" x14ac:dyDescent="0.25">
      <c r="A117" t="s">
        <v>277</v>
      </c>
      <c r="B117" t="s">
        <v>278</v>
      </c>
      <c r="C117" t="s">
        <v>87</v>
      </c>
      <c r="D117" t="s">
        <v>1271</v>
      </c>
      <c r="E117" t="s">
        <v>87</v>
      </c>
    </row>
    <row r="118" spans="1:5" x14ac:dyDescent="0.25">
      <c r="A118" t="s">
        <v>440</v>
      </c>
      <c r="B118" t="s">
        <v>441</v>
      </c>
      <c r="C118" t="s">
        <v>652</v>
      </c>
      <c r="D118" t="s">
        <v>1490</v>
      </c>
      <c r="E118" t="s">
        <v>1506</v>
      </c>
    </row>
    <row r="119" spans="1:5" x14ac:dyDescent="0.25">
      <c r="A119" t="s">
        <v>148</v>
      </c>
      <c r="B119" t="s">
        <v>149</v>
      </c>
      <c r="C119" t="s">
        <v>87</v>
      </c>
      <c r="D119" t="s">
        <v>1271</v>
      </c>
      <c r="E119" t="s">
        <v>87</v>
      </c>
    </row>
    <row r="120" spans="1:5" x14ac:dyDescent="0.25">
      <c r="A120" t="s">
        <v>279</v>
      </c>
      <c r="B120" t="s">
        <v>280</v>
      </c>
      <c r="C120" t="s">
        <v>87</v>
      </c>
      <c r="D120" t="s">
        <v>1271</v>
      </c>
      <c r="E120" t="s">
        <v>87</v>
      </c>
    </row>
    <row r="121" spans="1:5" x14ac:dyDescent="0.25">
      <c r="A121" t="s">
        <v>442</v>
      </c>
      <c r="B121" t="s">
        <v>443</v>
      </c>
      <c r="C121" t="s">
        <v>87</v>
      </c>
      <c r="D121" t="s">
        <v>1271</v>
      </c>
      <c r="E121" t="s">
        <v>87</v>
      </c>
    </row>
    <row r="122" spans="1:5" x14ac:dyDescent="0.25">
      <c r="A122" t="s">
        <v>281</v>
      </c>
      <c r="B122" t="s">
        <v>282</v>
      </c>
      <c r="C122" t="s">
        <v>87</v>
      </c>
      <c r="D122" t="s">
        <v>1271</v>
      </c>
      <c r="E122" t="s">
        <v>87</v>
      </c>
    </row>
    <row r="123" spans="1:5" x14ac:dyDescent="0.25">
      <c r="A123" t="s">
        <v>444</v>
      </c>
      <c r="B123" t="s">
        <v>445</v>
      </c>
      <c r="C123" t="s">
        <v>87</v>
      </c>
      <c r="D123" t="s">
        <v>1271</v>
      </c>
      <c r="E123" t="s">
        <v>87</v>
      </c>
    </row>
    <row r="124" spans="1:5" x14ac:dyDescent="0.25">
      <c r="A124" t="s">
        <v>150</v>
      </c>
      <c r="B124" t="s">
        <v>151</v>
      </c>
      <c r="C124" t="s">
        <v>87</v>
      </c>
      <c r="D124" t="s">
        <v>1271</v>
      </c>
      <c r="E124" t="s">
        <v>87</v>
      </c>
    </row>
    <row r="125" spans="1:5" x14ac:dyDescent="0.25">
      <c r="A125" t="s">
        <v>152</v>
      </c>
      <c r="B125" t="s">
        <v>153</v>
      </c>
      <c r="C125" t="s">
        <v>87</v>
      </c>
      <c r="D125" t="s">
        <v>1271</v>
      </c>
      <c r="E125" t="s">
        <v>87</v>
      </c>
    </row>
    <row r="126" spans="1:5" x14ac:dyDescent="0.25">
      <c r="A126" t="s">
        <v>154</v>
      </c>
      <c r="B126" t="s">
        <v>155</v>
      </c>
      <c r="C126" t="s">
        <v>87</v>
      </c>
      <c r="D126" t="s">
        <v>1271</v>
      </c>
      <c r="E126" t="s">
        <v>87</v>
      </c>
    </row>
    <row r="127" spans="1:5" x14ac:dyDescent="0.25">
      <c r="A127" t="s">
        <v>156</v>
      </c>
      <c r="B127" t="s">
        <v>157</v>
      </c>
      <c r="C127" t="s">
        <v>87</v>
      </c>
      <c r="D127" t="s">
        <v>1271</v>
      </c>
      <c r="E127" t="s">
        <v>87</v>
      </c>
    </row>
    <row r="128" spans="1:5" x14ac:dyDescent="0.25">
      <c r="A128" t="s">
        <v>158</v>
      </c>
      <c r="B128" t="s">
        <v>159</v>
      </c>
      <c r="C128" t="s">
        <v>87</v>
      </c>
      <c r="D128" t="s">
        <v>1271</v>
      </c>
      <c r="E128" t="s">
        <v>87</v>
      </c>
    </row>
    <row r="129" spans="1:5" x14ac:dyDescent="0.25">
      <c r="A129" t="s">
        <v>446</v>
      </c>
      <c r="B129" t="s">
        <v>447</v>
      </c>
      <c r="C129" t="s">
        <v>652</v>
      </c>
      <c r="D129" t="s">
        <v>1490</v>
      </c>
      <c r="E129" t="s">
        <v>1469</v>
      </c>
    </row>
    <row r="130" spans="1:5" x14ac:dyDescent="0.25">
      <c r="A130" t="s">
        <v>448</v>
      </c>
      <c r="B130" t="s">
        <v>449</v>
      </c>
      <c r="C130" t="s">
        <v>652</v>
      </c>
      <c r="D130" t="s">
        <v>1490</v>
      </c>
      <c r="E130" t="s">
        <v>1470</v>
      </c>
    </row>
    <row r="131" spans="1:5" x14ac:dyDescent="0.25">
      <c r="A131" t="s">
        <v>450</v>
      </c>
      <c r="B131" t="s">
        <v>451</v>
      </c>
      <c r="C131" t="s">
        <v>652</v>
      </c>
      <c r="D131" t="s">
        <v>1490</v>
      </c>
      <c r="E131" t="s">
        <v>1471</v>
      </c>
    </row>
    <row r="132" spans="1:5" x14ac:dyDescent="0.25">
      <c r="A132" t="s">
        <v>452</v>
      </c>
      <c r="B132" t="s">
        <v>453</v>
      </c>
      <c r="C132" t="s">
        <v>87</v>
      </c>
      <c r="D132" t="s">
        <v>1271</v>
      </c>
      <c r="E132" t="s">
        <v>87</v>
      </c>
    </row>
    <row r="133" spans="1:5" x14ac:dyDescent="0.25">
      <c r="A133" t="s">
        <v>76</v>
      </c>
      <c r="B133" t="s">
        <v>30</v>
      </c>
      <c r="C133" t="s">
        <v>87</v>
      </c>
      <c r="D133" t="s">
        <v>1271</v>
      </c>
      <c r="E133" t="s">
        <v>87</v>
      </c>
    </row>
    <row r="134" spans="1:5" x14ac:dyDescent="0.25">
      <c r="A134" t="s">
        <v>454</v>
      </c>
      <c r="B134" t="s">
        <v>455</v>
      </c>
      <c r="C134" t="s">
        <v>652</v>
      </c>
      <c r="D134" t="s">
        <v>1490</v>
      </c>
      <c r="E134" t="s">
        <v>1472</v>
      </c>
    </row>
    <row r="135" spans="1:5" x14ac:dyDescent="0.25">
      <c r="A135" t="s">
        <v>160</v>
      </c>
      <c r="B135" t="s">
        <v>161</v>
      </c>
      <c r="C135" t="s">
        <v>87</v>
      </c>
      <c r="D135" t="s">
        <v>1271</v>
      </c>
      <c r="E135" t="s">
        <v>87</v>
      </c>
    </row>
    <row r="136" spans="1:5" x14ac:dyDescent="0.25">
      <c r="A136" t="s">
        <v>456</v>
      </c>
      <c r="B136" t="s">
        <v>457</v>
      </c>
      <c r="C136" t="s">
        <v>87</v>
      </c>
      <c r="D136" t="s">
        <v>1271</v>
      </c>
      <c r="E136" t="s">
        <v>87</v>
      </c>
    </row>
    <row r="137" spans="1:5" x14ac:dyDescent="0.25">
      <c r="A137" t="s">
        <v>458</v>
      </c>
      <c r="B137" t="s">
        <v>459</v>
      </c>
      <c r="C137" t="s">
        <v>87</v>
      </c>
      <c r="D137" t="s">
        <v>1271</v>
      </c>
      <c r="E137" t="s">
        <v>87</v>
      </c>
    </row>
    <row r="138" spans="1:5" x14ac:dyDescent="0.25">
      <c r="A138" t="s">
        <v>283</v>
      </c>
      <c r="B138" t="s">
        <v>284</v>
      </c>
      <c r="C138" t="s">
        <v>87</v>
      </c>
      <c r="D138" t="s">
        <v>1271</v>
      </c>
      <c r="E138" t="s">
        <v>87</v>
      </c>
    </row>
    <row r="139" spans="1:5" x14ac:dyDescent="0.25">
      <c r="A139" t="s">
        <v>460</v>
      </c>
      <c r="B139" t="s">
        <v>461</v>
      </c>
      <c r="C139" t="s">
        <v>87</v>
      </c>
      <c r="D139" t="s">
        <v>1271</v>
      </c>
      <c r="E139" t="s">
        <v>87</v>
      </c>
    </row>
    <row r="140" spans="1:5" x14ac:dyDescent="0.25">
      <c r="A140" t="s">
        <v>462</v>
      </c>
      <c r="B140" t="s">
        <v>463</v>
      </c>
      <c r="C140" t="s">
        <v>652</v>
      </c>
      <c r="D140" t="s">
        <v>1490</v>
      </c>
      <c r="E140" t="s">
        <v>1529</v>
      </c>
    </row>
    <row r="141" spans="1:5" x14ac:dyDescent="0.25">
      <c r="A141" t="s">
        <v>162</v>
      </c>
      <c r="B141" t="s">
        <v>163</v>
      </c>
      <c r="C141" t="s">
        <v>87</v>
      </c>
      <c r="D141" t="s">
        <v>1271</v>
      </c>
      <c r="E141" t="s">
        <v>87</v>
      </c>
    </row>
    <row r="142" spans="1:5" x14ac:dyDescent="0.25">
      <c r="A142" t="s">
        <v>464</v>
      </c>
      <c r="B142" t="s">
        <v>465</v>
      </c>
      <c r="C142" t="s">
        <v>87</v>
      </c>
      <c r="D142" t="s">
        <v>1271</v>
      </c>
      <c r="E142" t="s">
        <v>87</v>
      </c>
    </row>
    <row r="143" spans="1:5" x14ac:dyDescent="0.25">
      <c r="A143" t="s">
        <v>164</v>
      </c>
      <c r="B143" t="s">
        <v>165</v>
      </c>
      <c r="C143" t="s">
        <v>87</v>
      </c>
      <c r="D143" t="s">
        <v>1271</v>
      </c>
      <c r="E143" t="s">
        <v>87</v>
      </c>
    </row>
    <row r="144" spans="1:5" x14ac:dyDescent="0.25">
      <c r="A144" t="s">
        <v>166</v>
      </c>
      <c r="B144" t="s">
        <v>167</v>
      </c>
      <c r="C144" t="s">
        <v>87</v>
      </c>
      <c r="D144" t="s">
        <v>1271</v>
      </c>
      <c r="E144" t="s">
        <v>87</v>
      </c>
    </row>
    <row r="145" spans="1:5" x14ac:dyDescent="0.25">
      <c r="A145" t="s">
        <v>168</v>
      </c>
      <c r="B145" t="s">
        <v>169</v>
      </c>
      <c r="C145" t="s">
        <v>87</v>
      </c>
      <c r="D145" t="s">
        <v>1271</v>
      </c>
      <c r="E145" t="s">
        <v>87</v>
      </c>
    </row>
    <row r="146" spans="1:5" x14ac:dyDescent="0.25">
      <c r="A146" t="s">
        <v>170</v>
      </c>
      <c r="B146" t="s">
        <v>171</v>
      </c>
      <c r="C146" t="s">
        <v>87</v>
      </c>
      <c r="D146" t="s">
        <v>1271</v>
      </c>
      <c r="E146" t="s">
        <v>87</v>
      </c>
    </row>
    <row r="147" spans="1:5" x14ac:dyDescent="0.25">
      <c r="A147" t="s">
        <v>466</v>
      </c>
      <c r="B147" t="s">
        <v>467</v>
      </c>
      <c r="C147" t="s">
        <v>87</v>
      </c>
      <c r="D147" t="s">
        <v>1271</v>
      </c>
      <c r="E147" t="s">
        <v>87</v>
      </c>
    </row>
    <row r="148" spans="1:5" x14ac:dyDescent="0.25">
      <c r="A148" t="s">
        <v>468</v>
      </c>
      <c r="B148" t="s">
        <v>469</v>
      </c>
      <c r="C148" t="s">
        <v>87</v>
      </c>
      <c r="D148" t="s">
        <v>1271</v>
      </c>
      <c r="E148" t="s">
        <v>87</v>
      </c>
    </row>
    <row r="149" spans="1:5" x14ac:dyDescent="0.25">
      <c r="A149" t="s">
        <v>172</v>
      </c>
      <c r="B149" t="s">
        <v>173</v>
      </c>
      <c r="C149" t="s">
        <v>87</v>
      </c>
      <c r="D149" t="s">
        <v>1271</v>
      </c>
      <c r="E149" t="s">
        <v>87</v>
      </c>
    </row>
    <row r="150" spans="1:5" x14ac:dyDescent="0.25">
      <c r="A150" t="s">
        <v>470</v>
      </c>
      <c r="B150" t="s">
        <v>471</v>
      </c>
      <c r="C150" t="s">
        <v>87</v>
      </c>
      <c r="D150" t="s">
        <v>1271</v>
      </c>
      <c r="E150" t="s">
        <v>87</v>
      </c>
    </row>
    <row r="151" spans="1:5" x14ac:dyDescent="0.25">
      <c r="A151" t="s">
        <v>472</v>
      </c>
      <c r="B151" t="s">
        <v>473</v>
      </c>
      <c r="C151" t="s">
        <v>87</v>
      </c>
      <c r="D151" t="s">
        <v>1271</v>
      </c>
      <c r="E151" t="s">
        <v>87</v>
      </c>
    </row>
    <row r="152" spans="1:5" x14ac:dyDescent="0.25">
      <c r="A152" t="s">
        <v>474</v>
      </c>
      <c r="B152" t="s">
        <v>475</v>
      </c>
      <c r="C152" t="s">
        <v>652</v>
      </c>
      <c r="D152" t="s">
        <v>1490</v>
      </c>
      <c r="E152" t="s">
        <v>1530</v>
      </c>
    </row>
    <row r="153" spans="1:5" x14ac:dyDescent="0.25">
      <c r="A153" t="s">
        <v>476</v>
      </c>
      <c r="B153" t="s">
        <v>477</v>
      </c>
      <c r="C153" t="s">
        <v>87</v>
      </c>
      <c r="D153" t="s">
        <v>1271</v>
      </c>
      <c r="E153" t="s">
        <v>87</v>
      </c>
    </row>
    <row r="154" spans="1:5" x14ac:dyDescent="0.25">
      <c r="A154" t="s">
        <v>478</v>
      </c>
      <c r="B154" t="s">
        <v>479</v>
      </c>
      <c r="C154" t="s">
        <v>87</v>
      </c>
      <c r="D154" t="s">
        <v>1271</v>
      </c>
      <c r="E154" t="s">
        <v>87</v>
      </c>
    </row>
    <row r="155" spans="1:5" x14ac:dyDescent="0.25">
      <c r="A155" t="s">
        <v>480</v>
      </c>
      <c r="B155" t="s">
        <v>481</v>
      </c>
      <c r="C155" t="s">
        <v>87</v>
      </c>
      <c r="D155" t="s">
        <v>1271</v>
      </c>
      <c r="E155" t="s">
        <v>87</v>
      </c>
    </row>
    <row r="156" spans="1:5" x14ac:dyDescent="0.25">
      <c r="A156" t="s">
        <v>174</v>
      </c>
      <c r="B156" t="s">
        <v>175</v>
      </c>
      <c r="C156" t="s">
        <v>87</v>
      </c>
      <c r="D156" t="s">
        <v>1271</v>
      </c>
      <c r="E156" t="s">
        <v>87</v>
      </c>
    </row>
    <row r="157" spans="1:5" x14ac:dyDescent="0.25">
      <c r="A157" t="s">
        <v>482</v>
      </c>
      <c r="B157" t="s">
        <v>483</v>
      </c>
      <c r="C157" t="s">
        <v>87</v>
      </c>
      <c r="D157" t="s">
        <v>1271</v>
      </c>
      <c r="E157" t="s">
        <v>87</v>
      </c>
    </row>
    <row r="158" spans="1:5" x14ac:dyDescent="0.25">
      <c r="A158" t="s">
        <v>285</v>
      </c>
      <c r="B158" t="s">
        <v>286</v>
      </c>
      <c r="C158" t="s">
        <v>87</v>
      </c>
      <c r="D158" t="s">
        <v>1271</v>
      </c>
      <c r="E158" t="s">
        <v>87</v>
      </c>
    </row>
    <row r="159" spans="1:5" x14ac:dyDescent="0.25">
      <c r="A159" t="s">
        <v>484</v>
      </c>
      <c r="B159" t="s">
        <v>485</v>
      </c>
      <c r="C159" t="s">
        <v>87</v>
      </c>
      <c r="D159" t="s">
        <v>1271</v>
      </c>
      <c r="E159" t="s">
        <v>87</v>
      </c>
    </row>
    <row r="160" spans="1:5" x14ac:dyDescent="0.25">
      <c r="A160" t="s">
        <v>486</v>
      </c>
      <c r="B160" t="s">
        <v>487</v>
      </c>
      <c r="C160" t="s">
        <v>87</v>
      </c>
      <c r="D160" t="s">
        <v>1271</v>
      </c>
      <c r="E160" t="s">
        <v>87</v>
      </c>
    </row>
    <row r="161" spans="1:5" x14ac:dyDescent="0.25">
      <c r="A161" t="s">
        <v>488</v>
      </c>
      <c r="B161" t="s">
        <v>489</v>
      </c>
      <c r="C161" t="s">
        <v>87</v>
      </c>
      <c r="D161" t="s">
        <v>1271</v>
      </c>
      <c r="E161" t="s">
        <v>87</v>
      </c>
    </row>
    <row r="162" spans="1:5" x14ac:dyDescent="0.25">
      <c r="A162" t="s">
        <v>490</v>
      </c>
      <c r="B162" t="s">
        <v>491</v>
      </c>
      <c r="C162" t="s">
        <v>652</v>
      </c>
      <c r="D162" t="s">
        <v>1490</v>
      </c>
      <c r="E162" t="s">
        <v>1531</v>
      </c>
    </row>
    <row r="163" spans="1:5" x14ac:dyDescent="0.25">
      <c r="A163" t="s">
        <v>492</v>
      </c>
      <c r="B163" t="s">
        <v>493</v>
      </c>
      <c r="C163" t="s">
        <v>652</v>
      </c>
      <c r="D163" t="s">
        <v>1490</v>
      </c>
      <c r="E163" t="s">
        <v>1532</v>
      </c>
    </row>
    <row r="164" spans="1:5" x14ac:dyDescent="0.25">
      <c r="A164" t="s">
        <v>494</v>
      </c>
      <c r="B164" t="s">
        <v>495</v>
      </c>
      <c r="C164" t="s">
        <v>87</v>
      </c>
      <c r="D164" t="s">
        <v>1271</v>
      </c>
      <c r="E164" t="s">
        <v>87</v>
      </c>
    </row>
    <row r="165" spans="1:5" x14ac:dyDescent="0.25">
      <c r="A165" t="s">
        <v>176</v>
      </c>
      <c r="B165" t="s">
        <v>177</v>
      </c>
      <c r="C165" t="s">
        <v>87</v>
      </c>
      <c r="D165" t="s">
        <v>1271</v>
      </c>
      <c r="E165" t="s">
        <v>87</v>
      </c>
    </row>
    <row r="166" spans="1:5" x14ac:dyDescent="0.25">
      <c r="A166" t="s">
        <v>496</v>
      </c>
      <c r="B166" t="s">
        <v>497</v>
      </c>
      <c r="C166" t="s">
        <v>652</v>
      </c>
      <c r="D166" t="s">
        <v>1490</v>
      </c>
      <c r="E166" t="s">
        <v>1533</v>
      </c>
    </row>
    <row r="167" spans="1:5" x14ac:dyDescent="0.25">
      <c r="A167" t="s">
        <v>498</v>
      </c>
      <c r="B167" t="s">
        <v>499</v>
      </c>
      <c r="C167" t="s">
        <v>87</v>
      </c>
      <c r="D167" t="s">
        <v>1271</v>
      </c>
      <c r="E167" t="s">
        <v>87</v>
      </c>
    </row>
    <row r="168" spans="1:5" x14ac:dyDescent="0.25">
      <c r="A168" t="s">
        <v>178</v>
      </c>
      <c r="B168" t="s">
        <v>179</v>
      </c>
      <c r="C168" t="s">
        <v>87</v>
      </c>
      <c r="D168" t="s">
        <v>1271</v>
      </c>
      <c r="E168" t="s">
        <v>87</v>
      </c>
    </row>
    <row r="169" spans="1:5" x14ac:dyDescent="0.25">
      <c r="A169" t="s">
        <v>500</v>
      </c>
      <c r="B169" t="s">
        <v>501</v>
      </c>
      <c r="C169" t="s">
        <v>87</v>
      </c>
      <c r="D169" t="s">
        <v>1271</v>
      </c>
      <c r="E169" t="s">
        <v>87</v>
      </c>
    </row>
    <row r="170" spans="1:5" x14ac:dyDescent="0.25">
      <c r="A170" t="s">
        <v>502</v>
      </c>
      <c r="B170" t="s">
        <v>503</v>
      </c>
      <c r="C170" t="s">
        <v>87</v>
      </c>
      <c r="D170" t="s">
        <v>1271</v>
      </c>
      <c r="E170" t="s">
        <v>87</v>
      </c>
    </row>
    <row r="171" spans="1:5" x14ac:dyDescent="0.25">
      <c r="A171" t="s">
        <v>180</v>
      </c>
      <c r="B171" t="s">
        <v>181</v>
      </c>
      <c r="C171" t="s">
        <v>87</v>
      </c>
      <c r="D171" t="s">
        <v>1271</v>
      </c>
      <c r="E171" t="s">
        <v>87</v>
      </c>
    </row>
    <row r="172" spans="1:5" x14ac:dyDescent="0.25">
      <c r="A172" t="s">
        <v>504</v>
      </c>
      <c r="B172" t="s">
        <v>505</v>
      </c>
      <c r="C172" t="s">
        <v>652</v>
      </c>
      <c r="D172" t="s">
        <v>1490</v>
      </c>
      <c r="E172" t="s">
        <v>1534</v>
      </c>
    </row>
    <row r="173" spans="1:5" x14ac:dyDescent="0.25">
      <c r="A173" t="s">
        <v>182</v>
      </c>
      <c r="B173" t="s">
        <v>183</v>
      </c>
      <c r="C173" t="s">
        <v>87</v>
      </c>
      <c r="D173" t="s">
        <v>1271</v>
      </c>
      <c r="E173" t="s">
        <v>87</v>
      </c>
    </row>
    <row r="174" spans="1:5" x14ac:dyDescent="0.25">
      <c r="A174" t="s">
        <v>184</v>
      </c>
      <c r="B174" t="s">
        <v>185</v>
      </c>
      <c r="C174" t="s">
        <v>87</v>
      </c>
      <c r="D174" t="s">
        <v>1271</v>
      </c>
      <c r="E174" t="s">
        <v>87</v>
      </c>
    </row>
    <row r="175" spans="1:5" x14ac:dyDescent="0.25">
      <c r="A175" t="s">
        <v>186</v>
      </c>
      <c r="B175" t="s">
        <v>187</v>
      </c>
      <c r="C175" t="s">
        <v>87</v>
      </c>
      <c r="D175" t="s">
        <v>1271</v>
      </c>
      <c r="E175" t="s">
        <v>87</v>
      </c>
    </row>
    <row r="176" spans="1:5" x14ac:dyDescent="0.25">
      <c r="A176" t="s">
        <v>506</v>
      </c>
      <c r="B176" t="s">
        <v>507</v>
      </c>
      <c r="C176" t="s">
        <v>87</v>
      </c>
      <c r="D176" t="s">
        <v>1271</v>
      </c>
      <c r="E176" t="s">
        <v>87</v>
      </c>
    </row>
    <row r="177" spans="1:5" x14ac:dyDescent="0.25">
      <c r="A177" t="s">
        <v>508</v>
      </c>
      <c r="B177" t="s">
        <v>509</v>
      </c>
      <c r="C177" t="s">
        <v>652</v>
      </c>
      <c r="D177" t="s">
        <v>1490</v>
      </c>
      <c r="E177" t="s">
        <v>1473</v>
      </c>
    </row>
    <row r="178" spans="1:5" x14ac:dyDescent="0.25">
      <c r="A178" t="s">
        <v>510</v>
      </c>
      <c r="B178" t="s">
        <v>511</v>
      </c>
      <c r="C178" t="s">
        <v>652</v>
      </c>
      <c r="D178" t="s">
        <v>1490</v>
      </c>
      <c r="E178" t="s">
        <v>1474</v>
      </c>
    </row>
    <row r="179" spans="1:5" x14ac:dyDescent="0.25">
      <c r="A179" t="s">
        <v>287</v>
      </c>
      <c r="B179" t="s">
        <v>288</v>
      </c>
      <c r="C179" t="s">
        <v>87</v>
      </c>
      <c r="D179" t="s">
        <v>1271</v>
      </c>
      <c r="E179" t="s">
        <v>87</v>
      </c>
    </row>
    <row r="180" spans="1:5" x14ac:dyDescent="0.25">
      <c r="A180" t="s">
        <v>512</v>
      </c>
      <c r="B180" t="s">
        <v>513</v>
      </c>
      <c r="C180" t="s">
        <v>652</v>
      </c>
      <c r="D180" t="s">
        <v>1490</v>
      </c>
      <c r="E180" t="s">
        <v>1475</v>
      </c>
    </row>
    <row r="181" spans="1:5" x14ac:dyDescent="0.25">
      <c r="A181" t="s">
        <v>188</v>
      </c>
      <c r="B181" t="s">
        <v>189</v>
      </c>
      <c r="C181" t="s">
        <v>87</v>
      </c>
      <c r="D181" t="s">
        <v>1271</v>
      </c>
      <c r="E181" t="s">
        <v>87</v>
      </c>
    </row>
    <row r="182" spans="1:5" x14ac:dyDescent="0.25">
      <c r="A182" t="s">
        <v>514</v>
      </c>
      <c r="B182" t="s">
        <v>515</v>
      </c>
      <c r="C182" t="s">
        <v>652</v>
      </c>
      <c r="D182" t="s">
        <v>1490</v>
      </c>
      <c r="E182" t="s">
        <v>1535</v>
      </c>
    </row>
    <row r="183" spans="1:5" x14ac:dyDescent="0.25">
      <c r="A183" t="s">
        <v>516</v>
      </c>
      <c r="B183" t="s">
        <v>517</v>
      </c>
      <c r="C183" t="s">
        <v>87</v>
      </c>
      <c r="D183" t="s">
        <v>1271</v>
      </c>
      <c r="E183" t="s">
        <v>87</v>
      </c>
    </row>
    <row r="184" spans="1:5" x14ac:dyDescent="0.25">
      <c r="A184" t="s">
        <v>518</v>
      </c>
      <c r="B184" t="s">
        <v>519</v>
      </c>
      <c r="C184" t="s">
        <v>652</v>
      </c>
      <c r="D184" t="s">
        <v>1490</v>
      </c>
      <c r="E184" t="s">
        <v>1476</v>
      </c>
    </row>
    <row r="185" spans="1:5" x14ac:dyDescent="0.25">
      <c r="A185" t="s">
        <v>520</v>
      </c>
      <c r="B185" t="s">
        <v>521</v>
      </c>
      <c r="C185" t="s">
        <v>87</v>
      </c>
      <c r="D185" t="s">
        <v>1271</v>
      </c>
      <c r="E185" t="s">
        <v>87</v>
      </c>
    </row>
    <row r="186" spans="1:5" x14ac:dyDescent="0.25">
      <c r="A186" t="s">
        <v>289</v>
      </c>
      <c r="B186" t="s">
        <v>290</v>
      </c>
      <c r="C186" t="s">
        <v>87</v>
      </c>
      <c r="D186" t="s">
        <v>1271</v>
      </c>
      <c r="E186" t="s">
        <v>87</v>
      </c>
    </row>
    <row r="187" spans="1:5" x14ac:dyDescent="0.25">
      <c r="A187" t="s">
        <v>522</v>
      </c>
      <c r="B187" t="s">
        <v>523</v>
      </c>
      <c r="C187" t="s">
        <v>652</v>
      </c>
      <c r="D187" t="s">
        <v>1490</v>
      </c>
      <c r="E187" t="s">
        <v>1477</v>
      </c>
    </row>
    <row r="188" spans="1:5" x14ac:dyDescent="0.25">
      <c r="A188" t="s">
        <v>524</v>
      </c>
      <c r="B188" t="s">
        <v>525</v>
      </c>
      <c r="C188" t="s">
        <v>87</v>
      </c>
      <c r="D188" t="s">
        <v>1271</v>
      </c>
      <c r="E188" t="s">
        <v>87</v>
      </c>
    </row>
    <row r="189" spans="1:5" x14ac:dyDescent="0.25">
      <c r="A189" t="s">
        <v>526</v>
      </c>
      <c r="B189" t="s">
        <v>527</v>
      </c>
      <c r="C189" t="s">
        <v>652</v>
      </c>
      <c r="D189" t="s">
        <v>1490</v>
      </c>
      <c r="E189" t="s">
        <v>1478</v>
      </c>
    </row>
    <row r="190" spans="1:5" x14ac:dyDescent="0.25">
      <c r="A190" t="s">
        <v>291</v>
      </c>
      <c r="B190" t="s">
        <v>292</v>
      </c>
      <c r="C190" t="s">
        <v>87</v>
      </c>
      <c r="D190" t="s">
        <v>1271</v>
      </c>
      <c r="E190" t="s">
        <v>87</v>
      </c>
    </row>
    <row r="191" spans="1:5" x14ac:dyDescent="0.25">
      <c r="A191" t="s">
        <v>528</v>
      </c>
      <c r="B191" t="s">
        <v>529</v>
      </c>
      <c r="C191" t="s">
        <v>652</v>
      </c>
      <c r="D191" t="s">
        <v>1490</v>
      </c>
      <c r="E191" t="s">
        <v>1536</v>
      </c>
    </row>
    <row r="192" spans="1:5" x14ac:dyDescent="0.25">
      <c r="A192" t="s">
        <v>530</v>
      </c>
      <c r="B192" t="s">
        <v>531</v>
      </c>
      <c r="C192" t="s">
        <v>87</v>
      </c>
      <c r="D192" t="s">
        <v>1271</v>
      </c>
      <c r="E192" t="s">
        <v>87</v>
      </c>
    </row>
    <row r="193" spans="1:5" x14ac:dyDescent="0.25">
      <c r="A193" t="s">
        <v>532</v>
      </c>
      <c r="B193" t="s">
        <v>533</v>
      </c>
      <c r="C193" t="s">
        <v>87</v>
      </c>
      <c r="D193" t="s">
        <v>1271</v>
      </c>
      <c r="E193" t="s">
        <v>87</v>
      </c>
    </row>
    <row r="194" spans="1:5" x14ac:dyDescent="0.25">
      <c r="A194" t="s">
        <v>650</v>
      </c>
      <c r="B194" t="s">
        <v>651</v>
      </c>
      <c r="C194" t="s">
        <v>652</v>
      </c>
      <c r="D194" t="s">
        <v>1490</v>
      </c>
      <c r="E194" t="s">
        <v>1489</v>
      </c>
    </row>
    <row r="195" spans="1:5" x14ac:dyDescent="0.25">
      <c r="A195" t="s">
        <v>534</v>
      </c>
      <c r="B195" t="s">
        <v>535</v>
      </c>
      <c r="C195" t="s">
        <v>652</v>
      </c>
      <c r="D195" t="s">
        <v>1490</v>
      </c>
      <c r="E195" t="s">
        <v>1537</v>
      </c>
    </row>
    <row r="196" spans="1:5" x14ac:dyDescent="0.25">
      <c r="A196" t="s">
        <v>536</v>
      </c>
      <c r="B196" t="s">
        <v>537</v>
      </c>
      <c r="C196" t="s">
        <v>652</v>
      </c>
      <c r="D196" t="s">
        <v>1490</v>
      </c>
      <c r="E196" t="s">
        <v>1538</v>
      </c>
    </row>
    <row r="197" spans="1:5" x14ac:dyDescent="0.25">
      <c r="A197" t="s">
        <v>190</v>
      </c>
      <c r="B197" t="s">
        <v>191</v>
      </c>
      <c r="C197" t="s">
        <v>87</v>
      </c>
      <c r="D197" t="s">
        <v>1271</v>
      </c>
      <c r="E197" t="s">
        <v>87</v>
      </c>
    </row>
    <row r="198" spans="1:5" x14ac:dyDescent="0.25">
      <c r="A198" t="s">
        <v>293</v>
      </c>
      <c r="B198" t="s">
        <v>294</v>
      </c>
      <c r="C198" t="s">
        <v>87</v>
      </c>
      <c r="D198" t="s">
        <v>1271</v>
      </c>
      <c r="E198" t="s">
        <v>87</v>
      </c>
    </row>
    <row r="199" spans="1:5" x14ac:dyDescent="0.25">
      <c r="A199" t="s">
        <v>192</v>
      </c>
      <c r="B199" t="s">
        <v>193</v>
      </c>
      <c r="C199" t="s">
        <v>87</v>
      </c>
      <c r="D199" t="s">
        <v>1271</v>
      </c>
      <c r="E199" t="s">
        <v>87</v>
      </c>
    </row>
    <row r="200" spans="1:5" x14ac:dyDescent="0.25">
      <c r="A200" t="s">
        <v>82</v>
      </c>
      <c r="B200" t="s">
        <v>1396</v>
      </c>
      <c r="C200" t="s">
        <v>87</v>
      </c>
      <c r="D200" t="s">
        <v>1271</v>
      </c>
      <c r="E200" t="s">
        <v>87</v>
      </c>
    </row>
    <row r="201" spans="1:5" x14ac:dyDescent="0.25">
      <c r="A201" t="s">
        <v>538</v>
      </c>
      <c r="B201" t="s">
        <v>539</v>
      </c>
      <c r="C201" t="s">
        <v>652</v>
      </c>
      <c r="D201" t="s">
        <v>1490</v>
      </c>
      <c r="E201" t="s">
        <v>1539</v>
      </c>
    </row>
    <row r="202" spans="1:5" x14ac:dyDescent="0.25">
      <c r="A202" t="s">
        <v>540</v>
      </c>
      <c r="B202" t="s">
        <v>541</v>
      </c>
      <c r="C202" t="s">
        <v>652</v>
      </c>
      <c r="D202" t="s">
        <v>1490</v>
      </c>
      <c r="E202" t="s">
        <v>1534</v>
      </c>
    </row>
    <row r="203" spans="1:5" x14ac:dyDescent="0.25">
      <c r="A203" t="s">
        <v>542</v>
      </c>
      <c r="B203" t="s">
        <v>543</v>
      </c>
      <c r="C203" t="s">
        <v>87</v>
      </c>
      <c r="D203" t="s">
        <v>1271</v>
      </c>
      <c r="E203" t="s">
        <v>87</v>
      </c>
    </row>
    <row r="204" spans="1:5" x14ac:dyDescent="0.25">
      <c r="A204" t="s">
        <v>544</v>
      </c>
      <c r="B204" t="s">
        <v>545</v>
      </c>
      <c r="C204" t="s">
        <v>652</v>
      </c>
      <c r="D204" t="s">
        <v>1490</v>
      </c>
      <c r="E204" t="s">
        <v>1540</v>
      </c>
    </row>
    <row r="205" spans="1:5" x14ac:dyDescent="0.25">
      <c r="A205" t="s">
        <v>546</v>
      </c>
      <c r="B205" t="s">
        <v>547</v>
      </c>
      <c r="C205" t="s">
        <v>652</v>
      </c>
      <c r="D205" t="s">
        <v>1490</v>
      </c>
      <c r="E205" t="s">
        <v>1479</v>
      </c>
    </row>
    <row r="206" spans="1:5" x14ac:dyDescent="0.25">
      <c r="A206" t="s">
        <v>77</v>
      </c>
      <c r="B206" t="s">
        <v>34</v>
      </c>
      <c r="C206" t="s">
        <v>87</v>
      </c>
      <c r="D206" t="s">
        <v>1271</v>
      </c>
      <c r="E206" t="s">
        <v>87</v>
      </c>
    </row>
    <row r="207" spans="1:5" x14ac:dyDescent="0.25">
      <c r="A207" t="s">
        <v>548</v>
      </c>
      <c r="B207" t="s">
        <v>549</v>
      </c>
      <c r="C207" t="s">
        <v>87</v>
      </c>
      <c r="D207" t="s">
        <v>1271</v>
      </c>
      <c r="E207" t="s">
        <v>87</v>
      </c>
    </row>
    <row r="208" spans="1:5" x14ac:dyDescent="0.25">
      <c r="A208" t="s">
        <v>58</v>
      </c>
      <c r="B208" t="s">
        <v>1422</v>
      </c>
      <c r="C208" t="s">
        <v>87</v>
      </c>
      <c r="D208" t="s">
        <v>1271</v>
      </c>
      <c r="E208" t="s">
        <v>87</v>
      </c>
    </row>
    <row r="209" spans="1:5" x14ac:dyDescent="0.25">
      <c r="A209" t="s">
        <v>194</v>
      </c>
      <c r="B209" t="s">
        <v>195</v>
      </c>
      <c r="C209" t="s">
        <v>87</v>
      </c>
      <c r="D209" t="s">
        <v>1271</v>
      </c>
      <c r="E209" t="s">
        <v>87</v>
      </c>
    </row>
    <row r="210" spans="1:5" x14ac:dyDescent="0.25">
      <c r="A210" t="s">
        <v>550</v>
      </c>
      <c r="B210" t="s">
        <v>551</v>
      </c>
      <c r="C210" t="s">
        <v>652</v>
      </c>
      <c r="D210" t="s">
        <v>1490</v>
      </c>
      <c r="E210" t="s">
        <v>1506</v>
      </c>
    </row>
    <row r="211" spans="1:5" x14ac:dyDescent="0.25">
      <c r="A211" t="s">
        <v>552</v>
      </c>
      <c r="B211" t="s">
        <v>553</v>
      </c>
      <c r="C211" t="s">
        <v>87</v>
      </c>
      <c r="D211" t="s">
        <v>1271</v>
      </c>
      <c r="E211" t="s">
        <v>87</v>
      </c>
    </row>
    <row r="212" spans="1:5" x14ac:dyDescent="0.25">
      <c r="A212" t="s">
        <v>554</v>
      </c>
      <c r="B212" t="s">
        <v>555</v>
      </c>
      <c r="C212" t="s">
        <v>87</v>
      </c>
      <c r="D212" t="s">
        <v>1271</v>
      </c>
      <c r="E212" t="s">
        <v>87</v>
      </c>
    </row>
    <row r="213" spans="1:5" x14ac:dyDescent="0.25">
      <c r="A213" t="s">
        <v>556</v>
      </c>
      <c r="B213" t="s">
        <v>557</v>
      </c>
      <c r="C213" t="s">
        <v>652</v>
      </c>
      <c r="D213" t="s">
        <v>1490</v>
      </c>
      <c r="E213" t="s">
        <v>1541</v>
      </c>
    </row>
    <row r="214" spans="1:5" x14ac:dyDescent="0.25">
      <c r="A214" t="s">
        <v>69</v>
      </c>
      <c r="B214" t="s">
        <v>16</v>
      </c>
      <c r="C214" t="s">
        <v>652</v>
      </c>
      <c r="D214" t="s">
        <v>1490</v>
      </c>
      <c r="E214" t="s">
        <v>1522</v>
      </c>
    </row>
    <row r="215" spans="1:5" x14ac:dyDescent="0.25">
      <c r="A215" t="s">
        <v>196</v>
      </c>
      <c r="B215" t="s">
        <v>197</v>
      </c>
      <c r="C215" t="s">
        <v>87</v>
      </c>
      <c r="D215" t="s">
        <v>1271</v>
      </c>
      <c r="E215" t="s">
        <v>87</v>
      </c>
    </row>
    <row r="216" spans="1:5" x14ac:dyDescent="0.25">
      <c r="A216" t="s">
        <v>71</v>
      </c>
      <c r="B216" t="s">
        <v>22</v>
      </c>
      <c r="C216" t="s">
        <v>652</v>
      </c>
      <c r="D216" t="s">
        <v>1490</v>
      </c>
      <c r="E216" t="s">
        <v>1523</v>
      </c>
    </row>
    <row r="217" spans="1:5" x14ac:dyDescent="0.25">
      <c r="A217" t="s">
        <v>558</v>
      </c>
      <c r="B217" t="s">
        <v>559</v>
      </c>
      <c r="C217" t="s">
        <v>652</v>
      </c>
      <c r="D217" t="s">
        <v>1490</v>
      </c>
      <c r="E217" t="s">
        <v>1542</v>
      </c>
    </row>
    <row r="218" spans="1:5" x14ac:dyDescent="0.25">
      <c r="A218" t="s">
        <v>560</v>
      </c>
      <c r="B218" t="s">
        <v>561</v>
      </c>
      <c r="C218" t="s">
        <v>87</v>
      </c>
      <c r="D218" t="s">
        <v>1271</v>
      </c>
      <c r="E218" t="s">
        <v>87</v>
      </c>
    </row>
    <row r="219" spans="1:5" x14ac:dyDescent="0.25">
      <c r="A219" t="s">
        <v>562</v>
      </c>
      <c r="B219" t="s">
        <v>1423</v>
      </c>
      <c r="C219" t="s">
        <v>87</v>
      </c>
      <c r="D219" t="s">
        <v>1271</v>
      </c>
      <c r="E219" t="s">
        <v>87</v>
      </c>
    </row>
    <row r="220" spans="1:5" x14ac:dyDescent="0.25">
      <c r="A220" t="s">
        <v>563</v>
      </c>
      <c r="B220" t="s">
        <v>564</v>
      </c>
      <c r="C220" t="s">
        <v>652</v>
      </c>
      <c r="D220" t="s">
        <v>1490</v>
      </c>
      <c r="E220" t="s">
        <v>1480</v>
      </c>
    </row>
    <row r="221" spans="1:5" x14ac:dyDescent="0.25">
      <c r="A221" t="s">
        <v>198</v>
      </c>
      <c r="B221" t="s">
        <v>199</v>
      </c>
      <c r="C221" t="s">
        <v>87</v>
      </c>
      <c r="D221" t="s">
        <v>1271</v>
      </c>
      <c r="E221" t="s">
        <v>87</v>
      </c>
    </row>
    <row r="222" spans="1:5" x14ac:dyDescent="0.25">
      <c r="A222" t="s">
        <v>200</v>
      </c>
      <c r="B222" t="s">
        <v>201</v>
      </c>
      <c r="C222" t="s">
        <v>87</v>
      </c>
      <c r="D222" t="s">
        <v>1271</v>
      </c>
      <c r="E222" t="s">
        <v>87</v>
      </c>
    </row>
    <row r="223" spans="1:5" x14ac:dyDescent="0.25">
      <c r="A223" t="s">
        <v>202</v>
      </c>
      <c r="B223" t="s">
        <v>203</v>
      </c>
      <c r="C223" t="s">
        <v>87</v>
      </c>
      <c r="D223" t="s">
        <v>1271</v>
      </c>
      <c r="E223" t="s">
        <v>87</v>
      </c>
    </row>
    <row r="224" spans="1:5" x14ac:dyDescent="0.25">
      <c r="A224" t="s">
        <v>295</v>
      </c>
      <c r="B224" t="s">
        <v>296</v>
      </c>
      <c r="C224" t="s">
        <v>87</v>
      </c>
      <c r="D224" t="s">
        <v>1271</v>
      </c>
      <c r="E224" t="s">
        <v>87</v>
      </c>
    </row>
    <row r="225" spans="1:5" x14ac:dyDescent="0.25">
      <c r="A225" t="s">
        <v>204</v>
      </c>
      <c r="B225" t="s">
        <v>205</v>
      </c>
      <c r="C225" t="s">
        <v>87</v>
      </c>
      <c r="D225" t="s">
        <v>1271</v>
      </c>
      <c r="E225" t="s">
        <v>87</v>
      </c>
    </row>
    <row r="226" spans="1:5" x14ac:dyDescent="0.25">
      <c r="A226" t="s">
        <v>565</v>
      </c>
      <c r="B226" t="s">
        <v>566</v>
      </c>
      <c r="C226" t="s">
        <v>87</v>
      </c>
      <c r="D226" t="s">
        <v>1271</v>
      </c>
      <c r="E226" t="s">
        <v>87</v>
      </c>
    </row>
    <row r="227" spans="1:5" x14ac:dyDescent="0.25">
      <c r="A227" t="s">
        <v>297</v>
      </c>
      <c r="B227" t="s">
        <v>298</v>
      </c>
      <c r="C227" t="s">
        <v>87</v>
      </c>
      <c r="D227" t="s">
        <v>1271</v>
      </c>
      <c r="E227" t="s">
        <v>87</v>
      </c>
    </row>
    <row r="228" spans="1:5" x14ac:dyDescent="0.25">
      <c r="A228" t="s">
        <v>1420</v>
      </c>
      <c r="B228" t="s">
        <v>1424</v>
      </c>
      <c r="C228" t="s">
        <v>87</v>
      </c>
      <c r="D228" t="s">
        <v>1271</v>
      </c>
      <c r="E228" t="s">
        <v>87</v>
      </c>
    </row>
    <row r="229" spans="1:5" x14ac:dyDescent="0.25">
      <c r="A229" t="s">
        <v>567</v>
      </c>
      <c r="B229" t="s">
        <v>568</v>
      </c>
      <c r="C229" t="s">
        <v>87</v>
      </c>
      <c r="D229" t="s">
        <v>1271</v>
      </c>
      <c r="E229" t="s">
        <v>87</v>
      </c>
    </row>
    <row r="230" spans="1:5" x14ac:dyDescent="0.25">
      <c r="A230" t="s">
        <v>569</v>
      </c>
      <c r="B230" t="s">
        <v>570</v>
      </c>
      <c r="C230" t="s">
        <v>87</v>
      </c>
      <c r="D230" t="s">
        <v>1271</v>
      </c>
      <c r="E230" t="s">
        <v>87</v>
      </c>
    </row>
    <row r="231" spans="1:5" x14ac:dyDescent="0.25">
      <c r="A231" t="s">
        <v>206</v>
      </c>
      <c r="B231" t="s">
        <v>207</v>
      </c>
      <c r="C231" t="s">
        <v>87</v>
      </c>
      <c r="D231" t="s">
        <v>1271</v>
      </c>
      <c r="E231" t="s">
        <v>87</v>
      </c>
    </row>
    <row r="232" spans="1:5" x14ac:dyDescent="0.25">
      <c r="A232" t="s">
        <v>571</v>
      </c>
      <c r="B232" t="s">
        <v>572</v>
      </c>
      <c r="C232" t="s">
        <v>652</v>
      </c>
      <c r="D232" t="s">
        <v>1490</v>
      </c>
      <c r="E232" t="s">
        <v>1543</v>
      </c>
    </row>
    <row r="233" spans="1:5" x14ac:dyDescent="0.25">
      <c r="A233" t="s">
        <v>81</v>
      </c>
      <c r="B233" t="s">
        <v>51</v>
      </c>
      <c r="C233" t="s">
        <v>87</v>
      </c>
      <c r="D233" t="s">
        <v>1271</v>
      </c>
      <c r="E233" t="s">
        <v>87</v>
      </c>
    </row>
    <row r="234" spans="1:5" x14ac:dyDescent="0.25">
      <c r="A234" t="s">
        <v>80</v>
      </c>
      <c r="B234" t="s">
        <v>47</v>
      </c>
      <c r="C234" t="s">
        <v>87</v>
      </c>
      <c r="D234" t="s">
        <v>1271</v>
      </c>
      <c r="E234" t="s">
        <v>87</v>
      </c>
    </row>
    <row r="235" spans="1:5" x14ac:dyDescent="0.25">
      <c r="A235" t="s">
        <v>59</v>
      </c>
      <c r="B235" t="s">
        <v>23</v>
      </c>
      <c r="C235" t="s">
        <v>87</v>
      </c>
      <c r="D235" t="s">
        <v>1271</v>
      </c>
      <c r="E235" t="s">
        <v>87</v>
      </c>
    </row>
    <row r="236" spans="1:5" x14ac:dyDescent="0.25">
      <c r="A236" t="s">
        <v>299</v>
      </c>
      <c r="B236" t="s">
        <v>300</v>
      </c>
      <c r="C236" t="s">
        <v>87</v>
      </c>
      <c r="D236" t="s">
        <v>1271</v>
      </c>
      <c r="E236" t="s">
        <v>87</v>
      </c>
    </row>
    <row r="237" spans="1:5" x14ac:dyDescent="0.25">
      <c r="A237" t="s">
        <v>573</v>
      </c>
      <c r="B237" t="s">
        <v>574</v>
      </c>
      <c r="C237" t="s">
        <v>87</v>
      </c>
      <c r="D237" t="s">
        <v>1271</v>
      </c>
      <c r="E237" t="s">
        <v>87</v>
      </c>
    </row>
    <row r="238" spans="1:5" x14ac:dyDescent="0.25">
      <c r="A238" t="s">
        <v>575</v>
      </c>
      <c r="B238" t="s">
        <v>576</v>
      </c>
      <c r="C238" t="s">
        <v>652</v>
      </c>
      <c r="D238" t="s">
        <v>1490</v>
      </c>
      <c r="E238" t="s">
        <v>1544</v>
      </c>
    </row>
    <row r="239" spans="1:5" x14ac:dyDescent="0.25">
      <c r="A239" t="s">
        <v>577</v>
      </c>
      <c r="B239" t="s">
        <v>578</v>
      </c>
      <c r="C239" t="s">
        <v>87</v>
      </c>
      <c r="D239" t="s">
        <v>1271</v>
      </c>
      <c r="E239" t="s">
        <v>87</v>
      </c>
    </row>
    <row r="240" spans="1:5" x14ac:dyDescent="0.25">
      <c r="A240" t="s">
        <v>208</v>
      </c>
      <c r="B240" t="s">
        <v>209</v>
      </c>
      <c r="C240" t="s">
        <v>87</v>
      </c>
      <c r="D240" t="s">
        <v>1271</v>
      </c>
      <c r="E240" t="s">
        <v>87</v>
      </c>
    </row>
    <row r="241" spans="1:5" x14ac:dyDescent="0.25">
      <c r="A241" t="s">
        <v>579</v>
      </c>
      <c r="B241" t="s">
        <v>580</v>
      </c>
      <c r="C241" t="s">
        <v>652</v>
      </c>
      <c r="D241" t="s">
        <v>1490</v>
      </c>
      <c r="E241" t="s">
        <v>1545</v>
      </c>
    </row>
    <row r="242" spans="1:5" x14ac:dyDescent="0.25">
      <c r="A242" t="s">
        <v>210</v>
      </c>
      <c r="B242" t="s">
        <v>211</v>
      </c>
      <c r="C242" t="s">
        <v>87</v>
      </c>
      <c r="D242" t="s">
        <v>1271</v>
      </c>
      <c r="E242" t="s">
        <v>87</v>
      </c>
    </row>
    <row r="243" spans="1:5" x14ac:dyDescent="0.25">
      <c r="A243" t="s">
        <v>301</v>
      </c>
      <c r="B243" t="s">
        <v>302</v>
      </c>
      <c r="C243" t="s">
        <v>87</v>
      </c>
      <c r="D243" t="s">
        <v>1271</v>
      </c>
      <c r="E243" t="s">
        <v>87</v>
      </c>
    </row>
    <row r="244" spans="1:5" x14ac:dyDescent="0.25">
      <c r="A244" t="s">
        <v>212</v>
      </c>
      <c r="B244" t="s">
        <v>213</v>
      </c>
      <c r="C244" t="s">
        <v>87</v>
      </c>
      <c r="D244" t="s">
        <v>1271</v>
      </c>
      <c r="E244" t="s">
        <v>87</v>
      </c>
    </row>
    <row r="245" spans="1:5" x14ac:dyDescent="0.25">
      <c r="A245" t="s">
        <v>214</v>
      </c>
      <c r="B245" t="s">
        <v>215</v>
      </c>
      <c r="C245" t="s">
        <v>87</v>
      </c>
      <c r="D245" t="s">
        <v>1271</v>
      </c>
      <c r="E245" t="s">
        <v>87</v>
      </c>
    </row>
    <row r="246" spans="1:5" x14ac:dyDescent="0.25">
      <c r="A246" t="s">
        <v>216</v>
      </c>
      <c r="B246" t="s">
        <v>217</v>
      </c>
      <c r="C246" t="s">
        <v>87</v>
      </c>
      <c r="D246" t="s">
        <v>1271</v>
      </c>
      <c r="E246" t="s">
        <v>87</v>
      </c>
    </row>
    <row r="247" spans="1:5" x14ac:dyDescent="0.25">
      <c r="A247" t="s">
        <v>581</v>
      </c>
      <c r="B247" t="s">
        <v>582</v>
      </c>
      <c r="C247" t="s">
        <v>652</v>
      </c>
      <c r="D247" t="s">
        <v>1490</v>
      </c>
      <c r="E247" t="s">
        <v>1481</v>
      </c>
    </row>
    <row r="248" spans="1:5" x14ac:dyDescent="0.25">
      <c r="A248" t="s">
        <v>583</v>
      </c>
      <c r="B248" t="s">
        <v>584</v>
      </c>
      <c r="C248" t="s">
        <v>652</v>
      </c>
      <c r="D248" t="s">
        <v>1490</v>
      </c>
      <c r="E248" t="s">
        <v>1482</v>
      </c>
    </row>
    <row r="249" spans="1:5" x14ac:dyDescent="0.25">
      <c r="A249" t="s">
        <v>218</v>
      </c>
      <c r="B249" t="s">
        <v>219</v>
      </c>
      <c r="C249" t="s">
        <v>87</v>
      </c>
      <c r="D249" t="s">
        <v>1271</v>
      </c>
      <c r="E249" t="s">
        <v>87</v>
      </c>
    </row>
    <row r="250" spans="1:5" x14ac:dyDescent="0.25">
      <c r="A250" t="s">
        <v>220</v>
      </c>
      <c r="B250" t="s">
        <v>221</v>
      </c>
      <c r="C250" t="s">
        <v>87</v>
      </c>
      <c r="D250" t="s">
        <v>1271</v>
      </c>
      <c r="E250" t="s">
        <v>87</v>
      </c>
    </row>
    <row r="251" spans="1:5" x14ac:dyDescent="0.25">
      <c r="A251" t="s">
        <v>585</v>
      </c>
      <c r="B251" t="s">
        <v>586</v>
      </c>
      <c r="C251" t="s">
        <v>652</v>
      </c>
      <c r="D251" t="s">
        <v>1490</v>
      </c>
      <c r="E251" t="s">
        <v>1546</v>
      </c>
    </row>
    <row r="252" spans="1:5" x14ac:dyDescent="0.25">
      <c r="A252" t="s">
        <v>61</v>
      </c>
      <c r="B252" t="s">
        <v>31</v>
      </c>
      <c r="C252" t="s">
        <v>87</v>
      </c>
      <c r="D252" t="s">
        <v>1271</v>
      </c>
      <c r="E252" t="s">
        <v>87</v>
      </c>
    </row>
    <row r="253" spans="1:5" x14ac:dyDescent="0.25">
      <c r="A253" t="s">
        <v>78</v>
      </c>
      <c r="B253" t="s">
        <v>36</v>
      </c>
      <c r="C253" t="s">
        <v>87</v>
      </c>
      <c r="D253" t="s">
        <v>1271</v>
      </c>
      <c r="E253" t="s">
        <v>87</v>
      </c>
    </row>
    <row r="254" spans="1:5" x14ac:dyDescent="0.25">
      <c r="A254" t="s">
        <v>587</v>
      </c>
      <c r="B254" t="s">
        <v>588</v>
      </c>
      <c r="C254" t="s">
        <v>652</v>
      </c>
      <c r="D254" t="s">
        <v>1490</v>
      </c>
      <c r="E254" t="s">
        <v>1500</v>
      </c>
    </row>
    <row r="255" spans="1:5" x14ac:dyDescent="0.25">
      <c r="A255" t="s">
        <v>589</v>
      </c>
      <c r="B255" t="s">
        <v>590</v>
      </c>
      <c r="C255" t="s">
        <v>87</v>
      </c>
      <c r="D255" t="s">
        <v>1271</v>
      </c>
      <c r="E255" t="s">
        <v>87</v>
      </c>
    </row>
    <row r="256" spans="1:5" x14ac:dyDescent="0.25">
      <c r="A256" t="s">
        <v>222</v>
      </c>
      <c r="B256" t="s">
        <v>223</v>
      </c>
      <c r="C256" t="s">
        <v>87</v>
      </c>
      <c r="D256" t="s">
        <v>1271</v>
      </c>
      <c r="E256" t="s">
        <v>87</v>
      </c>
    </row>
    <row r="257" spans="1:5" x14ac:dyDescent="0.25">
      <c r="A257" t="s">
        <v>224</v>
      </c>
      <c r="B257" t="s">
        <v>225</v>
      </c>
      <c r="C257" t="s">
        <v>87</v>
      </c>
      <c r="D257" t="s">
        <v>1271</v>
      </c>
      <c r="E257" t="s">
        <v>87</v>
      </c>
    </row>
    <row r="258" spans="1:5" x14ac:dyDescent="0.25">
      <c r="A258" t="s">
        <v>591</v>
      </c>
      <c r="B258" t="s">
        <v>592</v>
      </c>
      <c r="C258" t="s">
        <v>87</v>
      </c>
      <c r="D258" t="s">
        <v>1271</v>
      </c>
      <c r="E258" t="s">
        <v>87</v>
      </c>
    </row>
    <row r="259" spans="1:5" x14ac:dyDescent="0.25">
      <c r="A259" t="s">
        <v>226</v>
      </c>
      <c r="B259" t="s">
        <v>227</v>
      </c>
      <c r="C259" t="s">
        <v>87</v>
      </c>
      <c r="D259" t="s">
        <v>1271</v>
      </c>
      <c r="E259" t="s">
        <v>87</v>
      </c>
    </row>
    <row r="260" spans="1:5" x14ac:dyDescent="0.25">
      <c r="A260" t="s">
        <v>228</v>
      </c>
      <c r="B260" t="s">
        <v>229</v>
      </c>
      <c r="C260" t="s">
        <v>87</v>
      </c>
      <c r="D260" t="s">
        <v>1271</v>
      </c>
      <c r="E260" t="s">
        <v>87</v>
      </c>
    </row>
    <row r="261" spans="1:5" x14ac:dyDescent="0.25">
      <c r="A261" t="s">
        <v>593</v>
      </c>
      <c r="B261" t="s">
        <v>594</v>
      </c>
      <c r="C261" t="s">
        <v>87</v>
      </c>
      <c r="D261" t="s">
        <v>1271</v>
      </c>
      <c r="E261" t="s">
        <v>87</v>
      </c>
    </row>
    <row r="262" spans="1:5" x14ac:dyDescent="0.25">
      <c r="A262" t="s">
        <v>595</v>
      </c>
      <c r="B262" t="s">
        <v>596</v>
      </c>
      <c r="C262" t="s">
        <v>87</v>
      </c>
      <c r="D262" t="s">
        <v>1271</v>
      </c>
      <c r="E262" t="s">
        <v>87</v>
      </c>
    </row>
    <row r="263" spans="1:5" x14ac:dyDescent="0.25">
      <c r="A263" t="s">
        <v>230</v>
      </c>
      <c r="B263" t="s">
        <v>231</v>
      </c>
      <c r="C263" t="s">
        <v>87</v>
      </c>
      <c r="D263" t="s">
        <v>1271</v>
      </c>
      <c r="E263" t="s">
        <v>87</v>
      </c>
    </row>
    <row r="264" spans="1:5" x14ac:dyDescent="0.25">
      <c r="A264" t="s">
        <v>597</v>
      </c>
      <c r="B264" t="s">
        <v>598</v>
      </c>
      <c r="C264" t="s">
        <v>652</v>
      </c>
      <c r="D264" t="s">
        <v>1490</v>
      </c>
      <c r="E264" t="s">
        <v>1525</v>
      </c>
    </row>
    <row r="265" spans="1:5" x14ac:dyDescent="0.25">
      <c r="A265" t="s">
        <v>72</v>
      </c>
      <c r="B265" t="s">
        <v>26</v>
      </c>
      <c r="C265" t="s">
        <v>87</v>
      </c>
      <c r="D265" t="s">
        <v>1271</v>
      </c>
      <c r="E265" t="s">
        <v>87</v>
      </c>
    </row>
    <row r="266" spans="1:5" x14ac:dyDescent="0.25">
      <c r="A266" t="s">
        <v>73</v>
      </c>
      <c r="B266" t="s">
        <v>28</v>
      </c>
      <c r="C266" t="s">
        <v>87</v>
      </c>
      <c r="D266" t="s">
        <v>1271</v>
      </c>
      <c r="E266" t="s">
        <v>87</v>
      </c>
    </row>
    <row r="267" spans="1:5" x14ac:dyDescent="0.25">
      <c r="A267" t="s">
        <v>232</v>
      </c>
      <c r="B267" t="s">
        <v>233</v>
      </c>
      <c r="C267" t="s">
        <v>87</v>
      </c>
      <c r="D267" t="s">
        <v>1271</v>
      </c>
      <c r="E267" t="s">
        <v>87</v>
      </c>
    </row>
    <row r="268" spans="1:5" x14ac:dyDescent="0.25">
      <c r="A268" t="s">
        <v>599</v>
      </c>
      <c r="B268" t="s">
        <v>600</v>
      </c>
      <c r="C268" t="s">
        <v>652</v>
      </c>
      <c r="D268" t="s">
        <v>1490</v>
      </c>
      <c r="E268" t="s">
        <v>1548</v>
      </c>
    </row>
    <row r="269" spans="1:5" x14ac:dyDescent="0.25">
      <c r="A269" t="s">
        <v>67</v>
      </c>
      <c r="B269" t="s">
        <v>12</v>
      </c>
      <c r="C269" t="s">
        <v>652</v>
      </c>
      <c r="D269" t="s">
        <v>1490</v>
      </c>
      <c r="E269" t="s">
        <v>1498</v>
      </c>
    </row>
    <row r="270" spans="1:5" x14ac:dyDescent="0.25">
      <c r="A270" t="s">
        <v>62</v>
      </c>
      <c r="B270" t="s">
        <v>38</v>
      </c>
      <c r="C270" t="s">
        <v>87</v>
      </c>
      <c r="D270" t="s">
        <v>1271</v>
      </c>
      <c r="E270" t="s">
        <v>87</v>
      </c>
    </row>
    <row r="271" spans="1:5" x14ac:dyDescent="0.25">
      <c r="A271" t="s">
        <v>601</v>
      </c>
      <c r="B271" t="s">
        <v>602</v>
      </c>
      <c r="C271" t="s">
        <v>87</v>
      </c>
      <c r="D271" t="s">
        <v>1271</v>
      </c>
      <c r="E271" t="s">
        <v>87</v>
      </c>
    </row>
    <row r="272" spans="1:5" x14ac:dyDescent="0.25">
      <c r="A272" t="s">
        <v>234</v>
      </c>
      <c r="B272" t="s">
        <v>235</v>
      </c>
      <c r="C272" t="s">
        <v>87</v>
      </c>
      <c r="D272" t="s">
        <v>1271</v>
      </c>
      <c r="E272" t="s">
        <v>87</v>
      </c>
    </row>
    <row r="273" spans="1:5" x14ac:dyDescent="0.25">
      <c r="A273" t="s">
        <v>236</v>
      </c>
      <c r="B273" t="s">
        <v>237</v>
      </c>
      <c r="C273" t="s">
        <v>87</v>
      </c>
      <c r="D273" t="s">
        <v>1271</v>
      </c>
      <c r="E273" t="s">
        <v>87</v>
      </c>
    </row>
    <row r="274" spans="1:5" x14ac:dyDescent="0.25">
      <c r="A274" t="s">
        <v>303</v>
      </c>
      <c r="B274" t="s">
        <v>304</v>
      </c>
      <c r="C274" t="s">
        <v>87</v>
      </c>
      <c r="D274" t="s">
        <v>1271</v>
      </c>
      <c r="E274" t="s">
        <v>87</v>
      </c>
    </row>
    <row r="275" spans="1:5" x14ac:dyDescent="0.25">
      <c r="A275" t="s">
        <v>238</v>
      </c>
      <c r="B275" t="s">
        <v>239</v>
      </c>
      <c r="C275" t="s">
        <v>87</v>
      </c>
      <c r="D275" t="s">
        <v>1271</v>
      </c>
      <c r="E275" t="s">
        <v>87</v>
      </c>
    </row>
    <row r="276" spans="1:5" x14ac:dyDescent="0.25">
      <c r="A276" t="s">
        <v>240</v>
      </c>
      <c r="B276" t="s">
        <v>241</v>
      </c>
      <c r="C276" t="s">
        <v>87</v>
      </c>
      <c r="D276" t="s">
        <v>1271</v>
      </c>
      <c r="E276" t="s">
        <v>87</v>
      </c>
    </row>
    <row r="277" spans="1:5" x14ac:dyDescent="0.25">
      <c r="A277" t="s">
        <v>603</v>
      </c>
      <c r="B277" t="s">
        <v>604</v>
      </c>
      <c r="C277" t="s">
        <v>652</v>
      </c>
      <c r="D277" t="s">
        <v>1490</v>
      </c>
      <c r="E277" t="s">
        <v>1549</v>
      </c>
    </row>
    <row r="278" spans="1:5" x14ac:dyDescent="0.25">
      <c r="A278" t="s">
        <v>605</v>
      </c>
      <c r="B278" t="s">
        <v>606</v>
      </c>
      <c r="C278" t="s">
        <v>652</v>
      </c>
      <c r="D278" t="s">
        <v>1490</v>
      </c>
      <c r="E278" t="s">
        <v>1550</v>
      </c>
    </row>
    <row r="279" spans="1:5" x14ac:dyDescent="0.25">
      <c r="A279" t="s">
        <v>242</v>
      </c>
      <c r="B279" t="s">
        <v>243</v>
      </c>
      <c r="C279" t="s">
        <v>87</v>
      </c>
      <c r="D279" t="s">
        <v>1271</v>
      </c>
      <c r="E279" t="s">
        <v>87</v>
      </c>
    </row>
    <row r="280" spans="1:5" x14ac:dyDescent="0.25">
      <c r="A280" t="s">
        <v>244</v>
      </c>
      <c r="B280" t="s">
        <v>245</v>
      </c>
      <c r="C280" t="s">
        <v>87</v>
      </c>
      <c r="D280" t="s">
        <v>1271</v>
      </c>
      <c r="E280" t="s">
        <v>87</v>
      </c>
    </row>
    <row r="281" spans="1:5" x14ac:dyDescent="0.25">
      <c r="A281" t="s">
        <v>607</v>
      </c>
      <c r="B281" t="s">
        <v>608</v>
      </c>
      <c r="C281" t="s">
        <v>652</v>
      </c>
      <c r="D281" t="s">
        <v>1490</v>
      </c>
      <c r="E281" t="s">
        <v>1477</v>
      </c>
    </row>
    <row r="282" spans="1:5" x14ac:dyDescent="0.25">
      <c r="A282" t="s">
        <v>60</v>
      </c>
      <c r="B282" t="s">
        <v>42</v>
      </c>
      <c r="C282" t="s">
        <v>652</v>
      </c>
      <c r="D282" t="s">
        <v>1490</v>
      </c>
      <c r="E282" t="s">
        <v>1547</v>
      </c>
    </row>
    <row r="283" spans="1:5" x14ac:dyDescent="0.25">
      <c r="A283" t="s">
        <v>246</v>
      </c>
      <c r="B283" t="s">
        <v>247</v>
      </c>
      <c r="C283" t="s">
        <v>87</v>
      </c>
      <c r="D283" t="s">
        <v>1271</v>
      </c>
      <c r="E283" t="s">
        <v>87</v>
      </c>
    </row>
    <row r="284" spans="1:5" x14ac:dyDescent="0.25">
      <c r="A284" t="s">
        <v>609</v>
      </c>
      <c r="B284" t="s">
        <v>610</v>
      </c>
      <c r="C284" t="s">
        <v>652</v>
      </c>
      <c r="D284" t="s">
        <v>1490</v>
      </c>
      <c r="E284" t="s">
        <v>1551</v>
      </c>
    </row>
    <row r="285" spans="1:5" x14ac:dyDescent="0.25">
      <c r="A285" t="s">
        <v>248</v>
      </c>
      <c r="B285" t="s">
        <v>249</v>
      </c>
      <c r="C285" t="s">
        <v>87</v>
      </c>
      <c r="D285" t="s">
        <v>1271</v>
      </c>
      <c r="E285" t="s">
        <v>87</v>
      </c>
    </row>
    <row r="286" spans="1:5" x14ac:dyDescent="0.25">
      <c r="A286" t="s">
        <v>611</v>
      </c>
      <c r="B286" t="s">
        <v>612</v>
      </c>
      <c r="C286" t="s">
        <v>652</v>
      </c>
      <c r="D286" t="s">
        <v>1490</v>
      </c>
      <c r="E286" t="s">
        <v>1552</v>
      </c>
    </row>
    <row r="287" spans="1:5" x14ac:dyDescent="0.25">
      <c r="A287" t="s">
        <v>63</v>
      </c>
      <c r="B287" t="s">
        <v>48</v>
      </c>
      <c r="C287" t="s">
        <v>87</v>
      </c>
      <c r="D287" t="s">
        <v>1271</v>
      </c>
      <c r="E287" t="s">
        <v>87</v>
      </c>
    </row>
    <row r="288" spans="1:5" x14ac:dyDescent="0.25">
      <c r="A288" t="s">
        <v>250</v>
      </c>
      <c r="B288" t="s">
        <v>251</v>
      </c>
      <c r="C288" t="s">
        <v>87</v>
      </c>
      <c r="D288" t="s">
        <v>1271</v>
      </c>
      <c r="E288" t="s">
        <v>87</v>
      </c>
    </row>
    <row r="289" spans="1:5" x14ac:dyDescent="0.25">
      <c r="A289" t="s">
        <v>613</v>
      </c>
      <c r="B289" t="s">
        <v>614</v>
      </c>
      <c r="C289" t="s">
        <v>652</v>
      </c>
      <c r="D289" t="s">
        <v>1490</v>
      </c>
      <c r="E289" t="s">
        <v>1483</v>
      </c>
    </row>
    <row r="290" spans="1:5" x14ac:dyDescent="0.25">
      <c r="A290" t="s">
        <v>615</v>
      </c>
      <c r="B290" t="s">
        <v>616</v>
      </c>
      <c r="C290" t="s">
        <v>652</v>
      </c>
      <c r="D290" t="s">
        <v>1490</v>
      </c>
      <c r="E290" t="s">
        <v>1553</v>
      </c>
    </row>
    <row r="291" spans="1:5" x14ac:dyDescent="0.25">
      <c r="A291" t="s">
        <v>617</v>
      </c>
      <c r="B291" t="s">
        <v>618</v>
      </c>
      <c r="C291" t="s">
        <v>87</v>
      </c>
      <c r="D291" t="s">
        <v>1271</v>
      </c>
      <c r="E291" t="s">
        <v>87</v>
      </c>
    </row>
    <row r="292" spans="1:5" x14ac:dyDescent="0.25">
      <c r="A292" t="s">
        <v>619</v>
      </c>
      <c r="B292" t="s">
        <v>1397</v>
      </c>
      <c r="C292" t="s">
        <v>87</v>
      </c>
      <c r="D292" t="s">
        <v>1271</v>
      </c>
      <c r="E292" t="s">
        <v>87</v>
      </c>
    </row>
    <row r="293" spans="1:5" x14ac:dyDescent="0.25">
      <c r="A293" t="s">
        <v>620</v>
      </c>
      <c r="B293" t="s">
        <v>621</v>
      </c>
      <c r="C293" t="s">
        <v>652</v>
      </c>
      <c r="D293" t="s">
        <v>1490</v>
      </c>
      <c r="E293" t="s">
        <v>1554</v>
      </c>
    </row>
    <row r="294" spans="1:5" x14ac:dyDescent="0.25">
      <c r="A294" t="s">
        <v>622</v>
      </c>
      <c r="B294" t="s">
        <v>623</v>
      </c>
      <c r="C294" t="s">
        <v>652</v>
      </c>
      <c r="D294" t="s">
        <v>1490</v>
      </c>
      <c r="E294" t="s">
        <v>1484</v>
      </c>
    </row>
    <row r="295" spans="1:5" x14ac:dyDescent="0.25">
      <c r="A295" t="s">
        <v>252</v>
      </c>
      <c r="B295" t="s">
        <v>253</v>
      </c>
      <c r="C295" t="s">
        <v>87</v>
      </c>
      <c r="D295" t="s">
        <v>1271</v>
      </c>
      <c r="E295" t="s">
        <v>87</v>
      </c>
    </row>
    <row r="296" spans="1:5" x14ac:dyDescent="0.25">
      <c r="A296" t="s">
        <v>624</v>
      </c>
      <c r="B296" t="s">
        <v>625</v>
      </c>
      <c r="C296" t="s">
        <v>87</v>
      </c>
      <c r="D296" t="s">
        <v>1271</v>
      </c>
      <c r="E296" t="s">
        <v>87</v>
      </c>
    </row>
    <row r="297" spans="1:5" x14ac:dyDescent="0.25">
      <c r="A297" t="s">
        <v>626</v>
      </c>
      <c r="B297" t="s">
        <v>627</v>
      </c>
      <c r="C297" t="s">
        <v>87</v>
      </c>
      <c r="D297" t="s">
        <v>1271</v>
      </c>
      <c r="E297" t="s">
        <v>87</v>
      </c>
    </row>
    <row r="298" spans="1:5" x14ac:dyDescent="0.25">
      <c r="A298" t="s">
        <v>628</v>
      </c>
      <c r="B298" t="s">
        <v>629</v>
      </c>
      <c r="C298" t="s">
        <v>652</v>
      </c>
      <c r="D298" t="s">
        <v>1490</v>
      </c>
      <c r="E298" t="s">
        <v>1485</v>
      </c>
    </row>
    <row r="299" spans="1:5" x14ac:dyDescent="0.25">
      <c r="A299" t="s">
        <v>64</v>
      </c>
      <c r="B299" t="s">
        <v>1389</v>
      </c>
      <c r="C299" t="s">
        <v>87</v>
      </c>
      <c r="D299" t="s">
        <v>1271</v>
      </c>
      <c r="E299" t="s">
        <v>87</v>
      </c>
    </row>
    <row r="300" spans="1:5" x14ac:dyDescent="0.25">
      <c r="A300" t="s">
        <v>305</v>
      </c>
      <c r="B300" t="s">
        <v>1385</v>
      </c>
      <c r="C300" t="s">
        <v>87</v>
      </c>
      <c r="D300" t="s">
        <v>1271</v>
      </c>
      <c r="E300" t="s">
        <v>87</v>
      </c>
    </row>
    <row r="301" spans="1:5" x14ac:dyDescent="0.25">
      <c r="A301" t="s">
        <v>254</v>
      </c>
      <c r="B301" t="s">
        <v>1384</v>
      </c>
      <c r="C301" t="s">
        <v>87</v>
      </c>
      <c r="D301" t="s">
        <v>1271</v>
      </c>
      <c r="E301" t="s">
        <v>87</v>
      </c>
    </row>
    <row r="302" spans="1:5" x14ac:dyDescent="0.25">
      <c r="A302" t="s">
        <v>68</v>
      </c>
      <c r="B302" t="s">
        <v>1382</v>
      </c>
      <c r="C302" t="s">
        <v>87</v>
      </c>
      <c r="D302" t="s">
        <v>1271</v>
      </c>
      <c r="E302" t="s">
        <v>87</v>
      </c>
    </row>
    <row r="303" spans="1:5" x14ac:dyDescent="0.25">
      <c r="A303" t="s">
        <v>630</v>
      </c>
      <c r="B303" t="s">
        <v>631</v>
      </c>
      <c r="C303" t="s">
        <v>652</v>
      </c>
      <c r="D303" t="s">
        <v>1490</v>
      </c>
      <c r="E303" t="s">
        <v>1486</v>
      </c>
    </row>
    <row r="304" spans="1:5" x14ac:dyDescent="0.25">
      <c r="A304" t="s">
        <v>255</v>
      </c>
      <c r="B304" t="s">
        <v>256</v>
      </c>
      <c r="C304" t="s">
        <v>87</v>
      </c>
      <c r="D304" t="s">
        <v>1271</v>
      </c>
      <c r="E304" t="s">
        <v>87</v>
      </c>
    </row>
    <row r="305" spans="1:5" x14ac:dyDescent="0.25">
      <c r="A305" t="s">
        <v>306</v>
      </c>
      <c r="B305" t="s">
        <v>307</v>
      </c>
      <c r="C305" t="s">
        <v>87</v>
      </c>
      <c r="D305" t="s">
        <v>1271</v>
      </c>
      <c r="E305" t="s">
        <v>87</v>
      </c>
    </row>
    <row r="306" spans="1:5" x14ac:dyDescent="0.25">
      <c r="A306" t="s">
        <v>257</v>
      </c>
      <c r="B306" t="s">
        <v>258</v>
      </c>
      <c r="C306" t="s">
        <v>652</v>
      </c>
      <c r="D306" t="s">
        <v>1490</v>
      </c>
      <c r="E306" t="s">
        <v>1555</v>
      </c>
    </row>
    <row r="307" spans="1:5" x14ac:dyDescent="0.25">
      <c r="A307" t="s">
        <v>632</v>
      </c>
      <c r="B307" t="s">
        <v>633</v>
      </c>
      <c r="C307" t="s">
        <v>87</v>
      </c>
      <c r="D307" t="s">
        <v>1271</v>
      </c>
      <c r="E307" t="s">
        <v>87</v>
      </c>
    </row>
    <row r="308" spans="1:5" x14ac:dyDescent="0.25">
      <c r="A308" t="s">
        <v>634</v>
      </c>
      <c r="B308" t="s">
        <v>635</v>
      </c>
      <c r="C308" t="s">
        <v>652</v>
      </c>
      <c r="D308" t="s">
        <v>1490</v>
      </c>
      <c r="E308" t="s">
        <v>1520</v>
      </c>
    </row>
    <row r="309" spans="1:5" x14ac:dyDescent="0.25">
      <c r="A309" t="s">
        <v>636</v>
      </c>
      <c r="B309" t="s">
        <v>637</v>
      </c>
      <c r="C309" t="s">
        <v>87</v>
      </c>
      <c r="D309" t="s">
        <v>1271</v>
      </c>
      <c r="E309" t="s">
        <v>87</v>
      </c>
    </row>
    <row r="310" spans="1:5" x14ac:dyDescent="0.25">
      <c r="A310" t="s">
        <v>638</v>
      </c>
      <c r="B310" t="s">
        <v>639</v>
      </c>
      <c r="C310" t="s">
        <v>652</v>
      </c>
      <c r="D310" t="s">
        <v>1490</v>
      </c>
      <c r="E310" t="s">
        <v>1487</v>
      </c>
    </row>
    <row r="311" spans="1:5" x14ac:dyDescent="0.25">
      <c r="A311" t="s">
        <v>640</v>
      </c>
      <c r="B311" t="s">
        <v>641</v>
      </c>
      <c r="C311" t="s">
        <v>652</v>
      </c>
      <c r="D311" t="s">
        <v>1490</v>
      </c>
      <c r="E311" t="s">
        <v>1488</v>
      </c>
    </row>
    <row r="312" spans="1:5" x14ac:dyDescent="0.25">
      <c r="A312" t="s">
        <v>642</v>
      </c>
      <c r="B312" t="s">
        <v>643</v>
      </c>
      <c r="C312" t="s">
        <v>87</v>
      </c>
      <c r="D312" t="s">
        <v>1271</v>
      </c>
      <c r="E312" t="s">
        <v>87</v>
      </c>
    </row>
    <row r="313" spans="1:5" x14ac:dyDescent="0.25">
      <c r="A313" t="s">
        <v>644</v>
      </c>
      <c r="B313" t="s">
        <v>645</v>
      </c>
      <c r="C313" t="s">
        <v>652</v>
      </c>
      <c r="D313" t="s">
        <v>1490</v>
      </c>
      <c r="E313" t="s">
        <v>1556</v>
      </c>
    </row>
    <row r="314" spans="1:5" x14ac:dyDescent="0.25">
      <c r="A314" t="s">
        <v>646</v>
      </c>
      <c r="B314" t="s">
        <v>647</v>
      </c>
      <c r="C314" t="s">
        <v>87</v>
      </c>
      <c r="D314" t="s">
        <v>1271</v>
      </c>
      <c r="E314" t="s">
        <v>87</v>
      </c>
    </row>
    <row r="315" spans="1:5" x14ac:dyDescent="0.25">
      <c r="A315" t="s">
        <v>648</v>
      </c>
      <c r="B315" t="s">
        <v>649</v>
      </c>
      <c r="C315" t="s">
        <v>87</v>
      </c>
      <c r="D315" t="s">
        <v>1271</v>
      </c>
      <c r="E315" t="s">
        <v>87</v>
      </c>
    </row>
    <row r="316" spans="1:5" x14ac:dyDescent="0.25">
      <c r="D316" t="s">
        <v>1271</v>
      </c>
    </row>
  </sheetData>
  <sheetProtection algorithmName="SHA-512" hashValue="3fvrgNfEdtgc5E/4wVCjbD3ugsV594mZ7xXuVqiWiHrOkoy0MWGO7fvqoqdn5jZY7DhignyQb9bGll24yWJlbw==" saltValue="lr0U9/JUIjJ1LNy5wDouIQ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AB1D-791B-4325-BED3-C8C4DAFA9FC7}">
  <dimension ref="A1:B4"/>
  <sheetViews>
    <sheetView workbookViewId="0">
      <selection activeCell="B5" sqref="B5"/>
    </sheetView>
    <sheetView workbookViewId="1">
      <selection activeCell="B4" sqref="B4"/>
    </sheetView>
  </sheetViews>
  <sheetFormatPr defaultRowHeight="15" x14ac:dyDescent="0.25"/>
  <cols>
    <col min="1" max="1" width="21.28515625" customWidth="1"/>
    <col min="2" max="2" width="30.28515625" customWidth="1"/>
  </cols>
  <sheetData>
    <row r="1" spans="1:2" x14ac:dyDescent="0.25">
      <c r="A1" t="s">
        <v>1491</v>
      </c>
    </row>
    <row r="3" spans="1:2" x14ac:dyDescent="0.25">
      <c r="A3" s="25" t="s">
        <v>1492</v>
      </c>
      <c r="B3" s="25" t="s">
        <v>1493</v>
      </c>
    </row>
    <row r="4" spans="1:2" x14ac:dyDescent="0.25">
      <c r="A4" s="83">
        <v>46174</v>
      </c>
      <c r="B4" t="s">
        <v>1565</v>
      </c>
    </row>
  </sheetData>
  <sheetProtection algorithmName="SHA-512" hashValue="fQTOme72BkjSWqtXZ+mcgVxACHjO7W3qqRg0DeJ6JZMPirYPTzi0AngLWpxFwmCS/L/0kKjKMvYCTTcvZpDi4g==" saltValue="sRMXSOtHB6D9m68mXYG7P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2383-2AEC-469C-A5AF-4DD061F0E81C}">
  <sheetPr codeName="Sheet2">
    <tabColor rgb="FFFFFF00"/>
  </sheetPr>
  <dimension ref="A1:X23"/>
  <sheetViews>
    <sheetView workbookViewId="0">
      <selection activeCell="C19" sqref="C19"/>
    </sheetView>
    <sheetView workbookViewId="1"/>
  </sheetViews>
  <sheetFormatPr defaultRowHeight="15" x14ac:dyDescent="0.25"/>
  <cols>
    <col min="1" max="1" width="45.7109375" customWidth="1"/>
    <col min="2" max="2" width="67.85546875" bestFit="1" customWidth="1"/>
    <col min="3" max="3" width="13.85546875" bestFit="1" customWidth="1"/>
    <col min="4" max="4" width="16.28515625" bestFit="1" customWidth="1"/>
    <col min="5" max="5" width="26.85546875" bestFit="1" customWidth="1"/>
    <col min="6" max="6" width="20.42578125" bestFit="1" customWidth="1"/>
    <col min="7" max="7" width="15" bestFit="1" customWidth="1"/>
    <col min="8" max="8" width="20.42578125" bestFit="1" customWidth="1"/>
    <col min="9" max="11" width="62.140625" bestFit="1" customWidth="1"/>
    <col min="12" max="12" width="38.85546875" bestFit="1" customWidth="1"/>
    <col min="13" max="13" width="32.42578125" bestFit="1" customWidth="1"/>
    <col min="14" max="14" width="52.7109375" bestFit="1" customWidth="1"/>
    <col min="15" max="15" width="20.42578125" bestFit="1" customWidth="1"/>
    <col min="16" max="20" width="62.140625" bestFit="1" customWidth="1"/>
    <col min="21" max="21" width="16.28515625" bestFit="1" customWidth="1"/>
    <col min="22" max="22" width="16.85546875" bestFit="1" customWidth="1"/>
    <col min="23" max="23" width="20.42578125" bestFit="1" customWidth="1"/>
    <col min="24" max="24" width="15" bestFit="1" customWidth="1"/>
    <col min="25" max="25" width="20.42578125" bestFit="1" customWidth="1"/>
    <col min="26" max="27" width="62.140625" bestFit="1" customWidth="1"/>
  </cols>
  <sheetData>
    <row r="1" spans="1:24" x14ac:dyDescent="0.25">
      <c r="B1" t="s">
        <v>1272</v>
      </c>
      <c r="C1" t="s">
        <v>1272</v>
      </c>
      <c r="D1" t="s">
        <v>1390</v>
      </c>
      <c r="E1" t="s">
        <v>1391</v>
      </c>
      <c r="F1" t="s">
        <v>1392</v>
      </c>
      <c r="G1" t="s">
        <v>1393</v>
      </c>
      <c r="H1" t="s">
        <v>1257</v>
      </c>
      <c r="I1" t="s">
        <v>1258</v>
      </c>
    </row>
    <row r="2" spans="1:24" x14ac:dyDescent="0.25">
      <c r="B2" t="s">
        <v>1562</v>
      </c>
      <c r="C2" t="s">
        <v>656</v>
      </c>
      <c r="D2" t="s">
        <v>1557</v>
      </c>
      <c r="E2" t="s">
        <v>1558</v>
      </c>
      <c r="F2" t="s">
        <v>1559</v>
      </c>
      <c r="G2" t="s">
        <v>1560</v>
      </c>
      <c r="H2" t="s">
        <v>1561</v>
      </c>
      <c r="I2">
        <v>227318280</v>
      </c>
    </row>
    <row r="3" spans="1:24" ht="15.75" thickBot="1" x14ac:dyDescent="0.3"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x14ac:dyDescent="0.25">
      <c r="A4" s="52" t="s">
        <v>1259</v>
      </c>
      <c r="B4" s="64" t="str" cm="1">
        <f t="array" ref="B4">Assumptions[TOTAL LEA GRANTS]</f>
        <v>311207651</v>
      </c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24" x14ac:dyDescent="0.25">
      <c r="A5" s="53" t="s">
        <v>1260</v>
      </c>
      <c r="B5" s="65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24" x14ac:dyDescent="0.25">
      <c r="A6" s="54" t="s">
        <v>1261</v>
      </c>
      <c r="B6" s="65">
        <f>B4+B5</f>
        <v>311207651</v>
      </c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24" x14ac:dyDescent="0.25">
      <c r="A7" s="55"/>
      <c r="B7" s="65"/>
      <c r="C7" s="2"/>
      <c r="D7" s="2"/>
      <c r="E7" s="2"/>
      <c r="F7" s="2"/>
      <c r="G7" s="2"/>
      <c r="H7" s="2"/>
      <c r="I7" s="2"/>
      <c r="J7" s="2"/>
      <c r="K7" s="2"/>
      <c r="L7" s="2"/>
    </row>
    <row r="8" spans="1:24" x14ac:dyDescent="0.25">
      <c r="A8" s="55" t="s">
        <v>1262</v>
      </c>
      <c r="B8" s="65">
        <v>0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24" x14ac:dyDescent="0.25">
      <c r="A9" s="55" t="s">
        <v>1333</v>
      </c>
      <c r="B9" s="65">
        <f>'State Reservations'!$I$3</f>
        <v>311110097.10466838</v>
      </c>
      <c r="C9" s="77"/>
      <c r="D9" s="2"/>
      <c r="E9" s="2"/>
      <c r="F9" s="2"/>
      <c r="G9" s="2"/>
      <c r="H9" s="2"/>
      <c r="I9" s="2"/>
      <c r="J9" s="2"/>
      <c r="K9" s="2"/>
      <c r="L9" s="2"/>
    </row>
    <row r="10" spans="1:24" x14ac:dyDescent="0.25">
      <c r="A10" s="55" t="s">
        <v>1263</v>
      </c>
      <c r="B10" s="65">
        <f>(7%*B6)*-1</f>
        <v>-21784535.57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24" x14ac:dyDescent="0.25">
      <c r="A11" s="55" t="s">
        <v>1356</v>
      </c>
      <c r="B11" s="66">
        <f>'State Reservations'!$I$1-'State Reservations'!$I$3</f>
        <v>97553.89533162117</v>
      </c>
      <c r="C11" s="2"/>
      <c r="D11" s="2"/>
      <c r="E11" s="2"/>
      <c r="F11" s="2"/>
      <c r="G11" s="2"/>
      <c r="H11" s="2"/>
      <c r="I11" s="2"/>
      <c r="J11" s="2"/>
      <c r="K11" s="2"/>
      <c r="L11" s="2"/>
      <c r="N11" s="61"/>
    </row>
    <row r="12" spans="1:24" x14ac:dyDescent="0.25">
      <c r="A12" s="55" t="s">
        <v>1365</v>
      </c>
      <c r="B12" s="65">
        <f>B10+B11</f>
        <v>-21686981.674668379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4" x14ac:dyDescent="0.25">
      <c r="A13" s="55"/>
      <c r="B13" s="65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24" x14ac:dyDescent="0.25">
      <c r="A14" s="55" t="s">
        <v>1264</v>
      </c>
      <c r="B14" s="67">
        <f>B12/B9</f>
        <v>-6.9708382583841738E-2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24" x14ac:dyDescent="0.25">
      <c r="A15" s="55"/>
      <c r="B15" s="68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24" x14ac:dyDescent="0.25">
      <c r="A16" s="56" t="s">
        <v>1265</v>
      </c>
      <c r="B16" s="65"/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spans="1:14" x14ac:dyDescent="0.25">
      <c r="A17" s="57" t="s">
        <v>1266</v>
      </c>
      <c r="B17" s="65">
        <f>B6+B10</f>
        <v>289423115.43000001</v>
      </c>
      <c r="C17" s="7"/>
      <c r="D17" s="7"/>
      <c r="E17" s="7"/>
      <c r="F17" s="7"/>
      <c r="G17" s="7"/>
      <c r="H17" s="7"/>
      <c r="I17" s="7"/>
      <c r="J17" s="7"/>
      <c r="K17" s="7"/>
      <c r="L17" s="7"/>
      <c r="N17" s="43"/>
    </row>
    <row r="18" spans="1:14" x14ac:dyDescent="0.25">
      <c r="A18" s="58" t="s">
        <v>1267</v>
      </c>
      <c r="B18" s="65" cm="1">
        <f t="array" ref="B18">Assumptions[Rev Fin  T-I State Adm  1004(b).TITLE I, PART A TOTAL LEA GRANTS]</f>
        <v>227318280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4" x14ac:dyDescent="0.25">
      <c r="A19" s="55" t="s">
        <v>1268</v>
      </c>
      <c r="B19" s="65">
        <f>ROUND((B18*1%),0)*-1</f>
        <v>-2273183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4" x14ac:dyDescent="0.25">
      <c r="A20" s="55"/>
      <c r="B20" s="65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4" x14ac:dyDescent="0.25">
      <c r="A21" s="55" t="s">
        <v>659</v>
      </c>
      <c r="B21" s="65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4" x14ac:dyDescent="0.25">
      <c r="A22" s="55" t="s">
        <v>1269</v>
      </c>
      <c r="B22" s="65">
        <f>'State Reservations'!AD3*-1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4" ht="15.75" thickBot="1" x14ac:dyDescent="0.3">
      <c r="A23" s="10" t="s">
        <v>1270</v>
      </c>
      <c r="B23" s="69">
        <f>B17+B19+B22</f>
        <v>287149932.43000001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N23" s="43"/>
    </row>
  </sheetData>
  <sheetProtection algorithmName="SHA-512" hashValue="T5HutG4FkPnA9y3P0Npe9jQ/bKF4DxoKCkfncFWCCFhAkToaso5K/I1gi9LkZKEmjbg8/Pfit7V4iPe5kfbsqQ==" saltValue="pYCGcJZKLsfQb6Wxvd1Ypg==" spinCount="100000" sheet="1" objects="1" scenarios="1"/>
  <phoneticPr fontId="2" type="noConversion"/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E85DC-62F1-4FC0-9717-51C5497BC9D0}">
  <dimension ref="A1:AG317"/>
  <sheetViews>
    <sheetView topLeftCell="J1" workbookViewId="0">
      <selection activeCell="K4" sqref="K4"/>
    </sheetView>
    <sheetView tabSelected="1" workbookViewId="1">
      <selection activeCell="AE311" sqref="AE311"/>
    </sheetView>
  </sheetViews>
  <sheetFormatPr defaultRowHeight="15" x14ac:dyDescent="0.25"/>
  <cols>
    <col min="2" max="2" width="23.5703125" customWidth="1"/>
    <col min="4" max="4" width="20.7109375" customWidth="1"/>
    <col min="5" max="5" width="16.7109375" customWidth="1"/>
    <col min="6" max="7" width="15" customWidth="1"/>
    <col min="8" max="8" width="19" customWidth="1"/>
    <col min="9" max="9" width="24.5703125" customWidth="1"/>
    <col min="10" max="10" width="19" customWidth="1"/>
    <col min="11" max="11" width="24.140625" customWidth="1"/>
    <col min="12" max="12" width="13.85546875" customWidth="1"/>
    <col min="13" max="13" width="13.140625" customWidth="1"/>
    <col min="14" max="14" width="14.140625" customWidth="1"/>
    <col min="15" max="15" width="14" customWidth="1"/>
    <col min="16" max="16" width="13.7109375" customWidth="1"/>
    <col min="17" max="17" width="14" customWidth="1"/>
    <col min="18" max="18" width="15.140625" customWidth="1"/>
    <col min="19" max="19" width="11.7109375" customWidth="1"/>
    <col min="20" max="20" width="13.85546875" customWidth="1"/>
    <col min="21" max="22" width="12" bestFit="1" customWidth="1"/>
    <col min="23" max="24" width="15.5703125" customWidth="1"/>
    <col min="25" max="25" width="20" customWidth="1"/>
    <col min="26" max="26" width="17" customWidth="1"/>
    <col min="28" max="28" width="16" customWidth="1"/>
    <col min="30" max="30" width="13.28515625" bestFit="1" customWidth="1"/>
    <col min="31" max="31" width="35.5703125" customWidth="1"/>
    <col min="32" max="32" width="15.28515625" bestFit="1" customWidth="1"/>
  </cols>
  <sheetData>
    <row r="1" spans="1:33" x14ac:dyDescent="0.25">
      <c r="G1" s="43"/>
      <c r="H1" s="43"/>
      <c r="I1" s="12">
        <f>'Assumptions '!B6</f>
        <v>311207651</v>
      </c>
      <c r="J1" s="41"/>
      <c r="K1" s="42">
        <f>'Assumptions '!B12*-1</f>
        <v>21686981.674668379</v>
      </c>
      <c r="L1" s="88" t="s">
        <v>1273</v>
      </c>
      <c r="M1" s="88"/>
      <c r="N1" s="88"/>
      <c r="O1" s="88" t="s">
        <v>1274</v>
      </c>
      <c r="P1" s="88"/>
      <c r="Q1" s="88"/>
      <c r="R1" s="88" t="s">
        <v>1275</v>
      </c>
      <c r="S1" s="88"/>
      <c r="T1" s="88"/>
      <c r="U1" s="88" t="s">
        <v>1276</v>
      </c>
      <c r="V1" s="88"/>
      <c r="W1" s="88"/>
      <c r="X1" s="44">
        <f>X3-K1</f>
        <v>0</v>
      </c>
      <c r="Y1" s="13">
        <f>'Assumptions '!B19*-1</f>
        <v>2273183</v>
      </c>
      <c r="Z1" s="44"/>
      <c r="AA1" s="13">
        <v>0</v>
      </c>
      <c r="AE1" s="39">
        <f>'Assumptions '!B23</f>
        <v>287149932.43000001</v>
      </c>
      <c r="AF1" s="43" t="str">
        <f>IF(ROUND(AE3,2)=ROUND(AE1,2), "looks good", "Check model")</f>
        <v>looks good</v>
      </c>
    </row>
    <row r="2" spans="1:33" s="24" customFormat="1" ht="81.75" customHeight="1" x14ac:dyDescent="0.25">
      <c r="A2" s="15" t="s">
        <v>4</v>
      </c>
      <c r="B2" s="16" t="s">
        <v>1277</v>
      </c>
      <c r="C2" s="14" t="s">
        <v>0</v>
      </c>
      <c r="D2" s="17" t="s">
        <v>1278</v>
      </c>
      <c r="E2" s="17" t="s">
        <v>1279</v>
      </c>
      <c r="F2" s="18" t="s">
        <v>1280</v>
      </c>
      <c r="G2" s="18" t="s">
        <v>1281</v>
      </c>
      <c r="H2" s="18" t="s">
        <v>1282</v>
      </c>
      <c r="I2" s="18" t="s">
        <v>1283</v>
      </c>
      <c r="J2" s="18" t="s">
        <v>1417</v>
      </c>
      <c r="K2" s="18" t="s">
        <v>1364</v>
      </c>
      <c r="L2" s="19" t="s">
        <v>1284</v>
      </c>
      <c r="M2" s="20" t="s">
        <v>657</v>
      </c>
      <c r="N2" s="21" t="s">
        <v>658</v>
      </c>
      <c r="O2" s="19" t="s">
        <v>1284</v>
      </c>
      <c r="P2" s="20" t="s">
        <v>657</v>
      </c>
      <c r="Q2" s="21" t="s">
        <v>658</v>
      </c>
      <c r="R2" s="19" t="s">
        <v>1284</v>
      </c>
      <c r="S2" s="20" t="s">
        <v>657</v>
      </c>
      <c r="T2" s="21" t="s">
        <v>658</v>
      </c>
      <c r="U2" s="19" t="s">
        <v>1284</v>
      </c>
      <c r="V2" s="20" t="s">
        <v>657</v>
      </c>
      <c r="W2" s="21" t="s">
        <v>658</v>
      </c>
      <c r="X2" s="19" t="s">
        <v>1380</v>
      </c>
      <c r="Y2" s="22" t="s">
        <v>1285</v>
      </c>
      <c r="Z2" s="22" t="s">
        <v>1286</v>
      </c>
      <c r="AA2" s="22" t="s">
        <v>1287</v>
      </c>
      <c r="AB2" s="22" t="s">
        <v>1288</v>
      </c>
      <c r="AC2" s="22" t="s">
        <v>659</v>
      </c>
      <c r="AD2" s="22" t="s">
        <v>1289</v>
      </c>
      <c r="AE2" s="23" t="s">
        <v>1290</v>
      </c>
      <c r="AF2" s="45">
        <f>AE1-AE3</f>
        <v>0</v>
      </c>
      <c r="AG2" s="24" t="s">
        <v>4</v>
      </c>
    </row>
    <row r="3" spans="1:33" x14ac:dyDescent="0.25">
      <c r="A3" s="5"/>
      <c r="B3" s="6"/>
      <c r="C3" s="1"/>
      <c r="E3" s="25">
        <f>SUM(E4:E317)</f>
        <v>120116957.95831238</v>
      </c>
      <c r="F3" s="25">
        <f>SUM(F4:F317)</f>
        <v>14792207.733204195</v>
      </c>
      <c r="G3" s="25">
        <f>SUM(G4:G317)</f>
        <v>75441670.905326009</v>
      </c>
      <c r="H3" s="25">
        <f>SUM(H4:H317)</f>
        <v>100759260.50782591</v>
      </c>
      <c r="I3" s="81">
        <f>IF(OR(SUM(I4:I317)&gt;$I$1,ROUND(SUM(I4:I317),2)&lt;&gt;ROUND(SUM(Model_allocations[Total Title I Allocation]),2)),"bad", SUM(I4:I317))</f>
        <v>311110097.10466838</v>
      </c>
      <c r="J3" s="25">
        <f>SUM(J4:J317)</f>
        <v>227385116.57980138</v>
      </c>
      <c r="K3" s="25" cm="1">
        <f t="array" ref="K3">SUM(IF(ISERROR(K$4:K$317),0,K$4:K$317))</f>
        <v>289423115.43000019</v>
      </c>
      <c r="L3" s="25" cm="1">
        <f t="array" ref="L3">SUM(IF(ISERROR(L$4:L$317),0,L$4:L$317))</f>
        <v>4557192.3863818524</v>
      </c>
      <c r="M3" s="25" cm="1">
        <f t="array" ref="M3">SUM(IF(ISERROR(M$4:M$317),0,M$4:M$317))</f>
        <v>12638391.796141293</v>
      </c>
      <c r="N3" s="25" cm="1">
        <f t="array" ref="N3">SUM(IF(ISERROR(N$4:N$317),0,N$4:N$317))</f>
        <v>289423115.43000019</v>
      </c>
      <c r="O3" s="25" cm="1">
        <f t="array" ref="O3">SUM(IF(ISERROR(O$4:O$317),0,O$4:O$317))</f>
        <v>0</v>
      </c>
      <c r="P3" s="25" cm="1">
        <f t="array" ref="P3">SUM(IF(ISERROR(P$4:P$317),0,P$4:P$317))</f>
        <v>8081199.4097594377</v>
      </c>
      <c r="Q3" s="25" cm="1">
        <f t="array" ref="Q3">SUM(IF(ISERROR(Q$4:Q$317),0,Q$4:Q$317))</f>
        <v>289423115.43000019</v>
      </c>
      <c r="R3" s="26" cm="1">
        <f t="array" ref="R3">SUM(IF(ISERROR(R$4:R$317),0,R$4:R$317))</f>
        <v>0</v>
      </c>
      <c r="S3" s="25" cm="1">
        <f t="array" ref="S3">SUM(IF(ISERROR(S$4:S$317),0,S$4:S$317))</f>
        <v>8081199.4097594377</v>
      </c>
      <c r="T3" s="25" cm="1">
        <f t="array" ref="T3">SUM(IF(ISERROR(T$4:T$317),0,T$4:T$317))</f>
        <v>289423115.43000019</v>
      </c>
      <c r="U3" s="25" cm="1">
        <f t="array" ref="U3">SUM(IF(ISERROR(U$4:U$317),0,U$4:U$317))</f>
        <v>0</v>
      </c>
      <c r="V3" s="25" cm="1">
        <f t="array" ref="V3">SUM(IF(ISERROR(V$4:V$317),0,V$4:V$317))</f>
        <v>8081199.4097594377</v>
      </c>
      <c r="W3" s="25" cm="1">
        <f t="array" ref="W3">SUM(IF(ISERROR(W$4:W$317),0,W$4:W$317))</f>
        <v>289423115.43000019</v>
      </c>
      <c r="X3" s="25" cm="1">
        <f t="array" ref="X3">SUM(IF(ISERROR(X$4:X$317),0,X$4:X$317))</f>
        <v>21686981.674668383</v>
      </c>
      <c r="Y3" s="40" cm="1">
        <f t="array" ref="Y3">SUM(IF(ISERROR(Y$4:Y$317),0,Y$4:Y$317))</f>
        <v>2273183</v>
      </c>
      <c r="Z3" s="25" cm="1">
        <f t="array" ref="Z3">SUM(IF(ISERROR(Z$4:Z$317),0,Z$4:Z$317))</f>
        <v>287149932.43000013</v>
      </c>
      <c r="AD3" s="27">
        <f>SUM(AD4:AD317)</f>
        <v>0</v>
      </c>
      <c r="AE3" s="49">
        <f>SUM($AE$4:$AE$317)</f>
        <v>287149932.43000013</v>
      </c>
      <c r="AF3" s="51"/>
    </row>
    <row r="4" spans="1:33" x14ac:dyDescent="0.25">
      <c r="A4" s="7" t="s">
        <v>308</v>
      </c>
      <c r="B4" s="2" t="s">
        <v>661</v>
      </c>
      <c r="C4" s="4" t="s">
        <v>660</v>
      </c>
      <c r="D4" s="30">
        <f>_xlfn.IFNA(VLOOKUP(A4,'Prior Year data'!$A$1:$V$318,13,FALSE),0)</f>
        <v>1649858.2992989861</v>
      </c>
      <c r="E4">
        <f>VLOOKUP(A4,'Basic HH'!$B$1:$Y$318,23,FALSE)</f>
        <v>637610.0160314336</v>
      </c>
      <c r="F4">
        <f>VLOOKUP(A4,'Conc. HH'!$B$1:$Y$318,23,FALSE)</f>
        <v>171883.00326930426</v>
      </c>
      <c r="G4">
        <f>VLOOKUP(A4,'Targeted HH'!$B$1:$Y$318,23,FALSE)</f>
        <v>367420.68392519327</v>
      </c>
      <c r="H4">
        <f>VLOOKUP(A4,'EFIG HH'!$B$1:$Y$318,23,FALSE)</f>
        <v>487557.97892043862</v>
      </c>
      <c r="I4" s="30">
        <f t="shared" ref="I4:I67" si="0">SUM(E4:H4)</f>
        <v>1664471.6821463697</v>
      </c>
      <c r="J4">
        <f t="shared" ref="J4:J67" si="1">IF(I4&lt;D4,0,I4)</f>
        <v>1664471.6821463697</v>
      </c>
      <c r="K4" s="43">
        <f t="shared" ref="K4:K67" si="2">IF(J4=0,I4,I4-$K$1*J4/$J$3)</f>
        <v>1505721.7718106846</v>
      </c>
      <c r="L4">
        <f t="shared" ref="L4:L67" si="3">IF($J4=0,0,IF(K4&lt;$D4,$D4-K4,0))</f>
        <v>144136.52748830151</v>
      </c>
      <c r="M4">
        <f t="shared" ref="M4:M67" si="4">IF($J4=0,0,IF(L4&gt;0,0,K4-$D4))</f>
        <v>0</v>
      </c>
      <c r="N4" s="43">
        <f t="shared" ref="N4:N67" si="5">IF(L4&gt;0,L4+K4,K4-$L$3*M4/$M$3)</f>
        <v>1649858.2992989861</v>
      </c>
      <c r="O4">
        <f t="shared" ref="O4:O67" si="6">IF($J4=0,0,IF(N4&lt;$D4,$D4-N4,0))</f>
        <v>0</v>
      </c>
      <c r="P4">
        <f t="shared" ref="P4:P67" si="7">IF($J4=0,0,IF(O4&gt;0,0,N4-$D4))</f>
        <v>0</v>
      </c>
      <c r="Q4" s="43">
        <f t="shared" ref="Q4:Q67" si="8">IF(O4&gt;0,O4+N4,N4-$O$3*P4/$P$3)</f>
        <v>1649858.2992989861</v>
      </c>
      <c r="R4">
        <f t="shared" ref="R4:R67" si="9">IF($J4=0,0,IF(Q4&lt;$D4,$D4-Q4,0))</f>
        <v>0</v>
      </c>
      <c r="S4">
        <f t="shared" ref="S4:S67" si="10">IF($J4=0,0,IF(R4&gt;0,0,Q4-$D4))</f>
        <v>0</v>
      </c>
      <c r="T4" s="43">
        <f t="shared" ref="T4:T67" si="11">IF(R4&gt;0,R4+Q4,Q4-$R$3*S4/$S$3)</f>
        <v>1649858.2992989861</v>
      </c>
      <c r="U4">
        <f t="shared" ref="U4:U67" si="12">IF($J4=0,0,IF(T4&lt;$D4,$D4-T4,0))</f>
        <v>0</v>
      </c>
      <c r="V4">
        <f t="shared" ref="V4:V67" si="13">IF($J4=0,0,IF(U4&gt;0,0,T4-$D4))</f>
        <v>0</v>
      </c>
      <c r="W4" s="43">
        <f t="shared" ref="W4:W67" si="14">IF(U4&gt;0,U4+T4,T4-$U$3*V4/$V$3)</f>
        <v>1649858.2992989861</v>
      </c>
      <c r="X4" s="43">
        <f t="shared" ref="X4:X67" si="15">I4-W4</f>
        <v>14613.382847383618</v>
      </c>
      <c r="Y4" s="27">
        <f t="shared" ref="Y4:Y67" si="16">W4/$W$3*$Y$1</f>
        <v>12958.29406301324</v>
      </c>
      <c r="Z4" s="27">
        <f t="shared" ref="Z4:Z67" si="17">W4-Y4</f>
        <v>1636900.0052359728</v>
      </c>
      <c r="AA4">
        <f t="shared" ref="AA4:AA67" si="18">Z4/$Z$3*$AA$1</f>
        <v>0</v>
      </c>
      <c r="AB4" s="27">
        <f t="shared" ref="AB4:AB67" si="19">Z4-AA4</f>
        <v>1636900.0052359728</v>
      </c>
      <c r="AD4" s="27">
        <f t="shared" ref="AD4:AD67" si="20">IF(AC4&gt;0,AC4*AB4,0)</f>
        <v>0</v>
      </c>
      <c r="AE4" s="27">
        <f t="shared" ref="AE4:AE67" si="21">AB4-AD4</f>
        <v>1636900.0052359728</v>
      </c>
      <c r="AF4" s="50"/>
      <c r="AG4" t="str">
        <f t="shared" ref="AG4:AG67" si="22">A4</f>
        <v>5300030</v>
      </c>
    </row>
    <row r="5" spans="1:33" x14ac:dyDescent="0.25">
      <c r="A5" s="7" t="s">
        <v>259</v>
      </c>
      <c r="B5" s="2" t="s">
        <v>663</v>
      </c>
      <c r="C5" s="4" t="s">
        <v>662</v>
      </c>
      <c r="D5" s="30">
        <f>_xlfn.IFNA(VLOOKUP(A5,'Prior Year data'!$A$1:$V$318,13,FALSE),0)</f>
        <v>109007.226313176</v>
      </c>
      <c r="E5">
        <f>VLOOKUP(A5,'Basic HH'!$B$1:$Y$318,23,FALSE)</f>
        <v>50966.443285559901</v>
      </c>
      <c r="F5">
        <f>VLOOKUP(A5,'Conc. HH'!$B$1:$Y$318,23,FALSE)</f>
        <v>0</v>
      </c>
      <c r="G5">
        <f>VLOOKUP(A5,'Targeted HH'!$B$1:$Y$318,23,FALSE)</f>
        <v>24586.167467152784</v>
      </c>
      <c r="H5">
        <f>VLOOKUP(A5,'EFIG HH'!$B$1:$Y$318,23,FALSE)</f>
        <v>33350.404986882619</v>
      </c>
      <c r="I5">
        <f t="shared" si="0"/>
        <v>108903.01573959531</v>
      </c>
      <c r="J5">
        <f t="shared" si="1"/>
        <v>0</v>
      </c>
      <c r="K5" s="43">
        <f t="shared" si="2"/>
        <v>108903.01573959531</v>
      </c>
      <c r="L5">
        <f t="shared" si="3"/>
        <v>0</v>
      </c>
      <c r="M5">
        <f t="shared" si="4"/>
        <v>0</v>
      </c>
      <c r="N5" s="43">
        <f t="shared" si="5"/>
        <v>108903.01573959531</v>
      </c>
      <c r="O5">
        <f t="shared" si="6"/>
        <v>0</v>
      </c>
      <c r="P5">
        <f t="shared" si="7"/>
        <v>0</v>
      </c>
      <c r="Q5" s="43">
        <f t="shared" si="8"/>
        <v>108903.01573959531</v>
      </c>
      <c r="R5">
        <f t="shared" si="9"/>
        <v>0</v>
      </c>
      <c r="S5">
        <f t="shared" si="10"/>
        <v>0</v>
      </c>
      <c r="T5" s="43">
        <f t="shared" si="11"/>
        <v>108903.01573959531</v>
      </c>
      <c r="U5">
        <f t="shared" si="12"/>
        <v>0</v>
      </c>
      <c r="V5">
        <f t="shared" si="13"/>
        <v>0</v>
      </c>
      <c r="W5" s="43">
        <f t="shared" si="14"/>
        <v>108903.01573959531</v>
      </c>
      <c r="X5" s="43">
        <f t="shared" si="15"/>
        <v>0</v>
      </c>
      <c r="Y5" s="27">
        <f t="shared" si="16"/>
        <v>855.34454862108089</v>
      </c>
      <c r="Z5" s="27">
        <f t="shared" si="17"/>
        <v>108047.67119097423</v>
      </c>
      <c r="AA5">
        <f t="shared" si="18"/>
        <v>0</v>
      </c>
      <c r="AB5" s="27">
        <f t="shared" si="19"/>
        <v>108047.67119097423</v>
      </c>
      <c r="AD5" s="27">
        <f t="shared" si="20"/>
        <v>0</v>
      </c>
      <c r="AE5" s="27">
        <f t="shared" si="21"/>
        <v>108047.67119097423</v>
      </c>
      <c r="AF5" s="50"/>
      <c r="AG5" t="str">
        <f t="shared" si="22"/>
        <v>5300060</v>
      </c>
    </row>
    <row r="6" spans="1:33" x14ac:dyDescent="0.25">
      <c r="A6" s="7" t="s">
        <v>261</v>
      </c>
      <c r="B6" s="2" t="s">
        <v>665</v>
      </c>
      <c r="C6" s="4" t="s">
        <v>664</v>
      </c>
      <c r="D6" s="30">
        <f>_xlfn.IFNA(VLOOKUP(A6,'Prior Year data'!$A$1:$V$318,13,FALSE),0)</f>
        <v>30654.676032933294</v>
      </c>
      <c r="E6">
        <f>VLOOKUP(A6,'Basic HH'!$B$1:$Y$318,23,FALSE)</f>
        <v>13295.593900580845</v>
      </c>
      <c r="F6">
        <f>VLOOKUP(A6,'Conc. HH'!$B$1:$Y$318,23,FALSE)</f>
        <v>3577.0321623639065</v>
      </c>
      <c r="G6">
        <f>VLOOKUP(A6,'Targeted HH'!$B$1:$Y$318,23,FALSE)</f>
        <v>7102.1420584082489</v>
      </c>
      <c r="H6">
        <f>VLOOKUP(A6,'EFIG HH'!$B$1:$Y$318,23,FALSE)</f>
        <v>9633.8444875042933</v>
      </c>
      <c r="I6">
        <f t="shared" si="0"/>
        <v>33608.612608857293</v>
      </c>
      <c r="J6">
        <f t="shared" si="1"/>
        <v>33608.612608857293</v>
      </c>
      <c r="K6" s="43">
        <f t="shared" si="2"/>
        <v>30403.172531148783</v>
      </c>
      <c r="L6">
        <f t="shared" si="3"/>
        <v>251.50350178451117</v>
      </c>
      <c r="M6">
        <f t="shared" si="4"/>
        <v>0</v>
      </c>
      <c r="N6" s="43">
        <f t="shared" si="5"/>
        <v>30654.676032933294</v>
      </c>
      <c r="O6">
        <f t="shared" si="6"/>
        <v>0</v>
      </c>
      <c r="P6">
        <f t="shared" si="7"/>
        <v>0</v>
      </c>
      <c r="Q6" s="43">
        <f t="shared" si="8"/>
        <v>30654.676032933294</v>
      </c>
      <c r="R6">
        <f t="shared" si="9"/>
        <v>0</v>
      </c>
      <c r="S6">
        <f t="shared" si="10"/>
        <v>0</v>
      </c>
      <c r="T6" s="43">
        <f t="shared" si="11"/>
        <v>30654.676032933294</v>
      </c>
      <c r="U6">
        <f t="shared" si="12"/>
        <v>0</v>
      </c>
      <c r="V6">
        <f t="shared" si="13"/>
        <v>0</v>
      </c>
      <c r="W6" s="43">
        <f t="shared" si="14"/>
        <v>30654.676032933294</v>
      </c>
      <c r="X6" s="43">
        <f t="shared" si="15"/>
        <v>2953.936575923999</v>
      </c>
      <c r="Y6" s="27">
        <f t="shared" si="16"/>
        <v>240.7675293144479</v>
      </c>
      <c r="Z6" s="27">
        <f t="shared" si="17"/>
        <v>30413.908503618844</v>
      </c>
      <c r="AA6">
        <f t="shared" si="18"/>
        <v>0</v>
      </c>
      <c r="AB6" s="27">
        <f t="shared" si="19"/>
        <v>30413.908503618844</v>
      </c>
      <c r="AD6" s="27">
        <f t="shared" si="20"/>
        <v>0</v>
      </c>
      <c r="AE6" s="27">
        <f t="shared" si="21"/>
        <v>30413.908503618844</v>
      </c>
      <c r="AF6" s="50"/>
      <c r="AG6" t="str">
        <f t="shared" si="22"/>
        <v>5300090</v>
      </c>
    </row>
    <row r="7" spans="1:33" x14ac:dyDescent="0.25">
      <c r="A7" s="7" t="s">
        <v>88</v>
      </c>
      <c r="B7" s="2" t="s">
        <v>667</v>
      </c>
      <c r="C7" s="4" t="s">
        <v>666</v>
      </c>
      <c r="D7" s="30">
        <f>_xlfn.IFNA(VLOOKUP(A7,'Prior Year data'!$A$1:$V$318,13,FALSE),0)</f>
        <v>429328.07278687676</v>
      </c>
      <c r="E7">
        <f>VLOOKUP(A7,'Basic HH'!$B$1:$Y$318,23,FALSE)</f>
        <v>179410.26657987927</v>
      </c>
      <c r="F7">
        <f>VLOOKUP(A7,'Conc. HH'!$B$1:$Y$318,23,FALSE)</f>
        <v>0</v>
      </c>
      <c r="G7">
        <f>VLOOKUP(A7,'Targeted HH'!$B$1:$Y$318,23,FALSE)</f>
        <v>86765.688171371105</v>
      </c>
      <c r="H7">
        <f>VLOOKUP(A7,'EFIG HH'!$B$1:$Y$318,23,FALSE)</f>
        <v>115135.87942993331</v>
      </c>
      <c r="I7">
        <f t="shared" si="0"/>
        <v>381311.83418118372</v>
      </c>
      <c r="J7">
        <f t="shared" si="1"/>
        <v>0</v>
      </c>
      <c r="K7" s="43">
        <f t="shared" si="2"/>
        <v>381311.83418118372</v>
      </c>
      <c r="L7">
        <f t="shared" si="3"/>
        <v>0</v>
      </c>
      <c r="M7">
        <f t="shared" si="4"/>
        <v>0</v>
      </c>
      <c r="N7" s="43">
        <f t="shared" si="5"/>
        <v>381311.83418118372</v>
      </c>
      <c r="O7">
        <f t="shared" si="6"/>
        <v>0</v>
      </c>
      <c r="P7">
        <f t="shared" si="7"/>
        <v>0</v>
      </c>
      <c r="Q7" s="43">
        <f t="shared" si="8"/>
        <v>381311.83418118372</v>
      </c>
      <c r="R7">
        <f t="shared" si="9"/>
        <v>0</v>
      </c>
      <c r="S7">
        <f t="shared" si="10"/>
        <v>0</v>
      </c>
      <c r="T7" s="43">
        <f t="shared" si="11"/>
        <v>381311.83418118372</v>
      </c>
      <c r="U7">
        <f t="shared" si="12"/>
        <v>0</v>
      </c>
      <c r="V7">
        <f t="shared" si="13"/>
        <v>0</v>
      </c>
      <c r="W7" s="43">
        <f t="shared" si="14"/>
        <v>381311.83418118372</v>
      </c>
      <c r="X7" s="43">
        <f t="shared" si="15"/>
        <v>0</v>
      </c>
      <c r="Y7" s="27">
        <f t="shared" si="16"/>
        <v>2994.8940943147568</v>
      </c>
      <c r="Z7" s="27">
        <f t="shared" si="17"/>
        <v>378316.94008686894</v>
      </c>
      <c r="AA7">
        <f t="shared" si="18"/>
        <v>0</v>
      </c>
      <c r="AB7" s="27">
        <f t="shared" si="19"/>
        <v>378316.94008686894</v>
      </c>
      <c r="AD7" s="27">
        <f t="shared" si="20"/>
        <v>0</v>
      </c>
      <c r="AE7" s="27">
        <f t="shared" si="21"/>
        <v>378316.94008686894</v>
      </c>
      <c r="AF7" s="50"/>
      <c r="AG7" t="str">
        <f t="shared" si="22"/>
        <v>5300150</v>
      </c>
    </row>
    <row r="8" spans="1:33" x14ac:dyDescent="0.25">
      <c r="A8" s="7" t="s">
        <v>90</v>
      </c>
      <c r="B8" s="2" t="s">
        <v>669</v>
      </c>
      <c r="C8" s="4" t="s">
        <v>668</v>
      </c>
      <c r="D8" s="30">
        <f>_xlfn.IFNA(VLOOKUP(A8,'Prior Year data'!$A$1:$V$318,13,FALSE),0)</f>
        <v>904355.65407184849</v>
      </c>
      <c r="E8">
        <f>VLOOKUP(A8,'Basic HH'!$B$1:$Y$318,23,FALSE)</f>
        <v>474030.06709095539</v>
      </c>
      <c r="F8">
        <f>VLOOKUP(A8,'Conc. HH'!$B$1:$Y$318,23,FALSE)</f>
        <v>0</v>
      </c>
      <c r="G8">
        <f>VLOOKUP(A8,'Targeted HH'!$B$1:$Y$318,23,FALSE)</f>
        <v>229248.55845278921</v>
      </c>
      <c r="H8">
        <f>VLOOKUP(A8,'EFIG HH'!$B$1:$Y$318,23,FALSE)</f>
        <v>304207.05398399034</v>
      </c>
      <c r="I8">
        <f t="shared" si="0"/>
        <v>1007485.6795277349</v>
      </c>
      <c r="J8">
        <f t="shared" si="1"/>
        <v>1007485.6795277349</v>
      </c>
      <c r="K8" s="43">
        <f t="shared" si="2"/>
        <v>911396.17376740195</v>
      </c>
      <c r="L8">
        <f t="shared" si="3"/>
        <v>0</v>
      </c>
      <c r="M8">
        <f t="shared" si="4"/>
        <v>7040.519695553463</v>
      </c>
      <c r="N8" s="43">
        <f t="shared" si="5"/>
        <v>908857.48029514041</v>
      </c>
      <c r="O8">
        <f t="shared" si="6"/>
        <v>0</v>
      </c>
      <c r="P8">
        <f t="shared" si="7"/>
        <v>4501.8262232919224</v>
      </c>
      <c r="Q8" s="43">
        <f t="shared" si="8"/>
        <v>908857.48029514041</v>
      </c>
      <c r="R8">
        <f t="shared" si="9"/>
        <v>0</v>
      </c>
      <c r="S8">
        <f t="shared" si="10"/>
        <v>4501.8262232919224</v>
      </c>
      <c r="T8" s="43">
        <f t="shared" si="11"/>
        <v>908857.48029514041</v>
      </c>
      <c r="U8">
        <f t="shared" si="12"/>
        <v>0</v>
      </c>
      <c r="V8">
        <f t="shared" si="13"/>
        <v>4501.8262232919224</v>
      </c>
      <c r="W8" s="43">
        <f t="shared" si="14"/>
        <v>908857.48029514041</v>
      </c>
      <c r="X8" s="43">
        <f t="shared" si="15"/>
        <v>98628.199232594459</v>
      </c>
      <c r="Y8" s="27">
        <f t="shared" si="16"/>
        <v>7138.3357564936114</v>
      </c>
      <c r="Z8" s="27">
        <f t="shared" si="17"/>
        <v>901719.1445386468</v>
      </c>
      <c r="AA8">
        <f t="shared" si="18"/>
        <v>0</v>
      </c>
      <c r="AB8" s="27">
        <f t="shared" si="19"/>
        <v>901719.1445386468</v>
      </c>
      <c r="AD8" s="27">
        <f t="shared" si="20"/>
        <v>0</v>
      </c>
      <c r="AE8" s="27">
        <f t="shared" si="21"/>
        <v>901719.1445386468</v>
      </c>
      <c r="AF8" s="50"/>
      <c r="AG8" t="str">
        <f t="shared" si="22"/>
        <v>5300240</v>
      </c>
    </row>
    <row r="9" spans="1:33" x14ac:dyDescent="0.25">
      <c r="A9" s="7" t="s">
        <v>309</v>
      </c>
      <c r="B9" s="2" t="s">
        <v>671</v>
      </c>
      <c r="C9" s="4" t="s">
        <v>670</v>
      </c>
      <c r="D9" s="30">
        <f>_xlfn.IFNA(VLOOKUP(A9,'Prior Year data'!$A$1:$V$318,13,FALSE),0)</f>
        <v>79941.665921430787</v>
      </c>
      <c r="E9">
        <f>VLOOKUP(A9,'Basic HH'!$B$1:$Y$318,23,FALSE)</f>
        <v>31754.4119128477</v>
      </c>
      <c r="F9">
        <f>VLOOKUP(A9,'Conc. HH'!$B$1:$Y$318,23,FALSE)</f>
        <v>0</v>
      </c>
      <c r="G9">
        <f>VLOOKUP(A9,'Targeted HH'!$B$1:$Y$318,23,FALSE)</f>
        <v>15435.641787127748</v>
      </c>
      <c r="H9">
        <f>VLOOKUP(A9,'EFIG HH'!$B$1:$Y$318,23,FALSE)</f>
        <v>21284.726066621177</v>
      </c>
      <c r="I9">
        <f t="shared" si="0"/>
        <v>68474.779766596621</v>
      </c>
      <c r="J9">
        <f t="shared" si="1"/>
        <v>0</v>
      </c>
      <c r="K9" s="43">
        <f t="shared" si="2"/>
        <v>68474.779766596621</v>
      </c>
      <c r="L9">
        <f t="shared" si="3"/>
        <v>0</v>
      </c>
      <c r="M9">
        <f t="shared" si="4"/>
        <v>0</v>
      </c>
      <c r="N9" s="43">
        <f t="shared" si="5"/>
        <v>68474.779766596621</v>
      </c>
      <c r="O9">
        <f t="shared" si="6"/>
        <v>0</v>
      </c>
      <c r="P9">
        <f t="shared" si="7"/>
        <v>0</v>
      </c>
      <c r="Q9" s="43">
        <f t="shared" si="8"/>
        <v>68474.779766596621</v>
      </c>
      <c r="R9">
        <f t="shared" si="9"/>
        <v>0</v>
      </c>
      <c r="S9">
        <f t="shared" si="10"/>
        <v>0</v>
      </c>
      <c r="T9" s="43">
        <f t="shared" si="11"/>
        <v>68474.779766596621</v>
      </c>
      <c r="U9">
        <f t="shared" si="12"/>
        <v>0</v>
      </c>
      <c r="V9">
        <f t="shared" si="13"/>
        <v>0</v>
      </c>
      <c r="W9" s="43">
        <f t="shared" si="14"/>
        <v>68474.779766596621</v>
      </c>
      <c r="X9" s="43">
        <f t="shared" si="15"/>
        <v>0</v>
      </c>
      <c r="Y9" s="27">
        <f t="shared" si="16"/>
        <v>537.81366102327877</v>
      </c>
      <c r="Z9" s="27">
        <f t="shared" si="17"/>
        <v>67936.966105573345</v>
      </c>
      <c r="AA9">
        <f t="shared" si="18"/>
        <v>0</v>
      </c>
      <c r="AB9" s="27">
        <f t="shared" si="19"/>
        <v>67936.966105573345</v>
      </c>
      <c r="AD9" s="27">
        <f t="shared" si="20"/>
        <v>0</v>
      </c>
      <c r="AE9" s="27">
        <f t="shared" si="21"/>
        <v>67936.966105573345</v>
      </c>
      <c r="AF9" s="50"/>
      <c r="AG9" t="str">
        <f t="shared" si="22"/>
        <v>5300280</v>
      </c>
    </row>
    <row r="10" spans="1:33" x14ac:dyDescent="0.25">
      <c r="A10" s="7" t="s">
        <v>311</v>
      </c>
      <c r="B10" s="2" t="s">
        <v>673</v>
      </c>
      <c r="C10" s="4" t="s">
        <v>672</v>
      </c>
      <c r="D10" s="30">
        <f>_xlfn.IFNA(VLOOKUP(A10,'Prior Year data'!$A$1:$V$318,13,FALSE),0)</f>
        <v>6638689.9105551178</v>
      </c>
      <c r="E10">
        <f>VLOOKUP(A10,'Basic HH'!$B$1:$Y$318,23,FALSE)</f>
        <v>2616399.7209565723</v>
      </c>
      <c r="F10">
        <f>VLOOKUP(A10,'Conc. HH'!$B$1:$Y$318,23,FALSE)</f>
        <v>705313.01341542078</v>
      </c>
      <c r="G10">
        <f>VLOOKUP(A10,'Targeted HH'!$B$1:$Y$318,23,FALSE)</f>
        <v>1902677.9707579818</v>
      </c>
      <c r="H10">
        <f>VLOOKUP(A10,'EFIG HH'!$B$1:$Y$318,23,FALSE)</f>
        <v>2524805.6697539533</v>
      </c>
      <c r="I10">
        <f t="shared" si="0"/>
        <v>7749196.3748839293</v>
      </c>
      <c r="J10">
        <f t="shared" si="1"/>
        <v>7749196.3748839293</v>
      </c>
      <c r="K10" s="43">
        <f t="shared" si="2"/>
        <v>7010112.4704343854</v>
      </c>
      <c r="L10">
        <f t="shared" si="3"/>
        <v>0</v>
      </c>
      <c r="M10">
        <f t="shared" si="4"/>
        <v>371422.55987926759</v>
      </c>
      <c r="N10" s="43">
        <f t="shared" si="5"/>
        <v>6876183.7167357504</v>
      </c>
      <c r="O10">
        <f t="shared" si="6"/>
        <v>0</v>
      </c>
      <c r="P10">
        <f t="shared" si="7"/>
        <v>237493.80618063267</v>
      </c>
      <c r="Q10" s="43">
        <f t="shared" si="8"/>
        <v>6876183.7167357504</v>
      </c>
      <c r="R10">
        <f t="shared" si="9"/>
        <v>0</v>
      </c>
      <c r="S10">
        <f t="shared" si="10"/>
        <v>237493.80618063267</v>
      </c>
      <c r="T10" s="43">
        <f t="shared" si="11"/>
        <v>6876183.7167357504</v>
      </c>
      <c r="U10">
        <f t="shared" si="12"/>
        <v>0</v>
      </c>
      <c r="V10">
        <f t="shared" si="13"/>
        <v>237493.80618063267</v>
      </c>
      <c r="W10" s="43">
        <f t="shared" si="14"/>
        <v>6876183.7167357504</v>
      </c>
      <c r="X10" s="43">
        <f t="shared" si="15"/>
        <v>873012.65814817883</v>
      </c>
      <c r="Y10" s="27">
        <f t="shared" si="16"/>
        <v>54006.82632600917</v>
      </c>
      <c r="Z10" s="27">
        <f t="shared" si="17"/>
        <v>6822176.8904097416</v>
      </c>
      <c r="AA10">
        <f t="shared" si="18"/>
        <v>0</v>
      </c>
      <c r="AB10" s="27">
        <f t="shared" si="19"/>
        <v>6822176.8904097416</v>
      </c>
      <c r="AD10" s="27">
        <f t="shared" si="20"/>
        <v>0</v>
      </c>
      <c r="AE10" s="27">
        <f t="shared" si="21"/>
        <v>6822176.8904097416</v>
      </c>
      <c r="AF10" s="50"/>
      <c r="AG10" t="str">
        <f t="shared" si="22"/>
        <v>5300300</v>
      </c>
    </row>
    <row r="11" spans="1:33" x14ac:dyDescent="0.25">
      <c r="A11" s="7" t="s">
        <v>92</v>
      </c>
      <c r="B11" s="2" t="s">
        <v>675</v>
      </c>
      <c r="C11" s="4" t="s">
        <v>674</v>
      </c>
      <c r="D11" s="30">
        <f>_xlfn.IFNA(VLOOKUP(A11,'Prior Year data'!$A$1:$V$318,13,FALSE),0)</f>
        <v>116886.19498288384</v>
      </c>
      <c r="E11">
        <f>VLOOKUP(A11,'Basic HH'!$B$1:$Y$318,23,FALSE)</f>
        <v>131919.31366167584</v>
      </c>
      <c r="F11">
        <f>VLOOKUP(A11,'Conc. HH'!$B$1:$Y$318,23,FALSE)</f>
        <v>0</v>
      </c>
      <c r="G11">
        <f>VLOOKUP(A11,'Targeted HH'!$B$1:$Y$318,23,FALSE)</f>
        <v>0</v>
      </c>
      <c r="H11">
        <f>VLOOKUP(A11,'EFIG HH'!$B$1:$Y$318,23,FALSE)</f>
        <v>0</v>
      </c>
      <c r="I11">
        <f t="shared" si="0"/>
        <v>131919.31366167584</v>
      </c>
      <c r="J11">
        <f t="shared" si="1"/>
        <v>131919.31366167584</v>
      </c>
      <c r="K11" s="43">
        <f t="shared" si="2"/>
        <v>119337.43591634178</v>
      </c>
      <c r="L11">
        <f t="shared" si="3"/>
        <v>0</v>
      </c>
      <c r="M11">
        <f t="shared" si="4"/>
        <v>2451.2409334579424</v>
      </c>
      <c r="N11" s="43">
        <f t="shared" si="5"/>
        <v>118453.55949445773</v>
      </c>
      <c r="O11">
        <f t="shared" si="6"/>
        <v>0</v>
      </c>
      <c r="P11">
        <f t="shared" si="7"/>
        <v>1567.3645115738909</v>
      </c>
      <c r="Q11" s="43">
        <f t="shared" si="8"/>
        <v>118453.55949445773</v>
      </c>
      <c r="R11">
        <f t="shared" si="9"/>
        <v>0</v>
      </c>
      <c r="S11">
        <f t="shared" si="10"/>
        <v>1567.3645115738909</v>
      </c>
      <c r="T11" s="43">
        <f t="shared" si="11"/>
        <v>118453.55949445773</v>
      </c>
      <c r="U11">
        <f t="shared" si="12"/>
        <v>0</v>
      </c>
      <c r="V11">
        <f t="shared" si="13"/>
        <v>1567.3645115738909</v>
      </c>
      <c r="W11" s="43">
        <f t="shared" si="14"/>
        <v>118453.55949445773</v>
      </c>
      <c r="X11" s="43">
        <f t="shared" si="15"/>
        <v>13465.754167218111</v>
      </c>
      <c r="Y11" s="27">
        <f t="shared" si="16"/>
        <v>930.3562962904208</v>
      </c>
      <c r="Z11" s="27">
        <f t="shared" si="17"/>
        <v>117523.20319816731</v>
      </c>
      <c r="AA11">
        <f t="shared" si="18"/>
        <v>0</v>
      </c>
      <c r="AB11" s="27">
        <f t="shared" si="19"/>
        <v>117523.20319816731</v>
      </c>
      <c r="AD11" s="27">
        <f t="shared" si="20"/>
        <v>0</v>
      </c>
      <c r="AE11" s="27">
        <f t="shared" si="21"/>
        <v>117523.20319816731</v>
      </c>
      <c r="AF11" s="50"/>
      <c r="AG11" t="str">
        <f t="shared" si="22"/>
        <v>5300330</v>
      </c>
    </row>
    <row r="12" spans="1:33" x14ac:dyDescent="0.25">
      <c r="A12" s="7" t="s">
        <v>94</v>
      </c>
      <c r="B12" s="2" t="s">
        <v>677</v>
      </c>
      <c r="C12" s="4" t="s">
        <v>676</v>
      </c>
      <c r="D12" s="30">
        <f>_xlfn.IFNA(VLOOKUP(A12,'Prior Year data'!$A$1:$V$318,13,FALSE),0)</f>
        <v>1760787.1228792623</v>
      </c>
      <c r="E12">
        <f>VLOOKUP(A12,'Basic HH'!$B$1:$Y$318,23,FALSE)</f>
        <v>903207.56753694091</v>
      </c>
      <c r="F12">
        <f>VLOOKUP(A12,'Conc. HH'!$B$1:$Y$318,23,FALSE)</f>
        <v>0</v>
      </c>
      <c r="G12">
        <f>VLOOKUP(A12,'Targeted HH'!$B$1:$Y$318,23,FALSE)</f>
        <v>508259.79100386461</v>
      </c>
      <c r="H12">
        <f>VLOOKUP(A12,'EFIG HH'!$B$1:$Y$318,23,FALSE)</f>
        <v>674447.92117044271</v>
      </c>
      <c r="I12">
        <f t="shared" si="0"/>
        <v>2085915.2797112484</v>
      </c>
      <c r="J12">
        <f t="shared" si="1"/>
        <v>2085915.2797112484</v>
      </c>
      <c r="K12" s="43">
        <f t="shared" si="2"/>
        <v>1886969.9523897369</v>
      </c>
      <c r="L12">
        <f t="shared" si="3"/>
        <v>0</v>
      </c>
      <c r="M12">
        <f t="shared" si="4"/>
        <v>126182.82951047458</v>
      </c>
      <c r="N12" s="43">
        <f t="shared" si="5"/>
        <v>1841470.5376530595</v>
      </c>
      <c r="O12">
        <f t="shared" si="6"/>
        <v>0</v>
      </c>
      <c r="P12">
        <f t="shared" si="7"/>
        <v>80683.414773797151</v>
      </c>
      <c r="Q12" s="43">
        <f t="shared" si="8"/>
        <v>1841470.5376530595</v>
      </c>
      <c r="R12">
        <f t="shared" si="9"/>
        <v>0</v>
      </c>
      <c r="S12">
        <f t="shared" si="10"/>
        <v>80683.414773797151</v>
      </c>
      <c r="T12" s="43">
        <f t="shared" si="11"/>
        <v>1841470.5376530595</v>
      </c>
      <c r="U12">
        <f t="shared" si="12"/>
        <v>0</v>
      </c>
      <c r="V12">
        <f t="shared" si="13"/>
        <v>80683.414773797151</v>
      </c>
      <c r="W12" s="43">
        <f t="shared" si="14"/>
        <v>1841470.5376530595</v>
      </c>
      <c r="X12" s="43">
        <f t="shared" si="15"/>
        <v>244444.74205818889</v>
      </c>
      <c r="Y12" s="27">
        <f t="shared" si="16"/>
        <v>14463.252235311591</v>
      </c>
      <c r="Z12" s="27">
        <f t="shared" si="17"/>
        <v>1827007.2854177479</v>
      </c>
      <c r="AA12">
        <f t="shared" si="18"/>
        <v>0</v>
      </c>
      <c r="AB12" s="27">
        <f t="shared" si="19"/>
        <v>1827007.2854177479</v>
      </c>
      <c r="AD12" s="27">
        <f t="shared" si="20"/>
        <v>0</v>
      </c>
      <c r="AE12" s="27">
        <f t="shared" si="21"/>
        <v>1827007.2854177479</v>
      </c>
      <c r="AF12" s="50"/>
      <c r="AG12" t="str">
        <f t="shared" si="22"/>
        <v>5300380</v>
      </c>
    </row>
    <row r="13" spans="1:33" x14ac:dyDescent="0.25">
      <c r="A13" s="7" t="s">
        <v>96</v>
      </c>
      <c r="B13" s="2" t="s">
        <v>679</v>
      </c>
      <c r="C13" s="4" t="s">
        <v>678</v>
      </c>
      <c r="D13" s="30">
        <f>_xlfn.IFNA(VLOOKUP(A13,'Prior Year data'!$A$1:$V$318,13,FALSE),0)</f>
        <v>2791887.8071668651</v>
      </c>
      <c r="E13">
        <f>VLOOKUP(A13,'Basic HH'!$B$1:$Y$318,23,FALSE)</f>
        <v>1240921.0105108309</v>
      </c>
      <c r="F13">
        <f>VLOOKUP(A13,'Conc. HH'!$B$1:$Y$318,23,FALSE)</f>
        <v>0</v>
      </c>
      <c r="G13">
        <f>VLOOKUP(A13,'Targeted HH'!$B$1:$Y$318,23,FALSE)</f>
        <v>753245.263487736</v>
      </c>
      <c r="H13">
        <f>VLOOKUP(A13,'EFIG HH'!$B$1:$Y$318,23,FALSE)</f>
        <v>999537.46309025434</v>
      </c>
      <c r="I13">
        <f t="shared" si="0"/>
        <v>2993703.7370888214</v>
      </c>
      <c r="J13">
        <f t="shared" si="1"/>
        <v>2993703.7370888214</v>
      </c>
      <c r="K13" s="43">
        <f t="shared" si="2"/>
        <v>2708177.5818936718</v>
      </c>
      <c r="L13">
        <f t="shared" si="3"/>
        <v>83710.225273193326</v>
      </c>
      <c r="M13">
        <f t="shared" si="4"/>
        <v>0</v>
      </c>
      <c r="N13" s="43">
        <f t="shared" si="5"/>
        <v>2791887.8071668651</v>
      </c>
      <c r="O13">
        <f t="shared" si="6"/>
        <v>0</v>
      </c>
      <c r="P13">
        <f t="shared" si="7"/>
        <v>0</v>
      </c>
      <c r="Q13" s="43">
        <f t="shared" si="8"/>
        <v>2791887.8071668651</v>
      </c>
      <c r="R13">
        <f t="shared" si="9"/>
        <v>0</v>
      </c>
      <c r="S13">
        <f t="shared" si="10"/>
        <v>0</v>
      </c>
      <c r="T13" s="43">
        <f t="shared" si="11"/>
        <v>2791887.8071668651</v>
      </c>
      <c r="U13">
        <f t="shared" si="12"/>
        <v>0</v>
      </c>
      <c r="V13">
        <f t="shared" si="13"/>
        <v>0</v>
      </c>
      <c r="W13" s="43">
        <f t="shared" si="14"/>
        <v>2791887.8071668651</v>
      </c>
      <c r="X13" s="43">
        <f t="shared" si="15"/>
        <v>201815.92992195627</v>
      </c>
      <c r="Y13" s="27">
        <f t="shared" si="16"/>
        <v>21928.006309136537</v>
      </c>
      <c r="Z13" s="27">
        <f t="shared" si="17"/>
        <v>2769959.8008577283</v>
      </c>
      <c r="AA13">
        <f t="shared" si="18"/>
        <v>0</v>
      </c>
      <c r="AB13" s="27">
        <f t="shared" si="19"/>
        <v>2769959.8008577283</v>
      </c>
      <c r="AD13" s="27">
        <f t="shared" si="20"/>
        <v>0</v>
      </c>
      <c r="AE13" s="27">
        <f t="shared" si="21"/>
        <v>2769959.8008577283</v>
      </c>
      <c r="AF13" s="50"/>
      <c r="AG13" t="str">
        <f t="shared" si="22"/>
        <v>5300390</v>
      </c>
    </row>
    <row r="14" spans="1:33" x14ac:dyDescent="0.25">
      <c r="A14" s="7" t="s">
        <v>56</v>
      </c>
      <c r="B14" s="2" t="s">
        <v>680</v>
      </c>
      <c r="C14" s="4" t="s">
        <v>14</v>
      </c>
      <c r="D14" s="30">
        <f>_xlfn.IFNA(VLOOKUP(A14,'Prior Year data'!$A$1:$V$318,13,FALSE),0)</f>
        <v>2786322.4371478916</v>
      </c>
      <c r="E14">
        <f>VLOOKUP(A14,'Basic HH'!$B$1:$Y$318,23,FALSE)</f>
        <v>988848.77309220866</v>
      </c>
      <c r="F14">
        <f>VLOOKUP(A14,'Conc. HH'!$B$1:$Y$318,23,FALSE)</f>
        <v>0</v>
      </c>
      <c r="G14">
        <f>VLOOKUP(A14,'Targeted HH'!$B$1:$Y$318,23,FALSE)</f>
        <v>593176.04347622709</v>
      </c>
      <c r="H14">
        <f>VLOOKUP(A14,'EFIG HH'!$B$1:$Y$318,23,FALSE)</f>
        <v>804625.66216872062</v>
      </c>
      <c r="I14">
        <f t="shared" si="0"/>
        <v>2386650.4787371564</v>
      </c>
      <c r="J14">
        <f t="shared" si="1"/>
        <v>0</v>
      </c>
      <c r="K14" s="43">
        <f t="shared" si="2"/>
        <v>2386650.4787371564</v>
      </c>
      <c r="L14">
        <f t="shared" si="3"/>
        <v>0</v>
      </c>
      <c r="M14">
        <f t="shared" si="4"/>
        <v>0</v>
      </c>
      <c r="N14" s="43">
        <f t="shared" si="5"/>
        <v>2386650.4787371564</v>
      </c>
      <c r="O14">
        <f t="shared" si="6"/>
        <v>0</v>
      </c>
      <c r="P14">
        <f t="shared" si="7"/>
        <v>0</v>
      </c>
      <c r="Q14" s="43">
        <f t="shared" si="8"/>
        <v>2386650.4787371564</v>
      </c>
      <c r="R14">
        <f t="shared" si="9"/>
        <v>0</v>
      </c>
      <c r="S14">
        <f t="shared" si="10"/>
        <v>0</v>
      </c>
      <c r="T14" s="43">
        <f t="shared" si="11"/>
        <v>2386650.4787371564</v>
      </c>
      <c r="U14">
        <f t="shared" si="12"/>
        <v>0</v>
      </c>
      <c r="V14">
        <f t="shared" si="13"/>
        <v>0</v>
      </c>
      <c r="W14" s="43">
        <f t="shared" si="14"/>
        <v>2386650.4787371564</v>
      </c>
      <c r="X14" s="43">
        <f t="shared" si="15"/>
        <v>0</v>
      </c>
      <c r="Y14" s="27">
        <f t="shared" si="16"/>
        <v>18745.196931304978</v>
      </c>
      <c r="Z14" s="27">
        <f t="shared" si="17"/>
        <v>2367905.2818058515</v>
      </c>
      <c r="AA14">
        <f t="shared" si="18"/>
        <v>0</v>
      </c>
      <c r="AB14" s="27">
        <f t="shared" si="19"/>
        <v>2367905.2818058515</v>
      </c>
      <c r="AD14" s="27">
        <f t="shared" si="20"/>
        <v>0</v>
      </c>
      <c r="AE14" s="27">
        <f t="shared" si="21"/>
        <v>2367905.2818058515</v>
      </c>
      <c r="AF14" s="50"/>
      <c r="AG14" t="str">
        <f t="shared" si="22"/>
        <v>5300420</v>
      </c>
    </row>
    <row r="15" spans="1:33" x14ac:dyDescent="0.25">
      <c r="A15" s="7" t="s">
        <v>98</v>
      </c>
      <c r="B15" s="2" t="s">
        <v>682</v>
      </c>
      <c r="C15" s="4" t="s">
        <v>681</v>
      </c>
      <c r="D15" s="30">
        <f>_xlfn.IFNA(VLOOKUP(A15,'Prior Year data'!$A$1:$V$318,13,FALSE),0)</f>
        <v>0</v>
      </c>
      <c r="E15">
        <f>VLOOKUP(A15,'Basic HH'!$B$1:$Y$318,23,FALSE)</f>
        <v>0</v>
      </c>
      <c r="F15">
        <f>VLOOKUP(A15,'Conc. HH'!$B$1:$Y$318,23,FALSE)</f>
        <v>0</v>
      </c>
      <c r="G15">
        <f>VLOOKUP(A15,'Targeted HH'!$B$1:$Y$318,23,FALSE)</f>
        <v>0</v>
      </c>
      <c r="H15">
        <f>VLOOKUP(A15,'EFIG HH'!$B$1:$Y$318,23,FALSE)</f>
        <v>0</v>
      </c>
      <c r="I15">
        <f t="shared" si="0"/>
        <v>0</v>
      </c>
      <c r="J15">
        <f t="shared" si="1"/>
        <v>0</v>
      </c>
      <c r="K15" s="43">
        <f t="shared" si="2"/>
        <v>0</v>
      </c>
      <c r="L15">
        <f t="shared" si="3"/>
        <v>0</v>
      </c>
      <c r="M15">
        <f t="shared" si="4"/>
        <v>0</v>
      </c>
      <c r="N15" s="43">
        <f t="shared" si="5"/>
        <v>0</v>
      </c>
      <c r="O15">
        <f t="shared" si="6"/>
        <v>0</v>
      </c>
      <c r="P15">
        <f t="shared" si="7"/>
        <v>0</v>
      </c>
      <c r="Q15" s="43">
        <f t="shared" si="8"/>
        <v>0</v>
      </c>
      <c r="R15">
        <f t="shared" si="9"/>
        <v>0</v>
      </c>
      <c r="S15">
        <f t="shared" si="10"/>
        <v>0</v>
      </c>
      <c r="T15" s="43">
        <f t="shared" si="11"/>
        <v>0</v>
      </c>
      <c r="U15">
        <f t="shared" si="12"/>
        <v>0</v>
      </c>
      <c r="V15">
        <f t="shared" si="13"/>
        <v>0</v>
      </c>
      <c r="W15" s="43">
        <f t="shared" si="14"/>
        <v>0</v>
      </c>
      <c r="X15" s="43">
        <f t="shared" si="15"/>
        <v>0</v>
      </c>
      <c r="Y15" s="27">
        <f t="shared" si="16"/>
        <v>0</v>
      </c>
      <c r="Z15" s="27">
        <f t="shared" si="17"/>
        <v>0</v>
      </c>
      <c r="AA15">
        <f t="shared" si="18"/>
        <v>0</v>
      </c>
      <c r="AB15" s="27">
        <f t="shared" si="19"/>
        <v>0</v>
      </c>
      <c r="AD15" s="27">
        <f t="shared" si="20"/>
        <v>0</v>
      </c>
      <c r="AE15" s="27">
        <f t="shared" si="21"/>
        <v>0</v>
      </c>
      <c r="AF15" s="50"/>
      <c r="AG15" t="str">
        <f t="shared" si="22"/>
        <v>5300450</v>
      </c>
    </row>
    <row r="16" spans="1:33" x14ac:dyDescent="0.25">
      <c r="A16" s="7" t="s">
        <v>263</v>
      </c>
      <c r="B16" s="2" t="s">
        <v>684</v>
      </c>
      <c r="C16" s="4" t="s">
        <v>683</v>
      </c>
      <c r="D16" s="30">
        <f>_xlfn.IFNA(VLOOKUP(A16,'Prior Year data'!$A$1:$V$318,13,FALSE),0)</f>
        <v>5025516.4445441952</v>
      </c>
      <c r="E16">
        <f>VLOOKUP(A16,'Basic HH'!$B$1:$Y$318,23,FALSE)</f>
        <v>2449301.9236517833</v>
      </c>
      <c r="F16">
        <f>VLOOKUP(A16,'Conc. HH'!$B$1:$Y$318,23,FALSE)</f>
        <v>0</v>
      </c>
      <c r="G16">
        <f>VLOOKUP(A16,'Targeted HH'!$B$1:$Y$318,23,FALSE)</f>
        <v>1741055.610438762</v>
      </c>
      <c r="H16">
        <f>VLOOKUP(A16,'EFIG HH'!$B$1:$Y$318,23,FALSE)</f>
        <v>2310336.8747374113</v>
      </c>
      <c r="I16">
        <f t="shared" si="0"/>
        <v>6500694.4088279568</v>
      </c>
      <c r="J16">
        <f t="shared" si="1"/>
        <v>6500694.4088279568</v>
      </c>
      <c r="K16" s="43">
        <f t="shared" si="2"/>
        <v>5880687.0722114742</v>
      </c>
      <c r="L16">
        <f t="shared" si="3"/>
        <v>0</v>
      </c>
      <c r="M16">
        <f t="shared" si="4"/>
        <v>855170.62766727898</v>
      </c>
      <c r="N16" s="43">
        <f t="shared" si="5"/>
        <v>5572326.8681345135</v>
      </c>
      <c r="O16">
        <f t="shared" si="6"/>
        <v>0</v>
      </c>
      <c r="P16">
        <f t="shared" si="7"/>
        <v>546810.4235903183</v>
      </c>
      <c r="Q16" s="43">
        <f t="shared" si="8"/>
        <v>5572326.8681345135</v>
      </c>
      <c r="R16">
        <f t="shared" si="9"/>
        <v>0</v>
      </c>
      <c r="S16">
        <f t="shared" si="10"/>
        <v>546810.4235903183</v>
      </c>
      <c r="T16" s="43">
        <f t="shared" si="11"/>
        <v>5572326.8681345135</v>
      </c>
      <c r="U16">
        <f t="shared" si="12"/>
        <v>0</v>
      </c>
      <c r="V16">
        <f t="shared" si="13"/>
        <v>546810.4235903183</v>
      </c>
      <c r="W16" s="43">
        <f t="shared" si="14"/>
        <v>5572326.8681345135</v>
      </c>
      <c r="X16" s="43">
        <f t="shared" si="15"/>
        <v>928367.54069344327</v>
      </c>
      <c r="Y16" s="27">
        <f t="shared" si="16"/>
        <v>43766.092035417387</v>
      </c>
      <c r="Z16" s="27">
        <f t="shared" si="17"/>
        <v>5528560.7760990961</v>
      </c>
      <c r="AA16">
        <f t="shared" si="18"/>
        <v>0</v>
      </c>
      <c r="AB16" s="27">
        <f t="shared" si="19"/>
        <v>5528560.7760990961</v>
      </c>
      <c r="AD16" s="27">
        <f t="shared" si="20"/>
        <v>0</v>
      </c>
      <c r="AE16" s="27">
        <f t="shared" si="21"/>
        <v>5528560.7760990961</v>
      </c>
      <c r="AF16" s="50"/>
      <c r="AG16" t="str">
        <f t="shared" si="22"/>
        <v>5300480</v>
      </c>
    </row>
    <row r="17" spans="1:33" x14ac:dyDescent="0.25">
      <c r="A17" s="7" t="s">
        <v>313</v>
      </c>
      <c r="B17" s="2" t="s">
        <v>686</v>
      </c>
      <c r="C17" s="4" t="s">
        <v>685</v>
      </c>
      <c r="D17" s="30">
        <f>_xlfn.IFNA(VLOOKUP(A17,'Prior Year data'!$A$1:$V$318,13,FALSE),0)</f>
        <v>2409.4957723541802</v>
      </c>
      <c r="E17">
        <f>VLOOKUP(A17,'Basic HH'!$B$1:$Y$318,23,FALSE)</f>
        <v>8794.6209107783925</v>
      </c>
      <c r="F17">
        <f>VLOOKUP(A17,'Conc. HH'!$B$1:$Y$318,23,FALSE)</f>
        <v>2063.8760833762863</v>
      </c>
      <c r="G17">
        <f>VLOOKUP(A17,'Targeted HH'!$B$1:$Y$318,23,FALSE)</f>
        <v>4253.2200084005408</v>
      </c>
      <c r="H17">
        <f>VLOOKUP(A17,'EFIG HH'!$B$1:$Y$318,23,FALSE)</f>
        <v>5643.9156583300637</v>
      </c>
      <c r="I17">
        <f t="shared" si="0"/>
        <v>20755.632660885283</v>
      </c>
      <c r="J17">
        <f t="shared" si="1"/>
        <v>20755.632660885283</v>
      </c>
      <c r="K17" s="43">
        <f t="shared" si="2"/>
        <v>18776.052678108379</v>
      </c>
      <c r="L17">
        <f t="shared" si="3"/>
        <v>0</v>
      </c>
      <c r="M17">
        <f t="shared" si="4"/>
        <v>16366.556905754198</v>
      </c>
      <c r="N17" s="43">
        <f t="shared" si="5"/>
        <v>12874.546400627685</v>
      </c>
      <c r="O17">
        <f t="shared" si="6"/>
        <v>0</v>
      </c>
      <c r="P17">
        <f t="shared" si="7"/>
        <v>10465.050628273504</v>
      </c>
      <c r="Q17" s="43">
        <f t="shared" si="8"/>
        <v>12874.546400627685</v>
      </c>
      <c r="R17">
        <f t="shared" si="9"/>
        <v>0</v>
      </c>
      <c r="S17">
        <f t="shared" si="10"/>
        <v>10465.050628273504</v>
      </c>
      <c r="T17" s="43">
        <f t="shared" si="11"/>
        <v>12874.546400627685</v>
      </c>
      <c r="U17">
        <f t="shared" si="12"/>
        <v>0</v>
      </c>
      <c r="V17">
        <f t="shared" si="13"/>
        <v>10465.050628273504</v>
      </c>
      <c r="W17" s="43">
        <f t="shared" si="14"/>
        <v>12874.546400627685</v>
      </c>
      <c r="X17" s="43">
        <f t="shared" si="15"/>
        <v>7881.086260257598</v>
      </c>
      <c r="Y17" s="27">
        <f t="shared" si="16"/>
        <v>101.11908292859339</v>
      </c>
      <c r="Z17" s="27">
        <f t="shared" si="17"/>
        <v>12773.427317699092</v>
      </c>
      <c r="AA17">
        <f t="shared" si="18"/>
        <v>0</v>
      </c>
      <c r="AB17" s="27">
        <f t="shared" si="19"/>
        <v>12773.427317699092</v>
      </c>
      <c r="AD17" s="27">
        <f t="shared" si="20"/>
        <v>0</v>
      </c>
      <c r="AE17" s="27">
        <f t="shared" si="21"/>
        <v>12773.427317699092</v>
      </c>
      <c r="AF17" s="50"/>
      <c r="AG17" t="str">
        <f t="shared" si="22"/>
        <v>5300510</v>
      </c>
    </row>
    <row r="18" spans="1:33" x14ac:dyDescent="0.25">
      <c r="A18" s="7" t="s">
        <v>315</v>
      </c>
      <c r="B18" s="2" t="s">
        <v>688</v>
      </c>
      <c r="C18" s="4" t="s">
        <v>687</v>
      </c>
      <c r="D18" s="30">
        <f>_xlfn.IFNA(VLOOKUP(A18,'Prior Year data'!$A$1:$V$318,13,FALSE),0)</f>
        <v>624695.99292203039</v>
      </c>
      <c r="E18">
        <f>VLOOKUP(A18,'Basic HH'!$B$1:$Y$318,23,FALSE)</f>
        <v>226932.15300604605</v>
      </c>
      <c r="F18">
        <f>VLOOKUP(A18,'Conc. HH'!$B$1:$Y$318,23,FALSE)</f>
        <v>50549.676071731032</v>
      </c>
      <c r="G18">
        <f>VLOOKUP(A18,'Targeted HH'!$B$1:$Y$318,23,FALSE)</f>
        <v>109464.36665323065</v>
      </c>
      <c r="H18">
        <f>VLOOKUP(A18,'EFIG HH'!$B$1:$Y$318,23,FALSE)</f>
        <v>148478.29196120086</v>
      </c>
      <c r="I18">
        <f t="shared" si="0"/>
        <v>535424.48769220861</v>
      </c>
      <c r="J18">
        <f t="shared" si="1"/>
        <v>0</v>
      </c>
      <c r="K18" s="43">
        <f t="shared" si="2"/>
        <v>535424.48769220861</v>
      </c>
      <c r="L18">
        <f t="shared" si="3"/>
        <v>0</v>
      </c>
      <c r="M18">
        <f t="shared" si="4"/>
        <v>0</v>
      </c>
      <c r="N18" s="43">
        <f t="shared" si="5"/>
        <v>535424.48769220861</v>
      </c>
      <c r="O18">
        <f t="shared" si="6"/>
        <v>0</v>
      </c>
      <c r="P18">
        <f t="shared" si="7"/>
        <v>0</v>
      </c>
      <c r="Q18" s="43">
        <f t="shared" si="8"/>
        <v>535424.48769220861</v>
      </c>
      <c r="R18">
        <f t="shared" si="9"/>
        <v>0</v>
      </c>
      <c r="S18">
        <f t="shared" si="10"/>
        <v>0</v>
      </c>
      <c r="T18" s="43">
        <f t="shared" si="11"/>
        <v>535424.48769220861</v>
      </c>
      <c r="U18">
        <f t="shared" si="12"/>
        <v>0</v>
      </c>
      <c r="V18">
        <f t="shared" si="13"/>
        <v>0</v>
      </c>
      <c r="W18" s="43">
        <f t="shared" si="14"/>
        <v>535424.48769220861</v>
      </c>
      <c r="X18" s="43">
        <f t="shared" si="15"/>
        <v>0</v>
      </c>
      <c r="Y18" s="27">
        <f t="shared" si="16"/>
        <v>4205.323549908403</v>
      </c>
      <c r="Z18" s="27">
        <f t="shared" si="17"/>
        <v>531219.16414230026</v>
      </c>
      <c r="AA18">
        <f t="shared" si="18"/>
        <v>0</v>
      </c>
      <c r="AB18" s="27">
        <f t="shared" si="19"/>
        <v>531219.16414230026</v>
      </c>
      <c r="AD18" s="27">
        <f t="shared" si="20"/>
        <v>0</v>
      </c>
      <c r="AE18" s="27">
        <f t="shared" si="21"/>
        <v>531219.16414230026</v>
      </c>
      <c r="AF18" s="50"/>
      <c r="AG18" t="str">
        <f t="shared" si="22"/>
        <v>5300570</v>
      </c>
    </row>
    <row r="19" spans="1:33" x14ac:dyDescent="0.25">
      <c r="A19" s="7" t="s">
        <v>317</v>
      </c>
      <c r="B19" s="2" t="s">
        <v>690</v>
      </c>
      <c r="C19" s="4" t="s">
        <v>689</v>
      </c>
      <c r="D19" s="30">
        <f>_xlfn.IFNA(VLOOKUP(A19,'Prior Year data'!$A$1:$V$318,13,FALSE),0)</f>
        <v>47454.149506201124</v>
      </c>
      <c r="E19">
        <f>VLOOKUP(A19,'Basic HH'!$B$1:$Y$318,23,FALSE)</f>
        <v>21107.09018586815</v>
      </c>
      <c r="F19">
        <f>VLOOKUP(A19,'Conc. HH'!$B$1:$Y$318,23,FALSE)</f>
        <v>0</v>
      </c>
      <c r="G19">
        <f>VLOOKUP(A19,'Targeted HH'!$B$1:$Y$318,23,FALSE)</f>
        <v>10207.728020161299</v>
      </c>
      <c r="H19">
        <f>VLOOKUP(A19,'EFIG HH'!$B$1:$Y$318,23,FALSE)</f>
        <v>13545.397579992154</v>
      </c>
      <c r="I19">
        <f t="shared" si="0"/>
        <v>44860.215786021603</v>
      </c>
      <c r="J19">
        <f t="shared" si="1"/>
        <v>0</v>
      </c>
      <c r="K19" s="43">
        <f t="shared" si="2"/>
        <v>44860.215786021603</v>
      </c>
      <c r="L19">
        <f t="shared" si="3"/>
        <v>0</v>
      </c>
      <c r="M19">
        <f t="shared" si="4"/>
        <v>0</v>
      </c>
      <c r="N19" s="43">
        <f t="shared" si="5"/>
        <v>44860.215786021603</v>
      </c>
      <c r="O19">
        <f t="shared" si="6"/>
        <v>0</v>
      </c>
      <c r="P19">
        <f t="shared" si="7"/>
        <v>0</v>
      </c>
      <c r="Q19" s="43">
        <f t="shared" si="8"/>
        <v>44860.215786021603</v>
      </c>
      <c r="R19">
        <f t="shared" si="9"/>
        <v>0</v>
      </c>
      <c r="S19">
        <f t="shared" si="10"/>
        <v>0</v>
      </c>
      <c r="T19" s="43">
        <f t="shared" si="11"/>
        <v>44860.215786021603</v>
      </c>
      <c r="U19">
        <f t="shared" si="12"/>
        <v>0</v>
      </c>
      <c r="V19">
        <f t="shared" si="13"/>
        <v>0</v>
      </c>
      <c r="W19" s="43">
        <f t="shared" si="14"/>
        <v>44860.215786021603</v>
      </c>
      <c r="X19" s="43">
        <f t="shared" si="15"/>
        <v>0</v>
      </c>
      <c r="Y19" s="27">
        <f t="shared" si="16"/>
        <v>352.34048168408896</v>
      </c>
      <c r="Z19" s="27">
        <f t="shared" si="17"/>
        <v>44507.875304337511</v>
      </c>
      <c r="AA19">
        <f t="shared" si="18"/>
        <v>0</v>
      </c>
      <c r="AB19" s="27">
        <f t="shared" si="19"/>
        <v>44507.875304337511</v>
      </c>
      <c r="AD19" s="27">
        <f t="shared" si="20"/>
        <v>0</v>
      </c>
      <c r="AE19" s="27">
        <f t="shared" si="21"/>
        <v>44507.875304337511</v>
      </c>
      <c r="AF19" s="50"/>
      <c r="AG19" t="str">
        <f t="shared" si="22"/>
        <v>5300630</v>
      </c>
    </row>
    <row r="20" spans="1:33" x14ac:dyDescent="0.25">
      <c r="A20" s="7" t="s">
        <v>55</v>
      </c>
      <c r="B20" s="2" t="s">
        <v>691</v>
      </c>
      <c r="C20" s="4" t="s">
        <v>10</v>
      </c>
      <c r="D20" s="30">
        <f>_xlfn.IFNA(VLOOKUP(A20,'Prior Year data'!$A$1:$V$318,13,FALSE),0)</f>
        <v>1804455.1491919421</v>
      </c>
      <c r="E20">
        <f>VLOOKUP(A20,'Basic HH'!$B$1:$Y$318,23,FALSE)</f>
        <v>721830.53962275351</v>
      </c>
      <c r="F20">
        <f>VLOOKUP(A20,'Conc. HH'!$B$1:$Y$318,23,FALSE)</f>
        <v>194586.65623556456</v>
      </c>
      <c r="G20">
        <f>VLOOKUP(A20,'Targeted HH'!$B$1:$Y$318,23,FALSE)</f>
        <v>392106.34109257755</v>
      </c>
      <c r="H20">
        <f>VLOOKUP(A20,'EFIG HH'!$B$1:$Y$318,23,FALSE)</f>
        <v>520315.22325484641</v>
      </c>
      <c r="I20">
        <f t="shared" si="0"/>
        <v>1828838.760205742</v>
      </c>
      <c r="J20">
        <f t="shared" si="1"/>
        <v>1828838.760205742</v>
      </c>
      <c r="K20" s="43">
        <f t="shared" si="2"/>
        <v>1654412.2485893334</v>
      </c>
      <c r="L20">
        <f t="shared" si="3"/>
        <v>150042.90060260869</v>
      </c>
      <c r="M20">
        <f t="shared" si="4"/>
        <v>0</v>
      </c>
      <c r="N20" s="43">
        <f t="shared" si="5"/>
        <v>1804455.1491919421</v>
      </c>
      <c r="O20">
        <f t="shared" si="6"/>
        <v>0</v>
      </c>
      <c r="P20">
        <f t="shared" si="7"/>
        <v>0</v>
      </c>
      <c r="Q20" s="43">
        <f t="shared" si="8"/>
        <v>1804455.1491919421</v>
      </c>
      <c r="R20">
        <f t="shared" si="9"/>
        <v>0</v>
      </c>
      <c r="S20">
        <f t="shared" si="10"/>
        <v>0</v>
      </c>
      <c r="T20" s="43">
        <f t="shared" si="11"/>
        <v>1804455.1491919421</v>
      </c>
      <c r="U20">
        <f t="shared" si="12"/>
        <v>0</v>
      </c>
      <c r="V20">
        <f t="shared" si="13"/>
        <v>0</v>
      </c>
      <c r="W20" s="43">
        <f t="shared" si="14"/>
        <v>1804455.1491919421</v>
      </c>
      <c r="X20" s="43">
        <f t="shared" si="15"/>
        <v>24383.611013799906</v>
      </c>
      <c r="Y20" s="27">
        <f t="shared" si="16"/>
        <v>14172.526487082407</v>
      </c>
      <c r="Z20" s="27">
        <f t="shared" si="17"/>
        <v>1790282.6227048596</v>
      </c>
      <c r="AA20">
        <f t="shared" si="18"/>
        <v>0</v>
      </c>
      <c r="AB20" s="27">
        <f t="shared" si="19"/>
        <v>1790282.6227048596</v>
      </c>
      <c r="AD20" s="27">
        <f t="shared" si="20"/>
        <v>0</v>
      </c>
      <c r="AE20" s="27">
        <f t="shared" si="21"/>
        <v>1790282.6227048596</v>
      </c>
      <c r="AF20" s="50"/>
      <c r="AG20" t="str">
        <f t="shared" si="22"/>
        <v>5300660</v>
      </c>
    </row>
    <row r="21" spans="1:33" x14ac:dyDescent="0.25">
      <c r="A21" s="7" t="s">
        <v>319</v>
      </c>
      <c r="B21" s="2" t="s">
        <v>693</v>
      </c>
      <c r="C21" s="4" t="s">
        <v>692</v>
      </c>
      <c r="D21" s="30">
        <f>_xlfn.IFNA(VLOOKUP(A21,'Prior Year data'!$A$1:$V$318,13,FALSE),0)</f>
        <v>575395.42855602608</v>
      </c>
      <c r="E21">
        <f>VLOOKUP(A21,'Basic HH'!$B$1:$Y$318,23,FALSE)</f>
        <v>189266.68964356268</v>
      </c>
      <c r="F21">
        <f>VLOOKUP(A21,'Conc. HH'!$B$1:$Y$318,23,FALSE)</f>
        <v>50920.104899533238</v>
      </c>
      <c r="G21">
        <f>VLOOKUP(A21,'Targeted HH'!$B$1:$Y$318,23,FALSE)</f>
        <v>127046.25680068025</v>
      </c>
      <c r="H21">
        <f>VLOOKUP(A21,'EFIG HH'!$B$1:$Y$318,23,FALSE)</f>
        <v>172334.46904772308</v>
      </c>
      <c r="I21">
        <f t="shared" si="0"/>
        <v>539567.52039149927</v>
      </c>
      <c r="J21">
        <f t="shared" si="1"/>
        <v>0</v>
      </c>
      <c r="K21" s="43">
        <f t="shared" si="2"/>
        <v>539567.52039149927</v>
      </c>
      <c r="L21">
        <f t="shared" si="3"/>
        <v>0</v>
      </c>
      <c r="M21">
        <f t="shared" si="4"/>
        <v>0</v>
      </c>
      <c r="N21" s="43">
        <f t="shared" si="5"/>
        <v>539567.52039149927</v>
      </c>
      <c r="O21">
        <f t="shared" si="6"/>
        <v>0</v>
      </c>
      <c r="P21">
        <f t="shared" si="7"/>
        <v>0</v>
      </c>
      <c r="Q21" s="43">
        <f t="shared" si="8"/>
        <v>539567.52039149927</v>
      </c>
      <c r="R21">
        <f t="shared" si="9"/>
        <v>0</v>
      </c>
      <c r="S21">
        <f t="shared" si="10"/>
        <v>0</v>
      </c>
      <c r="T21" s="43">
        <f t="shared" si="11"/>
        <v>539567.52039149927</v>
      </c>
      <c r="U21">
        <f t="shared" si="12"/>
        <v>0</v>
      </c>
      <c r="V21">
        <f t="shared" si="13"/>
        <v>0</v>
      </c>
      <c r="W21" s="43">
        <f t="shared" si="14"/>
        <v>539567.52039149927</v>
      </c>
      <c r="X21" s="43">
        <f t="shared" si="15"/>
        <v>0</v>
      </c>
      <c r="Y21" s="27">
        <f t="shared" si="16"/>
        <v>4237.8636996005907</v>
      </c>
      <c r="Z21" s="27">
        <f t="shared" si="17"/>
        <v>535329.65669189871</v>
      </c>
      <c r="AA21">
        <f t="shared" si="18"/>
        <v>0</v>
      </c>
      <c r="AB21" s="27">
        <f t="shared" si="19"/>
        <v>535329.65669189871</v>
      </c>
      <c r="AD21" s="27">
        <f t="shared" si="20"/>
        <v>0</v>
      </c>
      <c r="AE21" s="27">
        <f t="shared" si="21"/>
        <v>535329.65669189871</v>
      </c>
      <c r="AF21" s="50"/>
      <c r="AG21" t="str">
        <f t="shared" si="22"/>
        <v>5300690</v>
      </c>
    </row>
    <row r="22" spans="1:33" x14ac:dyDescent="0.25">
      <c r="A22" s="7" t="s">
        <v>321</v>
      </c>
      <c r="B22" s="2" t="s">
        <v>695</v>
      </c>
      <c r="C22" s="4" t="s">
        <v>694</v>
      </c>
      <c r="D22" s="30">
        <f>_xlfn.IFNA(VLOOKUP(A22,'Prior Year data'!$A$1:$V$318,13,FALSE),0)</f>
        <v>406302.32422921259</v>
      </c>
      <c r="E22">
        <f>VLOOKUP(A22,'Basic HH'!$B$1:$Y$318,23,FALSE)</f>
        <v>116446.38949412035</v>
      </c>
      <c r="F22">
        <f>VLOOKUP(A22,'Conc. HH'!$B$1:$Y$318,23,FALSE)</f>
        <v>30802.221398133639</v>
      </c>
      <c r="G22">
        <f>VLOOKUP(A22,'Targeted HH'!$B$1:$Y$318,23,FALSE)</f>
        <v>84396.399402000214</v>
      </c>
      <c r="H22">
        <f>VLOOKUP(A22,'EFIG HH'!$B$1:$Y$318,23,FALSE)</f>
        <v>116377.03615140638</v>
      </c>
      <c r="I22">
        <f t="shared" si="0"/>
        <v>348022.04644566058</v>
      </c>
      <c r="J22">
        <f t="shared" si="1"/>
        <v>0</v>
      </c>
      <c r="K22" s="43">
        <f t="shared" si="2"/>
        <v>348022.04644566058</v>
      </c>
      <c r="L22">
        <f t="shared" si="3"/>
        <v>0</v>
      </c>
      <c r="M22">
        <f t="shared" si="4"/>
        <v>0</v>
      </c>
      <c r="N22" s="43">
        <f t="shared" si="5"/>
        <v>348022.04644566058</v>
      </c>
      <c r="O22">
        <f t="shared" si="6"/>
        <v>0</v>
      </c>
      <c r="P22">
        <f t="shared" si="7"/>
        <v>0</v>
      </c>
      <c r="Q22" s="43">
        <f t="shared" si="8"/>
        <v>348022.04644566058</v>
      </c>
      <c r="R22">
        <f t="shared" si="9"/>
        <v>0</v>
      </c>
      <c r="S22">
        <f t="shared" si="10"/>
        <v>0</v>
      </c>
      <c r="T22" s="43">
        <f t="shared" si="11"/>
        <v>348022.04644566058</v>
      </c>
      <c r="U22">
        <f t="shared" si="12"/>
        <v>0</v>
      </c>
      <c r="V22">
        <f t="shared" si="13"/>
        <v>0</v>
      </c>
      <c r="W22" s="43">
        <f t="shared" si="14"/>
        <v>348022.04644566058</v>
      </c>
      <c r="X22" s="43">
        <f t="shared" si="15"/>
        <v>0</v>
      </c>
      <c r="Y22" s="27">
        <f t="shared" si="16"/>
        <v>2733.4299073870125</v>
      </c>
      <c r="Z22" s="27">
        <f t="shared" si="17"/>
        <v>345288.61653827358</v>
      </c>
      <c r="AA22">
        <f t="shared" si="18"/>
        <v>0</v>
      </c>
      <c r="AB22" s="27">
        <f t="shared" si="19"/>
        <v>345288.61653827358</v>
      </c>
      <c r="AD22" s="27">
        <f t="shared" si="20"/>
        <v>0</v>
      </c>
      <c r="AE22" s="27">
        <f t="shared" si="21"/>
        <v>345288.61653827358</v>
      </c>
      <c r="AF22" s="50"/>
      <c r="AG22" t="str">
        <f t="shared" si="22"/>
        <v>5300720</v>
      </c>
    </row>
    <row r="23" spans="1:33" x14ac:dyDescent="0.25">
      <c r="A23" s="7" t="s">
        <v>323</v>
      </c>
      <c r="B23" s="2" t="s">
        <v>697</v>
      </c>
      <c r="C23" s="4" t="s">
        <v>696</v>
      </c>
      <c r="D23" s="30">
        <f>_xlfn.IFNA(VLOOKUP(A23,'Prior Year data'!$A$1:$V$318,13,FALSE),0)</f>
        <v>63480.90769753365</v>
      </c>
      <c r="E23">
        <f>VLOOKUP(A23,'Basic HH'!$B$1:$Y$318,23,FALSE)</f>
        <v>19204.746745283457</v>
      </c>
      <c r="F23">
        <f>VLOOKUP(A23,'Conc. HH'!$B$1:$Y$318,23,FALSE)</f>
        <v>5166.8242345256394</v>
      </c>
      <c r="G23">
        <f>VLOOKUP(A23,'Targeted HH'!$B$1:$Y$318,23,FALSE)</f>
        <v>12612.202361043766</v>
      </c>
      <c r="H23">
        <f>VLOOKUP(A23,'EFIG HH'!$B$1:$Y$318,23,FALSE)</f>
        <v>17391.390397221829</v>
      </c>
      <c r="I23">
        <f t="shared" si="0"/>
        <v>54375.163738074698</v>
      </c>
      <c r="J23">
        <f t="shared" si="1"/>
        <v>0</v>
      </c>
      <c r="K23" s="43">
        <f t="shared" si="2"/>
        <v>54375.163738074698</v>
      </c>
      <c r="L23">
        <f t="shared" si="3"/>
        <v>0</v>
      </c>
      <c r="M23">
        <f t="shared" si="4"/>
        <v>0</v>
      </c>
      <c r="N23" s="43">
        <f t="shared" si="5"/>
        <v>54375.163738074698</v>
      </c>
      <c r="O23">
        <f t="shared" si="6"/>
        <v>0</v>
      </c>
      <c r="P23">
        <f t="shared" si="7"/>
        <v>0</v>
      </c>
      <c r="Q23" s="43">
        <f t="shared" si="8"/>
        <v>54375.163738074698</v>
      </c>
      <c r="R23">
        <f t="shared" si="9"/>
        <v>0</v>
      </c>
      <c r="S23">
        <f t="shared" si="10"/>
        <v>0</v>
      </c>
      <c r="T23" s="43">
        <f t="shared" si="11"/>
        <v>54375.163738074698</v>
      </c>
      <c r="U23">
        <f t="shared" si="12"/>
        <v>0</v>
      </c>
      <c r="V23">
        <f t="shared" si="13"/>
        <v>0</v>
      </c>
      <c r="W23" s="43">
        <f t="shared" si="14"/>
        <v>54375.163738074698</v>
      </c>
      <c r="X23" s="43">
        <f t="shared" si="15"/>
        <v>0</v>
      </c>
      <c r="Y23" s="27">
        <f t="shared" si="16"/>
        <v>427.07265329504366</v>
      </c>
      <c r="Z23" s="27">
        <f t="shared" si="17"/>
        <v>53948.091084779655</v>
      </c>
      <c r="AA23">
        <f t="shared" si="18"/>
        <v>0</v>
      </c>
      <c r="AB23" s="27">
        <f t="shared" si="19"/>
        <v>53948.091084779655</v>
      </c>
      <c r="AD23" s="27">
        <f t="shared" si="20"/>
        <v>0</v>
      </c>
      <c r="AE23" s="27">
        <f t="shared" si="21"/>
        <v>53948.091084779655</v>
      </c>
      <c r="AF23" s="50"/>
      <c r="AG23" t="str">
        <f t="shared" si="22"/>
        <v>5300750</v>
      </c>
    </row>
    <row r="24" spans="1:33" x14ac:dyDescent="0.25">
      <c r="A24" s="7" t="s">
        <v>325</v>
      </c>
      <c r="B24" s="2" t="s">
        <v>699</v>
      </c>
      <c r="C24" s="4" t="s">
        <v>698</v>
      </c>
      <c r="D24" s="30">
        <f>_xlfn.IFNA(VLOOKUP(A24,'Prior Year data'!$A$1:$V$318,13,FALSE),0)</f>
        <v>821123.00687090971</v>
      </c>
      <c r="E24">
        <f>VLOOKUP(A24,'Basic HH'!$B$1:$Y$318,23,FALSE)</f>
        <v>317485.81487910013</v>
      </c>
      <c r="F24">
        <f>VLOOKUP(A24,'Conc. HH'!$B$1:$Y$318,23,FALSE)</f>
        <v>0</v>
      </c>
      <c r="G24">
        <f>VLOOKUP(A24,'Targeted HH'!$B$1:$Y$318,23,FALSE)</f>
        <v>153541.24230325961</v>
      </c>
      <c r="H24">
        <f>VLOOKUP(A24,'EFIG HH'!$B$1:$Y$318,23,FALSE)</f>
        <v>203745.35526571533</v>
      </c>
      <c r="I24">
        <f t="shared" si="0"/>
        <v>674772.41244807513</v>
      </c>
      <c r="J24">
        <f t="shared" si="1"/>
        <v>0</v>
      </c>
      <c r="K24" s="43">
        <f t="shared" si="2"/>
        <v>674772.41244807513</v>
      </c>
      <c r="L24">
        <f t="shared" si="3"/>
        <v>0</v>
      </c>
      <c r="M24">
        <f t="shared" si="4"/>
        <v>0</v>
      </c>
      <c r="N24" s="43">
        <f t="shared" si="5"/>
        <v>674772.41244807513</v>
      </c>
      <c r="O24">
        <f t="shared" si="6"/>
        <v>0</v>
      </c>
      <c r="P24">
        <f t="shared" si="7"/>
        <v>0</v>
      </c>
      <c r="Q24" s="43">
        <f t="shared" si="8"/>
        <v>674772.41244807513</v>
      </c>
      <c r="R24">
        <f t="shared" si="9"/>
        <v>0</v>
      </c>
      <c r="S24">
        <f t="shared" si="10"/>
        <v>0</v>
      </c>
      <c r="T24" s="43">
        <f t="shared" si="11"/>
        <v>674772.41244807513</v>
      </c>
      <c r="U24">
        <f t="shared" si="12"/>
        <v>0</v>
      </c>
      <c r="V24">
        <f t="shared" si="13"/>
        <v>0</v>
      </c>
      <c r="W24" s="43">
        <f t="shared" si="14"/>
        <v>674772.41244807513</v>
      </c>
      <c r="X24" s="43">
        <f t="shared" si="15"/>
        <v>0</v>
      </c>
      <c r="Y24" s="27">
        <f t="shared" si="16"/>
        <v>5299.7880786648402</v>
      </c>
      <c r="Z24" s="27">
        <f t="shared" si="17"/>
        <v>669472.62436941033</v>
      </c>
      <c r="AA24">
        <f t="shared" si="18"/>
        <v>0</v>
      </c>
      <c r="AB24" s="27">
        <f t="shared" si="19"/>
        <v>669472.62436941033</v>
      </c>
      <c r="AD24" s="27">
        <f t="shared" si="20"/>
        <v>0</v>
      </c>
      <c r="AE24" s="27">
        <f t="shared" si="21"/>
        <v>669472.62436941033</v>
      </c>
      <c r="AF24" s="50"/>
      <c r="AG24" t="str">
        <f t="shared" si="22"/>
        <v>5300780</v>
      </c>
    </row>
    <row r="25" spans="1:33" x14ac:dyDescent="0.25">
      <c r="A25" s="7" t="s">
        <v>100</v>
      </c>
      <c r="B25" s="2" t="s">
        <v>701</v>
      </c>
      <c r="C25" s="4" t="s">
        <v>700</v>
      </c>
      <c r="D25" s="30">
        <f>_xlfn.IFNA(VLOOKUP(A25,'Prior Year data'!$A$1:$V$318,13,FALSE),0)</f>
        <v>223150.29778408323</v>
      </c>
      <c r="E25">
        <f>VLOOKUP(A25,'Basic HH'!$B$1:$Y$318,23,FALSE)</f>
        <v>248008.30968395065</v>
      </c>
      <c r="F25">
        <f>VLOOKUP(A25,'Conc. HH'!$B$1:$Y$318,23,FALSE)</f>
        <v>0</v>
      </c>
      <c r="G25">
        <f>VLOOKUP(A25,'Targeted HH'!$B$1:$Y$318,23,FALSE)</f>
        <v>0</v>
      </c>
      <c r="H25">
        <f>VLOOKUP(A25,'EFIG HH'!$B$1:$Y$318,23,FALSE)</f>
        <v>0</v>
      </c>
      <c r="I25">
        <f t="shared" si="0"/>
        <v>248008.30968395065</v>
      </c>
      <c r="J25">
        <f t="shared" si="1"/>
        <v>248008.30968395065</v>
      </c>
      <c r="K25" s="43">
        <f t="shared" si="2"/>
        <v>224354.37952272259</v>
      </c>
      <c r="L25">
        <f t="shared" si="3"/>
        <v>0</v>
      </c>
      <c r="M25">
        <f t="shared" si="4"/>
        <v>1204.081738639361</v>
      </c>
      <c r="N25" s="43">
        <f t="shared" si="5"/>
        <v>223920.20781635217</v>
      </c>
      <c r="O25">
        <f t="shared" si="6"/>
        <v>0</v>
      </c>
      <c r="P25">
        <f t="shared" si="7"/>
        <v>769.91003226893372</v>
      </c>
      <c r="Q25" s="43">
        <f t="shared" si="8"/>
        <v>223920.20781635217</v>
      </c>
      <c r="R25">
        <f t="shared" si="9"/>
        <v>0</v>
      </c>
      <c r="S25">
        <f t="shared" si="10"/>
        <v>769.91003226893372</v>
      </c>
      <c r="T25" s="43">
        <f t="shared" si="11"/>
        <v>223920.20781635217</v>
      </c>
      <c r="U25">
        <f t="shared" si="12"/>
        <v>0</v>
      </c>
      <c r="V25">
        <f t="shared" si="13"/>
        <v>769.91003226893372</v>
      </c>
      <c r="W25" s="43">
        <f t="shared" si="14"/>
        <v>223920.20781635217</v>
      </c>
      <c r="X25" s="43">
        <f t="shared" si="15"/>
        <v>24088.101867598481</v>
      </c>
      <c r="Y25" s="27">
        <f t="shared" si="16"/>
        <v>1758.7109758263532</v>
      </c>
      <c r="Z25" s="27">
        <f t="shared" si="17"/>
        <v>222161.49684052583</v>
      </c>
      <c r="AA25">
        <f t="shared" si="18"/>
        <v>0</v>
      </c>
      <c r="AB25" s="27">
        <f t="shared" si="19"/>
        <v>222161.49684052583</v>
      </c>
      <c r="AD25" s="27">
        <f t="shared" si="20"/>
        <v>0</v>
      </c>
      <c r="AE25" s="27">
        <f t="shared" si="21"/>
        <v>222161.49684052583</v>
      </c>
      <c r="AF25" s="50"/>
      <c r="AG25" t="str">
        <f t="shared" si="22"/>
        <v>5300810</v>
      </c>
    </row>
    <row r="26" spans="1:33" x14ac:dyDescent="0.25">
      <c r="A26" s="7" t="s">
        <v>327</v>
      </c>
      <c r="B26" s="2" t="s">
        <v>703</v>
      </c>
      <c r="C26" s="4" t="s">
        <v>702</v>
      </c>
      <c r="D26" s="30">
        <f>_xlfn.IFNA(VLOOKUP(A26,'Prior Year data'!$A$1:$V$318,13,FALSE),0)</f>
        <v>235765.23914177582</v>
      </c>
      <c r="E26">
        <f>VLOOKUP(A26,'Basic HH'!$B$1:$Y$318,23,FALSE)</f>
        <v>73714.833714291832</v>
      </c>
      <c r="F26">
        <f>VLOOKUP(A26,'Conc. HH'!$B$1:$Y$318,23,FALSE)</f>
        <v>19422.643801202968</v>
      </c>
      <c r="G26">
        <f>VLOOKUP(A26,'Targeted HH'!$B$1:$Y$318,23,FALSE)</f>
        <v>45738.743943784481</v>
      </c>
      <c r="H26">
        <f>VLOOKUP(A26,'EFIG HH'!$B$1:$Y$318,23,FALSE)</f>
        <v>63070.693716580245</v>
      </c>
      <c r="I26">
        <f t="shared" si="0"/>
        <v>201946.91517585953</v>
      </c>
      <c r="J26">
        <f t="shared" si="1"/>
        <v>0</v>
      </c>
      <c r="K26" s="43">
        <f t="shared" si="2"/>
        <v>201946.91517585953</v>
      </c>
      <c r="L26">
        <f t="shared" si="3"/>
        <v>0</v>
      </c>
      <c r="M26">
        <f t="shared" si="4"/>
        <v>0</v>
      </c>
      <c r="N26" s="43">
        <f t="shared" si="5"/>
        <v>201946.91517585953</v>
      </c>
      <c r="O26">
        <f t="shared" si="6"/>
        <v>0</v>
      </c>
      <c r="P26">
        <f t="shared" si="7"/>
        <v>0</v>
      </c>
      <c r="Q26" s="43">
        <f t="shared" si="8"/>
        <v>201946.91517585953</v>
      </c>
      <c r="R26">
        <f t="shared" si="9"/>
        <v>0</v>
      </c>
      <c r="S26">
        <f t="shared" si="10"/>
        <v>0</v>
      </c>
      <c r="T26" s="43">
        <f t="shared" si="11"/>
        <v>201946.91517585953</v>
      </c>
      <c r="U26">
        <f t="shared" si="12"/>
        <v>0</v>
      </c>
      <c r="V26">
        <f t="shared" si="13"/>
        <v>0</v>
      </c>
      <c r="W26" s="43">
        <f t="shared" si="14"/>
        <v>201946.91517585953</v>
      </c>
      <c r="X26" s="43">
        <f t="shared" si="15"/>
        <v>0</v>
      </c>
      <c r="Y26" s="27">
        <f t="shared" si="16"/>
        <v>1586.1286469747595</v>
      </c>
      <c r="Z26" s="27">
        <f t="shared" si="17"/>
        <v>200360.78652888475</v>
      </c>
      <c r="AA26">
        <f t="shared" si="18"/>
        <v>0</v>
      </c>
      <c r="AB26" s="27">
        <f t="shared" si="19"/>
        <v>200360.78652888475</v>
      </c>
      <c r="AD26" s="27">
        <f t="shared" si="20"/>
        <v>0</v>
      </c>
      <c r="AE26" s="27">
        <f t="shared" si="21"/>
        <v>200360.78652888475</v>
      </c>
      <c r="AF26" s="50"/>
      <c r="AG26" t="str">
        <f t="shared" si="22"/>
        <v>5300840</v>
      </c>
    </row>
    <row r="27" spans="1:33" x14ac:dyDescent="0.25">
      <c r="A27" s="7" t="s">
        <v>102</v>
      </c>
      <c r="B27" s="2" t="s">
        <v>705</v>
      </c>
      <c r="C27" s="4" t="s">
        <v>704</v>
      </c>
      <c r="D27" s="30">
        <f>_xlfn.IFNA(VLOOKUP(A27,'Prior Year data'!$A$1:$V$318,13,FALSE),0)</f>
        <v>0</v>
      </c>
      <c r="E27">
        <f>VLOOKUP(A27,'Basic HH'!$B$1:$Y$318,23,FALSE)</f>
        <v>0</v>
      </c>
      <c r="F27">
        <f>VLOOKUP(A27,'Conc. HH'!$B$1:$Y$318,23,FALSE)</f>
        <v>0</v>
      </c>
      <c r="G27">
        <f>VLOOKUP(A27,'Targeted HH'!$B$1:$Y$318,23,FALSE)</f>
        <v>0</v>
      </c>
      <c r="H27">
        <f>VLOOKUP(A27,'EFIG HH'!$B$1:$Y$318,23,FALSE)</f>
        <v>0</v>
      </c>
      <c r="I27">
        <f t="shared" si="0"/>
        <v>0</v>
      </c>
      <c r="J27">
        <f t="shared" si="1"/>
        <v>0</v>
      </c>
      <c r="K27" s="43">
        <f t="shared" si="2"/>
        <v>0</v>
      </c>
      <c r="L27">
        <f t="shared" si="3"/>
        <v>0</v>
      </c>
      <c r="M27">
        <f t="shared" si="4"/>
        <v>0</v>
      </c>
      <c r="N27" s="43">
        <f t="shared" si="5"/>
        <v>0</v>
      </c>
      <c r="O27">
        <f t="shared" si="6"/>
        <v>0</v>
      </c>
      <c r="P27">
        <f t="shared" si="7"/>
        <v>0</v>
      </c>
      <c r="Q27" s="43">
        <f t="shared" si="8"/>
        <v>0</v>
      </c>
      <c r="R27">
        <f t="shared" si="9"/>
        <v>0</v>
      </c>
      <c r="S27">
        <f t="shared" si="10"/>
        <v>0</v>
      </c>
      <c r="T27" s="43">
        <f t="shared" si="11"/>
        <v>0</v>
      </c>
      <c r="U27">
        <f t="shared" si="12"/>
        <v>0</v>
      </c>
      <c r="V27">
        <f t="shared" si="13"/>
        <v>0</v>
      </c>
      <c r="W27" s="43">
        <f t="shared" si="14"/>
        <v>0</v>
      </c>
      <c r="X27" s="43">
        <f t="shared" si="15"/>
        <v>0</v>
      </c>
      <c r="Y27" s="27">
        <f t="shared" si="16"/>
        <v>0</v>
      </c>
      <c r="Z27" s="27">
        <f t="shared" si="17"/>
        <v>0</v>
      </c>
      <c r="AA27">
        <f t="shared" si="18"/>
        <v>0</v>
      </c>
      <c r="AB27" s="27">
        <f t="shared" si="19"/>
        <v>0</v>
      </c>
      <c r="AD27" s="27">
        <f t="shared" si="20"/>
        <v>0</v>
      </c>
      <c r="AE27" s="27">
        <f t="shared" si="21"/>
        <v>0</v>
      </c>
      <c r="AF27" s="50"/>
      <c r="AG27" t="str">
        <f t="shared" si="22"/>
        <v>5300870</v>
      </c>
    </row>
    <row r="28" spans="1:33" x14ac:dyDescent="0.25">
      <c r="A28" s="7" t="s">
        <v>329</v>
      </c>
      <c r="B28" s="2" t="s">
        <v>707</v>
      </c>
      <c r="C28" s="4" t="s">
        <v>706</v>
      </c>
      <c r="D28" s="30">
        <f>_xlfn.IFNA(VLOOKUP(A28,'Prior Year data'!$A$1:$V$318,13,FALSE),0)</f>
        <v>283761.90218531771</v>
      </c>
      <c r="E28">
        <f>VLOOKUP(A28,'Basic HH'!$B$1:$Y$318,23,FALSE)</f>
        <v>113751.19226052501</v>
      </c>
      <c r="F28">
        <f>VLOOKUP(A28,'Conc. HH'!$B$1:$Y$318,23,FALSE)</f>
        <v>0</v>
      </c>
      <c r="G28">
        <f>VLOOKUP(A28,'Targeted HH'!$B$1:$Y$318,23,FALSE)</f>
        <v>54873.475216543891</v>
      </c>
      <c r="H28">
        <f>VLOOKUP(A28,'EFIG HH'!$B$1:$Y$318,23,FALSE)</f>
        <v>74434.237217100337</v>
      </c>
      <c r="I28">
        <f t="shared" si="0"/>
        <v>243058.90469416924</v>
      </c>
      <c r="J28">
        <f t="shared" si="1"/>
        <v>0</v>
      </c>
      <c r="K28" s="43">
        <f t="shared" si="2"/>
        <v>243058.90469416924</v>
      </c>
      <c r="L28">
        <f t="shared" si="3"/>
        <v>0</v>
      </c>
      <c r="M28">
        <f t="shared" si="4"/>
        <v>0</v>
      </c>
      <c r="N28" s="43">
        <f t="shared" si="5"/>
        <v>243058.90469416924</v>
      </c>
      <c r="O28">
        <f t="shared" si="6"/>
        <v>0</v>
      </c>
      <c r="P28">
        <f t="shared" si="7"/>
        <v>0</v>
      </c>
      <c r="Q28" s="43">
        <f t="shared" si="8"/>
        <v>243058.90469416924</v>
      </c>
      <c r="R28">
        <f t="shared" si="9"/>
        <v>0</v>
      </c>
      <c r="S28">
        <f t="shared" si="10"/>
        <v>0</v>
      </c>
      <c r="T28" s="43">
        <f t="shared" si="11"/>
        <v>243058.90469416924</v>
      </c>
      <c r="U28">
        <f t="shared" si="12"/>
        <v>0</v>
      </c>
      <c r="V28">
        <f t="shared" si="13"/>
        <v>0</v>
      </c>
      <c r="W28" s="43">
        <f t="shared" si="14"/>
        <v>243058.90469416924</v>
      </c>
      <c r="X28" s="43">
        <f t="shared" si="15"/>
        <v>0</v>
      </c>
      <c r="Y28" s="27">
        <f t="shared" si="16"/>
        <v>1909.0298621398035</v>
      </c>
      <c r="Z28" s="27">
        <f t="shared" si="17"/>
        <v>241149.87483202943</v>
      </c>
      <c r="AA28">
        <f t="shared" si="18"/>
        <v>0</v>
      </c>
      <c r="AB28" s="27">
        <f t="shared" si="19"/>
        <v>241149.87483202943</v>
      </c>
      <c r="AD28" s="27">
        <f t="shared" si="20"/>
        <v>0</v>
      </c>
      <c r="AE28" s="27">
        <f t="shared" si="21"/>
        <v>241149.87483202943</v>
      </c>
      <c r="AF28" s="50"/>
      <c r="AG28" t="str">
        <f t="shared" si="22"/>
        <v>5300950</v>
      </c>
    </row>
    <row r="29" spans="1:33" x14ac:dyDescent="0.25">
      <c r="A29" s="7" t="s">
        <v>331</v>
      </c>
      <c r="B29" s="2" t="s">
        <v>709</v>
      </c>
      <c r="C29" s="4" t="s">
        <v>708</v>
      </c>
      <c r="D29" s="30">
        <f>_xlfn.IFNA(VLOOKUP(A29,'Prior Year data'!$A$1:$V$318,13,FALSE),0)</f>
        <v>330990.10223638033</v>
      </c>
      <c r="E29">
        <f>VLOOKUP(A29,'Basic HH'!$B$1:$Y$318,23,FALSE)</f>
        <v>122614.92152757882</v>
      </c>
      <c r="F29">
        <f>VLOOKUP(A29,'Conc. HH'!$B$1:$Y$318,23,FALSE)</f>
        <v>0</v>
      </c>
      <c r="G29">
        <f>VLOOKUP(A29,'Targeted HH'!$B$1:$Y$318,23,FALSE)</f>
        <v>59149.330428222631</v>
      </c>
      <c r="H29">
        <f>VLOOKUP(A29,'EFIG HH'!$B$1:$Y$318,23,FALSE)</f>
        <v>80234.307649601629</v>
      </c>
      <c r="I29">
        <f t="shared" si="0"/>
        <v>261998.55960540308</v>
      </c>
      <c r="J29">
        <f t="shared" si="1"/>
        <v>0</v>
      </c>
      <c r="K29" s="43">
        <f t="shared" si="2"/>
        <v>261998.55960540308</v>
      </c>
      <c r="L29">
        <f t="shared" si="3"/>
        <v>0</v>
      </c>
      <c r="M29">
        <f t="shared" si="4"/>
        <v>0</v>
      </c>
      <c r="N29" s="43">
        <f t="shared" si="5"/>
        <v>261998.55960540308</v>
      </c>
      <c r="O29">
        <f t="shared" si="6"/>
        <v>0</v>
      </c>
      <c r="P29">
        <f t="shared" si="7"/>
        <v>0</v>
      </c>
      <c r="Q29" s="43">
        <f t="shared" si="8"/>
        <v>261998.55960540308</v>
      </c>
      <c r="R29">
        <f t="shared" si="9"/>
        <v>0</v>
      </c>
      <c r="S29">
        <f t="shared" si="10"/>
        <v>0</v>
      </c>
      <c r="T29" s="43">
        <f t="shared" si="11"/>
        <v>261998.55960540308</v>
      </c>
      <c r="U29">
        <f t="shared" si="12"/>
        <v>0</v>
      </c>
      <c r="V29">
        <f t="shared" si="13"/>
        <v>0</v>
      </c>
      <c r="W29" s="43">
        <f t="shared" si="14"/>
        <v>261998.55960540308</v>
      </c>
      <c r="X29" s="43">
        <f t="shared" si="15"/>
        <v>0</v>
      </c>
      <c r="Y29" s="27">
        <f t="shared" si="16"/>
        <v>2057.7854358130339</v>
      </c>
      <c r="Z29" s="27">
        <f t="shared" si="17"/>
        <v>259940.77416959003</v>
      </c>
      <c r="AA29">
        <f t="shared" si="18"/>
        <v>0</v>
      </c>
      <c r="AB29" s="27">
        <f t="shared" si="19"/>
        <v>259940.77416959003</v>
      </c>
      <c r="AD29" s="27">
        <f t="shared" si="20"/>
        <v>0</v>
      </c>
      <c r="AE29" s="27">
        <f t="shared" si="21"/>
        <v>259940.77416959003</v>
      </c>
      <c r="AF29" s="50"/>
      <c r="AG29" t="str">
        <f t="shared" si="22"/>
        <v>5300960</v>
      </c>
    </row>
    <row r="30" spans="1:33" x14ac:dyDescent="0.25">
      <c r="A30" s="7" t="s">
        <v>104</v>
      </c>
      <c r="B30" s="2" t="s">
        <v>711</v>
      </c>
      <c r="C30" s="4" t="s">
        <v>710</v>
      </c>
      <c r="D30" s="30">
        <f>_xlfn.IFNA(VLOOKUP(A30,'Prior Year data'!$A$1:$V$318,13,FALSE),0)</f>
        <v>336469.73243120528</v>
      </c>
      <c r="E30">
        <f>VLOOKUP(A30,'Basic HH'!$B$1:$Y$318,23,FALSE)</f>
        <v>143352.32084568776</v>
      </c>
      <c r="F30">
        <f>VLOOKUP(A30,'Conc. HH'!$B$1:$Y$318,23,FALSE)</f>
        <v>0</v>
      </c>
      <c r="G30">
        <f>VLOOKUP(A30,'Targeted HH'!$B$1:$Y$318,23,FALSE)</f>
        <v>69327.486136928841</v>
      </c>
      <c r="H30">
        <f>VLOOKUP(A30,'EFIG HH'!$B$1:$Y$318,23,FALSE)</f>
        <v>93767.80532543805</v>
      </c>
      <c r="I30">
        <f t="shared" si="0"/>
        <v>306447.61230805464</v>
      </c>
      <c r="J30">
        <f t="shared" si="1"/>
        <v>0</v>
      </c>
      <c r="K30" s="43">
        <f t="shared" si="2"/>
        <v>306447.61230805464</v>
      </c>
      <c r="L30">
        <f t="shared" si="3"/>
        <v>0</v>
      </c>
      <c r="M30">
        <f t="shared" si="4"/>
        <v>0</v>
      </c>
      <c r="N30" s="43">
        <f t="shared" si="5"/>
        <v>306447.61230805464</v>
      </c>
      <c r="O30">
        <f t="shared" si="6"/>
        <v>0</v>
      </c>
      <c r="P30">
        <f t="shared" si="7"/>
        <v>0</v>
      </c>
      <c r="Q30" s="43">
        <f t="shared" si="8"/>
        <v>306447.61230805464</v>
      </c>
      <c r="R30">
        <f t="shared" si="9"/>
        <v>0</v>
      </c>
      <c r="S30">
        <f t="shared" si="10"/>
        <v>0</v>
      </c>
      <c r="T30" s="43">
        <f t="shared" si="11"/>
        <v>306447.61230805464</v>
      </c>
      <c r="U30">
        <f t="shared" si="12"/>
        <v>0</v>
      </c>
      <c r="V30">
        <f t="shared" si="13"/>
        <v>0</v>
      </c>
      <c r="W30" s="43">
        <f t="shared" si="14"/>
        <v>306447.61230805464</v>
      </c>
      <c r="X30" s="43">
        <f t="shared" si="15"/>
        <v>0</v>
      </c>
      <c r="Y30" s="27">
        <f t="shared" si="16"/>
        <v>2406.8965661374164</v>
      </c>
      <c r="Z30" s="27">
        <f t="shared" si="17"/>
        <v>304040.7157419172</v>
      </c>
      <c r="AA30">
        <f t="shared" si="18"/>
        <v>0</v>
      </c>
      <c r="AB30" s="27">
        <f t="shared" si="19"/>
        <v>304040.7157419172</v>
      </c>
      <c r="AD30" s="27">
        <f t="shared" si="20"/>
        <v>0</v>
      </c>
      <c r="AE30" s="27">
        <f t="shared" si="21"/>
        <v>304040.7157419172</v>
      </c>
      <c r="AF30" s="50"/>
      <c r="AG30" t="str">
        <f t="shared" si="22"/>
        <v>5300990</v>
      </c>
    </row>
    <row r="31" spans="1:33" x14ac:dyDescent="0.25">
      <c r="A31" s="7" t="s">
        <v>66</v>
      </c>
      <c r="B31" s="2" t="s">
        <v>712</v>
      </c>
      <c r="C31" s="4" t="s">
        <v>8</v>
      </c>
      <c r="D31" s="30">
        <f>_xlfn.IFNA(VLOOKUP(A31,'Prior Year data'!$A$1:$V$318,13,FALSE),0)</f>
        <v>134037.41335329381</v>
      </c>
      <c r="E31">
        <f>VLOOKUP(A31,'Basic HH'!$B$1:$Y$318,23,FALSE)</f>
        <v>68416.717462665838</v>
      </c>
      <c r="F31">
        <f>VLOOKUP(A31,'Conc. HH'!$B$1:$Y$318,23,FALSE)</f>
        <v>0</v>
      </c>
      <c r="G31">
        <f>VLOOKUP(A31,'Targeted HH'!$B$1:$Y$318,23,FALSE)</f>
        <v>37164.718422513419</v>
      </c>
      <c r="H31">
        <f>VLOOKUP(A31,'EFIG HH'!$B$1:$Y$318,23,FALSE)</f>
        <v>49316.643819968114</v>
      </c>
      <c r="I31">
        <f t="shared" si="0"/>
        <v>154898.07970514736</v>
      </c>
      <c r="J31">
        <f t="shared" si="1"/>
        <v>154898.07970514736</v>
      </c>
      <c r="K31" s="43">
        <f t="shared" si="2"/>
        <v>140124.58939700792</v>
      </c>
      <c r="L31">
        <f t="shared" si="3"/>
        <v>0</v>
      </c>
      <c r="M31">
        <f t="shared" si="4"/>
        <v>6087.1760437141056</v>
      </c>
      <c r="N31" s="43">
        <f t="shared" si="5"/>
        <v>137929.65567692422</v>
      </c>
      <c r="O31">
        <f t="shared" si="6"/>
        <v>0</v>
      </c>
      <c r="P31">
        <f t="shared" si="7"/>
        <v>3892.2423236304021</v>
      </c>
      <c r="Q31" s="43">
        <f t="shared" si="8"/>
        <v>137929.65567692422</v>
      </c>
      <c r="R31">
        <f t="shared" si="9"/>
        <v>0</v>
      </c>
      <c r="S31">
        <f t="shared" si="10"/>
        <v>3892.2423236304021</v>
      </c>
      <c r="T31" s="43">
        <f t="shared" si="11"/>
        <v>137929.65567692422</v>
      </c>
      <c r="U31">
        <f t="shared" si="12"/>
        <v>0</v>
      </c>
      <c r="V31">
        <f t="shared" si="13"/>
        <v>3892.2423236304021</v>
      </c>
      <c r="W31" s="43">
        <f t="shared" si="14"/>
        <v>137929.65567692422</v>
      </c>
      <c r="X31" s="43">
        <f t="shared" si="15"/>
        <v>16968.424028223148</v>
      </c>
      <c r="Y31" s="27">
        <f t="shared" si="16"/>
        <v>1083.3251795206738</v>
      </c>
      <c r="Z31" s="27">
        <f t="shared" si="17"/>
        <v>136846.33049740354</v>
      </c>
      <c r="AA31">
        <f t="shared" si="18"/>
        <v>0</v>
      </c>
      <c r="AB31" s="27">
        <f t="shared" si="19"/>
        <v>136846.33049740354</v>
      </c>
      <c r="AD31" s="27">
        <f t="shared" si="20"/>
        <v>0</v>
      </c>
      <c r="AE31" s="27">
        <f t="shared" si="21"/>
        <v>136846.33049740354</v>
      </c>
      <c r="AF31" s="50"/>
      <c r="AG31" t="str">
        <f t="shared" si="22"/>
        <v>5301000</v>
      </c>
    </row>
    <row r="32" spans="1:33" x14ac:dyDescent="0.25">
      <c r="A32" s="7" t="s">
        <v>333</v>
      </c>
      <c r="B32" s="2" t="s">
        <v>714</v>
      </c>
      <c r="C32" s="4" t="s">
        <v>713</v>
      </c>
      <c r="D32" s="30">
        <f>_xlfn.IFNA(VLOOKUP(A32,'Prior Year data'!$A$1:$V$318,13,FALSE),0)</f>
        <v>55785.823746759008</v>
      </c>
      <c r="E32">
        <f>VLOOKUP(A32,'Basic HH'!$B$1:$Y$318,23,FALSE)</f>
        <v>31660.63527880222</v>
      </c>
      <c r="F32">
        <f>VLOOKUP(A32,'Conc. HH'!$B$1:$Y$318,23,FALSE)</f>
        <v>8534.8801623378695</v>
      </c>
      <c r="G32">
        <f>VLOOKUP(A32,'Targeted HH'!$B$1:$Y$318,23,FALSE)</f>
        <v>29435.068317237252</v>
      </c>
      <c r="H32">
        <f>VLOOKUP(A32,'EFIG HH'!$B$1:$Y$318,23,FALSE)</f>
        <v>39059.59312040027</v>
      </c>
      <c r="I32">
        <f t="shared" si="0"/>
        <v>108690.17687877761</v>
      </c>
      <c r="J32">
        <f t="shared" si="1"/>
        <v>108690.17687877761</v>
      </c>
      <c r="K32" s="43">
        <f t="shared" si="2"/>
        <v>98323.79094445784</v>
      </c>
      <c r="L32">
        <f t="shared" si="3"/>
        <v>0</v>
      </c>
      <c r="M32">
        <f t="shared" si="4"/>
        <v>42537.967197698832</v>
      </c>
      <c r="N32" s="43">
        <f t="shared" si="5"/>
        <v>82985.312491471384</v>
      </c>
      <c r="O32">
        <f t="shared" si="6"/>
        <v>0</v>
      </c>
      <c r="P32">
        <f t="shared" si="7"/>
        <v>27199.488744712377</v>
      </c>
      <c r="Q32" s="43">
        <f t="shared" si="8"/>
        <v>82985.312491471384</v>
      </c>
      <c r="R32">
        <f t="shared" si="9"/>
        <v>0</v>
      </c>
      <c r="S32">
        <f t="shared" si="10"/>
        <v>27199.488744712377</v>
      </c>
      <c r="T32" s="43">
        <f t="shared" si="11"/>
        <v>82985.312491471384</v>
      </c>
      <c r="U32">
        <f t="shared" si="12"/>
        <v>0</v>
      </c>
      <c r="V32">
        <f t="shared" si="13"/>
        <v>27199.488744712377</v>
      </c>
      <c r="W32" s="43">
        <f t="shared" si="14"/>
        <v>82985.312491471384</v>
      </c>
      <c r="X32" s="43">
        <f t="shared" si="15"/>
        <v>25704.864387306225</v>
      </c>
      <c r="Y32" s="27">
        <f t="shared" si="16"/>
        <v>651.78208494174339</v>
      </c>
      <c r="Z32" s="27">
        <f t="shared" si="17"/>
        <v>82333.530406529637</v>
      </c>
      <c r="AA32">
        <f t="shared" si="18"/>
        <v>0</v>
      </c>
      <c r="AB32" s="27">
        <f t="shared" si="19"/>
        <v>82333.530406529637</v>
      </c>
      <c r="AD32" s="27">
        <f t="shared" si="20"/>
        <v>0</v>
      </c>
      <c r="AE32" s="27">
        <f t="shared" si="21"/>
        <v>82333.530406529637</v>
      </c>
      <c r="AF32" s="50"/>
      <c r="AG32" t="str">
        <f t="shared" si="22"/>
        <v>5301050</v>
      </c>
    </row>
    <row r="33" spans="1:33" x14ac:dyDescent="0.25">
      <c r="A33" s="7" t="s">
        <v>106</v>
      </c>
      <c r="B33" s="2" t="s">
        <v>716</v>
      </c>
      <c r="C33" s="4" t="s">
        <v>715</v>
      </c>
      <c r="D33" s="30">
        <f>_xlfn.IFNA(VLOOKUP(A33,'Prior Year data'!$A$1:$V$318,13,FALSE),0)</f>
        <v>1497186.8959480263</v>
      </c>
      <c r="E33">
        <f>VLOOKUP(A33,'Basic HH'!$B$1:$Y$318,23,FALSE)</f>
        <v>728194.61141245125</v>
      </c>
      <c r="F33">
        <f>VLOOKUP(A33,'Conc. HH'!$B$1:$Y$318,23,FALSE)</f>
        <v>0</v>
      </c>
      <c r="G33">
        <f>VLOOKUP(A33,'Targeted HH'!$B$1:$Y$318,23,FALSE)</f>
        <v>381301.17375310877</v>
      </c>
      <c r="H33">
        <f>VLOOKUP(A33,'EFIG HH'!$B$1:$Y$318,23,FALSE)</f>
        <v>505977.03876929008</v>
      </c>
      <c r="I33">
        <f t="shared" si="0"/>
        <v>1615472.8239348501</v>
      </c>
      <c r="J33">
        <f t="shared" si="1"/>
        <v>1615472.8239348501</v>
      </c>
      <c r="K33" s="43">
        <f t="shared" si="2"/>
        <v>1461396.2068916042</v>
      </c>
      <c r="L33">
        <f t="shared" si="3"/>
        <v>35790.689056422096</v>
      </c>
      <c r="M33">
        <f t="shared" si="4"/>
        <v>0</v>
      </c>
      <c r="N33" s="43">
        <f t="shared" si="5"/>
        <v>1497186.8959480263</v>
      </c>
      <c r="O33">
        <f t="shared" si="6"/>
        <v>0</v>
      </c>
      <c r="P33">
        <f t="shared" si="7"/>
        <v>0</v>
      </c>
      <c r="Q33" s="43">
        <f t="shared" si="8"/>
        <v>1497186.8959480263</v>
      </c>
      <c r="R33">
        <f t="shared" si="9"/>
        <v>0</v>
      </c>
      <c r="S33">
        <f t="shared" si="10"/>
        <v>0</v>
      </c>
      <c r="T33" s="43">
        <f t="shared" si="11"/>
        <v>1497186.8959480263</v>
      </c>
      <c r="U33">
        <f t="shared" si="12"/>
        <v>0</v>
      </c>
      <c r="V33">
        <f t="shared" si="13"/>
        <v>0</v>
      </c>
      <c r="W33" s="43">
        <f t="shared" si="14"/>
        <v>1497186.8959480263</v>
      </c>
      <c r="X33" s="43">
        <f t="shared" si="15"/>
        <v>118285.92798682372</v>
      </c>
      <c r="Y33" s="27">
        <f t="shared" si="16"/>
        <v>11759.184454342463</v>
      </c>
      <c r="Z33" s="27">
        <f t="shared" si="17"/>
        <v>1485427.711493684</v>
      </c>
      <c r="AA33">
        <f t="shared" si="18"/>
        <v>0</v>
      </c>
      <c r="AB33" s="27">
        <f t="shared" si="19"/>
        <v>1485427.711493684</v>
      </c>
      <c r="AD33" s="27">
        <f t="shared" si="20"/>
        <v>0</v>
      </c>
      <c r="AE33" s="27">
        <f t="shared" si="21"/>
        <v>1485427.711493684</v>
      </c>
      <c r="AF33" s="50"/>
      <c r="AG33" t="str">
        <f t="shared" si="22"/>
        <v>5301080</v>
      </c>
    </row>
    <row r="34" spans="1:33" x14ac:dyDescent="0.25">
      <c r="A34" s="7" t="s">
        <v>265</v>
      </c>
      <c r="B34" s="2" t="s">
        <v>718</v>
      </c>
      <c r="C34" s="4" t="s">
        <v>717</v>
      </c>
      <c r="D34" s="30">
        <f>_xlfn.IFNA(VLOOKUP(A34,'Prior Year data'!$A$1:$V$318,13,FALSE),0)</f>
        <v>3351081.7884478602</v>
      </c>
      <c r="E34">
        <f>VLOOKUP(A34,'Basic HH'!$B$1:$Y$318,23,FALSE)</f>
        <v>1151830.8416834858</v>
      </c>
      <c r="F34">
        <f>VLOOKUP(A34,'Conc. HH'!$B$1:$Y$318,23,FALSE)</f>
        <v>0</v>
      </c>
      <c r="G34">
        <f>VLOOKUP(A34,'Targeted HH'!$B$1:$Y$318,23,FALSE)</f>
        <v>723755.09242788621</v>
      </c>
      <c r="H34">
        <f>VLOOKUP(A34,'EFIG HH'!$B$1:$Y$318,23,FALSE)</f>
        <v>994814.43594527734</v>
      </c>
      <c r="I34">
        <f t="shared" si="0"/>
        <v>2870400.3700566497</v>
      </c>
      <c r="J34">
        <f t="shared" si="1"/>
        <v>0</v>
      </c>
      <c r="K34" s="43">
        <f t="shared" si="2"/>
        <v>2870400.3700566497</v>
      </c>
      <c r="L34">
        <f t="shared" si="3"/>
        <v>0</v>
      </c>
      <c r="M34">
        <f t="shared" si="4"/>
        <v>0</v>
      </c>
      <c r="N34" s="43">
        <f t="shared" si="5"/>
        <v>2870400.3700566497</v>
      </c>
      <c r="O34">
        <f t="shared" si="6"/>
        <v>0</v>
      </c>
      <c r="P34">
        <f t="shared" si="7"/>
        <v>0</v>
      </c>
      <c r="Q34" s="43">
        <f t="shared" si="8"/>
        <v>2870400.3700566497</v>
      </c>
      <c r="R34">
        <f t="shared" si="9"/>
        <v>0</v>
      </c>
      <c r="S34">
        <f t="shared" si="10"/>
        <v>0</v>
      </c>
      <c r="T34" s="43">
        <f t="shared" si="11"/>
        <v>2870400.3700566497</v>
      </c>
      <c r="U34">
        <f t="shared" si="12"/>
        <v>0</v>
      </c>
      <c r="V34">
        <f t="shared" si="13"/>
        <v>0</v>
      </c>
      <c r="W34" s="43">
        <f t="shared" si="14"/>
        <v>2870400.3700566497</v>
      </c>
      <c r="X34" s="43">
        <f t="shared" si="15"/>
        <v>0</v>
      </c>
      <c r="Y34" s="27">
        <f t="shared" si="16"/>
        <v>22544.65858648601</v>
      </c>
      <c r="Z34" s="27">
        <f t="shared" si="17"/>
        <v>2847855.7114701634</v>
      </c>
      <c r="AA34">
        <f t="shared" si="18"/>
        <v>0</v>
      </c>
      <c r="AB34" s="27">
        <f t="shared" si="19"/>
        <v>2847855.7114701634</v>
      </c>
      <c r="AD34" s="27">
        <f t="shared" si="20"/>
        <v>0</v>
      </c>
      <c r="AE34" s="27">
        <f t="shared" si="21"/>
        <v>2847855.7114701634</v>
      </c>
      <c r="AF34" s="50"/>
      <c r="AG34" t="str">
        <f t="shared" si="22"/>
        <v>5301110</v>
      </c>
    </row>
    <row r="35" spans="1:33" x14ac:dyDescent="0.25">
      <c r="A35" s="7" t="s">
        <v>335</v>
      </c>
      <c r="B35" s="2" t="s">
        <v>720</v>
      </c>
      <c r="C35" s="4" t="s">
        <v>719</v>
      </c>
      <c r="D35" s="30">
        <f>_xlfn.IFNA(VLOOKUP(A35,'Prior Year data'!$A$1:$V$318,13,FALSE),0)</f>
        <v>1710829.7457688358</v>
      </c>
      <c r="E35">
        <f>VLOOKUP(A35,'Basic HH'!$B$1:$Y$318,23,FALSE)</f>
        <v>687739.35522287048</v>
      </c>
      <c r="F35">
        <f>VLOOKUP(A35,'Conc. HH'!$B$1:$Y$318,23,FALSE)</f>
        <v>185396.56352633919</v>
      </c>
      <c r="G35">
        <f>VLOOKUP(A35,'Targeted HH'!$B$1:$Y$318,23,FALSE)</f>
        <v>376373.19986345404</v>
      </c>
      <c r="H35">
        <f>VLOOKUP(A35,'EFIG HH'!$B$1:$Y$318,23,FALSE)</f>
        <v>510515.4450190026</v>
      </c>
      <c r="I35">
        <f t="shared" si="0"/>
        <v>1760024.5636316664</v>
      </c>
      <c r="J35">
        <f t="shared" si="1"/>
        <v>1760024.5636316664</v>
      </c>
      <c r="K35" s="43">
        <f t="shared" si="2"/>
        <v>1592161.2441999812</v>
      </c>
      <c r="L35">
        <f t="shared" si="3"/>
        <v>118668.50156885455</v>
      </c>
      <c r="M35">
        <f t="shared" si="4"/>
        <v>0</v>
      </c>
      <c r="N35" s="43">
        <f t="shared" si="5"/>
        <v>1710829.7457688358</v>
      </c>
      <c r="O35">
        <f t="shared" si="6"/>
        <v>0</v>
      </c>
      <c r="P35">
        <f t="shared" si="7"/>
        <v>0</v>
      </c>
      <c r="Q35" s="43">
        <f t="shared" si="8"/>
        <v>1710829.7457688358</v>
      </c>
      <c r="R35">
        <f t="shared" si="9"/>
        <v>0</v>
      </c>
      <c r="S35">
        <f t="shared" si="10"/>
        <v>0</v>
      </c>
      <c r="T35" s="43">
        <f t="shared" si="11"/>
        <v>1710829.7457688358</v>
      </c>
      <c r="U35">
        <f t="shared" si="12"/>
        <v>0</v>
      </c>
      <c r="V35">
        <f t="shared" si="13"/>
        <v>0</v>
      </c>
      <c r="W35" s="43">
        <f t="shared" si="14"/>
        <v>1710829.7457688358</v>
      </c>
      <c r="X35" s="43">
        <f t="shared" si="15"/>
        <v>49194.81786283059</v>
      </c>
      <c r="Y35" s="27">
        <f t="shared" si="16"/>
        <v>13437.17514821873</v>
      </c>
      <c r="Z35" s="27">
        <f t="shared" si="17"/>
        <v>1697392.5706206171</v>
      </c>
      <c r="AA35">
        <f t="shared" si="18"/>
        <v>0</v>
      </c>
      <c r="AB35" s="27">
        <f t="shared" si="19"/>
        <v>1697392.5706206171</v>
      </c>
      <c r="AD35" s="27">
        <f t="shared" si="20"/>
        <v>0</v>
      </c>
      <c r="AE35" s="27">
        <f t="shared" si="21"/>
        <v>1697392.5706206171</v>
      </c>
      <c r="AF35" s="50"/>
      <c r="AG35" t="str">
        <f t="shared" si="22"/>
        <v>5301140</v>
      </c>
    </row>
    <row r="36" spans="1:33" x14ac:dyDescent="0.25">
      <c r="A36" s="7" t="s">
        <v>337</v>
      </c>
      <c r="B36" s="2" t="s">
        <v>722</v>
      </c>
      <c r="C36" s="4" t="s">
        <v>721</v>
      </c>
      <c r="D36" s="30">
        <f>_xlfn.IFNA(VLOOKUP(A36,'Prior Year data'!$A$1:$V$318,13,FALSE),0)</f>
        <v>651163.71709111787</v>
      </c>
      <c r="E36">
        <f>VLOOKUP(A36,'Basic HH'!$B$1:$Y$318,23,FALSE)</f>
        <v>296196.28634071781</v>
      </c>
      <c r="F36">
        <f>VLOOKUP(A36,'Conc. HH'!$B$1:$Y$318,23,FALSE)</f>
        <v>0</v>
      </c>
      <c r="G36">
        <f>VLOOKUP(A36,'Targeted HH'!$B$1:$Y$318,23,FALSE)</f>
        <v>142884.82832359808</v>
      </c>
      <c r="H36">
        <f>VLOOKUP(A36,'EFIG HH'!$B$1:$Y$318,23,FALSE)</f>
        <v>193819.0202860859</v>
      </c>
      <c r="I36">
        <f t="shared" si="0"/>
        <v>632900.13495040173</v>
      </c>
      <c r="J36">
        <f t="shared" si="1"/>
        <v>0</v>
      </c>
      <c r="K36" s="43">
        <f t="shared" si="2"/>
        <v>632900.13495040173</v>
      </c>
      <c r="L36">
        <f t="shared" si="3"/>
        <v>0</v>
      </c>
      <c r="M36">
        <f t="shared" si="4"/>
        <v>0</v>
      </c>
      <c r="N36" s="43">
        <f t="shared" si="5"/>
        <v>632900.13495040173</v>
      </c>
      <c r="O36">
        <f t="shared" si="6"/>
        <v>0</v>
      </c>
      <c r="P36">
        <f t="shared" si="7"/>
        <v>0</v>
      </c>
      <c r="Q36" s="43">
        <f t="shared" si="8"/>
        <v>632900.13495040173</v>
      </c>
      <c r="R36">
        <f t="shared" si="9"/>
        <v>0</v>
      </c>
      <c r="S36">
        <f t="shared" si="10"/>
        <v>0</v>
      </c>
      <c r="T36" s="43">
        <f t="shared" si="11"/>
        <v>632900.13495040173</v>
      </c>
      <c r="U36">
        <f t="shared" si="12"/>
        <v>0</v>
      </c>
      <c r="V36">
        <f t="shared" si="13"/>
        <v>0</v>
      </c>
      <c r="W36" s="43">
        <f t="shared" si="14"/>
        <v>632900.13495040173</v>
      </c>
      <c r="X36" s="43">
        <f t="shared" si="15"/>
        <v>0</v>
      </c>
      <c r="Y36" s="27">
        <f t="shared" si="16"/>
        <v>4970.9154202471509</v>
      </c>
      <c r="Z36" s="27">
        <f t="shared" si="17"/>
        <v>627929.2195301546</v>
      </c>
      <c r="AA36">
        <f t="shared" si="18"/>
        <v>0</v>
      </c>
      <c r="AB36" s="27">
        <f t="shared" si="19"/>
        <v>627929.2195301546</v>
      </c>
      <c r="AD36" s="27">
        <f t="shared" si="20"/>
        <v>0</v>
      </c>
      <c r="AE36" s="27">
        <f t="shared" si="21"/>
        <v>627929.2195301546</v>
      </c>
      <c r="AF36" s="50"/>
      <c r="AG36" t="str">
        <f t="shared" si="22"/>
        <v>5301170</v>
      </c>
    </row>
    <row r="37" spans="1:33" x14ac:dyDescent="0.25">
      <c r="A37" s="7" t="s">
        <v>267</v>
      </c>
      <c r="B37" s="2" t="s">
        <v>724</v>
      </c>
      <c r="C37" s="4" t="s">
        <v>723</v>
      </c>
      <c r="D37" s="30">
        <f>_xlfn.IFNA(VLOOKUP(A37,'Prior Year data'!$A$1:$V$318,13,FALSE),0)</f>
        <v>1434052.8184015576</v>
      </c>
      <c r="E37">
        <f>VLOOKUP(A37,'Basic HH'!$B$1:$Y$318,23,FALSE)</f>
        <v>544524.45618712006</v>
      </c>
      <c r="F37">
        <f>VLOOKUP(A37,'Conc. HH'!$B$1:$Y$318,23,FALSE)</f>
        <v>0</v>
      </c>
      <c r="G37">
        <f>VLOOKUP(A37,'Targeted HH'!$B$1:$Y$318,23,FALSE)</f>
        <v>287985.54109137534</v>
      </c>
      <c r="H37">
        <f>VLOOKUP(A37,'EFIG HH'!$B$1:$Y$318,23,FALSE)</f>
        <v>395841.32342358306</v>
      </c>
      <c r="I37">
        <f t="shared" si="0"/>
        <v>1228351.3207020785</v>
      </c>
      <c r="J37">
        <f t="shared" si="1"/>
        <v>0</v>
      </c>
      <c r="K37" s="43">
        <f t="shared" si="2"/>
        <v>1228351.3207020785</v>
      </c>
      <c r="L37">
        <f t="shared" si="3"/>
        <v>0</v>
      </c>
      <c r="M37">
        <f t="shared" si="4"/>
        <v>0</v>
      </c>
      <c r="N37" s="43">
        <f t="shared" si="5"/>
        <v>1228351.3207020785</v>
      </c>
      <c r="O37">
        <f t="shared" si="6"/>
        <v>0</v>
      </c>
      <c r="P37">
        <f t="shared" si="7"/>
        <v>0</v>
      </c>
      <c r="Q37" s="43">
        <f t="shared" si="8"/>
        <v>1228351.3207020785</v>
      </c>
      <c r="R37">
        <f t="shared" si="9"/>
        <v>0</v>
      </c>
      <c r="S37">
        <f t="shared" si="10"/>
        <v>0</v>
      </c>
      <c r="T37" s="43">
        <f t="shared" si="11"/>
        <v>1228351.3207020785</v>
      </c>
      <c r="U37">
        <f t="shared" si="12"/>
        <v>0</v>
      </c>
      <c r="V37">
        <f t="shared" si="13"/>
        <v>0</v>
      </c>
      <c r="W37" s="43">
        <f t="shared" si="14"/>
        <v>1228351.3207020785</v>
      </c>
      <c r="X37" s="43">
        <f t="shared" si="15"/>
        <v>0</v>
      </c>
      <c r="Y37" s="27">
        <f t="shared" si="16"/>
        <v>9647.6998255616181</v>
      </c>
      <c r="Z37" s="27">
        <f t="shared" si="17"/>
        <v>1218703.6208765169</v>
      </c>
      <c r="AA37">
        <f t="shared" si="18"/>
        <v>0</v>
      </c>
      <c r="AB37" s="27">
        <f t="shared" si="19"/>
        <v>1218703.6208765169</v>
      </c>
      <c r="AD37" s="27">
        <f t="shared" si="20"/>
        <v>0</v>
      </c>
      <c r="AE37" s="27">
        <f t="shared" si="21"/>
        <v>1218703.6208765169</v>
      </c>
      <c r="AF37" s="50"/>
      <c r="AG37" t="str">
        <f t="shared" si="22"/>
        <v>5301230</v>
      </c>
    </row>
    <row r="38" spans="1:33" x14ac:dyDescent="0.25">
      <c r="A38" s="7" t="s">
        <v>339</v>
      </c>
      <c r="B38" s="2" t="s">
        <v>726</v>
      </c>
      <c r="C38" s="4" t="s">
        <v>725</v>
      </c>
      <c r="D38" s="30">
        <f>_xlfn.IFNA(VLOOKUP(A38,'Prior Year data'!$A$1:$V$318,13,FALSE),0)</f>
        <v>355467.98921055213</v>
      </c>
      <c r="E38">
        <f>VLOOKUP(A38,'Basic HH'!$B$1:$Y$318,23,FALSE)</f>
        <v>119031.21374878092</v>
      </c>
      <c r="F38">
        <f>VLOOKUP(A38,'Conc. HH'!$B$1:$Y$318,23,FALSE)</f>
        <v>30404.773380093204</v>
      </c>
      <c r="G38">
        <f>VLOOKUP(A38,'Targeted HH'!$B$1:$Y$318,23,FALSE)</f>
        <v>66895.611409865378</v>
      </c>
      <c r="H38">
        <f>VLOOKUP(A38,'EFIG HH'!$B$1:$Y$318,23,FALSE)</f>
        <v>88147.823984056173</v>
      </c>
      <c r="I38">
        <f t="shared" si="0"/>
        <v>304479.42252279568</v>
      </c>
      <c r="J38">
        <f t="shared" si="1"/>
        <v>0</v>
      </c>
      <c r="K38" s="43">
        <f t="shared" si="2"/>
        <v>304479.42252279568</v>
      </c>
      <c r="L38">
        <f t="shared" si="3"/>
        <v>0</v>
      </c>
      <c r="M38">
        <f t="shared" si="4"/>
        <v>0</v>
      </c>
      <c r="N38" s="43">
        <f t="shared" si="5"/>
        <v>304479.42252279568</v>
      </c>
      <c r="O38">
        <f t="shared" si="6"/>
        <v>0</v>
      </c>
      <c r="P38">
        <f t="shared" si="7"/>
        <v>0</v>
      </c>
      <c r="Q38" s="43">
        <f t="shared" si="8"/>
        <v>304479.42252279568</v>
      </c>
      <c r="R38">
        <f t="shared" si="9"/>
        <v>0</v>
      </c>
      <c r="S38">
        <f t="shared" si="10"/>
        <v>0</v>
      </c>
      <c r="T38" s="43">
        <f t="shared" si="11"/>
        <v>304479.42252279568</v>
      </c>
      <c r="U38">
        <f t="shared" si="12"/>
        <v>0</v>
      </c>
      <c r="V38">
        <f t="shared" si="13"/>
        <v>0</v>
      </c>
      <c r="W38" s="43">
        <f t="shared" si="14"/>
        <v>304479.42252279568</v>
      </c>
      <c r="X38" s="43">
        <f t="shared" si="15"/>
        <v>0</v>
      </c>
      <c r="Y38" s="27">
        <f t="shared" si="16"/>
        <v>2391.4380373534345</v>
      </c>
      <c r="Z38" s="27">
        <f t="shared" si="17"/>
        <v>302087.98448544223</v>
      </c>
      <c r="AA38">
        <f t="shared" si="18"/>
        <v>0</v>
      </c>
      <c r="AB38" s="27">
        <f t="shared" si="19"/>
        <v>302087.98448544223</v>
      </c>
      <c r="AD38" s="27">
        <f t="shared" si="20"/>
        <v>0</v>
      </c>
      <c r="AE38" s="27">
        <f t="shared" si="21"/>
        <v>302087.98448544223</v>
      </c>
      <c r="AF38" s="50"/>
      <c r="AG38" t="str">
        <f t="shared" si="22"/>
        <v>5301260</v>
      </c>
    </row>
    <row r="39" spans="1:33" x14ac:dyDescent="0.25">
      <c r="A39" s="7" t="s">
        <v>108</v>
      </c>
      <c r="B39" s="2" t="s">
        <v>728</v>
      </c>
      <c r="C39" s="4" t="s">
        <v>727</v>
      </c>
      <c r="D39" s="30">
        <f>_xlfn.IFNA(VLOOKUP(A39,'Prior Year data'!$A$1:$V$318,13,FALSE),0)</f>
        <v>326260.13994110277</v>
      </c>
      <c r="E39">
        <f>VLOOKUP(A39,'Basic HH'!$B$1:$Y$318,23,FALSE)</f>
        <v>162700.48684940024</v>
      </c>
      <c r="F39">
        <f>VLOOKUP(A39,'Conc. HH'!$B$1:$Y$318,23,FALSE)</f>
        <v>43859.800834236259</v>
      </c>
      <c r="G39">
        <f>VLOOKUP(A39,'Targeted HH'!$B$1:$Y$318,23,FALSE)</f>
        <v>81836.461374835359</v>
      </c>
      <c r="H39">
        <f>VLOOKUP(A39,'EFIG HH'!$B$1:$Y$318,23,FALSE)</f>
        <v>108594.91981686825</v>
      </c>
      <c r="I39">
        <f t="shared" si="0"/>
        <v>396991.66887534014</v>
      </c>
      <c r="J39">
        <f t="shared" si="1"/>
        <v>396991.66887534014</v>
      </c>
      <c r="K39" s="43">
        <f t="shared" si="2"/>
        <v>359128.36815717735</v>
      </c>
      <c r="L39">
        <f t="shared" si="3"/>
        <v>0</v>
      </c>
      <c r="M39">
        <f t="shared" si="4"/>
        <v>32868.228216074582</v>
      </c>
      <c r="N39" s="43">
        <f t="shared" si="5"/>
        <v>347276.63561111968</v>
      </c>
      <c r="O39">
        <f t="shared" si="6"/>
        <v>0</v>
      </c>
      <c r="P39">
        <f t="shared" si="7"/>
        <v>21016.495670016913</v>
      </c>
      <c r="Q39" s="43">
        <f t="shared" si="8"/>
        <v>347276.63561111968</v>
      </c>
      <c r="R39">
        <f t="shared" si="9"/>
        <v>0</v>
      </c>
      <c r="S39">
        <f t="shared" si="10"/>
        <v>21016.495670016913</v>
      </c>
      <c r="T39" s="43">
        <f t="shared" si="11"/>
        <v>347276.63561111968</v>
      </c>
      <c r="U39">
        <f t="shared" si="12"/>
        <v>0</v>
      </c>
      <c r="V39">
        <f t="shared" si="13"/>
        <v>21016.495670016913</v>
      </c>
      <c r="W39" s="43">
        <f t="shared" si="14"/>
        <v>347276.63561111968</v>
      </c>
      <c r="X39" s="43">
        <f t="shared" si="15"/>
        <v>49715.033264220459</v>
      </c>
      <c r="Y39" s="27">
        <f t="shared" si="16"/>
        <v>2727.5753119979167</v>
      </c>
      <c r="Z39" s="27">
        <f t="shared" si="17"/>
        <v>344549.06029912177</v>
      </c>
      <c r="AA39">
        <f t="shared" si="18"/>
        <v>0</v>
      </c>
      <c r="AB39" s="27">
        <f t="shared" si="19"/>
        <v>344549.06029912177</v>
      </c>
      <c r="AD39" s="27">
        <f t="shared" si="20"/>
        <v>0</v>
      </c>
      <c r="AE39" s="27">
        <f t="shared" si="21"/>
        <v>344549.06029912177</v>
      </c>
      <c r="AF39" s="50"/>
      <c r="AG39" t="str">
        <f t="shared" si="22"/>
        <v>5301290</v>
      </c>
    </row>
    <row r="40" spans="1:33" x14ac:dyDescent="0.25">
      <c r="A40" s="7" t="s">
        <v>341</v>
      </c>
      <c r="B40" s="2" t="s">
        <v>730</v>
      </c>
      <c r="C40" s="4" t="s">
        <v>729</v>
      </c>
      <c r="D40" s="30">
        <f>_xlfn.IFNA(VLOOKUP(A40,'Prior Year data'!$A$1:$V$318,13,FALSE),0)</f>
        <v>1189907.2401241167</v>
      </c>
      <c r="E40">
        <f>VLOOKUP(A40,'Basic HH'!$B$1:$Y$318,23,FALSE)</f>
        <v>440610.5076299975</v>
      </c>
      <c r="F40">
        <f>VLOOKUP(A40,'Conc. HH'!$B$1:$Y$318,23,FALSE)</f>
        <v>118777.08225920197</v>
      </c>
      <c r="G40">
        <f>VLOOKUP(A40,'Targeted HH'!$B$1:$Y$318,23,FALSE)</f>
        <v>244656.99022583445</v>
      </c>
      <c r="H40">
        <f>VLOOKUP(A40,'EFIG HH'!$B$1:$Y$318,23,FALSE)</f>
        <v>336285.44832081249</v>
      </c>
      <c r="I40">
        <f t="shared" si="0"/>
        <v>1140330.0284358463</v>
      </c>
      <c r="J40">
        <f t="shared" si="1"/>
        <v>0</v>
      </c>
      <c r="K40" s="43">
        <f t="shared" si="2"/>
        <v>1140330.0284358463</v>
      </c>
      <c r="L40">
        <f t="shared" si="3"/>
        <v>0</v>
      </c>
      <c r="M40">
        <f t="shared" si="4"/>
        <v>0</v>
      </c>
      <c r="N40" s="43">
        <f t="shared" si="5"/>
        <v>1140330.0284358463</v>
      </c>
      <c r="O40">
        <f t="shared" si="6"/>
        <v>0</v>
      </c>
      <c r="P40">
        <f t="shared" si="7"/>
        <v>0</v>
      </c>
      <c r="Q40" s="43">
        <f t="shared" si="8"/>
        <v>1140330.0284358463</v>
      </c>
      <c r="R40">
        <f t="shared" si="9"/>
        <v>0</v>
      </c>
      <c r="S40">
        <f t="shared" si="10"/>
        <v>0</v>
      </c>
      <c r="T40" s="43">
        <f t="shared" si="11"/>
        <v>1140330.0284358463</v>
      </c>
      <c r="U40">
        <f t="shared" si="12"/>
        <v>0</v>
      </c>
      <c r="V40">
        <f t="shared" si="13"/>
        <v>0</v>
      </c>
      <c r="W40" s="43">
        <f t="shared" si="14"/>
        <v>1140330.0284358463</v>
      </c>
      <c r="X40" s="43">
        <f t="shared" si="15"/>
        <v>0</v>
      </c>
      <c r="Y40" s="27">
        <f t="shared" si="16"/>
        <v>8956.3642184510536</v>
      </c>
      <c r="Z40" s="27">
        <f t="shared" si="17"/>
        <v>1131373.6642173952</v>
      </c>
      <c r="AA40">
        <f t="shared" si="18"/>
        <v>0</v>
      </c>
      <c r="AB40" s="27">
        <f t="shared" si="19"/>
        <v>1131373.6642173952</v>
      </c>
      <c r="AD40" s="27">
        <f t="shared" si="20"/>
        <v>0</v>
      </c>
      <c r="AE40" s="27">
        <f t="shared" si="21"/>
        <v>1131373.6642173952</v>
      </c>
      <c r="AF40" s="50"/>
      <c r="AG40" t="str">
        <f t="shared" si="22"/>
        <v>5301320</v>
      </c>
    </row>
    <row r="41" spans="1:33" x14ac:dyDescent="0.25">
      <c r="A41" s="7" t="s">
        <v>343</v>
      </c>
      <c r="B41" s="2" t="s">
        <v>732</v>
      </c>
      <c r="C41" s="4" t="s">
        <v>731</v>
      </c>
      <c r="D41" s="30">
        <f>_xlfn.IFNA(VLOOKUP(A41,'Prior Year data'!$A$1:$V$318,13,FALSE),0)</f>
        <v>285991.19849804969</v>
      </c>
      <c r="E41">
        <f>VLOOKUP(A41,'Basic HH'!$B$1:$Y$318,23,FALSE)</f>
        <v>116705.76868287634</v>
      </c>
      <c r="F41">
        <f>VLOOKUP(A41,'Conc. HH'!$B$1:$Y$318,23,FALSE)</f>
        <v>0</v>
      </c>
      <c r="G41">
        <f>VLOOKUP(A41,'Targeted HH'!$B$1:$Y$318,23,FALSE)</f>
        <v>56298.760287103447</v>
      </c>
      <c r="H41">
        <f>VLOOKUP(A41,'EFIG HH'!$B$1:$Y$318,23,FALSE)</f>
        <v>76367.594027934101</v>
      </c>
      <c r="I41">
        <f t="shared" si="0"/>
        <v>249372.12299791389</v>
      </c>
      <c r="J41">
        <f t="shared" si="1"/>
        <v>0</v>
      </c>
      <c r="K41" s="43">
        <f t="shared" si="2"/>
        <v>249372.12299791389</v>
      </c>
      <c r="L41">
        <f t="shared" si="3"/>
        <v>0</v>
      </c>
      <c r="M41">
        <f t="shared" si="4"/>
        <v>0</v>
      </c>
      <c r="N41" s="43">
        <f t="shared" si="5"/>
        <v>249372.12299791389</v>
      </c>
      <c r="O41">
        <f t="shared" si="6"/>
        <v>0</v>
      </c>
      <c r="P41">
        <f t="shared" si="7"/>
        <v>0</v>
      </c>
      <c r="Q41" s="43">
        <f t="shared" si="8"/>
        <v>249372.12299791389</v>
      </c>
      <c r="R41">
        <f t="shared" si="9"/>
        <v>0</v>
      </c>
      <c r="S41">
        <f t="shared" si="10"/>
        <v>0</v>
      </c>
      <c r="T41" s="43">
        <f t="shared" si="11"/>
        <v>249372.12299791389</v>
      </c>
      <c r="U41">
        <f t="shared" si="12"/>
        <v>0</v>
      </c>
      <c r="V41">
        <f t="shared" si="13"/>
        <v>0</v>
      </c>
      <c r="W41" s="43">
        <f t="shared" si="14"/>
        <v>249372.12299791389</v>
      </c>
      <c r="X41" s="43">
        <f t="shared" si="15"/>
        <v>0</v>
      </c>
      <c r="Y41" s="27">
        <f t="shared" si="16"/>
        <v>1958.615053364214</v>
      </c>
      <c r="Z41" s="27">
        <f t="shared" si="17"/>
        <v>247413.50794454967</v>
      </c>
      <c r="AA41">
        <f t="shared" si="18"/>
        <v>0</v>
      </c>
      <c r="AB41" s="27">
        <f t="shared" si="19"/>
        <v>247413.50794454967</v>
      </c>
      <c r="AD41" s="27">
        <f t="shared" si="20"/>
        <v>0</v>
      </c>
      <c r="AE41" s="27">
        <f t="shared" si="21"/>
        <v>247413.50794454967</v>
      </c>
      <c r="AF41" s="50"/>
      <c r="AG41" t="str">
        <f t="shared" si="22"/>
        <v>5301350</v>
      </c>
    </row>
    <row r="42" spans="1:33" x14ac:dyDescent="0.25">
      <c r="A42" s="7" t="s">
        <v>345</v>
      </c>
      <c r="B42" s="2" t="s">
        <v>734</v>
      </c>
      <c r="C42" s="4" t="s">
        <v>733</v>
      </c>
      <c r="D42" s="30">
        <f>_xlfn.IFNA(VLOOKUP(A42,'Prior Year data'!$A$1:$V$318,13,FALSE),0)</f>
        <v>4523113.6094016926</v>
      </c>
      <c r="E42">
        <f>VLOOKUP(A42,'Basic HH'!$B$1:$Y$318,23,FALSE)</f>
        <v>1807294.5971649603</v>
      </c>
      <c r="F42">
        <f>VLOOKUP(A42,'Conc. HH'!$B$1:$Y$318,23,FALSE)</f>
        <v>416128.07488833432</v>
      </c>
      <c r="G42">
        <f>VLOOKUP(A42,'Targeted HH'!$B$1:$Y$318,23,FALSE)</f>
        <v>1164106.316299228</v>
      </c>
      <c r="H42">
        <f>VLOOKUP(A42,'EFIG HH'!$B$1:$Y$318,23,FALSE)</f>
        <v>1544739.7156849382</v>
      </c>
      <c r="I42">
        <f t="shared" si="0"/>
        <v>4932268.7040374614</v>
      </c>
      <c r="J42">
        <f t="shared" si="1"/>
        <v>4932268.7040374614</v>
      </c>
      <c r="K42" s="43">
        <f t="shared" si="2"/>
        <v>4461850.8393683778</v>
      </c>
      <c r="L42">
        <f t="shared" si="3"/>
        <v>61262.770033314824</v>
      </c>
      <c r="M42">
        <f t="shared" si="4"/>
        <v>0</v>
      </c>
      <c r="N42" s="43">
        <f t="shared" si="5"/>
        <v>4523113.6094016926</v>
      </c>
      <c r="O42">
        <f t="shared" si="6"/>
        <v>0</v>
      </c>
      <c r="P42">
        <f t="shared" si="7"/>
        <v>0</v>
      </c>
      <c r="Q42" s="43">
        <f t="shared" si="8"/>
        <v>4523113.6094016926</v>
      </c>
      <c r="R42">
        <f t="shared" si="9"/>
        <v>0</v>
      </c>
      <c r="S42">
        <f t="shared" si="10"/>
        <v>0</v>
      </c>
      <c r="T42" s="43">
        <f t="shared" si="11"/>
        <v>4523113.6094016926</v>
      </c>
      <c r="U42">
        <f t="shared" si="12"/>
        <v>0</v>
      </c>
      <c r="V42">
        <f t="shared" si="13"/>
        <v>0</v>
      </c>
      <c r="W42" s="43">
        <f t="shared" si="14"/>
        <v>4523113.6094016926</v>
      </c>
      <c r="X42" s="43">
        <f t="shared" si="15"/>
        <v>409155.09463576879</v>
      </c>
      <c r="Y42" s="27">
        <f t="shared" si="16"/>
        <v>35525.375879824423</v>
      </c>
      <c r="Z42" s="27">
        <f t="shared" si="17"/>
        <v>4487588.2335218685</v>
      </c>
      <c r="AA42">
        <f t="shared" si="18"/>
        <v>0</v>
      </c>
      <c r="AB42" s="27">
        <f t="shared" si="19"/>
        <v>4487588.2335218685</v>
      </c>
      <c r="AD42" s="27">
        <f t="shared" si="20"/>
        <v>0</v>
      </c>
      <c r="AE42" s="27">
        <f t="shared" si="21"/>
        <v>4487588.2335218685</v>
      </c>
      <c r="AF42" s="50"/>
      <c r="AG42" t="str">
        <f t="shared" si="22"/>
        <v>5301410</v>
      </c>
    </row>
    <row r="43" spans="1:33" x14ac:dyDescent="0.25">
      <c r="A43" s="7" t="s">
        <v>269</v>
      </c>
      <c r="B43" s="2" t="s">
        <v>736</v>
      </c>
      <c r="C43" s="4" t="s">
        <v>735</v>
      </c>
      <c r="D43" s="30">
        <f>_xlfn.IFNA(VLOOKUP(A43,'Prior Year data'!$A$1:$V$318,13,FALSE),0)</f>
        <v>99272.965928662743</v>
      </c>
      <c r="E43">
        <f>VLOOKUP(A43,'Basic HH'!$B$1:$Y$318,23,FALSE)</f>
        <v>57165.03592005957</v>
      </c>
      <c r="F43">
        <f>VLOOKUP(A43,'Conc. HH'!$B$1:$Y$318,23,FALSE)</f>
        <v>0</v>
      </c>
      <c r="G43">
        <f>VLOOKUP(A43,'Targeted HH'!$B$1:$Y$318,23,FALSE)</f>
        <v>27645.930054603519</v>
      </c>
      <c r="H43">
        <f>VLOOKUP(A43,'EFIG HH'!$B$1:$Y$318,23,FALSE)</f>
        <v>36685.451779145413</v>
      </c>
      <c r="I43">
        <f t="shared" si="0"/>
        <v>121496.41775380851</v>
      </c>
      <c r="J43">
        <f t="shared" si="1"/>
        <v>121496.41775380851</v>
      </c>
      <c r="K43" s="43">
        <f t="shared" si="2"/>
        <v>109908.6294895754</v>
      </c>
      <c r="L43">
        <f t="shared" si="3"/>
        <v>0</v>
      </c>
      <c r="M43">
        <f t="shared" si="4"/>
        <v>10635.663560912653</v>
      </c>
      <c r="N43" s="43">
        <f t="shared" si="5"/>
        <v>106073.58735876344</v>
      </c>
      <c r="O43">
        <f t="shared" si="6"/>
        <v>0</v>
      </c>
      <c r="P43">
        <f t="shared" si="7"/>
        <v>6800.6214301006985</v>
      </c>
      <c r="Q43" s="43">
        <f t="shared" si="8"/>
        <v>106073.58735876344</v>
      </c>
      <c r="R43">
        <f t="shared" si="9"/>
        <v>0</v>
      </c>
      <c r="S43">
        <f t="shared" si="10"/>
        <v>6800.6214301006985</v>
      </c>
      <c r="T43" s="43">
        <f t="shared" si="11"/>
        <v>106073.58735876344</v>
      </c>
      <c r="U43">
        <f t="shared" si="12"/>
        <v>0</v>
      </c>
      <c r="V43">
        <f t="shared" si="13"/>
        <v>6800.6214301006985</v>
      </c>
      <c r="W43" s="43">
        <f t="shared" si="14"/>
        <v>106073.58735876344</v>
      </c>
      <c r="X43" s="43">
        <f t="shared" si="15"/>
        <v>15422.830395045065</v>
      </c>
      <c r="Y43" s="27">
        <f t="shared" si="16"/>
        <v>833.12169166140541</v>
      </c>
      <c r="Z43" s="27">
        <f t="shared" si="17"/>
        <v>105240.46566710203</v>
      </c>
      <c r="AA43">
        <f t="shared" si="18"/>
        <v>0</v>
      </c>
      <c r="AB43" s="27">
        <f t="shared" si="19"/>
        <v>105240.46566710203</v>
      </c>
      <c r="AD43" s="27">
        <f t="shared" si="20"/>
        <v>0</v>
      </c>
      <c r="AE43" s="27">
        <f t="shared" si="21"/>
        <v>105240.46566710203</v>
      </c>
      <c r="AF43" s="50"/>
      <c r="AG43" t="str">
        <f t="shared" si="22"/>
        <v>5301440</v>
      </c>
    </row>
    <row r="44" spans="1:33" x14ac:dyDescent="0.25">
      <c r="A44" s="7" t="s">
        <v>347</v>
      </c>
      <c r="B44" s="2" t="s">
        <v>738</v>
      </c>
      <c r="C44" s="4" t="s">
        <v>737</v>
      </c>
      <c r="D44" s="30">
        <f>_xlfn.IFNA(VLOOKUP(A44,'Prior Year data'!$A$1:$V$318,13,FALSE),0)</f>
        <v>475613.19943208055</v>
      </c>
      <c r="E44">
        <f>VLOOKUP(A44,'Basic HH'!$B$1:$Y$318,23,FALSE)</f>
        <v>220744.98486053766</v>
      </c>
      <c r="F44">
        <f>VLOOKUP(A44,'Conc. HH'!$B$1:$Y$318,23,FALSE)</f>
        <v>0</v>
      </c>
      <c r="G44">
        <f>VLOOKUP(A44,'Targeted HH'!$B$1:$Y$318,23,FALSE)</f>
        <v>106755.82221085361</v>
      </c>
      <c r="H44">
        <f>VLOOKUP(A44,'EFIG HH'!$B$1:$Y$318,23,FALSE)</f>
        <v>141662.28302408458</v>
      </c>
      <c r="I44">
        <f t="shared" si="0"/>
        <v>469163.09009547584</v>
      </c>
      <c r="J44">
        <f t="shared" si="1"/>
        <v>0</v>
      </c>
      <c r="K44" s="43">
        <f t="shared" si="2"/>
        <v>469163.09009547584</v>
      </c>
      <c r="L44">
        <f t="shared" si="3"/>
        <v>0</v>
      </c>
      <c r="M44">
        <f t="shared" si="4"/>
        <v>0</v>
      </c>
      <c r="N44" s="43">
        <f t="shared" si="5"/>
        <v>469163.09009547584</v>
      </c>
      <c r="O44">
        <f t="shared" si="6"/>
        <v>0</v>
      </c>
      <c r="P44">
        <f t="shared" si="7"/>
        <v>0</v>
      </c>
      <c r="Q44" s="43">
        <f t="shared" si="8"/>
        <v>469163.09009547584</v>
      </c>
      <c r="R44">
        <f t="shared" si="9"/>
        <v>0</v>
      </c>
      <c r="S44">
        <f t="shared" si="10"/>
        <v>0</v>
      </c>
      <c r="T44" s="43">
        <f t="shared" si="11"/>
        <v>469163.09009547584</v>
      </c>
      <c r="U44">
        <f t="shared" si="12"/>
        <v>0</v>
      </c>
      <c r="V44">
        <f t="shared" si="13"/>
        <v>0</v>
      </c>
      <c r="W44" s="43">
        <f t="shared" si="14"/>
        <v>469163.09009547584</v>
      </c>
      <c r="X44" s="43">
        <f t="shared" si="15"/>
        <v>0</v>
      </c>
      <c r="Y44" s="27">
        <f t="shared" si="16"/>
        <v>3684.8942042794292</v>
      </c>
      <c r="Z44" s="27">
        <f t="shared" si="17"/>
        <v>465478.19589119643</v>
      </c>
      <c r="AA44">
        <f t="shared" si="18"/>
        <v>0</v>
      </c>
      <c r="AB44" s="27">
        <f t="shared" si="19"/>
        <v>465478.19589119643</v>
      </c>
      <c r="AD44" s="27">
        <f t="shared" si="20"/>
        <v>0</v>
      </c>
      <c r="AE44" s="27">
        <f t="shared" si="21"/>
        <v>465478.19589119643</v>
      </c>
      <c r="AF44" s="50"/>
      <c r="AG44" t="str">
        <f t="shared" si="22"/>
        <v>5301470</v>
      </c>
    </row>
    <row r="45" spans="1:33" x14ac:dyDescent="0.25">
      <c r="A45" s="7" t="s">
        <v>349</v>
      </c>
      <c r="B45" s="2" t="s">
        <v>740</v>
      </c>
      <c r="C45" s="4" t="s">
        <v>739</v>
      </c>
      <c r="D45" s="30">
        <f>_xlfn.IFNA(VLOOKUP(A45,'Prior Year data'!$A$1:$V$318,13,FALSE),0)</f>
        <v>0</v>
      </c>
      <c r="E45">
        <f>VLOOKUP(A45,'Basic HH'!$B$1:$Y$318,23,FALSE)</f>
        <v>14071.393457245431</v>
      </c>
      <c r="F45">
        <f>VLOOKUP(A45,'Conc. HH'!$B$1:$Y$318,23,FALSE)</f>
        <v>0</v>
      </c>
      <c r="G45">
        <f>VLOOKUP(A45,'Targeted HH'!$B$1:$Y$318,23,FALSE)</f>
        <v>6805.1520134408684</v>
      </c>
      <c r="H45">
        <f>VLOOKUP(A45,'EFIG HH'!$B$1:$Y$318,23,FALSE)</f>
        <v>9030.2650533281012</v>
      </c>
      <c r="I45">
        <f t="shared" si="0"/>
        <v>29906.8105240144</v>
      </c>
      <c r="J45">
        <f t="shared" si="1"/>
        <v>29906.8105240144</v>
      </c>
      <c r="K45" s="43">
        <f t="shared" si="2"/>
        <v>27054.431874357018</v>
      </c>
      <c r="L45">
        <f t="shared" si="3"/>
        <v>0</v>
      </c>
      <c r="M45">
        <f t="shared" si="4"/>
        <v>27054.431874357018</v>
      </c>
      <c r="N45" s="43">
        <f t="shared" si="5"/>
        <v>17299.056907001643</v>
      </c>
      <c r="O45">
        <f t="shared" si="6"/>
        <v>0</v>
      </c>
      <c r="P45">
        <f t="shared" si="7"/>
        <v>17299.056907001643</v>
      </c>
      <c r="Q45" s="43">
        <f t="shared" si="8"/>
        <v>17299.056907001643</v>
      </c>
      <c r="R45">
        <f t="shared" si="9"/>
        <v>0</v>
      </c>
      <c r="S45">
        <f t="shared" si="10"/>
        <v>17299.056907001643</v>
      </c>
      <c r="T45" s="43">
        <f t="shared" si="11"/>
        <v>17299.056907001643</v>
      </c>
      <c r="U45">
        <f t="shared" si="12"/>
        <v>0</v>
      </c>
      <c r="V45">
        <f t="shared" si="13"/>
        <v>17299.056907001643</v>
      </c>
      <c r="W45" s="43">
        <f t="shared" si="14"/>
        <v>17299.056907001643</v>
      </c>
      <c r="X45" s="43">
        <f t="shared" si="15"/>
        <v>12607.753617012757</v>
      </c>
      <c r="Y45" s="27">
        <f t="shared" si="16"/>
        <v>135.8700116906854</v>
      </c>
      <c r="Z45" s="27">
        <f t="shared" si="17"/>
        <v>17163.186895310959</v>
      </c>
      <c r="AA45">
        <f t="shared" si="18"/>
        <v>0</v>
      </c>
      <c r="AB45" s="27">
        <f t="shared" si="19"/>
        <v>17163.186895310959</v>
      </c>
      <c r="AD45" s="27">
        <f t="shared" si="20"/>
        <v>0</v>
      </c>
      <c r="AE45" s="27">
        <f t="shared" si="21"/>
        <v>17163.186895310959</v>
      </c>
      <c r="AF45" s="50"/>
      <c r="AG45" t="str">
        <f t="shared" si="22"/>
        <v>5301500</v>
      </c>
    </row>
    <row r="46" spans="1:33" x14ac:dyDescent="0.25">
      <c r="A46" s="7" t="s">
        <v>351</v>
      </c>
      <c r="B46" s="2" t="s">
        <v>742</v>
      </c>
      <c r="C46" s="4" t="s">
        <v>741</v>
      </c>
      <c r="D46" s="30">
        <f>_xlfn.IFNA(VLOOKUP(A46,'Prior Year data'!$A$1:$V$318,13,FALSE),0)</f>
        <v>84614.440354803141</v>
      </c>
      <c r="E46">
        <f>VLOOKUP(A46,'Basic HH'!$B$1:$Y$318,23,FALSE)</f>
        <v>45732.028736047665</v>
      </c>
      <c r="F46">
        <f>VLOOKUP(A46,'Conc. HH'!$B$1:$Y$318,23,FALSE)</f>
        <v>12328.160234488025</v>
      </c>
      <c r="G46">
        <f>VLOOKUP(A46,'Targeted HH'!$B$1:$Y$318,23,FALSE)</f>
        <v>30645.141308777267</v>
      </c>
      <c r="H46">
        <f>VLOOKUP(A46,'EFIG HH'!$B$1:$Y$318,23,FALSE)</f>
        <v>40665.32945456259</v>
      </c>
      <c r="I46">
        <f t="shared" si="0"/>
        <v>129370.65973387554</v>
      </c>
      <c r="J46">
        <f t="shared" si="1"/>
        <v>129370.65973387554</v>
      </c>
      <c r="K46" s="43">
        <f t="shared" si="2"/>
        <v>117031.86127120806</v>
      </c>
      <c r="L46">
        <f t="shared" si="3"/>
        <v>0</v>
      </c>
      <c r="M46">
        <f t="shared" si="4"/>
        <v>32417.420916404924</v>
      </c>
      <c r="N46" s="43">
        <f t="shared" si="5"/>
        <v>105342.68228630893</v>
      </c>
      <c r="O46">
        <f t="shared" si="6"/>
        <v>0</v>
      </c>
      <c r="P46">
        <f t="shared" si="7"/>
        <v>20728.241931505792</v>
      </c>
      <c r="Q46" s="43">
        <f t="shared" si="8"/>
        <v>105342.68228630893</v>
      </c>
      <c r="R46">
        <f t="shared" si="9"/>
        <v>0</v>
      </c>
      <c r="S46">
        <f t="shared" si="10"/>
        <v>20728.241931505792</v>
      </c>
      <c r="T46" s="43">
        <f t="shared" si="11"/>
        <v>105342.68228630893</v>
      </c>
      <c r="U46">
        <f t="shared" si="12"/>
        <v>0</v>
      </c>
      <c r="V46">
        <f t="shared" si="13"/>
        <v>20728.241931505792</v>
      </c>
      <c r="W46" s="43">
        <f t="shared" si="14"/>
        <v>105342.68228630893</v>
      </c>
      <c r="X46" s="43">
        <f t="shared" si="15"/>
        <v>24027.977447566605</v>
      </c>
      <c r="Y46" s="27">
        <f t="shared" si="16"/>
        <v>827.3810272267458</v>
      </c>
      <c r="Z46" s="27">
        <f t="shared" si="17"/>
        <v>104515.30125908219</v>
      </c>
      <c r="AA46">
        <f t="shared" si="18"/>
        <v>0</v>
      </c>
      <c r="AB46" s="27">
        <f t="shared" si="19"/>
        <v>104515.30125908219</v>
      </c>
      <c r="AD46" s="27">
        <f t="shared" si="20"/>
        <v>0</v>
      </c>
      <c r="AE46" s="27">
        <f t="shared" si="21"/>
        <v>104515.30125908219</v>
      </c>
      <c r="AF46" s="50"/>
      <c r="AG46" t="str">
        <f t="shared" si="22"/>
        <v>5301560</v>
      </c>
    </row>
    <row r="47" spans="1:33" x14ac:dyDescent="0.25">
      <c r="A47" s="7" t="s">
        <v>352</v>
      </c>
      <c r="B47" s="2" t="s">
        <v>744</v>
      </c>
      <c r="C47" s="4" t="s">
        <v>743</v>
      </c>
      <c r="D47" s="30">
        <f>_xlfn.IFNA(VLOOKUP(A47,'Prior Year data'!$A$1:$V$318,13,FALSE),0)</f>
        <v>206477.68013617047</v>
      </c>
      <c r="E47">
        <f>VLOOKUP(A47,'Basic HH'!$B$1:$Y$318,23,FALSE)</f>
        <v>77557.631086721623</v>
      </c>
      <c r="F47">
        <f>VLOOKUP(A47,'Conc. HH'!$B$1:$Y$318,23,FALSE)</f>
        <v>16309.11224940487</v>
      </c>
      <c r="G47">
        <f>VLOOKUP(A47,'Targeted HH'!$B$1:$Y$318,23,FALSE)</f>
        <v>37428.33607392478</v>
      </c>
      <c r="H47">
        <f>VLOOKUP(A47,'EFIG HH'!$B$1:$Y$318,23,FALSE)</f>
        <v>50750.616284386582</v>
      </c>
      <c r="I47">
        <f t="shared" si="0"/>
        <v>182045.69569443786</v>
      </c>
      <c r="J47">
        <f t="shared" si="1"/>
        <v>0</v>
      </c>
      <c r="K47" s="43">
        <f t="shared" si="2"/>
        <v>182045.69569443786</v>
      </c>
      <c r="L47">
        <f t="shared" si="3"/>
        <v>0</v>
      </c>
      <c r="M47">
        <f t="shared" si="4"/>
        <v>0</v>
      </c>
      <c r="N47" s="43">
        <f t="shared" si="5"/>
        <v>182045.69569443786</v>
      </c>
      <c r="O47">
        <f t="shared" si="6"/>
        <v>0</v>
      </c>
      <c r="P47">
        <f t="shared" si="7"/>
        <v>0</v>
      </c>
      <c r="Q47" s="43">
        <f t="shared" si="8"/>
        <v>182045.69569443786</v>
      </c>
      <c r="R47">
        <f t="shared" si="9"/>
        <v>0</v>
      </c>
      <c r="S47">
        <f t="shared" si="10"/>
        <v>0</v>
      </c>
      <c r="T47" s="43">
        <f t="shared" si="11"/>
        <v>182045.69569443786</v>
      </c>
      <c r="U47">
        <f t="shared" si="12"/>
        <v>0</v>
      </c>
      <c r="V47">
        <f t="shared" si="13"/>
        <v>0</v>
      </c>
      <c r="W47" s="43">
        <f t="shared" si="14"/>
        <v>182045.69569443786</v>
      </c>
      <c r="X47" s="43">
        <f t="shared" si="15"/>
        <v>0</v>
      </c>
      <c r="Y47" s="27">
        <f t="shared" si="16"/>
        <v>1429.8207662540917</v>
      </c>
      <c r="Z47" s="27">
        <f t="shared" si="17"/>
        <v>180615.87492818377</v>
      </c>
      <c r="AA47">
        <f t="shared" si="18"/>
        <v>0</v>
      </c>
      <c r="AB47" s="27">
        <f t="shared" si="19"/>
        <v>180615.87492818377</v>
      </c>
      <c r="AD47" s="27">
        <f t="shared" si="20"/>
        <v>0</v>
      </c>
      <c r="AE47" s="27">
        <f t="shared" si="21"/>
        <v>180615.87492818377</v>
      </c>
      <c r="AF47" s="50"/>
      <c r="AG47" t="str">
        <f t="shared" si="22"/>
        <v>5301590</v>
      </c>
    </row>
    <row r="48" spans="1:33" x14ac:dyDescent="0.25">
      <c r="A48" s="7" t="s">
        <v>353</v>
      </c>
      <c r="B48" s="2" t="s">
        <v>746</v>
      </c>
      <c r="C48" s="4" t="s">
        <v>745</v>
      </c>
      <c r="D48" s="30">
        <f>_xlfn.IFNA(VLOOKUP(A48,'Prior Year data'!$A$1:$V$318,13,FALSE),0)</f>
        <v>684625.84517294343</v>
      </c>
      <c r="E48">
        <f>VLOOKUP(A48,'Basic HH'!$B$1:$Y$318,23,FALSE)</f>
        <v>345628.60179359087</v>
      </c>
      <c r="F48">
        <f>VLOOKUP(A48,'Conc. HH'!$B$1:$Y$318,23,FALSE)</f>
        <v>93172.441772188409</v>
      </c>
      <c r="G48">
        <f>VLOOKUP(A48,'Targeted HH'!$B$1:$Y$318,23,FALSE)</f>
        <v>193316.24998461927</v>
      </c>
      <c r="H48">
        <f>VLOOKUP(A48,'EFIG HH'!$B$1:$Y$318,23,FALSE)</f>
        <v>256525.78708434684</v>
      </c>
      <c r="I48">
        <f t="shared" si="0"/>
        <v>888643.08063474542</v>
      </c>
      <c r="J48">
        <f t="shared" si="1"/>
        <v>888643.08063474542</v>
      </c>
      <c r="K48" s="43">
        <f t="shared" si="2"/>
        <v>803888.25369213405</v>
      </c>
      <c r="L48">
        <f t="shared" si="3"/>
        <v>0</v>
      </c>
      <c r="M48">
        <f t="shared" si="4"/>
        <v>119262.40851919062</v>
      </c>
      <c r="N48" s="43">
        <f t="shared" si="5"/>
        <v>760884.22684663325</v>
      </c>
      <c r="O48">
        <f t="shared" si="6"/>
        <v>0</v>
      </c>
      <c r="P48">
        <f t="shared" si="7"/>
        <v>76258.381673689815</v>
      </c>
      <c r="Q48" s="43">
        <f t="shared" si="8"/>
        <v>760884.22684663325</v>
      </c>
      <c r="R48">
        <f t="shared" si="9"/>
        <v>0</v>
      </c>
      <c r="S48">
        <f t="shared" si="10"/>
        <v>76258.381673689815</v>
      </c>
      <c r="T48" s="43">
        <f t="shared" si="11"/>
        <v>760884.22684663325</v>
      </c>
      <c r="U48">
        <f t="shared" si="12"/>
        <v>0</v>
      </c>
      <c r="V48">
        <f t="shared" si="13"/>
        <v>76258.381673689815</v>
      </c>
      <c r="W48" s="43">
        <f t="shared" si="14"/>
        <v>760884.22684663325</v>
      </c>
      <c r="X48" s="43">
        <f t="shared" si="15"/>
        <v>127758.85378811217</v>
      </c>
      <c r="Y48" s="27">
        <f t="shared" si="16"/>
        <v>5976.1262913163482</v>
      </c>
      <c r="Z48" s="27">
        <f t="shared" si="17"/>
        <v>754908.10055531689</v>
      </c>
      <c r="AA48">
        <f t="shared" si="18"/>
        <v>0</v>
      </c>
      <c r="AB48" s="27">
        <f t="shared" si="19"/>
        <v>754908.10055531689</v>
      </c>
      <c r="AD48" s="27">
        <f t="shared" si="20"/>
        <v>0</v>
      </c>
      <c r="AE48" s="27">
        <f t="shared" si="21"/>
        <v>754908.10055531689</v>
      </c>
      <c r="AF48" s="50"/>
      <c r="AG48" t="str">
        <f t="shared" si="22"/>
        <v>5301630</v>
      </c>
    </row>
    <row r="49" spans="1:33" x14ac:dyDescent="0.25">
      <c r="A49" s="7" t="s">
        <v>355</v>
      </c>
      <c r="B49" s="2" t="s">
        <v>748</v>
      </c>
      <c r="C49" s="4" t="s">
        <v>747</v>
      </c>
      <c r="D49" s="30">
        <f>_xlfn.IFNA(VLOOKUP(A49,'Prior Year data'!$A$1:$V$318,13,FALSE),0)</f>
        <v>263716.39125491772</v>
      </c>
      <c r="E49">
        <f>VLOOKUP(A49,'Basic HH'!$B$1:$Y$318,23,FALSE)</f>
        <v>87646.059728748791</v>
      </c>
      <c r="F49">
        <f>VLOOKUP(A49,'Conc. HH'!$B$1:$Y$318,23,FALSE)</f>
        <v>23093.292257680307</v>
      </c>
      <c r="G49">
        <f>VLOOKUP(A49,'Targeted HH'!$B$1:$Y$318,23,FALSE)</f>
        <v>48493.791598454722</v>
      </c>
      <c r="H49">
        <f>VLOOKUP(A49,'EFIG HH'!$B$1:$Y$318,23,FALSE)</f>
        <v>66655.591705796993</v>
      </c>
      <c r="I49">
        <f t="shared" si="0"/>
        <v>225888.73529068084</v>
      </c>
      <c r="J49">
        <f t="shared" si="1"/>
        <v>0</v>
      </c>
      <c r="K49" s="43">
        <f t="shared" si="2"/>
        <v>225888.73529068084</v>
      </c>
      <c r="L49">
        <f t="shared" si="3"/>
        <v>0</v>
      </c>
      <c r="M49">
        <f t="shared" si="4"/>
        <v>0</v>
      </c>
      <c r="N49" s="43">
        <f t="shared" si="5"/>
        <v>225888.73529068084</v>
      </c>
      <c r="O49">
        <f t="shared" si="6"/>
        <v>0</v>
      </c>
      <c r="P49">
        <f t="shared" si="7"/>
        <v>0</v>
      </c>
      <c r="Q49" s="43">
        <f t="shared" si="8"/>
        <v>225888.73529068084</v>
      </c>
      <c r="R49">
        <f t="shared" si="9"/>
        <v>0</v>
      </c>
      <c r="S49">
        <f t="shared" si="10"/>
        <v>0</v>
      </c>
      <c r="T49" s="43">
        <f t="shared" si="11"/>
        <v>225888.73529068084</v>
      </c>
      <c r="U49">
        <f t="shared" si="12"/>
        <v>0</v>
      </c>
      <c r="V49">
        <f t="shared" si="13"/>
        <v>0</v>
      </c>
      <c r="W49" s="43">
        <f t="shared" si="14"/>
        <v>225888.73529068084</v>
      </c>
      <c r="X49" s="43">
        <f t="shared" si="15"/>
        <v>0</v>
      </c>
      <c r="Y49" s="27">
        <f t="shared" si="16"/>
        <v>1774.1721568831204</v>
      </c>
      <c r="Z49" s="27">
        <f t="shared" si="17"/>
        <v>224114.56313379772</v>
      </c>
      <c r="AA49">
        <f t="shared" si="18"/>
        <v>0</v>
      </c>
      <c r="AB49" s="27">
        <f t="shared" si="19"/>
        <v>224114.56313379772</v>
      </c>
      <c r="AD49" s="27">
        <f t="shared" si="20"/>
        <v>0</v>
      </c>
      <c r="AE49" s="27">
        <f t="shared" si="21"/>
        <v>224114.56313379772</v>
      </c>
      <c r="AF49" s="50"/>
      <c r="AG49" t="str">
        <f t="shared" si="22"/>
        <v>5301660</v>
      </c>
    </row>
    <row r="50" spans="1:33" x14ac:dyDescent="0.25">
      <c r="A50" s="7" t="s">
        <v>110</v>
      </c>
      <c r="B50" s="2" t="s">
        <v>750</v>
      </c>
      <c r="C50" s="4" t="s">
        <v>749</v>
      </c>
      <c r="D50" s="30">
        <f>_xlfn.IFNA(VLOOKUP(A50,'Prior Year data'!$A$1:$V$318,13,FALSE),0)</f>
        <v>90059.690750380294</v>
      </c>
      <c r="E50">
        <f>VLOOKUP(A50,'Basic HH'!$B$1:$Y$318,23,FALSE)</f>
        <v>42214.1803717363</v>
      </c>
      <c r="F50">
        <f>VLOOKUP(A50,'Conc. HH'!$B$1:$Y$318,23,FALSE)</f>
        <v>0</v>
      </c>
      <c r="G50">
        <f>VLOOKUP(A50,'Targeted HH'!$B$1:$Y$318,23,FALSE)</f>
        <v>20415.456040322602</v>
      </c>
      <c r="H50">
        <f>VLOOKUP(A50,'EFIG HH'!$B$1:$Y$318,23,FALSE)</f>
        <v>27090.795159984307</v>
      </c>
      <c r="I50">
        <f t="shared" si="0"/>
        <v>89720.431572043206</v>
      </c>
      <c r="J50">
        <f t="shared" si="1"/>
        <v>0</v>
      </c>
      <c r="K50" s="43">
        <f t="shared" si="2"/>
        <v>89720.431572043206</v>
      </c>
      <c r="L50">
        <f t="shared" si="3"/>
        <v>0</v>
      </c>
      <c r="M50">
        <f t="shared" si="4"/>
        <v>0</v>
      </c>
      <c r="N50" s="43">
        <f t="shared" si="5"/>
        <v>89720.431572043206</v>
      </c>
      <c r="O50">
        <f t="shared" si="6"/>
        <v>0</v>
      </c>
      <c r="P50">
        <f t="shared" si="7"/>
        <v>0</v>
      </c>
      <c r="Q50" s="43">
        <f t="shared" si="8"/>
        <v>89720.431572043206</v>
      </c>
      <c r="R50">
        <f t="shared" si="9"/>
        <v>0</v>
      </c>
      <c r="S50">
        <f t="shared" si="10"/>
        <v>0</v>
      </c>
      <c r="T50" s="43">
        <f t="shared" si="11"/>
        <v>89720.431572043206</v>
      </c>
      <c r="U50">
        <f t="shared" si="12"/>
        <v>0</v>
      </c>
      <c r="V50">
        <f t="shared" si="13"/>
        <v>0</v>
      </c>
      <c r="W50" s="43">
        <f t="shared" si="14"/>
        <v>89720.431572043206</v>
      </c>
      <c r="X50" s="43">
        <f t="shared" si="15"/>
        <v>0</v>
      </c>
      <c r="Y50" s="27">
        <f t="shared" si="16"/>
        <v>704.68096336817791</v>
      </c>
      <c r="Z50" s="27">
        <f t="shared" si="17"/>
        <v>89015.750608675022</v>
      </c>
      <c r="AA50">
        <f t="shared" si="18"/>
        <v>0</v>
      </c>
      <c r="AB50" s="27">
        <f t="shared" si="19"/>
        <v>89015.750608675022</v>
      </c>
      <c r="AD50" s="27">
        <f t="shared" si="20"/>
        <v>0</v>
      </c>
      <c r="AE50" s="27">
        <f t="shared" si="21"/>
        <v>89015.750608675022</v>
      </c>
      <c r="AF50" s="50"/>
      <c r="AG50" t="str">
        <f t="shared" si="22"/>
        <v>5301680</v>
      </c>
    </row>
    <row r="51" spans="1:33" x14ac:dyDescent="0.25">
      <c r="A51" s="7" t="s">
        <v>112</v>
      </c>
      <c r="B51" s="2" t="s">
        <v>752</v>
      </c>
      <c r="C51" s="4" t="s">
        <v>751</v>
      </c>
      <c r="D51" s="30">
        <f>_xlfn.IFNA(VLOOKUP(A51,'Prior Year data'!$A$1:$V$318,13,FALSE),0)</f>
        <v>76301.328052969315</v>
      </c>
      <c r="E51">
        <f>VLOOKUP(A51,'Basic HH'!$B$1:$Y$318,23,FALSE)</f>
        <v>30066.235018752475</v>
      </c>
      <c r="F51">
        <f>VLOOKUP(A51,'Conc. HH'!$B$1:$Y$318,23,FALSE)</f>
        <v>7915.8074107962311</v>
      </c>
      <c r="G51">
        <f>VLOOKUP(A51,'Targeted HH'!$B$1:$Y$318,23,FALSE)</f>
        <v>14401.094066405278</v>
      </c>
      <c r="H51">
        <f>VLOOKUP(A51,'EFIG HH'!$B$1:$Y$318,23,FALSE)</f>
        <v>19793.22187173901</v>
      </c>
      <c r="I51">
        <f t="shared" si="0"/>
        <v>72176.358367692985</v>
      </c>
      <c r="J51">
        <f t="shared" si="1"/>
        <v>0</v>
      </c>
      <c r="K51" s="43">
        <f t="shared" si="2"/>
        <v>72176.358367692985</v>
      </c>
      <c r="L51">
        <f t="shared" si="3"/>
        <v>0</v>
      </c>
      <c r="M51">
        <f t="shared" si="4"/>
        <v>0</v>
      </c>
      <c r="N51" s="43">
        <f t="shared" si="5"/>
        <v>72176.358367692985</v>
      </c>
      <c r="O51">
        <f t="shared" si="6"/>
        <v>0</v>
      </c>
      <c r="P51">
        <f t="shared" si="7"/>
        <v>0</v>
      </c>
      <c r="Q51" s="43">
        <f t="shared" si="8"/>
        <v>72176.358367692985</v>
      </c>
      <c r="R51">
        <f t="shared" si="9"/>
        <v>0</v>
      </c>
      <c r="S51">
        <f t="shared" si="10"/>
        <v>0</v>
      </c>
      <c r="T51" s="43">
        <f t="shared" si="11"/>
        <v>72176.358367692985</v>
      </c>
      <c r="U51">
        <f t="shared" si="12"/>
        <v>0</v>
      </c>
      <c r="V51">
        <f t="shared" si="13"/>
        <v>0</v>
      </c>
      <c r="W51" s="43">
        <f t="shared" si="14"/>
        <v>72176.358367692985</v>
      </c>
      <c r="X51" s="43">
        <f t="shared" si="15"/>
        <v>0</v>
      </c>
      <c r="Y51" s="27">
        <f t="shared" si="16"/>
        <v>566.88654808924343</v>
      </c>
      <c r="Z51" s="27">
        <f t="shared" si="17"/>
        <v>71609.471819603743</v>
      </c>
      <c r="AA51">
        <f t="shared" si="18"/>
        <v>0</v>
      </c>
      <c r="AB51" s="27">
        <f t="shared" si="19"/>
        <v>71609.471819603743</v>
      </c>
      <c r="AD51" s="27">
        <f t="shared" si="20"/>
        <v>0</v>
      </c>
      <c r="AE51" s="27">
        <f t="shared" si="21"/>
        <v>71609.471819603743</v>
      </c>
      <c r="AF51" s="50"/>
      <c r="AG51" t="str">
        <f t="shared" si="22"/>
        <v>5301710</v>
      </c>
    </row>
    <row r="52" spans="1:33" x14ac:dyDescent="0.25">
      <c r="A52" s="7" t="s">
        <v>357</v>
      </c>
      <c r="B52" s="2" t="s">
        <v>754</v>
      </c>
      <c r="C52" s="4" t="s">
        <v>753</v>
      </c>
      <c r="D52" s="30">
        <f>_xlfn.IFNA(VLOOKUP(A52,'Prior Year data'!$A$1:$V$318,13,FALSE),0)</f>
        <v>95875.705400241364</v>
      </c>
      <c r="E52">
        <f>VLOOKUP(A52,'Basic HH'!$B$1:$Y$318,23,FALSE)</f>
        <v>38322.594184027163</v>
      </c>
      <c r="F52">
        <f>VLOOKUP(A52,'Conc. HH'!$B$1:$Y$318,23,FALSE)</f>
        <v>10310.269173872439</v>
      </c>
      <c r="G52">
        <f>VLOOKUP(A52,'Targeted HH'!$B$1:$Y$318,23,FALSE)</f>
        <v>21418.714534699095</v>
      </c>
      <c r="H52">
        <f>VLOOKUP(A52,'EFIG HH'!$B$1:$Y$318,23,FALSE)</f>
        <v>29053.849282731098</v>
      </c>
      <c r="I52">
        <f t="shared" si="0"/>
        <v>99105.427175329794</v>
      </c>
      <c r="J52">
        <f t="shared" si="1"/>
        <v>99105.427175329794</v>
      </c>
      <c r="K52" s="43">
        <f t="shared" si="2"/>
        <v>89653.19206275919</v>
      </c>
      <c r="L52">
        <f t="shared" si="3"/>
        <v>6222.5133374821744</v>
      </c>
      <c r="M52">
        <f t="shared" si="4"/>
        <v>0</v>
      </c>
      <c r="N52" s="43">
        <f t="shared" si="5"/>
        <v>95875.705400241364</v>
      </c>
      <c r="O52">
        <f t="shared" si="6"/>
        <v>0</v>
      </c>
      <c r="P52">
        <f t="shared" si="7"/>
        <v>0</v>
      </c>
      <c r="Q52" s="43">
        <f t="shared" si="8"/>
        <v>95875.705400241364</v>
      </c>
      <c r="R52">
        <f t="shared" si="9"/>
        <v>0</v>
      </c>
      <c r="S52">
        <f t="shared" si="10"/>
        <v>0</v>
      </c>
      <c r="T52" s="43">
        <f t="shared" si="11"/>
        <v>95875.705400241364</v>
      </c>
      <c r="U52">
        <f t="shared" si="12"/>
        <v>0</v>
      </c>
      <c r="V52">
        <f t="shared" si="13"/>
        <v>0</v>
      </c>
      <c r="W52" s="43">
        <f t="shared" si="14"/>
        <v>95875.705400241364</v>
      </c>
      <c r="X52" s="43">
        <f t="shared" si="15"/>
        <v>3229.7217750884301</v>
      </c>
      <c r="Y52" s="27">
        <f t="shared" si="16"/>
        <v>753.02562929376154</v>
      </c>
      <c r="Z52" s="27">
        <f t="shared" si="17"/>
        <v>95122.679770947609</v>
      </c>
      <c r="AA52">
        <f t="shared" si="18"/>
        <v>0</v>
      </c>
      <c r="AB52" s="27">
        <f t="shared" si="19"/>
        <v>95122.679770947609</v>
      </c>
      <c r="AD52" s="27">
        <f t="shared" si="20"/>
        <v>0</v>
      </c>
      <c r="AE52" s="27">
        <f t="shared" si="21"/>
        <v>95122.679770947609</v>
      </c>
      <c r="AF52" s="50"/>
      <c r="AG52" t="str">
        <f t="shared" si="22"/>
        <v>5303440</v>
      </c>
    </row>
    <row r="53" spans="1:33" x14ac:dyDescent="0.25">
      <c r="A53" s="7" t="s">
        <v>359</v>
      </c>
      <c r="B53" s="2" t="s">
        <v>756</v>
      </c>
      <c r="C53" s="4" t="s">
        <v>755</v>
      </c>
      <c r="D53" s="30">
        <f>_xlfn.IFNA(VLOOKUP(A53,'Prior Year data'!$A$1:$V$318,13,FALSE),0)</f>
        <v>183600.17657323371</v>
      </c>
      <c r="E53">
        <f>VLOOKUP(A53,'Basic HH'!$B$1:$Y$318,23,FALSE)</f>
        <v>91464.05747209533</v>
      </c>
      <c r="F53">
        <f>VLOOKUP(A53,'Conc. HH'!$B$1:$Y$318,23,FALSE)</f>
        <v>0</v>
      </c>
      <c r="G53">
        <f>VLOOKUP(A53,'Targeted HH'!$B$1:$Y$318,23,FALSE)</f>
        <v>44233.488087365644</v>
      </c>
      <c r="H53">
        <f>VLOOKUP(A53,'EFIG HH'!$B$1:$Y$318,23,FALSE)</f>
        <v>58696.722846632663</v>
      </c>
      <c r="I53">
        <f t="shared" si="0"/>
        <v>194394.26840609364</v>
      </c>
      <c r="J53">
        <f t="shared" si="1"/>
        <v>194394.26840609364</v>
      </c>
      <c r="K53" s="43">
        <f t="shared" si="2"/>
        <v>175853.80718332066</v>
      </c>
      <c r="L53">
        <f t="shared" si="3"/>
        <v>7746.3693899130449</v>
      </c>
      <c r="M53">
        <f t="shared" si="4"/>
        <v>0</v>
      </c>
      <c r="N53" s="43">
        <f t="shared" si="5"/>
        <v>183600.17657323371</v>
      </c>
      <c r="O53">
        <f t="shared" si="6"/>
        <v>0</v>
      </c>
      <c r="P53">
        <f t="shared" si="7"/>
        <v>0</v>
      </c>
      <c r="Q53" s="43">
        <f t="shared" si="8"/>
        <v>183600.17657323371</v>
      </c>
      <c r="R53">
        <f t="shared" si="9"/>
        <v>0</v>
      </c>
      <c r="S53">
        <f t="shared" si="10"/>
        <v>0</v>
      </c>
      <c r="T53" s="43">
        <f t="shared" si="11"/>
        <v>183600.17657323371</v>
      </c>
      <c r="U53">
        <f t="shared" si="12"/>
        <v>0</v>
      </c>
      <c r="V53">
        <f t="shared" si="13"/>
        <v>0</v>
      </c>
      <c r="W53" s="43">
        <f t="shared" si="14"/>
        <v>183600.17657323371</v>
      </c>
      <c r="X53" s="43">
        <f t="shared" si="15"/>
        <v>10794.091832859936</v>
      </c>
      <c r="Y53" s="27">
        <f t="shared" si="16"/>
        <v>1442.0299483101064</v>
      </c>
      <c r="Z53" s="27">
        <f t="shared" si="17"/>
        <v>182158.1466249236</v>
      </c>
      <c r="AA53">
        <f t="shared" si="18"/>
        <v>0</v>
      </c>
      <c r="AB53" s="27">
        <f t="shared" si="19"/>
        <v>182158.1466249236</v>
      </c>
      <c r="AD53" s="27">
        <f t="shared" si="20"/>
        <v>0</v>
      </c>
      <c r="AE53" s="27">
        <f t="shared" si="21"/>
        <v>182158.1466249236</v>
      </c>
      <c r="AF53" s="50"/>
      <c r="AG53" t="str">
        <f t="shared" si="22"/>
        <v>5301800</v>
      </c>
    </row>
    <row r="54" spans="1:33" x14ac:dyDescent="0.25">
      <c r="A54" s="7" t="s">
        <v>361</v>
      </c>
      <c r="B54" s="2" t="s">
        <v>758</v>
      </c>
      <c r="C54" s="4" t="s">
        <v>757</v>
      </c>
      <c r="D54" s="30">
        <f>_xlfn.IFNA(VLOOKUP(A54,'Prior Year data'!$A$1:$V$318,13,FALSE),0)</f>
        <v>126451.78407427315</v>
      </c>
      <c r="E54">
        <f>VLOOKUP(A54,'Basic HH'!$B$1:$Y$318,23,FALSE)</f>
        <v>58923.960102215256</v>
      </c>
      <c r="F54">
        <f>VLOOKUP(A54,'Conc. HH'!$B$1:$Y$318,23,FALSE)</f>
        <v>15884.360302128807</v>
      </c>
      <c r="G54">
        <f>VLOOKUP(A54,'Targeted HH'!$B$1:$Y$318,23,FALSE)</f>
        <v>33021.085702919976</v>
      </c>
      <c r="H54">
        <f>VLOOKUP(A54,'EFIG HH'!$B$1:$Y$318,23,FALSE)</f>
        <v>43818.147729408076</v>
      </c>
      <c r="I54">
        <f t="shared" si="0"/>
        <v>151647.55383667213</v>
      </c>
      <c r="J54">
        <f t="shared" si="1"/>
        <v>151647.55383667213</v>
      </c>
      <c r="K54" s="43">
        <f t="shared" si="2"/>
        <v>137184.08423702492</v>
      </c>
      <c r="L54">
        <f t="shared" si="3"/>
        <v>0</v>
      </c>
      <c r="M54">
        <f t="shared" si="4"/>
        <v>10732.300162751766</v>
      </c>
      <c r="N54" s="43">
        <f t="shared" si="5"/>
        <v>133314.19656627002</v>
      </c>
      <c r="O54">
        <f t="shared" si="6"/>
        <v>0</v>
      </c>
      <c r="P54">
        <f t="shared" si="7"/>
        <v>6862.4124919968745</v>
      </c>
      <c r="Q54" s="43">
        <f t="shared" si="8"/>
        <v>133314.19656627002</v>
      </c>
      <c r="R54">
        <f t="shared" si="9"/>
        <v>0</v>
      </c>
      <c r="S54">
        <f t="shared" si="10"/>
        <v>6862.4124919968745</v>
      </c>
      <c r="T54" s="43">
        <f t="shared" si="11"/>
        <v>133314.19656627002</v>
      </c>
      <c r="U54">
        <f t="shared" si="12"/>
        <v>0</v>
      </c>
      <c r="V54">
        <f t="shared" si="13"/>
        <v>6862.4124919968745</v>
      </c>
      <c r="W54" s="43">
        <f t="shared" si="14"/>
        <v>133314.19656627002</v>
      </c>
      <c r="X54" s="43">
        <f t="shared" si="15"/>
        <v>18333.357270402106</v>
      </c>
      <c r="Y54" s="27">
        <f t="shared" si="16"/>
        <v>1047.0745048917781</v>
      </c>
      <c r="Z54" s="27">
        <f t="shared" si="17"/>
        <v>132267.12206137824</v>
      </c>
      <c r="AA54">
        <f t="shared" si="18"/>
        <v>0</v>
      </c>
      <c r="AB54" s="27">
        <f t="shared" si="19"/>
        <v>132267.12206137824</v>
      </c>
      <c r="AD54" s="27">
        <f t="shared" si="20"/>
        <v>0</v>
      </c>
      <c r="AE54" s="27">
        <f t="shared" si="21"/>
        <v>132267.12206137824</v>
      </c>
      <c r="AF54" s="50"/>
      <c r="AG54" t="str">
        <f t="shared" si="22"/>
        <v>5301830</v>
      </c>
    </row>
    <row r="55" spans="1:33" x14ac:dyDescent="0.25">
      <c r="A55" s="7" t="s">
        <v>363</v>
      </c>
      <c r="B55" s="2" t="s">
        <v>760</v>
      </c>
      <c r="C55" s="8" t="s">
        <v>759</v>
      </c>
      <c r="D55" s="30">
        <f>_xlfn.IFNA(VLOOKUP(A55,'Prior Year data'!$A$1:$V$318,13,FALSE),0)</f>
        <v>32162.340638973332</v>
      </c>
      <c r="E55">
        <f>VLOOKUP(A55,'Basic HH'!$B$1:$Y$318,23,FALSE)</f>
        <v>31660.63527880222</v>
      </c>
      <c r="F55">
        <f>VLOOKUP(A55,'Conc. HH'!$B$1:$Y$318,23,FALSE)</f>
        <v>8534.8801623378695</v>
      </c>
      <c r="G55">
        <f>VLOOKUP(A55,'Targeted HH'!$B$1:$Y$318,23,FALSE)</f>
        <v>25089.000516053329</v>
      </c>
      <c r="H55">
        <f>VLOOKUP(A55,'EFIG HH'!$B$1:$Y$318,23,FALSE)</f>
        <v>33292.470783248828</v>
      </c>
      <c r="I55">
        <f t="shared" si="0"/>
        <v>98576.986740442255</v>
      </c>
      <c r="J55">
        <f t="shared" si="1"/>
        <v>98576.986740442255</v>
      </c>
      <c r="K55" s="43">
        <f t="shared" si="2"/>
        <v>89175.151927591956</v>
      </c>
      <c r="L55">
        <f t="shared" si="3"/>
        <v>0</v>
      </c>
      <c r="M55">
        <f t="shared" si="4"/>
        <v>57012.811288618628</v>
      </c>
      <c r="N55" s="43">
        <f t="shared" si="5"/>
        <v>68617.287151628538</v>
      </c>
      <c r="O55">
        <f t="shared" si="6"/>
        <v>0</v>
      </c>
      <c r="P55">
        <f t="shared" si="7"/>
        <v>36454.94651265521</v>
      </c>
      <c r="Q55" s="43">
        <f t="shared" si="8"/>
        <v>68617.287151628538</v>
      </c>
      <c r="R55">
        <f t="shared" si="9"/>
        <v>0</v>
      </c>
      <c r="S55">
        <f t="shared" si="10"/>
        <v>36454.94651265521</v>
      </c>
      <c r="T55" s="43">
        <f t="shared" si="11"/>
        <v>68617.287151628538</v>
      </c>
      <c r="U55">
        <f t="shared" si="12"/>
        <v>0</v>
      </c>
      <c r="V55">
        <f t="shared" si="13"/>
        <v>36454.94651265521</v>
      </c>
      <c r="W55" s="43">
        <f t="shared" si="14"/>
        <v>68617.287151628538</v>
      </c>
      <c r="X55" s="43">
        <f t="shared" si="15"/>
        <v>29959.699588813717</v>
      </c>
      <c r="Y55" s="27">
        <f t="shared" si="16"/>
        <v>538.93294054090723</v>
      </c>
      <c r="Z55" s="27">
        <f t="shared" si="17"/>
        <v>68078.35421108763</v>
      </c>
      <c r="AA55">
        <f t="shared" si="18"/>
        <v>0</v>
      </c>
      <c r="AB55" s="27">
        <f t="shared" si="19"/>
        <v>68078.35421108763</v>
      </c>
      <c r="AD55" s="27">
        <f t="shared" si="20"/>
        <v>0</v>
      </c>
      <c r="AE55" s="27">
        <f t="shared" si="21"/>
        <v>68078.35421108763</v>
      </c>
      <c r="AF55" s="50"/>
      <c r="AG55" t="str">
        <f t="shared" si="22"/>
        <v>5301860</v>
      </c>
    </row>
    <row r="56" spans="1:33" x14ac:dyDescent="0.25">
      <c r="A56" s="7" t="s">
        <v>365</v>
      </c>
      <c r="B56" s="2" t="s">
        <v>762</v>
      </c>
      <c r="C56" s="4" t="s">
        <v>761</v>
      </c>
      <c r="D56" s="30">
        <f>_xlfn.IFNA(VLOOKUP(A56,'Prior Year data'!$A$1:$V$318,13,FALSE),0)</f>
        <v>137097.72524258835</v>
      </c>
      <c r="E56">
        <f>VLOOKUP(A56,'Basic HH'!$B$1:$Y$318,23,FALSE)</f>
        <v>43015.156737173333</v>
      </c>
      <c r="F56">
        <f>VLOOKUP(A56,'Conc. HH'!$B$1:$Y$318,23,FALSE)</f>
        <v>11572.751113530287</v>
      </c>
      <c r="G56">
        <f>VLOOKUP(A56,'Targeted HH'!$B$1:$Y$318,23,FALSE)</f>
        <v>35760.847821924435</v>
      </c>
      <c r="H56">
        <f>VLOOKUP(A56,'EFIG HH'!$B$1:$Y$318,23,FALSE)</f>
        <v>48508.52655782277</v>
      </c>
      <c r="I56">
        <f t="shared" si="0"/>
        <v>138857.28223045083</v>
      </c>
      <c r="J56">
        <f t="shared" si="1"/>
        <v>138857.28223045083</v>
      </c>
      <c r="K56" s="43">
        <f t="shared" si="2"/>
        <v>125613.69188284254</v>
      </c>
      <c r="L56">
        <f t="shared" si="3"/>
        <v>11484.033359745808</v>
      </c>
      <c r="M56">
        <f t="shared" si="4"/>
        <v>0</v>
      </c>
      <c r="N56" s="43">
        <f t="shared" si="5"/>
        <v>137097.72524258835</v>
      </c>
      <c r="O56">
        <f t="shared" si="6"/>
        <v>0</v>
      </c>
      <c r="P56">
        <f t="shared" si="7"/>
        <v>0</v>
      </c>
      <c r="Q56" s="43">
        <f t="shared" si="8"/>
        <v>137097.72524258835</v>
      </c>
      <c r="R56">
        <f t="shared" si="9"/>
        <v>0</v>
      </c>
      <c r="S56">
        <f t="shared" si="10"/>
        <v>0</v>
      </c>
      <c r="T56" s="43">
        <f t="shared" si="11"/>
        <v>137097.72524258835</v>
      </c>
      <c r="U56">
        <f t="shared" si="12"/>
        <v>0</v>
      </c>
      <c r="V56">
        <f t="shared" si="13"/>
        <v>0</v>
      </c>
      <c r="W56" s="43">
        <f t="shared" si="14"/>
        <v>137097.72524258835</v>
      </c>
      <c r="X56" s="43">
        <f t="shared" si="15"/>
        <v>1759.556987862481</v>
      </c>
      <c r="Y56" s="27">
        <f t="shared" si="16"/>
        <v>1076.7910430965487</v>
      </c>
      <c r="Z56" s="27">
        <f t="shared" si="17"/>
        <v>136020.93419949181</v>
      </c>
      <c r="AA56">
        <f t="shared" si="18"/>
        <v>0</v>
      </c>
      <c r="AB56" s="27">
        <f t="shared" si="19"/>
        <v>136020.93419949181</v>
      </c>
      <c r="AD56" s="27">
        <f t="shared" si="20"/>
        <v>0</v>
      </c>
      <c r="AE56" s="27">
        <f t="shared" si="21"/>
        <v>136020.93419949181</v>
      </c>
      <c r="AF56" s="50"/>
      <c r="AG56" t="str">
        <f t="shared" si="22"/>
        <v>5301890</v>
      </c>
    </row>
    <row r="57" spans="1:33" x14ac:dyDescent="0.25">
      <c r="A57" s="7" t="s">
        <v>367</v>
      </c>
      <c r="B57" s="2" t="s">
        <v>764</v>
      </c>
      <c r="C57" s="4" t="s">
        <v>763</v>
      </c>
      <c r="D57" s="30">
        <f>_xlfn.IFNA(VLOOKUP(A57,'Prior Year data'!$A$1:$V$318,13,FALSE),0)</f>
        <v>200071.17871723234</v>
      </c>
      <c r="E57">
        <f>VLOOKUP(A57,'Basic HH'!$B$1:$Y$318,23,FALSE)</f>
        <v>68598.043104071476</v>
      </c>
      <c r="F57">
        <f>VLOOKUP(A57,'Conc. HH'!$B$1:$Y$318,23,FALSE)</f>
        <v>18492.240351732049</v>
      </c>
      <c r="G57">
        <f>VLOOKUP(A57,'Targeted HH'!$B$1:$Y$318,23,FALSE)</f>
        <v>45802.872150110685</v>
      </c>
      <c r="H57">
        <f>VLOOKUP(A57,'EFIG HH'!$B$1:$Y$318,23,FALSE)</f>
        <v>60354.086421531218</v>
      </c>
      <c r="I57">
        <f t="shared" si="0"/>
        <v>193247.24202744543</v>
      </c>
      <c r="J57">
        <f t="shared" si="1"/>
        <v>0</v>
      </c>
      <c r="K57" s="43">
        <f t="shared" si="2"/>
        <v>193247.24202744543</v>
      </c>
      <c r="L57">
        <f t="shared" si="3"/>
        <v>0</v>
      </c>
      <c r="M57">
        <f t="shared" si="4"/>
        <v>0</v>
      </c>
      <c r="N57" s="43">
        <f t="shared" si="5"/>
        <v>193247.24202744543</v>
      </c>
      <c r="O57">
        <f t="shared" si="6"/>
        <v>0</v>
      </c>
      <c r="P57">
        <f t="shared" si="7"/>
        <v>0</v>
      </c>
      <c r="Q57" s="43">
        <f t="shared" si="8"/>
        <v>193247.24202744543</v>
      </c>
      <c r="R57">
        <f t="shared" si="9"/>
        <v>0</v>
      </c>
      <c r="S57">
        <f t="shared" si="10"/>
        <v>0</v>
      </c>
      <c r="T57" s="43">
        <f t="shared" si="11"/>
        <v>193247.24202744543</v>
      </c>
      <c r="U57">
        <f t="shared" si="12"/>
        <v>0</v>
      </c>
      <c r="V57">
        <f t="shared" si="13"/>
        <v>0</v>
      </c>
      <c r="W57" s="43">
        <f t="shared" si="14"/>
        <v>193247.24202744543</v>
      </c>
      <c r="X57" s="43">
        <f t="shared" si="15"/>
        <v>0</v>
      </c>
      <c r="Y57" s="27">
        <f t="shared" si="16"/>
        <v>1517.7997953654126</v>
      </c>
      <c r="Z57" s="27">
        <f t="shared" si="17"/>
        <v>191729.44223208001</v>
      </c>
      <c r="AA57">
        <f t="shared" si="18"/>
        <v>0</v>
      </c>
      <c r="AB57" s="27">
        <f t="shared" si="19"/>
        <v>191729.44223208001</v>
      </c>
      <c r="AD57" s="27">
        <f t="shared" si="20"/>
        <v>0</v>
      </c>
      <c r="AE57" s="27">
        <f t="shared" si="21"/>
        <v>191729.44223208001</v>
      </c>
      <c r="AF57" s="50"/>
      <c r="AG57" t="str">
        <f t="shared" si="22"/>
        <v>5301920</v>
      </c>
    </row>
    <row r="58" spans="1:33" x14ac:dyDescent="0.25">
      <c r="A58" s="7" t="s">
        <v>114</v>
      </c>
      <c r="B58" s="2" t="s">
        <v>766</v>
      </c>
      <c r="C58" s="4" t="s">
        <v>765</v>
      </c>
      <c r="D58" s="30">
        <f>_xlfn.IFNA(VLOOKUP(A58,'Prior Year data'!$A$1:$V$318,13,FALSE),0)</f>
        <v>0</v>
      </c>
      <c r="E58">
        <f>VLOOKUP(A58,'Basic HH'!$B$1:$Y$318,23,FALSE)</f>
        <v>8794.6209107783925</v>
      </c>
      <c r="F58">
        <f>VLOOKUP(A58,'Conc. HH'!$B$1:$Y$318,23,FALSE)</f>
        <v>0</v>
      </c>
      <c r="G58">
        <f>VLOOKUP(A58,'Targeted HH'!$B$1:$Y$318,23,FALSE)</f>
        <v>4253.2200084005408</v>
      </c>
      <c r="H58">
        <f>VLOOKUP(A58,'EFIG HH'!$B$1:$Y$318,23,FALSE)</f>
        <v>5643.9156583300637</v>
      </c>
      <c r="I58">
        <f t="shared" si="0"/>
        <v>18691.756577508997</v>
      </c>
      <c r="J58">
        <f t="shared" si="1"/>
        <v>18691.756577508997</v>
      </c>
      <c r="K58" s="43">
        <f t="shared" si="2"/>
        <v>16909.019921473136</v>
      </c>
      <c r="L58">
        <f t="shared" si="3"/>
        <v>0</v>
      </c>
      <c r="M58">
        <f t="shared" si="4"/>
        <v>16909.019921473136</v>
      </c>
      <c r="N58" s="43">
        <f t="shared" si="5"/>
        <v>10811.910566876026</v>
      </c>
      <c r="O58">
        <f t="shared" si="6"/>
        <v>0</v>
      </c>
      <c r="P58">
        <f t="shared" si="7"/>
        <v>10811.910566876026</v>
      </c>
      <c r="Q58" s="43">
        <f t="shared" si="8"/>
        <v>10811.910566876026</v>
      </c>
      <c r="R58">
        <f t="shared" si="9"/>
        <v>0</v>
      </c>
      <c r="S58">
        <f t="shared" si="10"/>
        <v>10811.910566876026</v>
      </c>
      <c r="T58" s="43">
        <f t="shared" si="11"/>
        <v>10811.910566876026</v>
      </c>
      <c r="U58">
        <f t="shared" si="12"/>
        <v>0</v>
      </c>
      <c r="V58">
        <f t="shared" si="13"/>
        <v>10811.910566876026</v>
      </c>
      <c r="W58" s="43">
        <f t="shared" si="14"/>
        <v>10811.910566876026</v>
      </c>
      <c r="X58" s="43">
        <f t="shared" si="15"/>
        <v>7879.8460106329712</v>
      </c>
      <c r="Y58" s="27">
        <f t="shared" si="16"/>
        <v>84.918757306678359</v>
      </c>
      <c r="Z58" s="27">
        <f t="shared" si="17"/>
        <v>10726.991809569347</v>
      </c>
      <c r="AA58">
        <f t="shared" si="18"/>
        <v>0</v>
      </c>
      <c r="AB58" s="27">
        <f t="shared" si="19"/>
        <v>10726.991809569347</v>
      </c>
      <c r="AD58" s="27">
        <f t="shared" si="20"/>
        <v>0</v>
      </c>
      <c r="AE58" s="27">
        <f t="shared" si="21"/>
        <v>10726.991809569347</v>
      </c>
      <c r="AF58" s="50"/>
      <c r="AG58" t="str">
        <f t="shared" si="22"/>
        <v>5301950</v>
      </c>
    </row>
    <row r="59" spans="1:33" x14ac:dyDescent="0.25">
      <c r="A59" s="7" t="s">
        <v>271</v>
      </c>
      <c r="B59" s="2" t="s">
        <v>768</v>
      </c>
      <c r="C59" s="4" t="s">
        <v>767</v>
      </c>
      <c r="D59" s="30">
        <f>_xlfn.IFNA(VLOOKUP(A59,'Prior Year data'!$A$1:$V$318,13,FALSE),0)</f>
        <v>118045.61831817124</v>
      </c>
      <c r="E59">
        <f>VLOOKUP(A59,'Basic HH'!$B$1:$Y$318,23,FALSE)</f>
        <v>41181.502949474343</v>
      </c>
      <c r="F59">
        <f>VLOOKUP(A59,'Conc. HH'!$B$1:$Y$318,23,FALSE)</f>
        <v>10785.663532014591</v>
      </c>
      <c r="G59">
        <f>VLOOKUP(A59,'Targeted HH'!$B$1:$Y$318,23,FALSE)</f>
        <v>20658.797667798557</v>
      </c>
      <c r="H59">
        <f>VLOOKUP(A59,'EFIG HH'!$B$1:$Y$318,23,FALSE)</f>
        <v>28487.111536336506</v>
      </c>
      <c r="I59">
        <f t="shared" si="0"/>
        <v>101113.075685624</v>
      </c>
      <c r="J59">
        <f t="shared" si="1"/>
        <v>0</v>
      </c>
      <c r="K59" s="43">
        <f t="shared" si="2"/>
        <v>101113.075685624</v>
      </c>
      <c r="L59">
        <f t="shared" si="3"/>
        <v>0</v>
      </c>
      <c r="M59">
        <f t="shared" si="4"/>
        <v>0</v>
      </c>
      <c r="N59" s="43">
        <f t="shared" si="5"/>
        <v>101113.075685624</v>
      </c>
      <c r="O59">
        <f t="shared" si="6"/>
        <v>0</v>
      </c>
      <c r="P59">
        <f t="shared" si="7"/>
        <v>0</v>
      </c>
      <c r="Q59" s="43">
        <f t="shared" si="8"/>
        <v>101113.075685624</v>
      </c>
      <c r="R59">
        <f t="shared" si="9"/>
        <v>0</v>
      </c>
      <c r="S59">
        <f t="shared" si="10"/>
        <v>0</v>
      </c>
      <c r="T59" s="43">
        <f t="shared" si="11"/>
        <v>101113.075685624</v>
      </c>
      <c r="U59">
        <f t="shared" si="12"/>
        <v>0</v>
      </c>
      <c r="V59">
        <f t="shared" si="13"/>
        <v>0</v>
      </c>
      <c r="W59" s="43">
        <f t="shared" si="14"/>
        <v>101113.075685624</v>
      </c>
      <c r="X59" s="43">
        <f t="shared" si="15"/>
        <v>0</v>
      </c>
      <c r="Y59" s="27">
        <f t="shared" si="16"/>
        <v>794.16091000466383</v>
      </c>
      <c r="Z59" s="27">
        <f t="shared" si="17"/>
        <v>100318.91477561934</v>
      </c>
      <c r="AA59">
        <f t="shared" si="18"/>
        <v>0</v>
      </c>
      <c r="AB59" s="27">
        <f t="shared" si="19"/>
        <v>100318.91477561934</v>
      </c>
      <c r="AD59" s="27">
        <f t="shared" si="20"/>
        <v>0</v>
      </c>
      <c r="AE59" s="27">
        <f t="shared" si="21"/>
        <v>100318.91477561934</v>
      </c>
      <c r="AF59" s="50"/>
      <c r="AG59" t="str">
        <f t="shared" si="22"/>
        <v>5301980</v>
      </c>
    </row>
    <row r="60" spans="1:33" x14ac:dyDescent="0.25">
      <c r="A60" s="7" t="s">
        <v>369</v>
      </c>
      <c r="B60" s="2" t="s">
        <v>770</v>
      </c>
      <c r="C60" s="4" t="s">
        <v>769</v>
      </c>
      <c r="D60" s="30">
        <f>_xlfn.IFNA(VLOOKUP(A60,'Prior Year data'!$A$1:$V$318,13,FALSE),0)</f>
        <v>162403.89558536935</v>
      </c>
      <c r="E60">
        <f>VLOOKUP(A60,'Basic HH'!$B$1:$Y$318,23,FALSE)</f>
        <v>100258.67838287368</v>
      </c>
      <c r="F60">
        <f>VLOOKUP(A60,'Conc. HH'!$B$1:$Y$318,23,FALSE)</f>
        <v>27027.120514069909</v>
      </c>
      <c r="G60">
        <f>VLOOKUP(A60,'Targeted HH'!$B$1:$Y$318,23,FALSE)</f>
        <v>55628.800198272547</v>
      </c>
      <c r="H60">
        <f>VLOOKUP(A60,'EFIG HH'!$B$1:$Y$318,23,FALSE)</f>
        <v>73818.014556743714</v>
      </c>
      <c r="I60">
        <f t="shared" si="0"/>
        <v>256732.61365195987</v>
      </c>
      <c r="J60">
        <f t="shared" si="1"/>
        <v>256732.61365195987</v>
      </c>
      <c r="K60" s="43">
        <f t="shared" si="2"/>
        <v>232246.59815847987</v>
      </c>
      <c r="L60">
        <f t="shared" si="3"/>
        <v>0</v>
      </c>
      <c r="M60">
        <f t="shared" si="4"/>
        <v>69842.702573110524</v>
      </c>
      <c r="N60" s="43">
        <f t="shared" si="5"/>
        <v>207062.48948828579</v>
      </c>
      <c r="O60">
        <f t="shared" si="6"/>
        <v>0</v>
      </c>
      <c r="P60">
        <f t="shared" si="7"/>
        <v>44658.593902916444</v>
      </c>
      <c r="Q60" s="43">
        <f t="shared" si="8"/>
        <v>207062.48948828579</v>
      </c>
      <c r="R60">
        <f t="shared" si="9"/>
        <v>0</v>
      </c>
      <c r="S60">
        <f t="shared" si="10"/>
        <v>44658.593902916444</v>
      </c>
      <c r="T60" s="43">
        <f t="shared" si="11"/>
        <v>207062.48948828579</v>
      </c>
      <c r="U60">
        <f t="shared" si="12"/>
        <v>0</v>
      </c>
      <c r="V60">
        <f t="shared" si="13"/>
        <v>44658.593902916444</v>
      </c>
      <c r="W60" s="43">
        <f t="shared" si="14"/>
        <v>207062.48948828579</v>
      </c>
      <c r="X60" s="43">
        <f t="shared" si="15"/>
        <v>49670.124163674074</v>
      </c>
      <c r="Y60" s="27">
        <f t="shared" si="16"/>
        <v>1626.3073194521367</v>
      </c>
      <c r="Z60" s="27">
        <f t="shared" si="17"/>
        <v>205436.18216883365</v>
      </c>
      <c r="AA60">
        <f t="shared" si="18"/>
        <v>0</v>
      </c>
      <c r="AB60" s="27">
        <f t="shared" si="19"/>
        <v>205436.18216883365</v>
      </c>
      <c r="AD60" s="27">
        <f t="shared" si="20"/>
        <v>0</v>
      </c>
      <c r="AE60" s="27">
        <f t="shared" si="21"/>
        <v>205436.18216883365</v>
      </c>
      <c r="AF60" s="50"/>
      <c r="AG60" t="str">
        <f t="shared" si="22"/>
        <v>5302010</v>
      </c>
    </row>
    <row r="61" spans="1:33" x14ac:dyDescent="0.25">
      <c r="A61" s="7" t="s">
        <v>371</v>
      </c>
      <c r="B61" s="2" t="s">
        <v>772</v>
      </c>
      <c r="C61" s="4" t="s">
        <v>771</v>
      </c>
      <c r="D61" s="30">
        <f>_xlfn.IFNA(VLOOKUP(A61,'Prior Year data'!$A$1:$V$318,13,FALSE),0)</f>
        <v>182723.93909874393</v>
      </c>
      <c r="E61">
        <f>VLOOKUP(A61,'Basic HH'!$B$1:$Y$318,23,FALSE)</f>
        <v>81789.974470239045</v>
      </c>
      <c r="F61">
        <f>VLOOKUP(A61,'Conc. HH'!$B$1:$Y$318,23,FALSE)</f>
        <v>22048.440419372819</v>
      </c>
      <c r="G61">
        <f>VLOOKUP(A61,'Targeted HH'!$B$1:$Y$318,23,FALSE)</f>
        <v>43675.933476464423</v>
      </c>
      <c r="H61">
        <f>VLOOKUP(A61,'EFIG HH'!$B$1:$Y$318,23,FALSE)</f>
        <v>57956.861942982163</v>
      </c>
      <c r="I61">
        <f t="shared" si="0"/>
        <v>205471.21030905843</v>
      </c>
      <c r="J61">
        <f t="shared" si="1"/>
        <v>205471.21030905843</v>
      </c>
      <c r="K61" s="43">
        <f t="shared" si="2"/>
        <v>185874.27960545797</v>
      </c>
      <c r="L61">
        <f t="shared" si="3"/>
        <v>0</v>
      </c>
      <c r="M61">
        <f t="shared" si="4"/>
        <v>3150.3405067140411</v>
      </c>
      <c r="N61" s="43">
        <f t="shared" si="5"/>
        <v>184738.31958749975</v>
      </c>
      <c r="O61">
        <f t="shared" si="6"/>
        <v>0</v>
      </c>
      <c r="P61">
        <f t="shared" si="7"/>
        <v>2014.3804887558217</v>
      </c>
      <c r="Q61" s="43">
        <f t="shared" si="8"/>
        <v>184738.31958749975</v>
      </c>
      <c r="R61">
        <f t="shared" si="9"/>
        <v>0</v>
      </c>
      <c r="S61">
        <f t="shared" si="10"/>
        <v>2014.3804887558217</v>
      </c>
      <c r="T61" s="43">
        <f t="shared" si="11"/>
        <v>184738.31958749975</v>
      </c>
      <c r="U61">
        <f t="shared" si="12"/>
        <v>0</v>
      </c>
      <c r="V61">
        <f t="shared" si="13"/>
        <v>2014.3804887558217</v>
      </c>
      <c r="W61" s="43">
        <f t="shared" si="14"/>
        <v>184738.31958749975</v>
      </c>
      <c r="X61" s="43">
        <f t="shared" si="15"/>
        <v>20732.890721558681</v>
      </c>
      <c r="Y61" s="27">
        <f t="shared" si="16"/>
        <v>1450.9691353123419</v>
      </c>
      <c r="Z61" s="27">
        <f t="shared" si="17"/>
        <v>183287.35045218741</v>
      </c>
      <c r="AA61">
        <f t="shared" si="18"/>
        <v>0</v>
      </c>
      <c r="AB61" s="27">
        <f t="shared" si="19"/>
        <v>183287.35045218741</v>
      </c>
      <c r="AD61" s="27">
        <f t="shared" si="20"/>
        <v>0</v>
      </c>
      <c r="AE61" s="27">
        <f t="shared" si="21"/>
        <v>183287.35045218741</v>
      </c>
      <c r="AF61" s="50"/>
      <c r="AG61" t="str">
        <f t="shared" si="22"/>
        <v>5302040</v>
      </c>
    </row>
    <row r="62" spans="1:33" x14ac:dyDescent="0.25">
      <c r="A62" s="7" t="s">
        <v>373</v>
      </c>
      <c r="B62" s="2" t="s">
        <v>774</v>
      </c>
      <c r="C62" s="4" t="s">
        <v>773</v>
      </c>
      <c r="D62" s="30">
        <f>_xlfn.IFNA(VLOOKUP(A62,'Prior Year data'!$A$1:$V$318,13,FALSE),0)</f>
        <v>523901.69930466951</v>
      </c>
      <c r="E62">
        <f>VLOOKUP(A62,'Basic HH'!$B$1:$Y$318,23,FALSE)</f>
        <v>210191.43976760362</v>
      </c>
      <c r="F62">
        <f>VLOOKUP(A62,'Conc. HH'!$B$1:$Y$318,23,FALSE)</f>
        <v>0</v>
      </c>
      <c r="G62">
        <f>VLOOKUP(A62,'Targeted HH'!$B$1:$Y$318,23,FALSE)</f>
        <v>101651.95820077299</v>
      </c>
      <c r="H62">
        <f>VLOOKUP(A62,'EFIG HH'!$B$1:$Y$318,23,FALSE)</f>
        <v>138145.96522165308</v>
      </c>
      <c r="I62">
        <f t="shared" si="0"/>
        <v>449989.36319002975</v>
      </c>
      <c r="J62">
        <f t="shared" si="1"/>
        <v>0</v>
      </c>
      <c r="K62" s="43">
        <f t="shared" si="2"/>
        <v>449989.36319002975</v>
      </c>
      <c r="L62">
        <f t="shared" si="3"/>
        <v>0</v>
      </c>
      <c r="M62">
        <f t="shared" si="4"/>
        <v>0</v>
      </c>
      <c r="N62" s="43">
        <f t="shared" si="5"/>
        <v>449989.36319002975</v>
      </c>
      <c r="O62">
        <f t="shared" si="6"/>
        <v>0</v>
      </c>
      <c r="P62">
        <f t="shared" si="7"/>
        <v>0</v>
      </c>
      <c r="Q62" s="43">
        <f t="shared" si="8"/>
        <v>449989.36319002975</v>
      </c>
      <c r="R62">
        <f t="shared" si="9"/>
        <v>0</v>
      </c>
      <c r="S62">
        <f t="shared" si="10"/>
        <v>0</v>
      </c>
      <c r="T62" s="43">
        <f t="shared" si="11"/>
        <v>449989.36319002975</v>
      </c>
      <c r="U62">
        <f t="shared" si="12"/>
        <v>0</v>
      </c>
      <c r="V62">
        <f t="shared" si="13"/>
        <v>0</v>
      </c>
      <c r="W62" s="43">
        <f t="shared" si="14"/>
        <v>449989.36319002975</v>
      </c>
      <c r="X62" s="43">
        <f t="shared" si="15"/>
        <v>0</v>
      </c>
      <c r="Y62" s="27">
        <f t="shared" si="16"/>
        <v>3534.3001856111309</v>
      </c>
      <c r="Z62" s="27">
        <f t="shared" si="17"/>
        <v>446455.06300441863</v>
      </c>
      <c r="AA62">
        <f t="shared" si="18"/>
        <v>0</v>
      </c>
      <c r="AB62" s="27">
        <f t="shared" si="19"/>
        <v>446455.06300441863</v>
      </c>
      <c r="AD62" s="27">
        <f t="shared" si="20"/>
        <v>0</v>
      </c>
      <c r="AE62" s="27">
        <f t="shared" si="21"/>
        <v>446455.06300441863</v>
      </c>
      <c r="AF62" s="50"/>
      <c r="AG62" t="str">
        <f t="shared" si="22"/>
        <v>5302070</v>
      </c>
    </row>
    <row r="63" spans="1:33" x14ac:dyDescent="0.25">
      <c r="A63" s="7" t="s">
        <v>273</v>
      </c>
      <c r="B63" s="2" t="s">
        <v>776</v>
      </c>
      <c r="C63" s="4" t="s">
        <v>775</v>
      </c>
      <c r="D63" s="30">
        <f>_xlfn.IFNA(VLOOKUP(A63,'Prior Year data'!$A$1:$V$318,13,FALSE),0)</f>
        <v>79007.780298826096</v>
      </c>
      <c r="E63">
        <f>VLOOKUP(A63,'Basic HH'!$B$1:$Y$318,23,FALSE)</f>
        <v>113450.60974904128</v>
      </c>
      <c r="F63">
        <f>VLOOKUP(A63,'Conc. HH'!$B$1:$Y$318,23,FALSE)</f>
        <v>0</v>
      </c>
      <c r="G63">
        <f>VLOOKUP(A63,'Targeted HH'!$B$1:$Y$318,23,FALSE)</f>
        <v>54866.538108367007</v>
      </c>
      <c r="H63">
        <f>VLOOKUP(A63,'EFIG HH'!$B$1:$Y$318,23,FALSE)</f>
        <v>72806.511992457832</v>
      </c>
      <c r="I63">
        <f t="shared" si="0"/>
        <v>241123.65984986612</v>
      </c>
      <c r="J63">
        <f t="shared" si="1"/>
        <v>241123.65984986612</v>
      </c>
      <c r="K63" s="43">
        <f t="shared" si="2"/>
        <v>218126.3569870035</v>
      </c>
      <c r="L63">
        <f t="shared" si="3"/>
        <v>0</v>
      </c>
      <c r="M63">
        <f t="shared" si="4"/>
        <v>139118.57668817742</v>
      </c>
      <c r="N63" s="43">
        <f t="shared" si="5"/>
        <v>167962.52849410858</v>
      </c>
      <c r="O63">
        <f t="shared" si="6"/>
        <v>0</v>
      </c>
      <c r="P63">
        <f t="shared" si="7"/>
        <v>88954.748195282489</v>
      </c>
      <c r="Q63" s="43">
        <f t="shared" si="8"/>
        <v>167962.52849410858</v>
      </c>
      <c r="R63">
        <f t="shared" si="9"/>
        <v>0</v>
      </c>
      <c r="S63">
        <f t="shared" si="10"/>
        <v>88954.748195282489</v>
      </c>
      <c r="T63" s="43">
        <f t="shared" si="11"/>
        <v>167962.52849410858</v>
      </c>
      <c r="U63">
        <f t="shared" si="12"/>
        <v>0</v>
      </c>
      <c r="V63">
        <f t="shared" si="13"/>
        <v>88954.748195282489</v>
      </c>
      <c r="W63" s="43">
        <f t="shared" si="14"/>
        <v>167962.52849410858</v>
      </c>
      <c r="X63" s="43">
        <f t="shared" si="15"/>
        <v>73161.131355757534</v>
      </c>
      <c r="Y63" s="27">
        <f t="shared" si="16"/>
        <v>1319.2089506830273</v>
      </c>
      <c r="Z63" s="27">
        <f t="shared" si="17"/>
        <v>166643.31954342555</v>
      </c>
      <c r="AA63">
        <f t="shared" si="18"/>
        <v>0</v>
      </c>
      <c r="AB63" s="27">
        <f t="shared" si="19"/>
        <v>166643.31954342555</v>
      </c>
      <c r="AD63" s="27">
        <f t="shared" si="20"/>
        <v>0</v>
      </c>
      <c r="AE63" s="27">
        <f t="shared" si="21"/>
        <v>166643.31954342555</v>
      </c>
      <c r="AF63" s="50"/>
      <c r="AG63" t="str">
        <f t="shared" si="22"/>
        <v>5302130</v>
      </c>
    </row>
    <row r="64" spans="1:33" x14ac:dyDescent="0.25">
      <c r="A64" s="7" t="s">
        <v>375</v>
      </c>
      <c r="B64" s="2" t="s">
        <v>778</v>
      </c>
      <c r="C64" s="4" t="s">
        <v>777</v>
      </c>
      <c r="D64" s="30">
        <f>_xlfn.IFNA(VLOOKUP(A64,'Prior Year data'!$A$1:$V$318,13,FALSE),0)</f>
        <v>1225.7472204614485</v>
      </c>
      <c r="E64">
        <f>VLOOKUP(A64,'Basic HH'!$B$1:$Y$318,23,FALSE)</f>
        <v>0</v>
      </c>
      <c r="F64">
        <f>VLOOKUP(A64,'Conc. HH'!$B$1:$Y$318,23,FALSE)</f>
        <v>0</v>
      </c>
      <c r="G64">
        <f>VLOOKUP(A64,'Targeted HH'!$B$1:$Y$318,23,FALSE)</f>
        <v>0</v>
      </c>
      <c r="H64">
        <f>VLOOKUP(A64,'EFIG HH'!$B$1:$Y$318,23,FALSE)</f>
        <v>0</v>
      </c>
      <c r="I64">
        <f t="shared" si="0"/>
        <v>0</v>
      </c>
      <c r="J64">
        <f t="shared" si="1"/>
        <v>0</v>
      </c>
      <c r="K64" s="43">
        <f t="shared" si="2"/>
        <v>0</v>
      </c>
      <c r="L64">
        <f t="shared" si="3"/>
        <v>0</v>
      </c>
      <c r="M64">
        <f t="shared" si="4"/>
        <v>0</v>
      </c>
      <c r="N64" s="43">
        <f t="shared" si="5"/>
        <v>0</v>
      </c>
      <c r="O64">
        <f t="shared" si="6"/>
        <v>0</v>
      </c>
      <c r="P64">
        <f t="shared" si="7"/>
        <v>0</v>
      </c>
      <c r="Q64" s="43">
        <f t="shared" si="8"/>
        <v>0</v>
      </c>
      <c r="R64">
        <f t="shared" si="9"/>
        <v>0</v>
      </c>
      <c r="S64">
        <f t="shared" si="10"/>
        <v>0</v>
      </c>
      <c r="T64" s="43">
        <f t="shared" si="11"/>
        <v>0</v>
      </c>
      <c r="U64">
        <f t="shared" si="12"/>
        <v>0</v>
      </c>
      <c r="V64">
        <f t="shared" si="13"/>
        <v>0</v>
      </c>
      <c r="W64" s="43">
        <f t="shared" si="14"/>
        <v>0</v>
      </c>
      <c r="X64" s="43">
        <f t="shared" si="15"/>
        <v>0</v>
      </c>
      <c r="Y64" s="27">
        <f t="shared" si="16"/>
        <v>0</v>
      </c>
      <c r="Z64" s="27">
        <f t="shared" si="17"/>
        <v>0</v>
      </c>
      <c r="AA64">
        <f t="shared" si="18"/>
        <v>0</v>
      </c>
      <c r="AB64" s="27">
        <f t="shared" si="19"/>
        <v>0</v>
      </c>
      <c r="AD64" s="27">
        <f t="shared" si="20"/>
        <v>0</v>
      </c>
      <c r="AE64" s="27">
        <f t="shared" si="21"/>
        <v>0</v>
      </c>
      <c r="AF64" s="50"/>
      <c r="AG64" t="str">
        <f t="shared" si="22"/>
        <v>5302160</v>
      </c>
    </row>
    <row r="65" spans="1:33" x14ac:dyDescent="0.25">
      <c r="A65" s="7" t="s">
        <v>377</v>
      </c>
      <c r="B65" s="2" t="s">
        <v>780</v>
      </c>
      <c r="C65" s="4" t="s">
        <v>779</v>
      </c>
      <c r="D65" s="30">
        <f>_xlfn.IFNA(VLOOKUP(A65,'Prior Year data'!$A$1:$V$318,13,FALSE),0)</f>
        <v>1460467.660773457</v>
      </c>
      <c r="E65">
        <f>VLOOKUP(A65,'Basic HH'!$B$1:$Y$318,23,FALSE)</f>
        <v>503498.64099493972</v>
      </c>
      <c r="F65">
        <f>VLOOKUP(A65,'Conc. HH'!$B$1:$Y$318,23,FALSE)</f>
        <v>132663.59382071657</v>
      </c>
      <c r="G65">
        <f>VLOOKUP(A65,'Targeted HH'!$B$1:$Y$318,23,FALSE)</f>
        <v>258922.00162865661</v>
      </c>
      <c r="H65">
        <f>VLOOKUP(A65,'EFIG HH'!$B$1:$Y$318,23,FALSE)</f>
        <v>355892.96393061156</v>
      </c>
      <c r="I65">
        <f t="shared" si="0"/>
        <v>1250977.2003749246</v>
      </c>
      <c r="J65">
        <f t="shared" si="1"/>
        <v>0</v>
      </c>
      <c r="K65" s="43">
        <f t="shared" si="2"/>
        <v>1250977.2003749246</v>
      </c>
      <c r="L65">
        <f t="shared" si="3"/>
        <v>0</v>
      </c>
      <c r="M65">
        <f t="shared" si="4"/>
        <v>0</v>
      </c>
      <c r="N65" s="43">
        <f t="shared" si="5"/>
        <v>1250977.2003749246</v>
      </c>
      <c r="O65">
        <f t="shared" si="6"/>
        <v>0</v>
      </c>
      <c r="P65">
        <f t="shared" si="7"/>
        <v>0</v>
      </c>
      <c r="Q65" s="43">
        <f t="shared" si="8"/>
        <v>1250977.2003749246</v>
      </c>
      <c r="R65">
        <f t="shared" si="9"/>
        <v>0</v>
      </c>
      <c r="S65">
        <f t="shared" si="10"/>
        <v>0</v>
      </c>
      <c r="T65" s="43">
        <f t="shared" si="11"/>
        <v>1250977.2003749246</v>
      </c>
      <c r="U65">
        <f t="shared" si="12"/>
        <v>0</v>
      </c>
      <c r="V65">
        <f t="shared" si="13"/>
        <v>0</v>
      </c>
      <c r="W65" s="43">
        <f t="shared" si="14"/>
        <v>1250977.2003749246</v>
      </c>
      <c r="X65" s="43">
        <f t="shared" si="15"/>
        <v>0</v>
      </c>
      <c r="Y65" s="27">
        <f t="shared" si="16"/>
        <v>9825.4076943886994</v>
      </c>
      <c r="Z65" s="27">
        <f t="shared" si="17"/>
        <v>1241151.7926805359</v>
      </c>
      <c r="AA65">
        <f t="shared" si="18"/>
        <v>0</v>
      </c>
      <c r="AB65" s="27">
        <f t="shared" si="19"/>
        <v>1241151.7926805359</v>
      </c>
      <c r="AD65" s="27">
        <f t="shared" si="20"/>
        <v>0</v>
      </c>
      <c r="AE65" s="27">
        <f t="shared" si="21"/>
        <v>1241151.7926805359</v>
      </c>
      <c r="AF65" s="50"/>
      <c r="AG65" t="str">
        <f t="shared" si="22"/>
        <v>5302280</v>
      </c>
    </row>
    <row r="66" spans="1:33" x14ac:dyDescent="0.25">
      <c r="A66" s="7" t="s">
        <v>379</v>
      </c>
      <c r="B66" s="2" t="s">
        <v>782</v>
      </c>
      <c r="C66" s="4" t="s">
        <v>781</v>
      </c>
      <c r="D66" s="30">
        <f>_xlfn.IFNA(VLOOKUP(A66,'Prior Year data'!$A$1:$V$318,13,FALSE),0)</f>
        <v>808043.28509646666</v>
      </c>
      <c r="E66">
        <f>VLOOKUP(A66,'Basic HH'!$B$1:$Y$318,23,FALSE)</f>
        <v>461717.59781586565</v>
      </c>
      <c r="F66">
        <f>VLOOKUP(A66,'Conc. HH'!$B$1:$Y$318,23,FALSE)</f>
        <v>0</v>
      </c>
      <c r="G66">
        <f>VLOOKUP(A66,'Targeted HH'!$B$1:$Y$318,23,FALSE)</f>
        <v>223294.05044102852</v>
      </c>
      <c r="H66">
        <f>VLOOKUP(A66,'EFIG HH'!$B$1:$Y$318,23,FALSE)</f>
        <v>296305.57206232828</v>
      </c>
      <c r="I66">
        <f t="shared" si="0"/>
        <v>981317.22031922243</v>
      </c>
      <c r="J66">
        <f t="shared" si="1"/>
        <v>981317.22031922243</v>
      </c>
      <c r="K66" s="43">
        <f t="shared" si="2"/>
        <v>887723.54587733967</v>
      </c>
      <c r="L66">
        <f t="shared" si="3"/>
        <v>0</v>
      </c>
      <c r="M66">
        <f t="shared" si="4"/>
        <v>79680.26078087301</v>
      </c>
      <c r="N66" s="43">
        <f t="shared" si="5"/>
        <v>858992.17849827325</v>
      </c>
      <c r="O66">
        <f t="shared" si="6"/>
        <v>0</v>
      </c>
      <c r="P66">
        <f t="shared" si="7"/>
        <v>50948.893401806592</v>
      </c>
      <c r="Q66" s="43">
        <f t="shared" si="8"/>
        <v>858992.17849827325</v>
      </c>
      <c r="R66">
        <f t="shared" si="9"/>
        <v>0</v>
      </c>
      <c r="S66">
        <f t="shared" si="10"/>
        <v>50948.893401806592</v>
      </c>
      <c r="T66" s="43">
        <f t="shared" si="11"/>
        <v>858992.17849827325</v>
      </c>
      <c r="U66">
        <f t="shared" si="12"/>
        <v>0</v>
      </c>
      <c r="V66">
        <f t="shared" si="13"/>
        <v>50948.893401806592</v>
      </c>
      <c r="W66" s="43">
        <f t="shared" si="14"/>
        <v>858992.17849827325</v>
      </c>
      <c r="X66" s="43">
        <f t="shared" si="15"/>
        <v>122325.04182094918</v>
      </c>
      <c r="Y66" s="27">
        <f t="shared" si="16"/>
        <v>6746.6843980107278</v>
      </c>
      <c r="Z66" s="27">
        <f t="shared" si="17"/>
        <v>852245.49410026253</v>
      </c>
      <c r="AA66">
        <f t="shared" si="18"/>
        <v>0</v>
      </c>
      <c r="AB66" s="27">
        <f t="shared" si="19"/>
        <v>852245.49410026253</v>
      </c>
      <c r="AD66" s="27">
        <f t="shared" si="20"/>
        <v>0</v>
      </c>
      <c r="AE66" s="27">
        <f t="shared" si="21"/>
        <v>852245.49410026253</v>
      </c>
      <c r="AF66" s="50"/>
      <c r="AG66" t="str">
        <f t="shared" si="22"/>
        <v>5305370</v>
      </c>
    </row>
    <row r="67" spans="1:33" x14ac:dyDescent="0.25">
      <c r="A67" s="7" t="s">
        <v>381</v>
      </c>
      <c r="B67" s="2" t="s">
        <v>784</v>
      </c>
      <c r="C67" s="4" t="s">
        <v>783</v>
      </c>
      <c r="D67" s="30">
        <f>_xlfn.IFNA(VLOOKUP(A67,'Prior Year data'!$A$1:$V$318,13,FALSE),0)</f>
        <v>1512342.0462454045</v>
      </c>
      <c r="E67">
        <f>VLOOKUP(A67,'Basic HH'!$B$1:$Y$318,23,FALSE)</f>
        <v>733471.38395891828</v>
      </c>
      <c r="F67">
        <f>VLOOKUP(A67,'Conc. HH'!$B$1:$Y$318,23,FALSE)</f>
        <v>0</v>
      </c>
      <c r="G67">
        <f>VLOOKUP(A67,'Targeted HH'!$B$1:$Y$318,23,FALSE)</f>
        <v>385129.07176066918</v>
      </c>
      <c r="H67">
        <f>VLOOKUP(A67,'EFIG HH'!$B$1:$Y$318,23,FALSE)</f>
        <v>511056.56286178721</v>
      </c>
      <c r="I67">
        <f t="shared" si="0"/>
        <v>1629657.0185813745</v>
      </c>
      <c r="J67">
        <f t="shared" si="1"/>
        <v>1629657.0185813745</v>
      </c>
      <c r="K67" s="43">
        <f t="shared" si="2"/>
        <v>1474227.5761026032</v>
      </c>
      <c r="L67">
        <f t="shared" si="3"/>
        <v>38114.470142801292</v>
      </c>
      <c r="M67">
        <f t="shared" si="4"/>
        <v>0</v>
      </c>
      <c r="N67" s="43">
        <f t="shared" si="5"/>
        <v>1512342.0462454045</v>
      </c>
      <c r="O67">
        <f t="shared" si="6"/>
        <v>0</v>
      </c>
      <c r="P67">
        <f t="shared" si="7"/>
        <v>0</v>
      </c>
      <c r="Q67" s="43">
        <f t="shared" si="8"/>
        <v>1512342.0462454045</v>
      </c>
      <c r="R67">
        <f t="shared" si="9"/>
        <v>0</v>
      </c>
      <c r="S67">
        <f t="shared" si="10"/>
        <v>0</v>
      </c>
      <c r="T67" s="43">
        <f t="shared" si="11"/>
        <v>1512342.0462454045</v>
      </c>
      <c r="U67">
        <f t="shared" si="12"/>
        <v>0</v>
      </c>
      <c r="V67">
        <f t="shared" si="13"/>
        <v>0</v>
      </c>
      <c r="W67" s="43">
        <f t="shared" si="14"/>
        <v>1512342.0462454045</v>
      </c>
      <c r="X67" s="43">
        <f t="shared" si="15"/>
        <v>117314.97233597003</v>
      </c>
      <c r="Y67" s="27">
        <f t="shared" si="16"/>
        <v>11878.215824615916</v>
      </c>
      <c r="Z67" s="27">
        <f t="shared" si="17"/>
        <v>1500463.8304207886</v>
      </c>
      <c r="AA67">
        <f t="shared" si="18"/>
        <v>0</v>
      </c>
      <c r="AB67" s="27">
        <f t="shared" si="19"/>
        <v>1500463.8304207886</v>
      </c>
      <c r="AD67" s="27">
        <f t="shared" si="20"/>
        <v>0</v>
      </c>
      <c r="AE67" s="27">
        <f t="shared" si="21"/>
        <v>1500463.8304207886</v>
      </c>
      <c r="AF67" s="50"/>
      <c r="AG67" t="str">
        <f t="shared" si="22"/>
        <v>5302310</v>
      </c>
    </row>
    <row r="68" spans="1:33" x14ac:dyDescent="0.25">
      <c r="A68" s="7" t="s">
        <v>116</v>
      </c>
      <c r="B68" s="2" t="s">
        <v>786</v>
      </c>
      <c r="C68" s="4" t="s">
        <v>785</v>
      </c>
      <c r="D68" s="30">
        <f>_xlfn.IFNA(VLOOKUP(A68,'Prior Year data'!$A$1:$V$318,13,FALSE),0)</f>
        <v>30231.260552577445</v>
      </c>
      <c r="E68">
        <f>VLOOKUP(A68,'Basic HH'!$B$1:$Y$318,23,FALSE)</f>
        <v>15511.526217344319</v>
      </c>
      <c r="F68">
        <f>VLOOKUP(A68,'Conc. HH'!$B$1:$Y$318,23,FALSE)</f>
        <v>0</v>
      </c>
      <c r="G68">
        <f>VLOOKUP(A68,'Targeted HH'!$B$1:$Y$318,23,FALSE)</f>
        <v>7482.7466204378024</v>
      </c>
      <c r="H68">
        <f>VLOOKUP(A68,'EFIG HH'!$B$1:$Y$318,23,FALSE)</f>
        <v>10150.123256877316</v>
      </c>
      <c r="I68">
        <f t="shared" ref="I68:I131" si="23">SUM(E68:H68)</f>
        <v>33144.396094659438</v>
      </c>
      <c r="J68">
        <f t="shared" ref="J68:J131" si="24">IF(I68&lt;D68,0,I68)</f>
        <v>33144.396094659438</v>
      </c>
      <c r="K68" s="43">
        <f t="shared" ref="K68:K131" si="25">IF(J68=0,I68,I68-$K$1*J68/$J$3)</f>
        <v>29983.230924596231</v>
      </c>
      <c r="L68">
        <f t="shared" ref="L68:L131" si="26">IF($J68=0,0,IF(K68&lt;$D68,$D68-K68,0))</f>
        <v>248.02962798121371</v>
      </c>
      <c r="M68">
        <f t="shared" ref="M68:M131" si="27">IF($J68=0,0,IF(L68&gt;0,0,K68-$D68))</f>
        <v>0</v>
      </c>
      <c r="N68" s="43">
        <f t="shared" ref="N68:N131" si="28">IF(L68&gt;0,L68+K68,K68-$L$3*M68/$M$3)</f>
        <v>30231.260552577445</v>
      </c>
      <c r="O68">
        <f t="shared" ref="O68:O131" si="29">IF($J68=0,0,IF(N68&lt;$D68,$D68-N68,0))</f>
        <v>0</v>
      </c>
      <c r="P68">
        <f t="shared" ref="P68:P131" si="30">IF($J68=0,0,IF(O68&gt;0,0,N68-$D68))</f>
        <v>0</v>
      </c>
      <c r="Q68" s="43">
        <f t="shared" ref="Q68:Q131" si="31">IF(O68&gt;0,O68+N68,N68-$O$3*P68/$P$3)</f>
        <v>30231.260552577445</v>
      </c>
      <c r="R68">
        <f t="shared" ref="R68:R131" si="32">IF($J68=0,0,IF(Q68&lt;$D68,$D68-Q68,0))</f>
        <v>0</v>
      </c>
      <c r="S68">
        <f t="shared" ref="S68:S131" si="33">IF($J68=0,0,IF(R68&gt;0,0,Q68-$D68))</f>
        <v>0</v>
      </c>
      <c r="T68" s="43">
        <f t="shared" ref="T68:T131" si="34">IF(R68&gt;0,R68+Q68,Q68-$R$3*S68/$S$3)</f>
        <v>30231.260552577445</v>
      </c>
      <c r="U68">
        <f t="shared" ref="U68:U131" si="35">IF($J68=0,0,IF(T68&lt;$D68,$D68-T68,0))</f>
        <v>0</v>
      </c>
      <c r="V68">
        <f t="shared" ref="V68:V131" si="36">IF($J68=0,0,IF(U68&gt;0,0,T68-$D68))</f>
        <v>0</v>
      </c>
      <c r="W68" s="43">
        <f t="shared" ref="W68:W131" si="37">IF(U68&gt;0,U68+T68,T68-$U$3*V68/$V$3)</f>
        <v>30231.260552577445</v>
      </c>
      <c r="X68" s="43">
        <f t="shared" ref="X68:X131" si="38">I68-W68</f>
        <v>2913.1355420819928</v>
      </c>
      <c r="Y68" s="27">
        <f t="shared" ref="Y68:Y131" si="39">W68/$W$3*$Y$1</f>
        <v>237.4419453490768</v>
      </c>
      <c r="Z68" s="27">
        <f t="shared" ref="Z68:Z131" si="40">W68-Y68</f>
        <v>29993.818607228368</v>
      </c>
      <c r="AA68">
        <f t="shared" ref="AA68:AA131" si="41">Z68/$Z$3*$AA$1</f>
        <v>0</v>
      </c>
      <c r="AB68" s="27">
        <f t="shared" ref="AB68:AB131" si="42">Z68-AA68</f>
        <v>29993.818607228368</v>
      </c>
      <c r="AD68" s="27">
        <f t="shared" ref="AD68:AD131" si="43">IF(AC68&gt;0,AC68*AB68,0)</f>
        <v>0</v>
      </c>
      <c r="AE68" s="27">
        <f t="shared" ref="AE68:AE131" si="44">AB68-AD68</f>
        <v>29993.818607228368</v>
      </c>
      <c r="AF68" s="50"/>
      <c r="AG68" t="str">
        <f t="shared" ref="AG68:AG131" si="45">A68</f>
        <v>5302340</v>
      </c>
    </row>
    <row r="69" spans="1:33" x14ac:dyDescent="0.25">
      <c r="A69" s="7" t="s">
        <v>118</v>
      </c>
      <c r="B69" s="2" t="s">
        <v>788</v>
      </c>
      <c r="C69" s="4" t="s">
        <v>787</v>
      </c>
      <c r="D69" s="30">
        <f>_xlfn.IFNA(VLOOKUP(A69,'Prior Year data'!$A$1:$V$318,13,FALSE),0)</f>
        <v>296050.96025796409</v>
      </c>
      <c r="E69">
        <f>VLOOKUP(A69,'Basic HH'!$B$1:$Y$318,23,FALSE)</f>
        <v>160941.56266724458</v>
      </c>
      <c r="F69">
        <f>VLOOKUP(A69,'Conc. HH'!$B$1:$Y$318,23,FALSE)</f>
        <v>0</v>
      </c>
      <c r="G69">
        <f>VLOOKUP(A69,'Targeted HH'!$B$1:$Y$318,23,FALSE)</f>
        <v>77833.926153729932</v>
      </c>
      <c r="H69">
        <f>VLOOKUP(A69,'EFIG HH'!$B$1:$Y$318,23,FALSE)</f>
        <v>103283.65654744016</v>
      </c>
      <c r="I69">
        <f t="shared" si="23"/>
        <v>342059.1453684147</v>
      </c>
      <c r="J69">
        <f t="shared" si="24"/>
        <v>342059.1453684147</v>
      </c>
      <c r="K69" s="43">
        <f t="shared" si="25"/>
        <v>309435.06456295843</v>
      </c>
      <c r="L69">
        <f t="shared" si="26"/>
        <v>0</v>
      </c>
      <c r="M69">
        <f t="shared" si="27"/>
        <v>13384.10430499434</v>
      </c>
      <c r="N69" s="43">
        <f t="shared" si="28"/>
        <v>304608.98073670111</v>
      </c>
      <c r="O69">
        <f t="shared" si="29"/>
        <v>0</v>
      </c>
      <c r="P69">
        <f t="shared" si="30"/>
        <v>8558.0204787370167</v>
      </c>
      <c r="Q69" s="43">
        <f t="shared" si="31"/>
        <v>304608.98073670111</v>
      </c>
      <c r="R69">
        <f t="shared" si="32"/>
        <v>0</v>
      </c>
      <c r="S69">
        <f t="shared" si="33"/>
        <v>8558.0204787370167</v>
      </c>
      <c r="T69" s="43">
        <f t="shared" si="34"/>
        <v>304608.98073670111</v>
      </c>
      <c r="U69">
        <f t="shared" si="35"/>
        <v>0</v>
      </c>
      <c r="V69">
        <f t="shared" si="36"/>
        <v>8558.0204787370167</v>
      </c>
      <c r="W69" s="43">
        <f t="shared" si="37"/>
        <v>304608.98073670111</v>
      </c>
      <c r="X69" s="43">
        <f t="shared" si="38"/>
        <v>37450.164631713589</v>
      </c>
      <c r="Y69" s="27">
        <f t="shared" si="39"/>
        <v>2392.4556116716526</v>
      </c>
      <c r="Z69" s="27">
        <f t="shared" si="40"/>
        <v>302216.52512502944</v>
      </c>
      <c r="AA69">
        <f t="shared" si="41"/>
        <v>0</v>
      </c>
      <c r="AB69" s="27">
        <f t="shared" si="42"/>
        <v>302216.52512502944</v>
      </c>
      <c r="AD69" s="27">
        <f t="shared" si="43"/>
        <v>0</v>
      </c>
      <c r="AE69" s="27">
        <f t="shared" si="44"/>
        <v>302216.52512502944</v>
      </c>
      <c r="AF69" s="50"/>
      <c r="AG69" t="str">
        <f t="shared" si="45"/>
        <v>5302370</v>
      </c>
    </row>
    <row r="70" spans="1:33" x14ac:dyDescent="0.25">
      <c r="A70" s="7" t="s">
        <v>120</v>
      </c>
      <c r="B70" s="2" t="s">
        <v>790</v>
      </c>
      <c r="C70" s="4" t="s">
        <v>789</v>
      </c>
      <c r="D70" s="30">
        <f>_xlfn.IFNA(VLOOKUP(A70,'Prior Year data'!$A$1:$V$318,13,FALSE),0)</f>
        <v>4616847.9618835645</v>
      </c>
      <c r="E70">
        <f>VLOOKUP(A70,'Basic HH'!$B$1:$Y$318,23,FALSE)</f>
        <v>2018365.499023641</v>
      </c>
      <c r="F70">
        <f>VLOOKUP(A70,'Conc. HH'!$B$1:$Y$318,23,FALSE)</f>
        <v>0</v>
      </c>
      <c r="G70">
        <f>VLOOKUP(A70,'Targeted HH'!$B$1:$Y$318,23,FALSE)</f>
        <v>1324240.0496155089</v>
      </c>
      <c r="H70">
        <f>VLOOKUP(A70,'EFIG HH'!$B$1:$Y$318,23,FALSE)</f>
        <v>1757233.1402210649</v>
      </c>
      <c r="I70">
        <f t="shared" si="23"/>
        <v>5099838.6888602152</v>
      </c>
      <c r="J70">
        <f t="shared" si="24"/>
        <v>5099838.6888602152</v>
      </c>
      <c r="K70" s="43">
        <f t="shared" si="25"/>
        <v>4613438.7439004891</v>
      </c>
      <c r="L70">
        <f t="shared" si="26"/>
        <v>3409.2179830754176</v>
      </c>
      <c r="M70">
        <f t="shared" si="27"/>
        <v>0</v>
      </c>
      <c r="N70" s="43">
        <f t="shared" si="28"/>
        <v>4616847.9618835645</v>
      </c>
      <c r="O70">
        <f t="shared" si="29"/>
        <v>0</v>
      </c>
      <c r="P70">
        <f t="shared" si="30"/>
        <v>0</v>
      </c>
      <c r="Q70" s="43">
        <f t="shared" si="31"/>
        <v>4616847.9618835645</v>
      </c>
      <c r="R70">
        <f t="shared" si="32"/>
        <v>0</v>
      </c>
      <c r="S70">
        <f t="shared" si="33"/>
        <v>0</v>
      </c>
      <c r="T70" s="43">
        <f t="shared" si="34"/>
        <v>4616847.9618835645</v>
      </c>
      <c r="U70">
        <f t="shared" si="35"/>
        <v>0</v>
      </c>
      <c r="V70">
        <f t="shared" si="36"/>
        <v>0</v>
      </c>
      <c r="W70" s="43">
        <f t="shared" si="37"/>
        <v>4616847.9618835645</v>
      </c>
      <c r="X70" s="43">
        <f t="shared" si="38"/>
        <v>482990.72697665077</v>
      </c>
      <c r="Y70" s="27">
        <f t="shared" si="39"/>
        <v>36261.582924867216</v>
      </c>
      <c r="Z70" s="27">
        <f t="shared" si="40"/>
        <v>4580586.3789586974</v>
      </c>
      <c r="AA70">
        <f t="shared" si="41"/>
        <v>0</v>
      </c>
      <c r="AB70" s="27">
        <f t="shared" si="42"/>
        <v>4580586.3789586974</v>
      </c>
      <c r="AD70" s="27">
        <f t="shared" si="43"/>
        <v>0</v>
      </c>
      <c r="AE70" s="27">
        <f t="shared" si="44"/>
        <v>4580586.3789586974</v>
      </c>
      <c r="AF70" s="50"/>
      <c r="AG70" t="str">
        <f t="shared" si="45"/>
        <v>5302400</v>
      </c>
    </row>
    <row r="71" spans="1:33" x14ac:dyDescent="0.25">
      <c r="A71" s="7" t="s">
        <v>383</v>
      </c>
      <c r="B71" s="2" t="s">
        <v>792</v>
      </c>
      <c r="C71" s="4" t="s">
        <v>791</v>
      </c>
      <c r="D71" s="30">
        <f>_xlfn.IFNA(VLOOKUP(A71,'Prior Year data'!$A$1:$V$318,13,FALSE),0)</f>
        <v>741448.30404239346</v>
      </c>
      <c r="E71">
        <f>VLOOKUP(A71,'Basic HH'!$B$1:$Y$318,23,FALSE)</f>
        <v>381686.54752778227</v>
      </c>
      <c r="F71">
        <f>VLOOKUP(A71,'Conc. HH'!$B$1:$Y$318,23,FALSE)</f>
        <v>0</v>
      </c>
      <c r="G71">
        <f>VLOOKUP(A71,'Targeted HH'!$B$1:$Y$318,23,FALSE)</f>
        <v>184589.74836458356</v>
      </c>
      <c r="H71">
        <f>VLOOKUP(A71,'EFIG HH'!$B$1:$Y$318,23,FALSE)</f>
        <v>244945.93957152474</v>
      </c>
      <c r="I71">
        <f t="shared" si="23"/>
        <v>811222.2354638906</v>
      </c>
      <c r="J71">
        <f t="shared" si="24"/>
        <v>811222.2354638906</v>
      </c>
      <c r="K71" s="43">
        <f t="shared" si="25"/>
        <v>733851.46459193411</v>
      </c>
      <c r="L71">
        <f t="shared" si="26"/>
        <v>7596.8394504593452</v>
      </c>
      <c r="M71">
        <f t="shared" si="27"/>
        <v>0</v>
      </c>
      <c r="N71" s="43">
        <f t="shared" si="28"/>
        <v>741448.30404239346</v>
      </c>
      <c r="O71">
        <f t="shared" si="29"/>
        <v>0</v>
      </c>
      <c r="P71">
        <f t="shared" si="30"/>
        <v>0</v>
      </c>
      <c r="Q71" s="43">
        <f t="shared" si="31"/>
        <v>741448.30404239346</v>
      </c>
      <c r="R71">
        <f t="shared" si="32"/>
        <v>0</v>
      </c>
      <c r="S71">
        <f t="shared" si="33"/>
        <v>0</v>
      </c>
      <c r="T71" s="43">
        <f t="shared" si="34"/>
        <v>741448.30404239346</v>
      </c>
      <c r="U71">
        <f t="shared" si="35"/>
        <v>0</v>
      </c>
      <c r="V71">
        <f t="shared" si="36"/>
        <v>0</v>
      </c>
      <c r="W71" s="43">
        <f t="shared" si="37"/>
        <v>741448.30404239346</v>
      </c>
      <c r="X71" s="43">
        <f t="shared" si="38"/>
        <v>69773.931421497138</v>
      </c>
      <c r="Y71" s="27">
        <f t="shared" si="39"/>
        <v>5823.4729372735337</v>
      </c>
      <c r="Z71" s="27">
        <f t="shared" si="40"/>
        <v>735624.8311051199</v>
      </c>
      <c r="AA71">
        <f t="shared" si="41"/>
        <v>0</v>
      </c>
      <c r="AB71" s="27">
        <f t="shared" si="42"/>
        <v>735624.8311051199</v>
      </c>
      <c r="AD71" s="27">
        <f t="shared" si="43"/>
        <v>0</v>
      </c>
      <c r="AE71" s="27">
        <f t="shared" si="44"/>
        <v>735624.8311051199</v>
      </c>
      <c r="AF71" s="50"/>
      <c r="AG71" t="str">
        <f t="shared" si="45"/>
        <v>5302460</v>
      </c>
    </row>
    <row r="72" spans="1:33" x14ac:dyDescent="0.25">
      <c r="A72" s="7" t="s">
        <v>385</v>
      </c>
      <c r="B72" s="2" t="s">
        <v>794</v>
      </c>
      <c r="C72" s="4" t="s">
        <v>793</v>
      </c>
      <c r="D72" s="30">
        <f>_xlfn.IFNA(VLOOKUP(A72,'Prior Year data'!$A$1:$V$318,13,FALSE),0)</f>
        <v>619221.74542011262</v>
      </c>
      <c r="E72">
        <f>VLOOKUP(A72,'Basic HH'!$B$1:$Y$318,23,FALSE)</f>
        <v>233057.45413562743</v>
      </c>
      <c r="F72">
        <f>VLOOKUP(A72,'Conc. HH'!$B$1:$Y$318,23,FALSE)</f>
        <v>62826.201194987072</v>
      </c>
      <c r="G72">
        <f>VLOOKUP(A72,'Targeted HH'!$B$1:$Y$318,23,FALSE)</f>
        <v>129492.50468123269</v>
      </c>
      <c r="H72">
        <f>VLOOKUP(A72,'EFIG HH'!$B$1:$Y$318,23,FALSE)</f>
        <v>177989.78459890731</v>
      </c>
      <c r="I72">
        <f t="shared" si="23"/>
        <v>603365.94461075449</v>
      </c>
      <c r="J72">
        <f t="shared" si="24"/>
        <v>0</v>
      </c>
      <c r="K72" s="43">
        <f t="shared" si="25"/>
        <v>603365.94461075449</v>
      </c>
      <c r="L72">
        <f t="shared" si="26"/>
        <v>0</v>
      </c>
      <c r="M72">
        <f t="shared" si="27"/>
        <v>0</v>
      </c>
      <c r="N72" s="43">
        <f t="shared" si="28"/>
        <v>603365.94461075449</v>
      </c>
      <c r="O72">
        <f t="shared" si="29"/>
        <v>0</v>
      </c>
      <c r="P72">
        <f t="shared" si="30"/>
        <v>0</v>
      </c>
      <c r="Q72" s="43">
        <f t="shared" si="31"/>
        <v>603365.94461075449</v>
      </c>
      <c r="R72">
        <f t="shared" si="32"/>
        <v>0</v>
      </c>
      <c r="S72">
        <f t="shared" si="33"/>
        <v>0</v>
      </c>
      <c r="T72" s="43">
        <f t="shared" si="34"/>
        <v>603365.94461075449</v>
      </c>
      <c r="U72">
        <f t="shared" si="35"/>
        <v>0</v>
      </c>
      <c r="V72">
        <f t="shared" si="36"/>
        <v>0</v>
      </c>
      <c r="W72" s="43">
        <f t="shared" si="37"/>
        <v>603365.94461075449</v>
      </c>
      <c r="X72" s="43">
        <f t="shared" si="38"/>
        <v>0</v>
      </c>
      <c r="Y72" s="27">
        <f t="shared" si="39"/>
        <v>4738.9483940505579</v>
      </c>
      <c r="Z72" s="27">
        <f t="shared" si="40"/>
        <v>598626.9962167039</v>
      </c>
      <c r="AA72">
        <f t="shared" si="41"/>
        <v>0</v>
      </c>
      <c r="AB72" s="27">
        <f t="shared" si="42"/>
        <v>598626.9962167039</v>
      </c>
      <c r="AD72" s="27">
        <f t="shared" si="43"/>
        <v>0</v>
      </c>
      <c r="AE72" s="27">
        <f t="shared" si="44"/>
        <v>598626.9962167039</v>
      </c>
      <c r="AF72" s="50"/>
      <c r="AG72" t="str">
        <f t="shared" si="45"/>
        <v>5302490</v>
      </c>
    </row>
    <row r="73" spans="1:33" x14ac:dyDescent="0.25">
      <c r="A73" s="7" t="s">
        <v>387</v>
      </c>
      <c r="B73" s="2" t="s">
        <v>796</v>
      </c>
      <c r="C73" s="4" t="s">
        <v>795</v>
      </c>
      <c r="D73" s="30">
        <f>_xlfn.IFNA(VLOOKUP(A73,'Prior Year data'!$A$1:$V$318,13,FALSE),0)</f>
        <v>47805.485011684483</v>
      </c>
      <c r="E73">
        <f>VLOOKUP(A73,'Basic HH'!$B$1:$Y$318,23,FALSE)</f>
        <v>16250.170322932156</v>
      </c>
      <c r="F73">
        <f>VLOOKUP(A73,'Conc. HH'!$B$1:$Y$318,23,FALSE)</f>
        <v>4371.9281984447753</v>
      </c>
      <c r="G73">
        <f>VLOOKUP(A73,'Targeted HH'!$B$1:$Y$318,23,FALSE)</f>
        <v>10532.589430484577</v>
      </c>
      <c r="H73">
        <f>VLOOKUP(A73,'EFIG HH'!$B$1:$Y$318,23,FALSE)</f>
        <v>14287.144327659562</v>
      </c>
      <c r="I73">
        <f t="shared" si="23"/>
        <v>45441.83227952107</v>
      </c>
      <c r="J73">
        <f t="shared" si="24"/>
        <v>0</v>
      </c>
      <c r="K73" s="43">
        <f t="shared" si="25"/>
        <v>45441.83227952107</v>
      </c>
      <c r="L73">
        <f t="shared" si="26"/>
        <v>0</v>
      </c>
      <c r="M73">
        <f t="shared" si="27"/>
        <v>0</v>
      </c>
      <c r="N73" s="43">
        <f t="shared" si="28"/>
        <v>45441.83227952107</v>
      </c>
      <c r="O73">
        <f t="shared" si="29"/>
        <v>0</v>
      </c>
      <c r="P73">
        <f t="shared" si="30"/>
        <v>0</v>
      </c>
      <c r="Q73" s="43">
        <f t="shared" si="31"/>
        <v>45441.83227952107</v>
      </c>
      <c r="R73">
        <f t="shared" si="32"/>
        <v>0</v>
      </c>
      <c r="S73">
        <f t="shared" si="33"/>
        <v>0</v>
      </c>
      <c r="T73" s="43">
        <f t="shared" si="34"/>
        <v>45441.83227952107</v>
      </c>
      <c r="U73">
        <f t="shared" si="35"/>
        <v>0</v>
      </c>
      <c r="V73">
        <f t="shared" si="36"/>
        <v>0</v>
      </c>
      <c r="W73" s="43">
        <f t="shared" si="37"/>
        <v>45441.83227952107</v>
      </c>
      <c r="X73" s="43">
        <f t="shared" si="38"/>
        <v>0</v>
      </c>
      <c r="Y73" s="27">
        <f t="shared" si="39"/>
        <v>356.90860584230728</v>
      </c>
      <c r="Z73" s="27">
        <f t="shared" si="40"/>
        <v>45084.923673678764</v>
      </c>
      <c r="AA73">
        <f t="shared" si="41"/>
        <v>0</v>
      </c>
      <c r="AB73" s="27">
        <f t="shared" si="42"/>
        <v>45084.923673678764</v>
      </c>
      <c r="AD73" s="27">
        <f t="shared" si="43"/>
        <v>0</v>
      </c>
      <c r="AE73" s="27">
        <f t="shared" si="44"/>
        <v>45084.923673678764</v>
      </c>
      <c r="AF73" s="50"/>
      <c r="AG73" t="str">
        <f t="shared" si="45"/>
        <v>5302520</v>
      </c>
    </row>
    <row r="74" spans="1:33" x14ac:dyDescent="0.25">
      <c r="A74" s="7" t="s">
        <v>389</v>
      </c>
      <c r="B74" s="2" t="s">
        <v>798</v>
      </c>
      <c r="C74" s="4" t="s">
        <v>797</v>
      </c>
      <c r="D74" s="30">
        <f>_xlfn.IFNA(VLOOKUP(A74,'Prior Year data'!$A$1:$V$318,13,FALSE),0)</f>
        <v>135698.7972769289</v>
      </c>
      <c r="E74">
        <f>VLOOKUP(A74,'Basic HH'!$B$1:$Y$318,23,FALSE)</f>
        <v>51705.087391147747</v>
      </c>
      <c r="F74">
        <f>VLOOKUP(A74,'Conc. HH'!$B$1:$Y$318,23,FALSE)</f>
        <v>13910.680631415191</v>
      </c>
      <c r="G74">
        <f>VLOOKUP(A74,'Targeted HH'!$B$1:$Y$318,23,FALSE)</f>
        <v>26620.173975284994</v>
      </c>
      <c r="H74">
        <f>VLOOKUP(A74,'EFIG HH'!$B$1:$Y$318,23,FALSE)</f>
        <v>36109.474324663366</v>
      </c>
      <c r="I74">
        <f t="shared" si="23"/>
        <v>128345.4163225113</v>
      </c>
      <c r="J74">
        <f t="shared" si="24"/>
        <v>0</v>
      </c>
      <c r="K74" s="43">
        <f t="shared" si="25"/>
        <v>128345.4163225113</v>
      </c>
      <c r="L74">
        <f t="shared" si="26"/>
        <v>0</v>
      </c>
      <c r="M74">
        <f t="shared" si="27"/>
        <v>0</v>
      </c>
      <c r="N74" s="43">
        <f t="shared" si="28"/>
        <v>128345.4163225113</v>
      </c>
      <c r="O74">
        <f t="shared" si="29"/>
        <v>0</v>
      </c>
      <c r="P74">
        <f t="shared" si="30"/>
        <v>0</v>
      </c>
      <c r="Q74" s="43">
        <f t="shared" si="31"/>
        <v>128345.4163225113</v>
      </c>
      <c r="R74">
        <f t="shared" si="32"/>
        <v>0</v>
      </c>
      <c r="S74">
        <f t="shared" si="33"/>
        <v>0</v>
      </c>
      <c r="T74" s="43">
        <f t="shared" si="34"/>
        <v>128345.4163225113</v>
      </c>
      <c r="U74">
        <f t="shared" si="35"/>
        <v>0</v>
      </c>
      <c r="V74">
        <f t="shared" si="36"/>
        <v>0</v>
      </c>
      <c r="W74" s="43">
        <f t="shared" si="37"/>
        <v>128345.4163225113</v>
      </c>
      <c r="X74" s="43">
        <f t="shared" si="38"/>
        <v>0</v>
      </c>
      <c r="Y74" s="27">
        <f t="shared" si="39"/>
        <v>1008.048780342904</v>
      </c>
      <c r="Z74" s="27">
        <f t="shared" si="40"/>
        <v>127337.3675421684</v>
      </c>
      <c r="AA74">
        <f t="shared" si="41"/>
        <v>0</v>
      </c>
      <c r="AB74" s="27">
        <f t="shared" si="42"/>
        <v>127337.3675421684</v>
      </c>
      <c r="AD74" s="27">
        <f t="shared" si="43"/>
        <v>0</v>
      </c>
      <c r="AE74" s="27">
        <f t="shared" si="44"/>
        <v>127337.3675421684</v>
      </c>
      <c r="AF74" s="50"/>
      <c r="AG74" t="str">
        <f t="shared" si="45"/>
        <v>5302550</v>
      </c>
    </row>
    <row r="75" spans="1:33" x14ac:dyDescent="0.25">
      <c r="A75" s="7" t="s">
        <v>122</v>
      </c>
      <c r="B75" s="2" t="s">
        <v>800</v>
      </c>
      <c r="C75" s="4" t="s">
        <v>799</v>
      </c>
      <c r="D75" s="30">
        <f>_xlfn.IFNA(VLOOKUP(A75,'Prior Year data'!$A$1:$V$318,13,FALSE),0)</f>
        <v>536199.43854498351</v>
      </c>
      <c r="E75">
        <f>VLOOKUP(A75,'Basic HH'!$B$1:$Y$318,23,FALSE)</f>
        <v>234816.37831778315</v>
      </c>
      <c r="F75">
        <f>VLOOKUP(A75,'Conc. HH'!$B$1:$Y$318,23,FALSE)</f>
        <v>0</v>
      </c>
      <c r="G75">
        <f>VLOOKUP(A75,'Targeted HH'!$B$1:$Y$318,23,FALSE)</f>
        <v>113560.97422429446</v>
      </c>
      <c r="H75">
        <f>VLOOKUP(A75,'EFIG HH'!$B$1:$Y$318,23,FALSE)</f>
        <v>150692.54807741268</v>
      </c>
      <c r="I75">
        <f t="shared" si="23"/>
        <v>499069.9006194903</v>
      </c>
      <c r="J75">
        <f t="shared" si="24"/>
        <v>0</v>
      </c>
      <c r="K75" s="43">
        <f t="shared" si="25"/>
        <v>499069.9006194903</v>
      </c>
      <c r="L75">
        <f t="shared" si="26"/>
        <v>0</v>
      </c>
      <c r="M75">
        <f t="shared" si="27"/>
        <v>0</v>
      </c>
      <c r="N75" s="43">
        <f t="shared" si="28"/>
        <v>499069.9006194903</v>
      </c>
      <c r="O75">
        <f t="shared" si="29"/>
        <v>0</v>
      </c>
      <c r="P75">
        <f t="shared" si="30"/>
        <v>0</v>
      </c>
      <c r="Q75" s="43">
        <f t="shared" si="31"/>
        <v>499069.9006194903</v>
      </c>
      <c r="R75">
        <f t="shared" si="32"/>
        <v>0</v>
      </c>
      <c r="S75">
        <f t="shared" si="33"/>
        <v>0</v>
      </c>
      <c r="T75" s="43">
        <f t="shared" si="34"/>
        <v>499069.9006194903</v>
      </c>
      <c r="U75">
        <f t="shared" si="35"/>
        <v>0</v>
      </c>
      <c r="V75">
        <f t="shared" si="36"/>
        <v>0</v>
      </c>
      <c r="W75" s="43">
        <f t="shared" si="37"/>
        <v>499069.9006194903</v>
      </c>
      <c r="X75" s="43">
        <f t="shared" si="38"/>
        <v>0</v>
      </c>
      <c r="Y75" s="27">
        <f t="shared" si="39"/>
        <v>3919.7878587354894</v>
      </c>
      <c r="Z75" s="27">
        <f t="shared" si="40"/>
        <v>495150.11276075483</v>
      </c>
      <c r="AA75">
        <f t="shared" si="41"/>
        <v>0</v>
      </c>
      <c r="AB75" s="27">
        <f t="shared" si="42"/>
        <v>495150.11276075483</v>
      </c>
      <c r="AD75" s="27">
        <f t="shared" si="43"/>
        <v>0</v>
      </c>
      <c r="AE75" s="27">
        <f t="shared" si="44"/>
        <v>495150.11276075483</v>
      </c>
      <c r="AF75" s="50"/>
      <c r="AG75" t="str">
        <f t="shared" si="45"/>
        <v>5300001</v>
      </c>
    </row>
    <row r="76" spans="1:33" x14ac:dyDescent="0.25">
      <c r="A76" s="7" t="s">
        <v>391</v>
      </c>
      <c r="B76" s="2" t="s">
        <v>802</v>
      </c>
      <c r="C76" s="4" t="s">
        <v>801</v>
      </c>
      <c r="D76" s="30">
        <f>_xlfn.IFNA(VLOOKUP(A76,'Prior Year data'!$A$1:$V$318,13,FALSE),0)</f>
        <v>801135.03299256426</v>
      </c>
      <c r="E76">
        <f>VLOOKUP(A76,'Basic HH'!$B$1:$Y$318,23,FALSE)</f>
        <v>437092.65926568618</v>
      </c>
      <c r="F76">
        <f>VLOOKUP(A76,'Conc. HH'!$B$1:$Y$318,23,FALSE)</f>
        <v>117828.76224116446</v>
      </c>
      <c r="G76">
        <f>VLOOKUP(A76,'Targeted HH'!$B$1:$Y$318,23,FALSE)</f>
        <v>226045.56479496302</v>
      </c>
      <c r="H76">
        <f>VLOOKUP(A76,'EFIG HH'!$B$1:$Y$318,23,FALSE)</f>
        <v>299956.76219959365</v>
      </c>
      <c r="I76">
        <f t="shared" si="23"/>
        <v>1080923.7485014072</v>
      </c>
      <c r="J76">
        <f t="shared" si="24"/>
        <v>1080923.7485014072</v>
      </c>
      <c r="K76" s="43">
        <f t="shared" si="25"/>
        <v>977830.04616035335</v>
      </c>
      <c r="L76">
        <f t="shared" si="26"/>
        <v>0</v>
      </c>
      <c r="M76">
        <f t="shared" si="27"/>
        <v>176695.01316778909</v>
      </c>
      <c r="N76" s="43">
        <f t="shared" si="28"/>
        <v>914116.78408489365</v>
      </c>
      <c r="O76">
        <f t="shared" si="29"/>
        <v>0</v>
      </c>
      <c r="P76">
        <f t="shared" si="30"/>
        <v>112981.75109232939</v>
      </c>
      <c r="Q76" s="43">
        <f t="shared" si="31"/>
        <v>914116.78408489365</v>
      </c>
      <c r="R76">
        <f t="shared" si="32"/>
        <v>0</v>
      </c>
      <c r="S76">
        <f t="shared" si="33"/>
        <v>112981.75109232939</v>
      </c>
      <c r="T76" s="43">
        <f t="shared" si="34"/>
        <v>914116.78408489365</v>
      </c>
      <c r="U76">
        <f t="shared" si="35"/>
        <v>0</v>
      </c>
      <c r="V76">
        <f t="shared" si="36"/>
        <v>112981.75109232939</v>
      </c>
      <c r="W76" s="43">
        <f t="shared" si="37"/>
        <v>914116.78408489365</v>
      </c>
      <c r="X76" s="43">
        <f t="shared" si="38"/>
        <v>166806.96441651357</v>
      </c>
      <c r="Y76" s="27">
        <f t="shared" si="39"/>
        <v>7179.6433070288904</v>
      </c>
      <c r="Z76" s="27">
        <f t="shared" si="40"/>
        <v>906937.14077786473</v>
      </c>
      <c r="AA76">
        <f t="shared" si="41"/>
        <v>0</v>
      </c>
      <c r="AB76" s="27">
        <f t="shared" si="42"/>
        <v>906937.14077786473</v>
      </c>
      <c r="AD76" s="27">
        <f t="shared" si="43"/>
        <v>0</v>
      </c>
      <c r="AE76" s="27">
        <f t="shared" si="44"/>
        <v>906937.14077786473</v>
      </c>
      <c r="AF76" s="50"/>
      <c r="AG76" t="str">
        <f t="shared" si="45"/>
        <v>5302610</v>
      </c>
    </row>
    <row r="77" spans="1:33" x14ac:dyDescent="0.25">
      <c r="A77" s="7" t="s">
        <v>393</v>
      </c>
      <c r="B77" s="2" t="s">
        <v>804</v>
      </c>
      <c r="C77" s="4" t="s">
        <v>803</v>
      </c>
      <c r="D77" s="30">
        <f>_xlfn.IFNA(VLOOKUP(A77,'Prior Year data'!$A$1:$V$318,13,FALSE),0)</f>
        <v>65025.047736144224</v>
      </c>
      <c r="E77">
        <f>VLOOKUP(A77,'Basic HH'!$B$1:$Y$318,23,FALSE)</f>
        <v>19802.089167520222</v>
      </c>
      <c r="F77">
        <f>VLOOKUP(A77,'Conc. HH'!$B$1:$Y$318,23,FALSE)</f>
        <v>5029.3366499927788</v>
      </c>
      <c r="G77">
        <f>VLOOKUP(A77,'Targeted HH'!$B$1:$Y$318,23,FALSE)</f>
        <v>13317.724308913972</v>
      </c>
      <c r="H77">
        <f>VLOOKUP(A77,'EFIG HH'!$B$1:$Y$318,23,FALSE)</f>
        <v>17548.66116788657</v>
      </c>
      <c r="I77">
        <f t="shared" si="23"/>
        <v>55697.811294313549</v>
      </c>
      <c r="J77">
        <f t="shared" si="24"/>
        <v>0</v>
      </c>
      <c r="K77" s="43">
        <f t="shared" si="25"/>
        <v>55697.811294313549</v>
      </c>
      <c r="L77">
        <f t="shared" si="26"/>
        <v>0</v>
      </c>
      <c r="M77">
        <f t="shared" si="27"/>
        <v>0</v>
      </c>
      <c r="N77" s="43">
        <f t="shared" si="28"/>
        <v>55697.811294313549</v>
      </c>
      <c r="O77">
        <f t="shared" si="29"/>
        <v>0</v>
      </c>
      <c r="P77">
        <f t="shared" si="30"/>
        <v>0</v>
      </c>
      <c r="Q77" s="43">
        <f t="shared" si="31"/>
        <v>55697.811294313549</v>
      </c>
      <c r="R77">
        <f t="shared" si="32"/>
        <v>0</v>
      </c>
      <c r="S77">
        <f t="shared" si="33"/>
        <v>0</v>
      </c>
      <c r="T77" s="43">
        <f t="shared" si="34"/>
        <v>55697.811294313549</v>
      </c>
      <c r="U77">
        <f t="shared" si="35"/>
        <v>0</v>
      </c>
      <c r="V77">
        <f t="shared" si="36"/>
        <v>0</v>
      </c>
      <c r="W77" s="43">
        <f t="shared" si="37"/>
        <v>55697.811294313549</v>
      </c>
      <c r="X77" s="43">
        <f t="shared" si="38"/>
        <v>0</v>
      </c>
      <c r="Y77" s="27">
        <f t="shared" si="39"/>
        <v>437.46097329970775</v>
      </c>
      <c r="Z77" s="27">
        <f t="shared" si="40"/>
        <v>55260.350321013844</v>
      </c>
      <c r="AA77">
        <f t="shared" si="41"/>
        <v>0</v>
      </c>
      <c r="AB77" s="27">
        <f t="shared" si="42"/>
        <v>55260.350321013844</v>
      </c>
      <c r="AD77" s="27">
        <f t="shared" si="43"/>
        <v>0</v>
      </c>
      <c r="AE77" s="27">
        <f t="shared" si="44"/>
        <v>55260.350321013844</v>
      </c>
      <c r="AF77" s="50"/>
      <c r="AG77" t="str">
        <f t="shared" si="45"/>
        <v>5302640</v>
      </c>
    </row>
    <row r="78" spans="1:33" x14ac:dyDescent="0.25">
      <c r="A78" s="7" t="s">
        <v>124</v>
      </c>
      <c r="B78" s="2" t="s">
        <v>806</v>
      </c>
      <c r="C78" s="4" t="s">
        <v>805</v>
      </c>
      <c r="D78" s="30">
        <f>_xlfn.IFNA(VLOOKUP(A78,'Prior Year data'!$A$1:$V$318,13,FALSE),0)</f>
        <v>4864144.3324128855</v>
      </c>
      <c r="E78">
        <f>VLOOKUP(A78,'Basic HH'!$B$1:$Y$318,23,FALSE)</f>
        <v>1993740.5604734612</v>
      </c>
      <c r="F78">
        <f>VLOOKUP(A78,'Conc. HH'!$B$1:$Y$318,23,FALSE)</f>
        <v>0</v>
      </c>
      <c r="G78">
        <f>VLOOKUP(A78,'Targeted HH'!$B$1:$Y$318,23,FALSE)</f>
        <v>1300422.0175684656</v>
      </c>
      <c r="H78">
        <f>VLOOKUP(A78,'EFIG HH'!$B$1:$Y$318,23,FALSE)</f>
        <v>1725627.2125344167</v>
      </c>
      <c r="I78">
        <f t="shared" si="23"/>
        <v>5019789.7905763434</v>
      </c>
      <c r="J78">
        <f t="shared" si="24"/>
        <v>5019789.7905763434</v>
      </c>
      <c r="K78" s="43">
        <f t="shared" si="25"/>
        <v>4541024.5537112895</v>
      </c>
      <c r="L78">
        <f t="shared" si="26"/>
        <v>323119.77870159596</v>
      </c>
      <c r="M78">
        <f t="shared" si="27"/>
        <v>0</v>
      </c>
      <c r="N78" s="43">
        <f t="shared" si="28"/>
        <v>4864144.3324128855</v>
      </c>
      <c r="O78">
        <f t="shared" si="29"/>
        <v>0</v>
      </c>
      <c r="P78">
        <f t="shared" si="30"/>
        <v>0</v>
      </c>
      <c r="Q78" s="43">
        <f t="shared" si="31"/>
        <v>4864144.3324128855</v>
      </c>
      <c r="R78">
        <f t="shared" si="32"/>
        <v>0</v>
      </c>
      <c r="S78">
        <f t="shared" si="33"/>
        <v>0</v>
      </c>
      <c r="T78" s="43">
        <f t="shared" si="34"/>
        <v>4864144.3324128855</v>
      </c>
      <c r="U78">
        <f t="shared" si="35"/>
        <v>0</v>
      </c>
      <c r="V78">
        <f t="shared" si="36"/>
        <v>0</v>
      </c>
      <c r="W78" s="43">
        <f t="shared" si="37"/>
        <v>4864144.3324128855</v>
      </c>
      <c r="X78" s="43">
        <f t="shared" si="38"/>
        <v>155645.45816345792</v>
      </c>
      <c r="Y78" s="27">
        <f t="shared" si="39"/>
        <v>38203.894632118921</v>
      </c>
      <c r="Z78" s="27">
        <f t="shared" si="40"/>
        <v>4825940.4377807667</v>
      </c>
      <c r="AA78">
        <f t="shared" si="41"/>
        <v>0</v>
      </c>
      <c r="AB78" s="27">
        <f t="shared" si="42"/>
        <v>4825940.4377807667</v>
      </c>
      <c r="AD78" s="27">
        <f t="shared" si="43"/>
        <v>0</v>
      </c>
      <c r="AE78" s="27">
        <f t="shared" si="44"/>
        <v>4825940.4377807667</v>
      </c>
      <c r="AF78" s="50"/>
      <c r="AG78" t="str">
        <f t="shared" si="45"/>
        <v>5302670</v>
      </c>
    </row>
    <row r="79" spans="1:33" x14ac:dyDescent="0.25">
      <c r="A79" s="7" t="s">
        <v>275</v>
      </c>
      <c r="B79" s="2" t="s">
        <v>808</v>
      </c>
      <c r="C79" s="4" t="s">
        <v>807</v>
      </c>
      <c r="D79" s="30">
        <f>_xlfn.IFNA(VLOOKUP(A79,'Prior Year data'!$A$1:$V$318,13,FALSE),0)</f>
        <v>5914371.1471974803</v>
      </c>
      <c r="E79">
        <f>VLOOKUP(A79,'Basic HH'!$B$1:$Y$318,23,FALSE)</f>
        <v>2358717.3282707641</v>
      </c>
      <c r="F79">
        <f>VLOOKUP(A79,'Conc. HH'!$B$1:$Y$318,23,FALSE)</f>
        <v>0</v>
      </c>
      <c r="G79">
        <f>VLOOKUP(A79,'Targeted HH'!$B$1:$Y$318,23,FALSE)</f>
        <v>1653439.2782657107</v>
      </c>
      <c r="H79">
        <f>VLOOKUP(A79,'EFIG HH'!$B$1:$Y$318,23,FALSE)</f>
        <v>2194072.2121758121</v>
      </c>
      <c r="I79">
        <f t="shared" si="23"/>
        <v>6206228.8187122867</v>
      </c>
      <c r="J79">
        <f t="shared" si="24"/>
        <v>6206228.8187122867</v>
      </c>
      <c r="K79" s="43">
        <f t="shared" si="25"/>
        <v>5614306.3011583472</v>
      </c>
      <c r="L79">
        <f t="shared" si="26"/>
        <v>300064.84603913315</v>
      </c>
      <c r="M79">
        <f t="shared" si="27"/>
        <v>0</v>
      </c>
      <c r="N79" s="43">
        <f t="shared" si="28"/>
        <v>5914371.1471974803</v>
      </c>
      <c r="O79">
        <f t="shared" si="29"/>
        <v>0</v>
      </c>
      <c r="P79">
        <f t="shared" si="30"/>
        <v>0</v>
      </c>
      <c r="Q79" s="43">
        <f t="shared" si="31"/>
        <v>5914371.1471974803</v>
      </c>
      <c r="R79">
        <f t="shared" si="32"/>
        <v>0</v>
      </c>
      <c r="S79">
        <f t="shared" si="33"/>
        <v>0</v>
      </c>
      <c r="T79" s="43">
        <f t="shared" si="34"/>
        <v>5914371.1471974803</v>
      </c>
      <c r="U79">
        <f t="shared" si="35"/>
        <v>0</v>
      </c>
      <c r="V79">
        <f t="shared" si="36"/>
        <v>0</v>
      </c>
      <c r="W79" s="43">
        <f t="shared" si="37"/>
        <v>5914371.1471974803</v>
      </c>
      <c r="X79" s="43">
        <f t="shared" si="38"/>
        <v>291857.67151480634</v>
      </c>
      <c r="Y79" s="27">
        <f t="shared" si="39"/>
        <v>46452.57144552948</v>
      </c>
      <c r="Z79" s="27">
        <f t="shared" si="40"/>
        <v>5867918.575751951</v>
      </c>
      <c r="AA79">
        <f t="shared" si="41"/>
        <v>0</v>
      </c>
      <c r="AB79" s="27">
        <f t="shared" si="42"/>
        <v>5867918.575751951</v>
      </c>
      <c r="AD79" s="27">
        <f t="shared" si="43"/>
        <v>0</v>
      </c>
      <c r="AE79" s="27">
        <f t="shared" si="44"/>
        <v>5867918.575751951</v>
      </c>
      <c r="AF79" s="50"/>
      <c r="AG79" t="str">
        <f t="shared" si="45"/>
        <v>5302700</v>
      </c>
    </row>
    <row r="80" spans="1:33" x14ac:dyDescent="0.25">
      <c r="A80" s="7" t="s">
        <v>395</v>
      </c>
      <c r="B80" s="2" t="s">
        <v>810</v>
      </c>
      <c r="C80" s="4" t="s">
        <v>809</v>
      </c>
      <c r="D80" s="30">
        <f>_xlfn.IFNA(VLOOKUP(A80,'Prior Year data'!$A$1:$V$318,13,FALSE),0)</f>
        <v>43736.860765919817</v>
      </c>
      <c r="E80">
        <f>VLOOKUP(A80,'Basic HH'!$B$1:$Y$318,23,FALSE)</f>
        <v>16709.779730478938</v>
      </c>
      <c r="F80">
        <f>VLOOKUP(A80,'Conc. HH'!$B$1:$Y$318,23,FALSE)</f>
        <v>4504.5200856783194</v>
      </c>
      <c r="G80">
        <f>VLOOKUP(A80,'Targeted HH'!$B$1:$Y$318,23,FALSE)</f>
        <v>14143.232493934327</v>
      </c>
      <c r="H80">
        <f>VLOOKUP(A80,'EFIG HH'!$B$1:$Y$318,23,FALSE)</f>
        <v>18767.712738644968</v>
      </c>
      <c r="I80">
        <f t="shared" si="23"/>
        <v>54125.245048736557</v>
      </c>
      <c r="J80">
        <f t="shared" si="24"/>
        <v>54125.245048736557</v>
      </c>
      <c r="K80" s="43">
        <f t="shared" si="25"/>
        <v>48963.019766955935</v>
      </c>
      <c r="L80">
        <f t="shared" si="26"/>
        <v>0</v>
      </c>
      <c r="M80">
        <f t="shared" si="27"/>
        <v>5226.1590010361178</v>
      </c>
      <c r="N80" s="43">
        <f t="shared" si="28"/>
        <v>47078.554370273552</v>
      </c>
      <c r="O80">
        <f t="shared" si="29"/>
        <v>0</v>
      </c>
      <c r="P80">
        <f t="shared" si="30"/>
        <v>3341.6936043537353</v>
      </c>
      <c r="Q80" s="43">
        <f t="shared" si="31"/>
        <v>47078.554370273552</v>
      </c>
      <c r="R80">
        <f t="shared" si="32"/>
        <v>0</v>
      </c>
      <c r="S80">
        <f t="shared" si="33"/>
        <v>3341.6936043537353</v>
      </c>
      <c r="T80" s="43">
        <f t="shared" si="34"/>
        <v>47078.554370273552</v>
      </c>
      <c r="U80">
        <f t="shared" si="35"/>
        <v>0</v>
      </c>
      <c r="V80">
        <f t="shared" si="36"/>
        <v>3341.6936043537353</v>
      </c>
      <c r="W80" s="43">
        <f t="shared" si="37"/>
        <v>47078.554370273552</v>
      </c>
      <c r="X80" s="43">
        <f t="shared" si="38"/>
        <v>7046.6906784630046</v>
      </c>
      <c r="Y80" s="27">
        <f t="shared" si="39"/>
        <v>369.76372567921214</v>
      </c>
      <c r="Z80" s="27">
        <f t="shared" si="40"/>
        <v>46708.790644594337</v>
      </c>
      <c r="AA80">
        <f t="shared" si="41"/>
        <v>0</v>
      </c>
      <c r="AB80" s="27">
        <f t="shared" si="42"/>
        <v>46708.790644594337</v>
      </c>
      <c r="AD80" s="27">
        <f t="shared" si="43"/>
        <v>0</v>
      </c>
      <c r="AE80" s="27">
        <f t="shared" si="44"/>
        <v>46708.790644594337</v>
      </c>
      <c r="AF80" s="50"/>
      <c r="AG80" t="str">
        <f t="shared" si="45"/>
        <v>5302730</v>
      </c>
    </row>
    <row r="81" spans="1:33" x14ac:dyDescent="0.25">
      <c r="A81" s="7" t="s">
        <v>397</v>
      </c>
      <c r="B81" s="2" t="s">
        <v>812</v>
      </c>
      <c r="C81" s="4" t="s">
        <v>811</v>
      </c>
      <c r="D81" s="30">
        <f>_xlfn.IFNA(VLOOKUP(A81,'Prior Year data'!$A$1:$V$318,13,FALSE),0)</f>
        <v>10391255.089329438</v>
      </c>
      <c r="E81">
        <f>VLOOKUP(A81,'Basic HH'!$B$1:$Y$318,23,FALSE)</f>
        <v>3669995.3060678239</v>
      </c>
      <c r="F81">
        <f>VLOOKUP(A81,'Conc. HH'!$B$1:$Y$318,23,FALSE)</f>
        <v>989334.85881766479</v>
      </c>
      <c r="G81">
        <f>VLOOKUP(A81,'Targeted HH'!$B$1:$Y$318,23,FALSE)</f>
        <v>2921749.484770752</v>
      </c>
      <c r="H81">
        <f>VLOOKUP(A81,'EFIG HH'!$B$1:$Y$318,23,FALSE)</f>
        <v>3877087.8614898375</v>
      </c>
      <c r="I81">
        <f t="shared" si="23"/>
        <v>11458167.511146078</v>
      </c>
      <c r="J81">
        <f t="shared" si="24"/>
        <v>11458167.511146078</v>
      </c>
      <c r="K81" s="43">
        <f t="shared" si="25"/>
        <v>10365338.426388033</v>
      </c>
      <c r="L81">
        <f t="shared" si="26"/>
        <v>25916.66294140555</v>
      </c>
      <c r="M81">
        <f t="shared" si="27"/>
        <v>0</v>
      </c>
      <c r="N81" s="43">
        <f t="shared" si="28"/>
        <v>10391255.089329438</v>
      </c>
      <c r="O81">
        <f t="shared" si="29"/>
        <v>0</v>
      </c>
      <c r="P81">
        <f t="shared" si="30"/>
        <v>0</v>
      </c>
      <c r="Q81" s="43">
        <f t="shared" si="31"/>
        <v>10391255.089329438</v>
      </c>
      <c r="R81">
        <f t="shared" si="32"/>
        <v>0</v>
      </c>
      <c r="S81">
        <f t="shared" si="33"/>
        <v>0</v>
      </c>
      <c r="T81" s="43">
        <f t="shared" si="34"/>
        <v>10391255.089329438</v>
      </c>
      <c r="U81">
        <f t="shared" si="35"/>
        <v>0</v>
      </c>
      <c r="V81">
        <f t="shared" si="36"/>
        <v>0</v>
      </c>
      <c r="W81" s="43">
        <f t="shared" si="37"/>
        <v>10391255.089329438</v>
      </c>
      <c r="X81" s="43">
        <f t="shared" si="38"/>
        <v>1066912.4218166396</v>
      </c>
      <c r="Y81" s="27">
        <f t="shared" si="39"/>
        <v>81614.850916910204</v>
      </c>
      <c r="Z81" s="27">
        <f t="shared" si="40"/>
        <v>10309640.238412527</v>
      </c>
      <c r="AA81">
        <f t="shared" si="41"/>
        <v>0</v>
      </c>
      <c r="AB81" s="27">
        <f t="shared" si="42"/>
        <v>10309640.238412527</v>
      </c>
      <c r="AD81" s="27">
        <f t="shared" si="43"/>
        <v>0</v>
      </c>
      <c r="AE81" s="27">
        <f t="shared" si="44"/>
        <v>10309640.238412527</v>
      </c>
      <c r="AF81" s="50"/>
      <c r="AG81" t="str">
        <f t="shared" si="45"/>
        <v>5302820</v>
      </c>
    </row>
    <row r="82" spans="1:33" x14ac:dyDescent="0.25">
      <c r="A82" s="7" t="s">
        <v>126</v>
      </c>
      <c r="B82" s="2" t="s">
        <v>814</v>
      </c>
      <c r="C82" s="4" t="s">
        <v>813</v>
      </c>
      <c r="D82" s="30">
        <f>_xlfn.IFNA(VLOOKUP(A82,'Prior Year data'!$A$1:$V$318,13,FALSE),0)</f>
        <v>1648933.3770653314</v>
      </c>
      <c r="E82">
        <f>VLOOKUP(A82,'Basic HH'!$B$1:$Y$318,23,FALSE)</f>
        <v>579835.6228864427</v>
      </c>
      <c r="F82">
        <f>VLOOKUP(A82,'Conc. HH'!$B$1:$Y$318,23,FALSE)</f>
        <v>133976.13375309689</v>
      </c>
      <c r="G82">
        <f>VLOOKUP(A82,'Targeted HH'!$B$1:$Y$318,23,FALSE)</f>
        <v>296459.29467639298</v>
      </c>
      <c r="H82">
        <f>VLOOKUP(A82,'EFIG HH'!$B$1:$Y$318,23,FALSE)</f>
        <v>402138.21665342496</v>
      </c>
      <c r="I82">
        <f t="shared" si="23"/>
        <v>1412409.2679693575</v>
      </c>
      <c r="J82">
        <f t="shared" si="24"/>
        <v>0</v>
      </c>
      <c r="K82" s="43">
        <f t="shared" si="25"/>
        <v>1412409.2679693575</v>
      </c>
      <c r="L82">
        <f t="shared" si="26"/>
        <v>0</v>
      </c>
      <c r="M82">
        <f t="shared" si="27"/>
        <v>0</v>
      </c>
      <c r="N82" s="43">
        <f t="shared" si="28"/>
        <v>1412409.2679693575</v>
      </c>
      <c r="O82">
        <f t="shared" si="29"/>
        <v>0</v>
      </c>
      <c r="P82">
        <f t="shared" si="30"/>
        <v>0</v>
      </c>
      <c r="Q82" s="43">
        <f t="shared" si="31"/>
        <v>1412409.2679693575</v>
      </c>
      <c r="R82">
        <f t="shared" si="32"/>
        <v>0</v>
      </c>
      <c r="S82">
        <f t="shared" si="33"/>
        <v>0</v>
      </c>
      <c r="T82" s="43">
        <f t="shared" si="34"/>
        <v>1412409.2679693575</v>
      </c>
      <c r="U82">
        <f t="shared" si="35"/>
        <v>0</v>
      </c>
      <c r="V82">
        <f t="shared" si="36"/>
        <v>0</v>
      </c>
      <c r="W82" s="43">
        <f t="shared" si="37"/>
        <v>1412409.2679693575</v>
      </c>
      <c r="X82" s="43">
        <f t="shared" si="38"/>
        <v>0</v>
      </c>
      <c r="Y82" s="27">
        <f t="shared" si="39"/>
        <v>11093.325190077703</v>
      </c>
      <c r="Z82" s="27">
        <f t="shared" si="40"/>
        <v>1401315.9427792798</v>
      </c>
      <c r="AA82">
        <f t="shared" si="41"/>
        <v>0</v>
      </c>
      <c r="AB82" s="27">
        <f t="shared" si="42"/>
        <v>1401315.9427792798</v>
      </c>
      <c r="AD82" s="27">
        <f t="shared" si="43"/>
        <v>0</v>
      </c>
      <c r="AE82" s="27">
        <f t="shared" si="44"/>
        <v>1401315.9427792798</v>
      </c>
      <c r="AF82" s="50"/>
      <c r="AG82" t="str">
        <f t="shared" si="45"/>
        <v>5302850</v>
      </c>
    </row>
    <row r="83" spans="1:33" x14ac:dyDescent="0.25">
      <c r="A83" s="7" t="s">
        <v>128</v>
      </c>
      <c r="B83" s="2" t="s">
        <v>816</v>
      </c>
      <c r="C83" s="4" t="s">
        <v>815</v>
      </c>
      <c r="D83" s="30">
        <f>_xlfn.IFNA(VLOOKUP(A83,'Prior Year data'!$A$1:$V$318,13,FALSE),0)</f>
        <v>659992.26263548539</v>
      </c>
      <c r="E83">
        <f>VLOOKUP(A83,'Basic HH'!$B$1:$Y$318,23,FALSE)</f>
        <v>416865.03117089585</v>
      </c>
      <c r="F83">
        <f>VLOOKUP(A83,'Conc. HH'!$B$1:$Y$318,23,FALSE)</f>
        <v>0</v>
      </c>
      <c r="G83">
        <f>VLOOKUP(A83,'Targeted HH'!$B$1:$Y$318,23,FALSE)</f>
        <v>201602.6283981856</v>
      </c>
      <c r="H83">
        <f>VLOOKUP(A83,'EFIG HH'!$B$1:$Y$318,23,FALSE)</f>
        <v>267521.60220484505</v>
      </c>
      <c r="I83">
        <f t="shared" si="23"/>
        <v>885989.26177392644</v>
      </c>
      <c r="J83">
        <f t="shared" si="24"/>
        <v>885989.26177392644</v>
      </c>
      <c r="K83" s="43">
        <f t="shared" si="25"/>
        <v>801487.54427782656</v>
      </c>
      <c r="L83">
        <f t="shared" si="26"/>
        <v>0</v>
      </c>
      <c r="M83">
        <f t="shared" si="27"/>
        <v>141495.28164234117</v>
      </c>
      <c r="N83" s="43">
        <f t="shared" si="28"/>
        <v>750466.71578869014</v>
      </c>
      <c r="O83">
        <f t="shared" si="29"/>
        <v>0</v>
      </c>
      <c r="P83">
        <f t="shared" si="30"/>
        <v>90474.453153204755</v>
      </c>
      <c r="Q83" s="43">
        <f t="shared" si="31"/>
        <v>750466.71578869014</v>
      </c>
      <c r="R83">
        <f t="shared" si="32"/>
        <v>0</v>
      </c>
      <c r="S83">
        <f t="shared" si="33"/>
        <v>90474.453153204755</v>
      </c>
      <c r="T83" s="43">
        <f t="shared" si="34"/>
        <v>750466.71578869014</v>
      </c>
      <c r="U83">
        <f t="shared" si="35"/>
        <v>0</v>
      </c>
      <c r="V83">
        <f t="shared" si="36"/>
        <v>90474.453153204755</v>
      </c>
      <c r="W83" s="43">
        <f t="shared" si="37"/>
        <v>750466.71578869014</v>
      </c>
      <c r="X83" s="43">
        <f t="shared" si="38"/>
        <v>135522.5459852363</v>
      </c>
      <c r="Y83" s="27">
        <f t="shared" si="39"/>
        <v>5894.3052211366376</v>
      </c>
      <c r="Z83" s="27">
        <f t="shared" si="40"/>
        <v>744572.41056755348</v>
      </c>
      <c r="AA83">
        <f t="shared" si="41"/>
        <v>0</v>
      </c>
      <c r="AB83" s="27">
        <f t="shared" si="42"/>
        <v>744572.41056755348</v>
      </c>
      <c r="AD83" s="27">
        <f t="shared" si="43"/>
        <v>0</v>
      </c>
      <c r="AE83" s="27">
        <f t="shared" si="44"/>
        <v>744572.41056755348</v>
      </c>
      <c r="AF83" s="50"/>
      <c r="AG83" t="str">
        <f t="shared" si="45"/>
        <v>5302880</v>
      </c>
    </row>
    <row r="84" spans="1:33" x14ac:dyDescent="0.25">
      <c r="A84" s="7" t="s">
        <v>399</v>
      </c>
      <c r="B84" s="2" t="s">
        <v>818</v>
      </c>
      <c r="C84" s="4" t="s">
        <v>817</v>
      </c>
      <c r="D84" s="30">
        <f>_xlfn.IFNA(VLOOKUP(A84,'Prior Year data'!$A$1:$V$318,13,FALSE),0)</f>
        <v>253069.94521394471</v>
      </c>
      <c r="E84">
        <f>VLOOKUP(A84,'Basic HH'!$B$1:$Y$318,23,FALSE)</f>
        <v>90853.224987302456</v>
      </c>
      <c r="F84">
        <f>VLOOKUP(A84,'Conc. HH'!$B$1:$Y$318,23,FALSE)</f>
        <v>22637.959767343385</v>
      </c>
      <c r="G84">
        <f>VLOOKUP(A84,'Targeted HH'!$B$1:$Y$318,23,FALSE)</f>
        <v>43827.515919707133</v>
      </c>
      <c r="H84">
        <f>VLOOKUP(A84,'EFIG HH'!$B$1:$Y$318,23,FALSE)</f>
        <v>59450.721933138579</v>
      </c>
      <c r="I84">
        <f t="shared" si="23"/>
        <v>216769.42260749158</v>
      </c>
      <c r="J84">
        <f t="shared" si="24"/>
        <v>0</v>
      </c>
      <c r="K84" s="43">
        <f t="shared" si="25"/>
        <v>216769.42260749158</v>
      </c>
      <c r="L84">
        <f t="shared" si="26"/>
        <v>0</v>
      </c>
      <c r="M84">
        <f t="shared" si="27"/>
        <v>0</v>
      </c>
      <c r="N84" s="43">
        <f t="shared" si="28"/>
        <v>216769.42260749158</v>
      </c>
      <c r="O84">
        <f t="shared" si="29"/>
        <v>0</v>
      </c>
      <c r="P84">
        <f t="shared" si="30"/>
        <v>0</v>
      </c>
      <c r="Q84" s="43">
        <f t="shared" si="31"/>
        <v>216769.42260749158</v>
      </c>
      <c r="R84">
        <f t="shared" si="32"/>
        <v>0</v>
      </c>
      <c r="S84">
        <f t="shared" si="33"/>
        <v>0</v>
      </c>
      <c r="T84" s="43">
        <f t="shared" si="34"/>
        <v>216769.42260749158</v>
      </c>
      <c r="U84">
        <f t="shared" si="35"/>
        <v>0</v>
      </c>
      <c r="V84">
        <f t="shared" si="36"/>
        <v>0</v>
      </c>
      <c r="W84" s="43">
        <f t="shared" si="37"/>
        <v>216769.42260749158</v>
      </c>
      <c r="X84" s="43">
        <f t="shared" si="38"/>
        <v>0</v>
      </c>
      <c r="Y84" s="27">
        <f t="shared" si="39"/>
        <v>1702.5473782875629</v>
      </c>
      <c r="Z84" s="27">
        <f t="shared" si="40"/>
        <v>215066.87522920402</v>
      </c>
      <c r="AA84">
        <f t="shared" si="41"/>
        <v>0</v>
      </c>
      <c r="AB84" s="27">
        <f t="shared" si="42"/>
        <v>215066.87522920402</v>
      </c>
      <c r="AD84" s="27">
        <f t="shared" si="43"/>
        <v>0</v>
      </c>
      <c r="AE84" s="27">
        <f t="shared" si="44"/>
        <v>215066.87522920402</v>
      </c>
      <c r="AF84" s="50"/>
      <c r="AG84" t="str">
        <f t="shared" si="45"/>
        <v>5302910</v>
      </c>
    </row>
    <row r="85" spans="1:33" x14ac:dyDescent="0.25">
      <c r="A85" s="7" t="s">
        <v>401</v>
      </c>
      <c r="B85" s="2" t="s">
        <v>820</v>
      </c>
      <c r="C85" s="4" t="s">
        <v>819</v>
      </c>
      <c r="D85" s="30">
        <f>_xlfn.IFNA(VLOOKUP(A85,'Prior Year data'!$A$1:$V$318,13,FALSE),0)</f>
        <v>2942466.5819874569</v>
      </c>
      <c r="E85">
        <f>VLOOKUP(A85,'Basic HH'!$B$1:$Y$318,23,FALSE)</f>
        <v>1393067.9522672978</v>
      </c>
      <c r="F85">
        <f>VLOOKUP(A85,'Conc. HH'!$B$1:$Y$318,23,FALSE)</f>
        <v>375534.72714286612</v>
      </c>
      <c r="G85">
        <f>VLOOKUP(A85,'Targeted HH'!$B$1:$Y$318,23,FALSE)</f>
        <v>863616.32270573033</v>
      </c>
      <c r="H85">
        <f>VLOOKUP(A85,'EFIG HH'!$B$1:$Y$318,23,FALSE)</f>
        <v>1145997.0744239194</v>
      </c>
      <c r="I85">
        <f t="shared" si="23"/>
        <v>3778216.0765398135</v>
      </c>
      <c r="J85">
        <f t="shared" si="24"/>
        <v>3778216.0765398135</v>
      </c>
      <c r="K85" s="43">
        <f t="shared" si="25"/>
        <v>3417866.6216268311</v>
      </c>
      <c r="L85">
        <f t="shared" si="26"/>
        <v>0</v>
      </c>
      <c r="M85">
        <f t="shared" si="27"/>
        <v>475400.03963937424</v>
      </c>
      <c r="N85" s="43">
        <f t="shared" si="28"/>
        <v>3246445.3303679503</v>
      </c>
      <c r="O85">
        <f t="shared" si="29"/>
        <v>0</v>
      </c>
      <c r="P85">
        <f t="shared" si="30"/>
        <v>303978.74838049337</v>
      </c>
      <c r="Q85" s="43">
        <f t="shared" si="31"/>
        <v>3246445.3303679503</v>
      </c>
      <c r="R85">
        <f t="shared" si="32"/>
        <v>0</v>
      </c>
      <c r="S85">
        <f t="shared" si="33"/>
        <v>303978.74838049337</v>
      </c>
      <c r="T85" s="43">
        <f t="shared" si="34"/>
        <v>3246445.3303679503</v>
      </c>
      <c r="U85">
        <f t="shared" si="35"/>
        <v>0</v>
      </c>
      <c r="V85">
        <f t="shared" si="36"/>
        <v>303978.74838049337</v>
      </c>
      <c r="W85" s="43">
        <f t="shared" si="37"/>
        <v>3246445.3303679503</v>
      </c>
      <c r="X85" s="43">
        <f t="shared" si="38"/>
        <v>531770.74617186328</v>
      </c>
      <c r="Y85" s="27">
        <f t="shared" si="39"/>
        <v>25498.185673447621</v>
      </c>
      <c r="Z85" s="27">
        <f t="shared" si="40"/>
        <v>3220947.1446945025</v>
      </c>
      <c r="AA85">
        <f t="shared" si="41"/>
        <v>0</v>
      </c>
      <c r="AB85" s="27">
        <f t="shared" si="42"/>
        <v>3220947.1446945025</v>
      </c>
      <c r="AD85" s="27">
        <f t="shared" si="43"/>
        <v>0</v>
      </c>
      <c r="AE85" s="27">
        <f t="shared" si="44"/>
        <v>3220947.1446945025</v>
      </c>
      <c r="AF85" s="50"/>
      <c r="AG85" t="str">
        <f t="shared" si="45"/>
        <v>5302940</v>
      </c>
    </row>
    <row r="86" spans="1:33" x14ac:dyDescent="0.25">
      <c r="A86" s="7" t="s">
        <v>130</v>
      </c>
      <c r="B86" s="2" t="s">
        <v>822</v>
      </c>
      <c r="C86" s="4" t="s">
        <v>821</v>
      </c>
      <c r="D86" s="30">
        <f>_xlfn.IFNA(VLOOKUP(A86,'Prior Year data'!$A$1:$V$318,13,FALSE),0)</f>
        <v>36284.892302648201</v>
      </c>
      <c r="E86">
        <f>VLOOKUP(A86,'Basic HH'!$B$1:$Y$318,23,FALSE)</f>
        <v>31080.163024379006</v>
      </c>
      <c r="F86">
        <f>VLOOKUP(A86,'Conc. HH'!$B$1:$Y$318,23,FALSE)</f>
        <v>0</v>
      </c>
      <c r="G86">
        <f>VLOOKUP(A86,'Targeted HH'!$B$1:$Y$318,23,FALSE)</f>
        <v>0</v>
      </c>
      <c r="H86">
        <f>VLOOKUP(A86,'EFIG HH'!$B$1:$Y$318,23,FALSE)</f>
        <v>0</v>
      </c>
      <c r="I86">
        <f t="shared" si="23"/>
        <v>31080.163024379006</v>
      </c>
      <c r="J86">
        <f t="shared" si="24"/>
        <v>0</v>
      </c>
      <c r="K86" s="43">
        <f t="shared" si="25"/>
        <v>31080.163024379006</v>
      </c>
      <c r="L86">
        <f t="shared" si="26"/>
        <v>0</v>
      </c>
      <c r="M86">
        <f t="shared" si="27"/>
        <v>0</v>
      </c>
      <c r="N86" s="43">
        <f t="shared" si="28"/>
        <v>31080.163024379006</v>
      </c>
      <c r="O86">
        <f t="shared" si="29"/>
        <v>0</v>
      </c>
      <c r="P86">
        <f t="shared" si="30"/>
        <v>0</v>
      </c>
      <c r="Q86" s="43">
        <f t="shared" si="31"/>
        <v>31080.163024379006</v>
      </c>
      <c r="R86">
        <f t="shared" si="32"/>
        <v>0</v>
      </c>
      <c r="S86">
        <f t="shared" si="33"/>
        <v>0</v>
      </c>
      <c r="T86" s="43">
        <f t="shared" si="34"/>
        <v>31080.163024379006</v>
      </c>
      <c r="U86">
        <f t="shared" si="35"/>
        <v>0</v>
      </c>
      <c r="V86">
        <f t="shared" si="36"/>
        <v>0</v>
      </c>
      <c r="W86" s="43">
        <f t="shared" si="37"/>
        <v>31080.163024379006</v>
      </c>
      <c r="X86" s="43">
        <f t="shared" si="38"/>
        <v>0</v>
      </c>
      <c r="Y86" s="27">
        <f t="shared" si="39"/>
        <v>244.10938331335376</v>
      </c>
      <c r="Z86" s="27">
        <f t="shared" si="40"/>
        <v>30836.053641065653</v>
      </c>
      <c r="AA86">
        <f t="shared" si="41"/>
        <v>0</v>
      </c>
      <c r="AB86" s="27">
        <f t="shared" si="42"/>
        <v>30836.053641065653</v>
      </c>
      <c r="AD86" s="27">
        <f t="shared" si="43"/>
        <v>0</v>
      </c>
      <c r="AE86" s="27">
        <f t="shared" si="44"/>
        <v>30836.053641065653</v>
      </c>
      <c r="AF86" s="50"/>
      <c r="AG86" t="str">
        <f t="shared" si="45"/>
        <v>5302970</v>
      </c>
    </row>
    <row r="87" spans="1:33" x14ac:dyDescent="0.25">
      <c r="A87" s="7" t="s">
        <v>403</v>
      </c>
      <c r="B87" s="2" t="s">
        <v>824</v>
      </c>
      <c r="C87" s="4" t="s">
        <v>823</v>
      </c>
      <c r="D87" s="30">
        <f>_xlfn.IFNA(VLOOKUP(A87,'Prior Year data'!$A$1:$V$318,13,FALSE),0)</f>
        <v>73588.442807537416</v>
      </c>
      <c r="E87">
        <f>VLOOKUP(A87,'Basic HH'!$B$1:$Y$318,23,FALSE)</f>
        <v>25809.09404230399</v>
      </c>
      <c r="F87">
        <f>VLOOKUP(A87,'Conc. HH'!$B$1:$Y$318,23,FALSE)</f>
        <v>6943.6506681181709</v>
      </c>
      <c r="G87">
        <f>VLOOKUP(A87,'Targeted HH'!$B$1:$Y$318,23,FALSE)</f>
        <v>17201.655360798602</v>
      </c>
      <c r="H87">
        <f>VLOOKUP(A87,'EFIG HH'!$B$1:$Y$318,23,FALSE)</f>
        <v>23643.985726819548</v>
      </c>
      <c r="I87">
        <f t="shared" si="23"/>
        <v>73598.385798040312</v>
      </c>
      <c r="J87">
        <f t="shared" si="24"/>
        <v>73598.385798040312</v>
      </c>
      <c r="K87" s="43">
        <f t="shared" si="25"/>
        <v>66578.8989112321</v>
      </c>
      <c r="L87">
        <f t="shared" si="26"/>
        <v>7009.5438963053166</v>
      </c>
      <c r="M87">
        <f t="shared" si="27"/>
        <v>0</v>
      </c>
      <c r="N87" s="43">
        <f t="shared" si="28"/>
        <v>73588.442807537416</v>
      </c>
      <c r="O87">
        <f t="shared" si="29"/>
        <v>0</v>
      </c>
      <c r="P87">
        <f t="shared" si="30"/>
        <v>0</v>
      </c>
      <c r="Q87" s="43">
        <f t="shared" si="31"/>
        <v>73588.442807537416</v>
      </c>
      <c r="R87">
        <f t="shared" si="32"/>
        <v>0</v>
      </c>
      <c r="S87">
        <f t="shared" si="33"/>
        <v>0</v>
      </c>
      <c r="T87" s="43">
        <f t="shared" si="34"/>
        <v>73588.442807537416</v>
      </c>
      <c r="U87">
        <f t="shared" si="35"/>
        <v>0</v>
      </c>
      <c r="V87">
        <f t="shared" si="36"/>
        <v>0</v>
      </c>
      <c r="W87" s="43">
        <f t="shared" si="37"/>
        <v>73588.442807537416</v>
      </c>
      <c r="X87" s="43">
        <f t="shared" si="38"/>
        <v>9.9429905028955545</v>
      </c>
      <c r="Y87" s="27">
        <f t="shared" si="39"/>
        <v>577.97732201878887</v>
      </c>
      <c r="Z87" s="27">
        <f t="shared" si="40"/>
        <v>73010.465485518624</v>
      </c>
      <c r="AA87">
        <f t="shared" si="41"/>
        <v>0</v>
      </c>
      <c r="AB87" s="27">
        <f t="shared" si="42"/>
        <v>73010.465485518624</v>
      </c>
      <c r="AD87" s="27">
        <f t="shared" si="43"/>
        <v>0</v>
      </c>
      <c r="AE87" s="27">
        <f t="shared" si="44"/>
        <v>73010.465485518624</v>
      </c>
      <c r="AF87" s="50"/>
      <c r="AG87" t="str">
        <f t="shared" si="45"/>
        <v>5303000</v>
      </c>
    </row>
    <row r="88" spans="1:33" x14ac:dyDescent="0.25">
      <c r="A88" s="7" t="s">
        <v>132</v>
      </c>
      <c r="B88" s="2" t="s">
        <v>826</v>
      </c>
      <c r="C88" s="4" t="s">
        <v>825</v>
      </c>
      <c r="D88" s="30">
        <f>_xlfn.IFNA(VLOOKUP(A88,'Prior Year data'!$A$1:$V$318,13,FALSE),0)</f>
        <v>29988.93577030467</v>
      </c>
      <c r="E88">
        <f>VLOOKUP(A88,'Basic HH'!$B$1:$Y$318,23,FALSE)</f>
        <v>9423.5563950604428</v>
      </c>
      <c r="F88">
        <f>VLOOKUP(A88,'Conc. HH'!$B$1:$Y$318,23,FALSE)</f>
        <v>2468.0815723697037</v>
      </c>
      <c r="G88">
        <f>VLOOKUP(A88,'Targeted HH'!$B$1:$Y$318,23,FALSE)</f>
        <v>6434.262038122306</v>
      </c>
      <c r="H88">
        <f>VLOOKUP(A88,'EFIG HH'!$B$1:$Y$318,23,FALSE)</f>
        <v>8872.4205194047081</v>
      </c>
      <c r="I88">
        <f t="shared" si="23"/>
        <v>27198.320524957162</v>
      </c>
      <c r="J88">
        <f t="shared" si="24"/>
        <v>0</v>
      </c>
      <c r="K88" s="43">
        <f t="shared" si="25"/>
        <v>27198.320524957162</v>
      </c>
      <c r="L88">
        <f t="shared" si="26"/>
        <v>0</v>
      </c>
      <c r="M88">
        <f t="shared" si="27"/>
        <v>0</v>
      </c>
      <c r="N88" s="43">
        <f t="shared" si="28"/>
        <v>27198.320524957162</v>
      </c>
      <c r="O88">
        <f t="shared" si="29"/>
        <v>0</v>
      </c>
      <c r="P88">
        <f t="shared" si="30"/>
        <v>0</v>
      </c>
      <c r="Q88" s="43">
        <f t="shared" si="31"/>
        <v>27198.320524957162</v>
      </c>
      <c r="R88">
        <f t="shared" si="32"/>
        <v>0</v>
      </c>
      <c r="S88">
        <f t="shared" si="33"/>
        <v>0</v>
      </c>
      <c r="T88" s="43">
        <f t="shared" si="34"/>
        <v>27198.320524957162</v>
      </c>
      <c r="U88">
        <f t="shared" si="35"/>
        <v>0</v>
      </c>
      <c r="V88">
        <f t="shared" si="36"/>
        <v>0</v>
      </c>
      <c r="W88" s="43">
        <f t="shared" si="37"/>
        <v>27198.320524957162</v>
      </c>
      <c r="X88" s="43">
        <f t="shared" si="38"/>
        <v>0</v>
      </c>
      <c r="Y88" s="27">
        <f t="shared" si="39"/>
        <v>213.62067004920036</v>
      </c>
      <c r="Z88" s="27">
        <f t="shared" si="40"/>
        <v>26984.699854907962</v>
      </c>
      <c r="AA88">
        <f t="shared" si="41"/>
        <v>0</v>
      </c>
      <c r="AB88" s="27">
        <f t="shared" si="42"/>
        <v>26984.699854907962</v>
      </c>
      <c r="AD88" s="27">
        <f t="shared" si="43"/>
        <v>0</v>
      </c>
      <c r="AE88" s="27">
        <f t="shared" si="44"/>
        <v>26984.699854907962</v>
      </c>
      <c r="AF88" s="50"/>
      <c r="AG88" t="str">
        <f t="shared" si="45"/>
        <v>5303030</v>
      </c>
    </row>
    <row r="89" spans="1:33" x14ac:dyDescent="0.25">
      <c r="A89" s="7" t="s">
        <v>405</v>
      </c>
      <c r="B89" s="2" t="s">
        <v>828</v>
      </c>
      <c r="C89" s="4" t="s">
        <v>827</v>
      </c>
      <c r="D89" s="30">
        <f>_xlfn.IFNA(VLOOKUP(A89,'Prior Year data'!$A$1:$V$318,13,FALSE),0)</f>
        <v>454312.44218669785</v>
      </c>
      <c r="E89">
        <f>VLOOKUP(A89,'Basic HH'!$B$1:$Y$318,23,FALSE)</f>
        <v>153314.46507804396</v>
      </c>
      <c r="F89">
        <f>VLOOKUP(A89,'Conc. HH'!$B$1:$Y$318,23,FALSE)</f>
        <v>40395.834796619616</v>
      </c>
      <c r="G89">
        <f>VLOOKUP(A89,'Targeted HH'!$B$1:$Y$318,23,FALSE)</f>
        <v>91774.806412478298</v>
      </c>
      <c r="H89">
        <f>VLOOKUP(A89,'EFIG HH'!$B$1:$Y$318,23,FALSE)</f>
        <v>126551.36995572098</v>
      </c>
      <c r="I89">
        <f t="shared" si="23"/>
        <v>412036.47624286287</v>
      </c>
      <c r="J89">
        <f t="shared" si="24"/>
        <v>0</v>
      </c>
      <c r="K89" s="43">
        <f t="shared" si="25"/>
        <v>412036.47624286287</v>
      </c>
      <c r="L89">
        <f t="shared" si="26"/>
        <v>0</v>
      </c>
      <c r="M89">
        <f t="shared" si="27"/>
        <v>0</v>
      </c>
      <c r="N89" s="43">
        <f t="shared" si="28"/>
        <v>412036.47624286287</v>
      </c>
      <c r="O89">
        <f t="shared" si="29"/>
        <v>0</v>
      </c>
      <c r="P89">
        <f t="shared" si="30"/>
        <v>0</v>
      </c>
      <c r="Q89" s="43">
        <f t="shared" si="31"/>
        <v>412036.47624286287</v>
      </c>
      <c r="R89">
        <f t="shared" si="32"/>
        <v>0</v>
      </c>
      <c r="S89">
        <f t="shared" si="33"/>
        <v>0</v>
      </c>
      <c r="T89" s="43">
        <f t="shared" si="34"/>
        <v>412036.47624286287</v>
      </c>
      <c r="U89">
        <f t="shared" si="35"/>
        <v>0</v>
      </c>
      <c r="V89">
        <f t="shared" si="36"/>
        <v>0</v>
      </c>
      <c r="W89" s="43">
        <f t="shared" si="37"/>
        <v>412036.47624286287</v>
      </c>
      <c r="X89" s="43">
        <f t="shared" si="38"/>
        <v>0</v>
      </c>
      <c r="Y89" s="27">
        <f t="shared" si="39"/>
        <v>3236.2111498371801</v>
      </c>
      <c r="Z89" s="27">
        <f t="shared" si="40"/>
        <v>408800.26509302569</v>
      </c>
      <c r="AA89">
        <f t="shared" si="41"/>
        <v>0</v>
      </c>
      <c r="AB89" s="27">
        <f t="shared" si="42"/>
        <v>408800.26509302569</v>
      </c>
      <c r="AD89" s="27">
        <f t="shared" si="43"/>
        <v>0</v>
      </c>
      <c r="AE89" s="27">
        <f t="shared" si="44"/>
        <v>408800.26509302569</v>
      </c>
      <c r="AF89" s="50"/>
      <c r="AG89" t="str">
        <f t="shared" si="45"/>
        <v>5303090</v>
      </c>
    </row>
    <row r="90" spans="1:33" x14ac:dyDescent="0.25">
      <c r="A90" s="7" t="s">
        <v>407</v>
      </c>
      <c r="B90" s="2" t="s">
        <v>830</v>
      </c>
      <c r="C90" s="4" t="s">
        <v>829</v>
      </c>
      <c r="D90" s="30">
        <f>_xlfn.IFNA(VLOOKUP(A90,'Prior Year data'!$A$1:$V$318,13,FALSE),0)</f>
        <v>219057.37483646008</v>
      </c>
      <c r="E90">
        <f>VLOOKUP(A90,'Basic HH'!$B$1:$Y$318,23,FALSE)</f>
        <v>138075.54829922065</v>
      </c>
      <c r="F90">
        <f>VLOOKUP(A90,'Conc. HH'!$B$1:$Y$318,23,FALSE)</f>
        <v>37221.560707973469</v>
      </c>
      <c r="G90">
        <f>VLOOKUP(A90,'Targeted HH'!$B$1:$Y$318,23,FALSE)</f>
        <v>86386.19461612156</v>
      </c>
      <c r="H90">
        <f>VLOOKUP(A90,'EFIG HH'!$B$1:$Y$318,23,FALSE)</f>
        <v>114632.30105531881</v>
      </c>
      <c r="I90">
        <f t="shared" si="23"/>
        <v>376315.6046786345</v>
      </c>
      <c r="J90">
        <f t="shared" si="24"/>
        <v>376315.6046786345</v>
      </c>
      <c r="K90" s="43">
        <f t="shared" si="25"/>
        <v>340424.29505682323</v>
      </c>
      <c r="L90">
        <f t="shared" si="26"/>
        <v>0</v>
      </c>
      <c r="M90">
        <f t="shared" si="27"/>
        <v>121366.92022036316</v>
      </c>
      <c r="N90" s="43">
        <f t="shared" si="28"/>
        <v>296661.41654282424</v>
      </c>
      <c r="O90">
        <f t="shared" si="29"/>
        <v>0</v>
      </c>
      <c r="P90">
        <f t="shared" si="30"/>
        <v>77604.041706364165</v>
      </c>
      <c r="Q90" s="43">
        <f t="shared" si="31"/>
        <v>296661.41654282424</v>
      </c>
      <c r="R90">
        <f t="shared" si="32"/>
        <v>0</v>
      </c>
      <c r="S90">
        <f t="shared" si="33"/>
        <v>77604.041706364165</v>
      </c>
      <c r="T90" s="43">
        <f t="shared" si="34"/>
        <v>296661.41654282424</v>
      </c>
      <c r="U90">
        <f t="shared" si="35"/>
        <v>0</v>
      </c>
      <c r="V90">
        <f t="shared" si="36"/>
        <v>77604.041706364165</v>
      </c>
      <c r="W90" s="43">
        <f t="shared" si="37"/>
        <v>296661.41654282424</v>
      </c>
      <c r="X90" s="43">
        <f t="shared" si="38"/>
        <v>79654.188135810255</v>
      </c>
      <c r="Y90" s="27">
        <f t="shared" si="39"/>
        <v>2330.0339637321363</v>
      </c>
      <c r="Z90" s="27">
        <f t="shared" si="40"/>
        <v>294331.38257909211</v>
      </c>
      <c r="AA90">
        <f t="shared" si="41"/>
        <v>0</v>
      </c>
      <c r="AB90" s="27">
        <f t="shared" si="42"/>
        <v>294331.38257909211</v>
      </c>
      <c r="AD90" s="27">
        <f t="shared" si="43"/>
        <v>0</v>
      </c>
      <c r="AE90" s="27">
        <f t="shared" si="44"/>
        <v>294331.38257909211</v>
      </c>
      <c r="AF90" s="50"/>
      <c r="AG90" t="str">
        <f t="shared" si="45"/>
        <v>5303130</v>
      </c>
    </row>
    <row r="91" spans="1:33" x14ac:dyDescent="0.25">
      <c r="A91" s="7" t="s">
        <v>409</v>
      </c>
      <c r="B91" s="2" t="s">
        <v>832</v>
      </c>
      <c r="C91" s="4" t="s">
        <v>831</v>
      </c>
      <c r="D91" s="30">
        <f>_xlfn.IFNA(VLOOKUP(A91,'Prior Year data'!$A$1:$V$318,13,FALSE),0)</f>
        <v>1647711.4071953581</v>
      </c>
      <c r="E91">
        <f>VLOOKUP(A91,'Basic HH'!$B$1:$Y$318,23,FALSE)</f>
        <v>728194.61141245125</v>
      </c>
      <c r="F91">
        <f>VLOOKUP(A91,'Conc. HH'!$B$1:$Y$318,23,FALSE)</f>
        <v>196302.24373377097</v>
      </c>
      <c r="G91">
        <f>VLOOKUP(A91,'Targeted HH'!$B$1:$Y$318,23,FALSE)</f>
        <v>434130.58960625209</v>
      </c>
      <c r="H91">
        <f>VLOOKUP(A91,'EFIG HH'!$B$1:$Y$318,23,FALSE)</f>
        <v>576080.3409180342</v>
      </c>
      <c r="I91">
        <f t="shared" si="23"/>
        <v>1934707.7856705086</v>
      </c>
      <c r="J91">
        <f t="shared" si="24"/>
        <v>1934707.7856705086</v>
      </c>
      <c r="K91" s="43">
        <f t="shared" si="25"/>
        <v>1750183.9570014088</v>
      </c>
      <c r="L91">
        <f t="shared" si="26"/>
        <v>0</v>
      </c>
      <c r="M91">
        <f t="shared" si="27"/>
        <v>102472.54980605072</v>
      </c>
      <c r="N91" s="43">
        <f t="shared" si="28"/>
        <v>1713234.0719747515</v>
      </c>
      <c r="O91">
        <f t="shared" si="29"/>
        <v>0</v>
      </c>
      <c r="P91">
        <f t="shared" si="30"/>
        <v>65522.664779393468</v>
      </c>
      <c r="Q91" s="43">
        <f t="shared" si="31"/>
        <v>1713234.0719747515</v>
      </c>
      <c r="R91">
        <f t="shared" si="32"/>
        <v>0</v>
      </c>
      <c r="S91">
        <f t="shared" si="33"/>
        <v>65522.664779393468</v>
      </c>
      <c r="T91" s="43">
        <f t="shared" si="34"/>
        <v>1713234.0719747515</v>
      </c>
      <c r="U91">
        <f t="shared" si="35"/>
        <v>0</v>
      </c>
      <c r="V91">
        <f t="shared" si="36"/>
        <v>65522.664779393468</v>
      </c>
      <c r="W91" s="43">
        <f t="shared" si="37"/>
        <v>1713234.0719747515</v>
      </c>
      <c r="X91" s="43">
        <f t="shared" si="38"/>
        <v>221473.71369575709</v>
      </c>
      <c r="Y91" s="27">
        <f t="shared" si="39"/>
        <v>13456.059173600124</v>
      </c>
      <c r="Z91" s="27">
        <f t="shared" si="40"/>
        <v>1699778.0128011515</v>
      </c>
      <c r="AA91">
        <f t="shared" si="41"/>
        <v>0</v>
      </c>
      <c r="AB91" s="27">
        <f t="shared" si="42"/>
        <v>1699778.0128011515</v>
      </c>
      <c r="AD91" s="27">
        <f t="shared" si="43"/>
        <v>0</v>
      </c>
      <c r="AE91" s="27">
        <f t="shared" si="44"/>
        <v>1699778.0128011515</v>
      </c>
      <c r="AF91" s="50"/>
      <c r="AG91" t="str">
        <f t="shared" si="45"/>
        <v>5303150</v>
      </c>
    </row>
    <row r="92" spans="1:33" x14ac:dyDescent="0.25">
      <c r="A92" s="7" t="s">
        <v>411</v>
      </c>
      <c r="B92" s="2" t="s">
        <v>834</v>
      </c>
      <c r="C92" s="4" t="s">
        <v>833</v>
      </c>
      <c r="D92" s="30">
        <f>_xlfn.IFNA(VLOOKUP(A92,'Prior Year data'!$A$1:$V$318,13,FALSE),0)</f>
        <v>778160.11634613806</v>
      </c>
      <c r="E92">
        <f>VLOOKUP(A92,'Basic HH'!$B$1:$Y$318,23,FALSE)</f>
        <v>258543.9388361559</v>
      </c>
      <c r="F92">
        <f>VLOOKUP(A92,'Conc. HH'!$B$1:$Y$318,23,FALSE)</f>
        <v>68122.066861572137</v>
      </c>
      <c r="G92">
        <f>VLOOKUP(A92,'Targeted HH'!$B$1:$Y$318,23,FALSE)</f>
        <v>159646.10408834415</v>
      </c>
      <c r="H92">
        <f>VLOOKUP(A92,'EFIG HH'!$B$1:$Y$318,23,FALSE)</f>
        <v>219436.45115744942</v>
      </c>
      <c r="I92">
        <f t="shared" si="23"/>
        <v>705748.56094352156</v>
      </c>
      <c r="J92">
        <f t="shared" si="24"/>
        <v>0</v>
      </c>
      <c r="K92" s="43">
        <f t="shared" si="25"/>
        <v>705748.56094352156</v>
      </c>
      <c r="L92">
        <f t="shared" si="26"/>
        <v>0</v>
      </c>
      <c r="M92">
        <f t="shared" si="27"/>
        <v>0</v>
      </c>
      <c r="N92" s="43">
        <f t="shared" si="28"/>
        <v>705748.56094352156</v>
      </c>
      <c r="O92">
        <f t="shared" si="29"/>
        <v>0</v>
      </c>
      <c r="P92">
        <f t="shared" si="30"/>
        <v>0</v>
      </c>
      <c r="Q92" s="43">
        <f t="shared" si="31"/>
        <v>705748.56094352156</v>
      </c>
      <c r="R92">
        <f t="shared" si="32"/>
        <v>0</v>
      </c>
      <c r="S92">
        <f t="shared" si="33"/>
        <v>0</v>
      </c>
      <c r="T92" s="43">
        <f t="shared" si="34"/>
        <v>705748.56094352156</v>
      </c>
      <c r="U92">
        <f t="shared" si="35"/>
        <v>0</v>
      </c>
      <c r="V92">
        <f t="shared" si="36"/>
        <v>0</v>
      </c>
      <c r="W92" s="43">
        <f t="shared" si="37"/>
        <v>705748.56094352156</v>
      </c>
      <c r="X92" s="43">
        <f t="shared" si="38"/>
        <v>0</v>
      </c>
      <c r="Y92" s="27">
        <f t="shared" si="39"/>
        <v>5543.0805125145298</v>
      </c>
      <c r="Z92" s="27">
        <f t="shared" si="40"/>
        <v>700205.48043100699</v>
      </c>
      <c r="AA92">
        <f t="shared" si="41"/>
        <v>0</v>
      </c>
      <c r="AB92" s="27">
        <f t="shared" si="42"/>
        <v>700205.48043100699</v>
      </c>
      <c r="AD92" s="27">
        <f t="shared" si="43"/>
        <v>0</v>
      </c>
      <c r="AE92" s="27">
        <f t="shared" si="44"/>
        <v>700205.48043100699</v>
      </c>
      <c r="AF92" s="50"/>
      <c r="AG92" t="str">
        <f t="shared" si="45"/>
        <v>5303180</v>
      </c>
    </row>
    <row r="93" spans="1:33" x14ac:dyDescent="0.25">
      <c r="A93" s="7" t="s">
        <v>134</v>
      </c>
      <c r="B93" s="2" t="s">
        <v>836</v>
      </c>
      <c r="C93" s="4" t="s">
        <v>835</v>
      </c>
      <c r="D93" s="30">
        <f>_xlfn.IFNA(VLOOKUP(A93,'Prior Year data'!$A$1:$V$318,13,FALSE),0)</f>
        <v>336730.58340967342</v>
      </c>
      <c r="E93">
        <f>VLOOKUP(A93,'Basic HH'!$B$1:$Y$318,23,FALSE)</f>
        <v>166218.33521371169</v>
      </c>
      <c r="F93">
        <f>VLOOKUP(A93,'Conc. HH'!$B$1:$Y$318,23,FALSE)</f>
        <v>0</v>
      </c>
      <c r="G93">
        <f>VLOOKUP(A93,'Targeted HH'!$B$1:$Y$318,23,FALSE)</f>
        <v>80385.85815877025</v>
      </c>
      <c r="H93">
        <f>VLOOKUP(A93,'EFIG HH'!$B$1:$Y$318,23,FALSE)</f>
        <v>106670.00594243821</v>
      </c>
      <c r="I93">
        <f t="shared" si="23"/>
        <v>353274.19931492012</v>
      </c>
      <c r="J93">
        <f t="shared" si="24"/>
        <v>353274.19931492012</v>
      </c>
      <c r="K93" s="43">
        <f t="shared" si="25"/>
        <v>319580.47651584231</v>
      </c>
      <c r="L93">
        <f t="shared" si="26"/>
        <v>17150.106893831107</v>
      </c>
      <c r="M93">
        <f t="shared" si="27"/>
        <v>0</v>
      </c>
      <c r="N93" s="43">
        <f t="shared" si="28"/>
        <v>336730.58340967342</v>
      </c>
      <c r="O93">
        <f t="shared" si="29"/>
        <v>0</v>
      </c>
      <c r="P93">
        <f t="shared" si="30"/>
        <v>0</v>
      </c>
      <c r="Q93" s="43">
        <f t="shared" si="31"/>
        <v>336730.58340967342</v>
      </c>
      <c r="R93">
        <f t="shared" si="32"/>
        <v>0</v>
      </c>
      <c r="S93">
        <f t="shared" si="33"/>
        <v>0</v>
      </c>
      <c r="T93" s="43">
        <f t="shared" si="34"/>
        <v>336730.58340967342</v>
      </c>
      <c r="U93">
        <f t="shared" si="35"/>
        <v>0</v>
      </c>
      <c r="V93">
        <f t="shared" si="36"/>
        <v>0</v>
      </c>
      <c r="W93" s="43">
        <f t="shared" si="37"/>
        <v>336730.58340967342</v>
      </c>
      <c r="X93" s="43">
        <f t="shared" si="38"/>
        <v>16543.615905246697</v>
      </c>
      <c r="Y93" s="27">
        <f t="shared" si="39"/>
        <v>2644.7446557601693</v>
      </c>
      <c r="Z93" s="27">
        <f t="shared" si="40"/>
        <v>334085.83875391324</v>
      </c>
      <c r="AA93">
        <f t="shared" si="41"/>
        <v>0</v>
      </c>
      <c r="AB93" s="27">
        <f t="shared" si="42"/>
        <v>334085.83875391324</v>
      </c>
      <c r="AD93" s="27">
        <f t="shared" si="43"/>
        <v>0</v>
      </c>
      <c r="AE93" s="27">
        <f t="shared" si="44"/>
        <v>334085.83875391324</v>
      </c>
      <c r="AF93" s="50"/>
      <c r="AG93" t="str">
        <f t="shared" si="45"/>
        <v>5303210</v>
      </c>
    </row>
    <row r="94" spans="1:33" x14ac:dyDescent="0.25">
      <c r="A94" s="7" t="s">
        <v>413</v>
      </c>
      <c r="B94" s="2" t="s">
        <v>838</v>
      </c>
      <c r="C94" s="4" t="s">
        <v>837</v>
      </c>
      <c r="D94" s="30">
        <f>_xlfn.IFNA(VLOOKUP(A94,'Prior Year data'!$A$1:$V$318,13,FALSE),0)</f>
        <v>70174.351246075297</v>
      </c>
      <c r="E94">
        <f>VLOOKUP(A94,'Basic HH'!$B$1:$Y$318,23,FALSE)</f>
        <v>30781.173187724373</v>
      </c>
      <c r="F94">
        <f>VLOOKUP(A94,'Conc. HH'!$B$1:$Y$318,23,FALSE)</f>
        <v>0</v>
      </c>
      <c r="G94">
        <f>VLOOKUP(A94,'Targeted HH'!$B$1:$Y$318,23,FALSE)</f>
        <v>14886.27002940189</v>
      </c>
      <c r="H94">
        <f>VLOOKUP(A94,'EFIG HH'!$B$1:$Y$318,23,FALSE)</f>
        <v>19753.704804155219</v>
      </c>
      <c r="I94">
        <f t="shared" si="23"/>
        <v>65421.148021281479</v>
      </c>
      <c r="J94">
        <f t="shared" si="24"/>
        <v>0</v>
      </c>
      <c r="K94" s="43">
        <f t="shared" si="25"/>
        <v>65421.148021281479</v>
      </c>
      <c r="L94">
        <f t="shared" si="26"/>
        <v>0</v>
      </c>
      <c r="M94">
        <f t="shared" si="27"/>
        <v>0</v>
      </c>
      <c r="N94" s="43">
        <f t="shared" si="28"/>
        <v>65421.148021281479</v>
      </c>
      <c r="O94">
        <f t="shared" si="29"/>
        <v>0</v>
      </c>
      <c r="P94">
        <f t="shared" si="30"/>
        <v>0</v>
      </c>
      <c r="Q94" s="43">
        <f t="shared" si="31"/>
        <v>65421.148021281479</v>
      </c>
      <c r="R94">
        <f t="shared" si="32"/>
        <v>0</v>
      </c>
      <c r="S94">
        <f t="shared" si="33"/>
        <v>0</v>
      </c>
      <c r="T94" s="43">
        <f t="shared" si="34"/>
        <v>65421.148021281479</v>
      </c>
      <c r="U94">
        <f t="shared" si="35"/>
        <v>0</v>
      </c>
      <c r="V94">
        <f t="shared" si="36"/>
        <v>0</v>
      </c>
      <c r="W94" s="43">
        <f t="shared" si="37"/>
        <v>65421.148021281479</v>
      </c>
      <c r="X94" s="43">
        <f t="shared" si="38"/>
        <v>0</v>
      </c>
      <c r="Y94" s="27">
        <f t="shared" si="39"/>
        <v>513.82986912262947</v>
      </c>
      <c r="Z94" s="27">
        <f t="shared" si="40"/>
        <v>64907.318152158849</v>
      </c>
      <c r="AA94">
        <f t="shared" si="41"/>
        <v>0</v>
      </c>
      <c r="AB94" s="27">
        <f t="shared" si="42"/>
        <v>64907.318152158849</v>
      </c>
      <c r="AD94" s="27">
        <f t="shared" si="43"/>
        <v>0</v>
      </c>
      <c r="AE94" s="27">
        <f t="shared" si="44"/>
        <v>64907.318152158849</v>
      </c>
      <c r="AF94" s="50"/>
      <c r="AG94" t="str">
        <f t="shared" si="45"/>
        <v>5303240</v>
      </c>
    </row>
    <row r="95" spans="1:33" x14ac:dyDescent="0.25">
      <c r="A95" s="7" t="s">
        <v>415</v>
      </c>
      <c r="B95" s="2" t="s">
        <v>840</v>
      </c>
      <c r="C95" s="4" t="s">
        <v>839</v>
      </c>
      <c r="D95" s="30">
        <f>_xlfn.IFNA(VLOOKUP(A95,'Prior Year data'!$A$1:$V$318,13,FALSE),0)</f>
        <v>88231.084671363336</v>
      </c>
      <c r="E95">
        <f>VLOOKUP(A95,'Basic HH'!$B$1:$Y$318,23,FALSE)</f>
        <v>29966.009083435856</v>
      </c>
      <c r="F95">
        <f>VLOOKUP(A95,'Conc. HH'!$B$1:$Y$318,23,FALSE)</f>
        <v>7895.5495284301978</v>
      </c>
      <c r="G95">
        <f>VLOOKUP(A95,'Targeted HH'!$B$1:$Y$318,23,FALSE)</f>
        <v>18214.914136437823</v>
      </c>
      <c r="H95">
        <f>VLOOKUP(A95,'EFIG HH'!$B$1:$Y$318,23,FALSE)</f>
        <v>25036.728199929785</v>
      </c>
      <c r="I95">
        <f t="shared" si="23"/>
        <v>81113.200948233658</v>
      </c>
      <c r="J95">
        <f t="shared" si="24"/>
        <v>0</v>
      </c>
      <c r="K95" s="43">
        <f t="shared" si="25"/>
        <v>81113.200948233658</v>
      </c>
      <c r="L95">
        <f t="shared" si="26"/>
        <v>0</v>
      </c>
      <c r="M95">
        <f t="shared" si="27"/>
        <v>0</v>
      </c>
      <c r="N95" s="43">
        <f t="shared" si="28"/>
        <v>81113.200948233658</v>
      </c>
      <c r="O95">
        <f t="shared" si="29"/>
        <v>0</v>
      </c>
      <c r="P95">
        <f t="shared" si="30"/>
        <v>0</v>
      </c>
      <c r="Q95" s="43">
        <f t="shared" si="31"/>
        <v>81113.200948233658</v>
      </c>
      <c r="R95">
        <f t="shared" si="32"/>
        <v>0</v>
      </c>
      <c r="S95">
        <f t="shared" si="33"/>
        <v>0</v>
      </c>
      <c r="T95" s="43">
        <f t="shared" si="34"/>
        <v>81113.200948233658</v>
      </c>
      <c r="U95">
        <f t="shared" si="35"/>
        <v>0</v>
      </c>
      <c r="V95">
        <f t="shared" si="36"/>
        <v>0</v>
      </c>
      <c r="W95" s="43">
        <f t="shared" si="37"/>
        <v>81113.200948233658</v>
      </c>
      <c r="X95" s="43">
        <f t="shared" si="38"/>
        <v>0</v>
      </c>
      <c r="Y95" s="27">
        <f t="shared" si="39"/>
        <v>637.07817254736165</v>
      </c>
      <c r="Z95" s="27">
        <f t="shared" si="40"/>
        <v>80476.122775686294</v>
      </c>
      <c r="AA95">
        <f t="shared" si="41"/>
        <v>0</v>
      </c>
      <c r="AB95" s="27">
        <f t="shared" si="42"/>
        <v>80476.122775686294</v>
      </c>
      <c r="AD95" s="27">
        <f t="shared" si="43"/>
        <v>0</v>
      </c>
      <c r="AE95" s="27">
        <f t="shared" si="44"/>
        <v>80476.122775686294</v>
      </c>
      <c r="AF95" s="50"/>
      <c r="AG95" t="str">
        <f t="shared" si="45"/>
        <v>5303270</v>
      </c>
    </row>
    <row r="96" spans="1:33" x14ac:dyDescent="0.25">
      <c r="A96" s="7" t="s">
        <v>136</v>
      </c>
      <c r="B96" s="2" t="s">
        <v>842</v>
      </c>
      <c r="C96" s="4" t="s">
        <v>841</v>
      </c>
      <c r="D96" s="30">
        <f>_xlfn.IFNA(VLOOKUP(A96,'Prior Year data'!$A$1:$V$318,13,FALSE),0)</f>
        <v>24800.080440457725</v>
      </c>
      <c r="E96">
        <f>VLOOKUP(A96,'Basic HH'!$B$1:$Y$318,23,FALSE)</f>
        <v>11433.007184011916</v>
      </c>
      <c r="F96">
        <f>VLOOKUP(A96,'Conc. HH'!$B$1:$Y$318,23,FALSE)</f>
        <v>0</v>
      </c>
      <c r="G96">
        <f>VLOOKUP(A96,'Targeted HH'!$B$1:$Y$318,23,FALSE)</f>
        <v>5529.1860109207055</v>
      </c>
      <c r="H96">
        <f>VLOOKUP(A96,'EFIG HH'!$B$1:$Y$318,23,FALSE)</f>
        <v>7337.0903558290829</v>
      </c>
      <c r="I96">
        <f t="shared" si="23"/>
        <v>24299.283550761706</v>
      </c>
      <c r="J96">
        <f t="shared" si="24"/>
        <v>0</v>
      </c>
      <c r="K96" s="43">
        <f t="shared" si="25"/>
        <v>24299.283550761706</v>
      </c>
      <c r="L96">
        <f t="shared" si="26"/>
        <v>0</v>
      </c>
      <c r="M96">
        <f t="shared" si="27"/>
        <v>0</v>
      </c>
      <c r="N96" s="43">
        <f t="shared" si="28"/>
        <v>24299.283550761706</v>
      </c>
      <c r="O96">
        <f t="shared" si="29"/>
        <v>0</v>
      </c>
      <c r="P96">
        <f t="shared" si="30"/>
        <v>0</v>
      </c>
      <c r="Q96" s="43">
        <f t="shared" si="31"/>
        <v>24299.283550761706</v>
      </c>
      <c r="R96">
        <f t="shared" si="32"/>
        <v>0</v>
      </c>
      <c r="S96">
        <f t="shared" si="33"/>
        <v>0</v>
      </c>
      <c r="T96" s="43">
        <f t="shared" si="34"/>
        <v>24299.283550761706</v>
      </c>
      <c r="U96">
        <f t="shared" si="35"/>
        <v>0</v>
      </c>
      <c r="V96">
        <f t="shared" si="36"/>
        <v>0</v>
      </c>
      <c r="W96" s="43">
        <f t="shared" si="37"/>
        <v>24299.283550761706</v>
      </c>
      <c r="X96" s="43">
        <f t="shared" si="38"/>
        <v>0</v>
      </c>
      <c r="Y96" s="27">
        <f t="shared" si="39"/>
        <v>190.85109424554821</v>
      </c>
      <c r="Z96" s="27">
        <f t="shared" si="40"/>
        <v>24108.432456516159</v>
      </c>
      <c r="AA96">
        <f t="shared" si="41"/>
        <v>0</v>
      </c>
      <c r="AB96" s="27">
        <f t="shared" si="42"/>
        <v>24108.432456516159</v>
      </c>
      <c r="AD96" s="27">
        <f t="shared" si="43"/>
        <v>0</v>
      </c>
      <c r="AE96" s="27">
        <f t="shared" si="44"/>
        <v>24108.432456516159</v>
      </c>
      <c r="AF96" s="50"/>
      <c r="AG96" t="str">
        <f t="shared" si="45"/>
        <v>5303300</v>
      </c>
    </row>
    <row r="97" spans="1:33" x14ac:dyDescent="0.25">
      <c r="A97" s="7" t="s">
        <v>138</v>
      </c>
      <c r="B97" s="2" t="s">
        <v>844</v>
      </c>
      <c r="C97" s="4" t="s">
        <v>843</v>
      </c>
      <c r="D97" s="30">
        <f>_xlfn.IFNA(VLOOKUP(A97,'Prior Year data'!$A$1:$V$318,13,FALSE),0)</f>
        <v>88685.285631587263</v>
      </c>
      <c r="E97">
        <f>VLOOKUP(A97,'Basic HH'!$B$1:$Y$318,23,FALSE)</f>
        <v>44852.566644969818</v>
      </c>
      <c r="F97">
        <f>VLOOKUP(A97,'Conc. HH'!$B$1:$Y$318,23,FALSE)</f>
        <v>0</v>
      </c>
      <c r="G97">
        <f>VLOOKUP(A97,'Targeted HH'!$B$1:$Y$318,23,FALSE)</f>
        <v>21691.422042842776</v>
      </c>
      <c r="H97">
        <f>VLOOKUP(A97,'EFIG HH'!$B$1:$Y$318,23,FALSE)</f>
        <v>28783.969857483327</v>
      </c>
      <c r="I97">
        <f t="shared" si="23"/>
        <v>95327.958545295929</v>
      </c>
      <c r="J97">
        <f t="shared" si="24"/>
        <v>95327.958545295929</v>
      </c>
      <c r="K97" s="43">
        <f t="shared" si="25"/>
        <v>86236.001599513023</v>
      </c>
      <c r="L97">
        <f t="shared" si="26"/>
        <v>2449.2840320742398</v>
      </c>
      <c r="M97">
        <f t="shared" si="27"/>
        <v>0</v>
      </c>
      <c r="N97" s="43">
        <f t="shared" si="28"/>
        <v>88685.285631587263</v>
      </c>
      <c r="O97">
        <f t="shared" si="29"/>
        <v>0</v>
      </c>
      <c r="P97">
        <f t="shared" si="30"/>
        <v>0</v>
      </c>
      <c r="Q97" s="43">
        <f t="shared" si="31"/>
        <v>88685.285631587263</v>
      </c>
      <c r="R97">
        <f t="shared" si="32"/>
        <v>0</v>
      </c>
      <c r="S97">
        <f t="shared" si="33"/>
        <v>0</v>
      </c>
      <c r="T97" s="43">
        <f t="shared" si="34"/>
        <v>88685.285631587263</v>
      </c>
      <c r="U97">
        <f t="shared" si="35"/>
        <v>0</v>
      </c>
      <c r="V97">
        <f t="shared" si="36"/>
        <v>0</v>
      </c>
      <c r="W97" s="43">
        <f t="shared" si="37"/>
        <v>88685.285631587263</v>
      </c>
      <c r="X97" s="43">
        <f t="shared" si="38"/>
        <v>6642.6729137086659</v>
      </c>
      <c r="Y97" s="27">
        <f t="shared" si="39"/>
        <v>696.55073454776232</v>
      </c>
      <c r="Z97" s="27">
        <f t="shared" si="40"/>
        <v>87988.734897039496</v>
      </c>
      <c r="AA97">
        <f t="shared" si="41"/>
        <v>0</v>
      </c>
      <c r="AB97" s="27">
        <f t="shared" si="42"/>
        <v>87988.734897039496</v>
      </c>
      <c r="AD97" s="27">
        <f t="shared" si="43"/>
        <v>0</v>
      </c>
      <c r="AE97" s="27">
        <f t="shared" si="44"/>
        <v>87988.734897039496</v>
      </c>
      <c r="AF97" s="50"/>
      <c r="AG97" t="str">
        <f t="shared" si="45"/>
        <v>5303330</v>
      </c>
    </row>
    <row r="98" spans="1:33" x14ac:dyDescent="0.25">
      <c r="A98" s="7" t="s">
        <v>417</v>
      </c>
      <c r="B98" s="2" t="s">
        <v>846</v>
      </c>
      <c r="C98" s="4" t="s">
        <v>845</v>
      </c>
      <c r="D98" s="30">
        <f>_xlfn.IFNA(VLOOKUP(A98,'Prior Year data'!$A$1:$V$318,13,FALSE),0)</f>
        <v>54694.179165315662</v>
      </c>
      <c r="E98">
        <f>VLOOKUP(A98,'Basic HH'!$B$1:$Y$318,23,FALSE)</f>
        <v>21986.552276945989</v>
      </c>
      <c r="F98">
        <f>VLOOKUP(A98,'Conc. HH'!$B$1:$Y$318,23,FALSE)</f>
        <v>5927.0001127346295</v>
      </c>
      <c r="G98">
        <f>VLOOKUP(A98,'Targeted HH'!$B$1:$Y$318,23,FALSE)</f>
        <v>11401.500546019121</v>
      </c>
      <c r="H98">
        <f>VLOOKUP(A98,'EFIG HH'!$B$1:$Y$318,23,FALSE)</f>
        <v>15129.503607393945</v>
      </c>
      <c r="I98">
        <f t="shared" si="23"/>
        <v>54444.556543093684</v>
      </c>
      <c r="J98">
        <f t="shared" si="24"/>
        <v>0</v>
      </c>
      <c r="K98" s="43">
        <f t="shared" si="25"/>
        <v>54444.556543093684</v>
      </c>
      <c r="L98">
        <f t="shared" si="26"/>
        <v>0</v>
      </c>
      <c r="M98">
        <f t="shared" si="27"/>
        <v>0</v>
      </c>
      <c r="N98" s="43">
        <f t="shared" si="28"/>
        <v>54444.556543093684</v>
      </c>
      <c r="O98">
        <f t="shared" si="29"/>
        <v>0</v>
      </c>
      <c r="P98">
        <f t="shared" si="30"/>
        <v>0</v>
      </c>
      <c r="Q98" s="43">
        <f t="shared" si="31"/>
        <v>54444.556543093684</v>
      </c>
      <c r="R98">
        <f t="shared" si="32"/>
        <v>0</v>
      </c>
      <c r="S98">
        <f t="shared" si="33"/>
        <v>0</v>
      </c>
      <c r="T98" s="43">
        <f t="shared" si="34"/>
        <v>54444.556543093684</v>
      </c>
      <c r="U98">
        <f t="shared" si="35"/>
        <v>0</v>
      </c>
      <c r="V98">
        <f t="shared" si="36"/>
        <v>0</v>
      </c>
      <c r="W98" s="43">
        <f t="shared" si="37"/>
        <v>54444.556543093684</v>
      </c>
      <c r="X98" s="43">
        <f t="shared" si="38"/>
        <v>0</v>
      </c>
      <c r="Y98" s="27">
        <f t="shared" si="39"/>
        <v>427.61767729721123</v>
      </c>
      <c r="Z98" s="27">
        <f t="shared" si="40"/>
        <v>54016.938865796474</v>
      </c>
      <c r="AA98">
        <f t="shared" si="41"/>
        <v>0</v>
      </c>
      <c r="AB98" s="27">
        <f t="shared" si="42"/>
        <v>54016.938865796474</v>
      </c>
      <c r="AD98" s="27">
        <f t="shared" si="43"/>
        <v>0</v>
      </c>
      <c r="AE98" s="27">
        <f t="shared" si="44"/>
        <v>54016.938865796474</v>
      </c>
      <c r="AF98" s="50"/>
      <c r="AG98" t="str">
        <f t="shared" si="45"/>
        <v>5303360</v>
      </c>
    </row>
    <row r="99" spans="1:33" x14ac:dyDescent="0.25">
      <c r="A99" s="7" t="s">
        <v>419</v>
      </c>
      <c r="B99" s="2" t="s">
        <v>848</v>
      </c>
      <c r="C99" s="4" t="s">
        <v>847</v>
      </c>
      <c r="D99" s="30">
        <f>_xlfn.IFNA(VLOOKUP(A99,'Prior Year data'!$A$1:$V$318,13,FALSE),0)</f>
        <v>431950.12228463573</v>
      </c>
      <c r="E99">
        <f>VLOOKUP(A99,'Basic HH'!$B$1:$Y$318,23,FALSE)</f>
        <v>146076.76621458124</v>
      </c>
      <c r="F99">
        <f>VLOOKUP(A99,'Conc. HH'!$B$1:$Y$318,23,FALSE)</f>
        <v>38488.820429467181</v>
      </c>
      <c r="G99">
        <f>VLOOKUP(A99,'Targeted HH'!$B$1:$Y$318,23,FALSE)</f>
        <v>78089.665717796059</v>
      </c>
      <c r="H99">
        <f>VLOOKUP(A99,'EFIG HH'!$B$1:$Y$318,23,FALSE)</f>
        <v>107335.65479118886</v>
      </c>
      <c r="I99">
        <f t="shared" si="23"/>
        <v>369990.9071530333</v>
      </c>
      <c r="J99">
        <f t="shared" si="24"/>
        <v>0</v>
      </c>
      <c r="K99" s="43">
        <f t="shared" si="25"/>
        <v>369990.9071530333</v>
      </c>
      <c r="L99">
        <f t="shared" si="26"/>
        <v>0</v>
      </c>
      <c r="M99">
        <f t="shared" si="27"/>
        <v>0</v>
      </c>
      <c r="N99" s="43">
        <f t="shared" si="28"/>
        <v>369990.9071530333</v>
      </c>
      <c r="O99">
        <f t="shared" si="29"/>
        <v>0</v>
      </c>
      <c r="P99">
        <f t="shared" si="30"/>
        <v>0</v>
      </c>
      <c r="Q99" s="43">
        <f t="shared" si="31"/>
        <v>369990.9071530333</v>
      </c>
      <c r="R99">
        <f t="shared" si="32"/>
        <v>0</v>
      </c>
      <c r="S99">
        <f t="shared" si="33"/>
        <v>0</v>
      </c>
      <c r="T99" s="43">
        <f t="shared" si="34"/>
        <v>369990.9071530333</v>
      </c>
      <c r="U99">
        <f t="shared" si="35"/>
        <v>0</v>
      </c>
      <c r="V99">
        <f t="shared" si="36"/>
        <v>0</v>
      </c>
      <c r="W99" s="43">
        <f t="shared" si="37"/>
        <v>369990.9071530333</v>
      </c>
      <c r="X99" s="43">
        <f t="shared" si="38"/>
        <v>0</v>
      </c>
      <c r="Y99" s="27">
        <f t="shared" si="39"/>
        <v>2905.9774270112562</v>
      </c>
      <c r="Z99" s="27">
        <f t="shared" si="40"/>
        <v>367084.92972602206</v>
      </c>
      <c r="AA99">
        <f t="shared" si="41"/>
        <v>0</v>
      </c>
      <c r="AB99" s="27">
        <f t="shared" si="42"/>
        <v>367084.92972602206</v>
      </c>
      <c r="AD99" s="27">
        <f t="shared" si="43"/>
        <v>0</v>
      </c>
      <c r="AE99" s="27">
        <f t="shared" si="44"/>
        <v>367084.92972602206</v>
      </c>
      <c r="AF99" s="50"/>
      <c r="AG99" t="str">
        <f t="shared" si="45"/>
        <v>5303510</v>
      </c>
    </row>
    <row r="100" spans="1:33" x14ac:dyDescent="0.25">
      <c r="A100" s="7" t="s">
        <v>57</v>
      </c>
      <c r="B100" s="2" t="s">
        <v>849</v>
      </c>
      <c r="C100" s="4" t="s">
        <v>18</v>
      </c>
      <c r="D100" s="30">
        <f>_xlfn.IFNA(VLOOKUP(A100,'Prior Year data'!$A$1:$V$318,13,FALSE),0)</f>
        <v>7852109.7456759121</v>
      </c>
      <c r="E100">
        <f>VLOOKUP(A100,'Basic HH'!$B$1:$Y$318,23,FALSE)</f>
        <v>2989656.8303495147</v>
      </c>
      <c r="F100">
        <f>VLOOKUP(A100,'Conc. HH'!$B$1:$Y$318,23,FALSE)</f>
        <v>805933.37906368461</v>
      </c>
      <c r="G100">
        <f>VLOOKUP(A100,'Targeted HH'!$B$1:$Y$318,23,FALSE)</f>
        <v>2276123.6226992016</v>
      </c>
      <c r="H100">
        <f>VLOOKUP(A100,'EFIG HH'!$B$1:$Y$318,23,FALSE)</f>
        <v>3020358.6292442735</v>
      </c>
      <c r="I100">
        <f t="shared" si="23"/>
        <v>9092072.4613566734</v>
      </c>
      <c r="J100">
        <f t="shared" si="24"/>
        <v>9092072.4613566734</v>
      </c>
      <c r="K100" s="43">
        <f t="shared" si="25"/>
        <v>8224911.0049690977</v>
      </c>
      <c r="L100">
        <f t="shared" si="26"/>
        <v>0</v>
      </c>
      <c r="M100">
        <f t="shared" si="27"/>
        <v>372801.25929318555</v>
      </c>
      <c r="N100" s="43">
        <f t="shared" si="28"/>
        <v>8090485.1153552635</v>
      </c>
      <c r="O100">
        <f t="shared" si="29"/>
        <v>0</v>
      </c>
      <c r="P100">
        <f t="shared" si="30"/>
        <v>238375.36967935134</v>
      </c>
      <c r="Q100" s="43">
        <f t="shared" si="31"/>
        <v>8090485.1153552635</v>
      </c>
      <c r="R100">
        <f t="shared" si="32"/>
        <v>0</v>
      </c>
      <c r="S100">
        <f t="shared" si="33"/>
        <v>238375.36967935134</v>
      </c>
      <c r="T100" s="43">
        <f t="shared" si="34"/>
        <v>8090485.1153552635</v>
      </c>
      <c r="U100">
        <f t="shared" si="35"/>
        <v>0</v>
      </c>
      <c r="V100">
        <f t="shared" si="36"/>
        <v>238375.36967935134</v>
      </c>
      <c r="W100" s="43">
        <f t="shared" si="37"/>
        <v>8090485.1153552635</v>
      </c>
      <c r="X100" s="43">
        <f t="shared" si="38"/>
        <v>1001587.3460014099</v>
      </c>
      <c r="Y100" s="27">
        <f t="shared" si="39"/>
        <v>63544.175449340371</v>
      </c>
      <c r="Z100" s="27">
        <f t="shared" si="40"/>
        <v>8026940.9399059229</v>
      </c>
      <c r="AA100">
        <f t="shared" si="41"/>
        <v>0</v>
      </c>
      <c r="AB100" s="27">
        <f t="shared" si="42"/>
        <v>8026940.9399059229</v>
      </c>
      <c r="AD100" s="27">
        <f t="shared" si="43"/>
        <v>0</v>
      </c>
      <c r="AE100" s="27">
        <f t="shared" si="44"/>
        <v>8026940.9399059229</v>
      </c>
      <c r="AF100" s="50"/>
      <c r="AG100" t="str">
        <f t="shared" si="45"/>
        <v>5303540</v>
      </c>
    </row>
    <row r="101" spans="1:33" x14ac:dyDescent="0.25">
      <c r="A101" s="7" t="s">
        <v>140</v>
      </c>
      <c r="B101" s="2" t="s">
        <v>851</v>
      </c>
      <c r="C101" s="4" t="s">
        <v>850</v>
      </c>
      <c r="D101" s="30">
        <f>_xlfn.IFNA(VLOOKUP(A101,'Prior Year data'!$A$1:$V$318,13,FALSE),0)</f>
        <v>91407.883247685022</v>
      </c>
      <c r="E101">
        <f>VLOOKUP(A101,'Basic HH'!$B$1:$Y$318,23,FALSE)</f>
        <v>102017.60256502934</v>
      </c>
      <c r="F101">
        <f>VLOOKUP(A101,'Conc. HH'!$B$1:$Y$318,23,FALSE)</f>
        <v>0</v>
      </c>
      <c r="G101">
        <f>VLOOKUP(A101,'Targeted HH'!$B$1:$Y$318,23,FALSE)</f>
        <v>49337.352097446288</v>
      </c>
      <c r="H101">
        <f>VLOOKUP(A101,'EFIG HH'!$B$1:$Y$318,23,FALSE)</f>
        <v>65469.421636628736</v>
      </c>
      <c r="I101">
        <f t="shared" si="23"/>
        <v>216824.37629910436</v>
      </c>
      <c r="J101">
        <f t="shared" si="24"/>
        <v>216824.37629910436</v>
      </c>
      <c r="K101" s="43">
        <f t="shared" si="25"/>
        <v>196144.63108908836</v>
      </c>
      <c r="L101">
        <f t="shared" si="26"/>
        <v>0</v>
      </c>
      <c r="M101">
        <f t="shared" si="27"/>
        <v>104736.74784140334</v>
      </c>
      <c r="N101" s="43">
        <f t="shared" si="28"/>
        <v>158378.31417660206</v>
      </c>
      <c r="O101">
        <f t="shared" si="29"/>
        <v>0</v>
      </c>
      <c r="P101">
        <f t="shared" si="30"/>
        <v>66970.430928917034</v>
      </c>
      <c r="Q101" s="43">
        <f t="shared" si="31"/>
        <v>158378.31417660206</v>
      </c>
      <c r="R101">
        <f t="shared" si="32"/>
        <v>0</v>
      </c>
      <c r="S101">
        <f t="shared" si="33"/>
        <v>66970.430928917034</v>
      </c>
      <c r="T101" s="43">
        <f t="shared" si="34"/>
        <v>158378.31417660206</v>
      </c>
      <c r="U101">
        <f t="shared" si="35"/>
        <v>0</v>
      </c>
      <c r="V101">
        <f t="shared" si="36"/>
        <v>66970.430928917034</v>
      </c>
      <c r="W101" s="43">
        <f t="shared" si="37"/>
        <v>158378.31417660206</v>
      </c>
      <c r="X101" s="43">
        <f t="shared" si="38"/>
        <v>58446.062122502306</v>
      </c>
      <c r="Y101" s="27">
        <f t="shared" si="39"/>
        <v>1243.9327481497787</v>
      </c>
      <c r="Z101" s="27">
        <f t="shared" si="40"/>
        <v>157134.38142845227</v>
      </c>
      <c r="AA101">
        <f t="shared" si="41"/>
        <v>0</v>
      </c>
      <c r="AB101" s="27">
        <f t="shared" si="42"/>
        <v>157134.38142845227</v>
      </c>
      <c r="AD101" s="27">
        <f t="shared" si="43"/>
        <v>0</v>
      </c>
      <c r="AE101" s="27">
        <f t="shared" si="44"/>
        <v>157134.38142845227</v>
      </c>
      <c r="AF101" s="50"/>
      <c r="AG101" t="str">
        <f t="shared" si="45"/>
        <v>5303570</v>
      </c>
    </row>
    <row r="102" spans="1:33" x14ac:dyDescent="0.25">
      <c r="A102" s="7" t="s">
        <v>421</v>
      </c>
      <c r="B102" s="2" t="s">
        <v>853</v>
      </c>
      <c r="C102" s="4" t="s">
        <v>852</v>
      </c>
      <c r="D102" s="30">
        <f>_xlfn.IFNA(VLOOKUP(A102,'Prior Year data'!$A$1:$V$318,13,FALSE),0)</f>
        <v>282670.54241710948</v>
      </c>
      <c r="E102">
        <f>VLOOKUP(A102,'Basic HH'!$B$1:$Y$318,23,FALSE)</f>
        <v>110275.21999893528</v>
      </c>
      <c r="F102">
        <f>VLOOKUP(A102,'Conc. HH'!$B$1:$Y$318,23,FALSE)</f>
        <v>29668.325581959445</v>
      </c>
      <c r="G102">
        <f>VLOOKUP(A102,'Targeted HH'!$B$1:$Y$318,23,FALSE)</f>
        <v>62058.102504399612</v>
      </c>
      <c r="H102">
        <f>VLOOKUP(A102,'EFIG HH'!$B$1:$Y$318,23,FALSE)</f>
        <v>84179.970465273946</v>
      </c>
      <c r="I102">
        <f t="shared" si="23"/>
        <v>286181.61855056824</v>
      </c>
      <c r="J102">
        <f t="shared" si="24"/>
        <v>286181.61855056824</v>
      </c>
      <c r="K102" s="43">
        <f t="shared" si="25"/>
        <v>258886.88787300012</v>
      </c>
      <c r="L102">
        <f t="shared" si="26"/>
        <v>23783.654544109362</v>
      </c>
      <c r="M102">
        <f t="shared" si="27"/>
        <v>0</v>
      </c>
      <c r="N102" s="43">
        <f t="shared" si="28"/>
        <v>282670.54241710948</v>
      </c>
      <c r="O102">
        <f t="shared" si="29"/>
        <v>0</v>
      </c>
      <c r="P102">
        <f t="shared" si="30"/>
        <v>0</v>
      </c>
      <c r="Q102" s="43">
        <f t="shared" si="31"/>
        <v>282670.54241710948</v>
      </c>
      <c r="R102">
        <f t="shared" si="32"/>
        <v>0</v>
      </c>
      <c r="S102">
        <f t="shared" si="33"/>
        <v>0</v>
      </c>
      <c r="T102" s="43">
        <f t="shared" si="34"/>
        <v>282670.54241710948</v>
      </c>
      <c r="U102">
        <f t="shared" si="35"/>
        <v>0</v>
      </c>
      <c r="V102">
        <f t="shared" si="36"/>
        <v>0</v>
      </c>
      <c r="W102" s="43">
        <f t="shared" si="37"/>
        <v>282670.54241710948</v>
      </c>
      <c r="X102" s="43">
        <f t="shared" si="38"/>
        <v>3511.0761334587587</v>
      </c>
      <c r="Y102" s="27">
        <f t="shared" si="39"/>
        <v>2220.1470351415733</v>
      </c>
      <c r="Z102" s="27">
        <f t="shared" si="40"/>
        <v>280450.39538196789</v>
      </c>
      <c r="AA102">
        <f t="shared" si="41"/>
        <v>0</v>
      </c>
      <c r="AB102" s="27">
        <f t="shared" si="42"/>
        <v>280450.39538196789</v>
      </c>
      <c r="AD102" s="27">
        <f t="shared" si="43"/>
        <v>0</v>
      </c>
      <c r="AE102" s="27">
        <f t="shared" si="44"/>
        <v>280450.39538196789</v>
      </c>
      <c r="AF102" s="50"/>
      <c r="AG102" t="str">
        <f t="shared" si="45"/>
        <v>5303600</v>
      </c>
    </row>
    <row r="103" spans="1:33" x14ac:dyDescent="0.25">
      <c r="A103" s="7" t="s">
        <v>423</v>
      </c>
      <c r="B103" s="2" t="s">
        <v>855</v>
      </c>
      <c r="C103" s="4" t="s">
        <v>854</v>
      </c>
      <c r="D103" s="30">
        <f>_xlfn.IFNA(VLOOKUP(A103,'Prior Year data'!$A$1:$V$318,13,FALSE),0)</f>
        <v>1032507.3536511175</v>
      </c>
      <c r="E103">
        <f>VLOOKUP(A103,'Basic HH'!$B$1:$Y$318,23,FALSE)</f>
        <v>376409.77498131531</v>
      </c>
      <c r="F103">
        <f>VLOOKUP(A103,'Conc. HH'!$B$1:$Y$318,23,FALSE)</f>
        <v>101470.24193001687</v>
      </c>
      <c r="G103">
        <f>VLOOKUP(A103,'Targeted HH'!$B$1:$Y$318,23,FALSE)</f>
        <v>245576.39046938569</v>
      </c>
      <c r="H103">
        <f>VLOOKUP(A103,'EFIG HH'!$B$1:$Y$318,23,FALSE)</f>
        <v>337549.18054772937</v>
      </c>
      <c r="I103">
        <f t="shared" si="23"/>
        <v>1061005.5879284472</v>
      </c>
      <c r="J103">
        <f t="shared" si="24"/>
        <v>1061005.5879284472</v>
      </c>
      <c r="K103" s="43">
        <f t="shared" si="25"/>
        <v>959811.59120505315</v>
      </c>
      <c r="L103">
        <f t="shared" si="26"/>
        <v>72695.762446064386</v>
      </c>
      <c r="M103">
        <f t="shared" si="27"/>
        <v>0</v>
      </c>
      <c r="N103" s="43">
        <f t="shared" si="28"/>
        <v>1032507.3536511175</v>
      </c>
      <c r="O103">
        <f t="shared" si="29"/>
        <v>0</v>
      </c>
      <c r="P103">
        <f t="shared" si="30"/>
        <v>0</v>
      </c>
      <c r="Q103" s="43">
        <f t="shared" si="31"/>
        <v>1032507.3536511175</v>
      </c>
      <c r="R103">
        <f t="shared" si="32"/>
        <v>0</v>
      </c>
      <c r="S103">
        <f t="shared" si="33"/>
        <v>0</v>
      </c>
      <c r="T103" s="43">
        <f t="shared" si="34"/>
        <v>1032507.3536511175</v>
      </c>
      <c r="U103">
        <f t="shared" si="35"/>
        <v>0</v>
      </c>
      <c r="V103">
        <f t="shared" si="36"/>
        <v>0</v>
      </c>
      <c r="W103" s="43">
        <f t="shared" si="37"/>
        <v>1032507.3536511175</v>
      </c>
      <c r="X103" s="43">
        <f t="shared" si="38"/>
        <v>28498.23427732964</v>
      </c>
      <c r="Y103" s="27">
        <f t="shared" si="39"/>
        <v>8109.5048687027629</v>
      </c>
      <c r="Z103" s="27">
        <f t="shared" si="40"/>
        <v>1024397.8487824148</v>
      </c>
      <c r="AA103">
        <f t="shared" si="41"/>
        <v>0</v>
      </c>
      <c r="AB103" s="27">
        <f t="shared" si="42"/>
        <v>1024397.8487824148</v>
      </c>
      <c r="AD103" s="27">
        <f t="shared" si="43"/>
        <v>0</v>
      </c>
      <c r="AE103" s="27">
        <f t="shared" si="44"/>
        <v>1024397.8487824148</v>
      </c>
      <c r="AF103" s="50"/>
      <c r="AG103" t="str">
        <f t="shared" si="45"/>
        <v>5303660</v>
      </c>
    </row>
    <row r="104" spans="1:33" x14ac:dyDescent="0.25">
      <c r="A104" s="7" t="s">
        <v>79</v>
      </c>
      <c r="B104" s="2" t="s">
        <v>856</v>
      </c>
      <c r="C104" s="4" t="s">
        <v>37</v>
      </c>
      <c r="D104" s="30">
        <f>_xlfn.IFNA(VLOOKUP(A104,'Prior Year data'!$A$1:$V$318,13,FALSE),0)</f>
        <v>111217.62220911506</v>
      </c>
      <c r="E104">
        <f>VLOOKUP(A104,'Basic HH'!$B$1:$Y$318,23,FALSE)</f>
        <v>50203.675965169634</v>
      </c>
      <c r="F104">
        <f>VLOOKUP(A104,'Conc. HH'!$B$1:$Y$318,23,FALSE)</f>
        <v>0</v>
      </c>
      <c r="G104">
        <f>VLOOKUP(A104,'Targeted HH'!$B$1:$Y$318,23,FALSE)</f>
        <v>41332.567266278842</v>
      </c>
      <c r="H104">
        <f>VLOOKUP(A104,'EFIG HH'!$B$1:$Y$318,23,FALSE)</f>
        <v>54847.274096422239</v>
      </c>
      <c r="I104">
        <f t="shared" si="23"/>
        <v>146383.51732787071</v>
      </c>
      <c r="J104">
        <f t="shared" si="24"/>
        <v>146383.51732787071</v>
      </c>
      <c r="K104" s="43">
        <f t="shared" si="25"/>
        <v>132422.108131377</v>
      </c>
      <c r="L104">
        <f t="shared" si="26"/>
        <v>0</v>
      </c>
      <c r="M104">
        <f t="shared" si="27"/>
        <v>21204.485922261942</v>
      </c>
      <c r="N104" s="43">
        <f t="shared" si="28"/>
        <v>124776.12568671367</v>
      </c>
      <c r="O104">
        <f t="shared" si="29"/>
        <v>0</v>
      </c>
      <c r="P104">
        <f t="shared" si="30"/>
        <v>13558.503477598613</v>
      </c>
      <c r="Q104" s="43">
        <f t="shared" si="31"/>
        <v>124776.12568671367</v>
      </c>
      <c r="R104">
        <f t="shared" si="32"/>
        <v>0</v>
      </c>
      <c r="S104">
        <f t="shared" si="33"/>
        <v>13558.503477598613</v>
      </c>
      <c r="T104" s="43">
        <f t="shared" si="34"/>
        <v>124776.12568671367</v>
      </c>
      <c r="U104">
        <f t="shared" si="35"/>
        <v>0</v>
      </c>
      <c r="V104">
        <f t="shared" si="36"/>
        <v>13558.503477598613</v>
      </c>
      <c r="W104" s="43">
        <f t="shared" si="37"/>
        <v>124776.12568671367</v>
      </c>
      <c r="X104" s="43">
        <f t="shared" si="38"/>
        <v>21607.391641157039</v>
      </c>
      <c r="Y104" s="27">
        <f t="shared" si="39"/>
        <v>980.01490757051056</v>
      </c>
      <c r="Z104" s="27">
        <f t="shared" si="40"/>
        <v>123796.11077914316</v>
      </c>
      <c r="AA104">
        <f t="shared" si="41"/>
        <v>0</v>
      </c>
      <c r="AB104" s="27">
        <f t="shared" si="42"/>
        <v>123796.11077914316</v>
      </c>
      <c r="AD104" s="27">
        <f t="shared" si="43"/>
        <v>0</v>
      </c>
      <c r="AE104" s="27">
        <f t="shared" si="44"/>
        <v>123796.11077914316</v>
      </c>
      <c r="AF104" s="50"/>
      <c r="AG104" t="str">
        <f t="shared" si="45"/>
        <v>5303705</v>
      </c>
    </row>
    <row r="105" spans="1:33" x14ac:dyDescent="0.25">
      <c r="A105" s="7" t="s">
        <v>74</v>
      </c>
      <c r="B105" s="2" t="s">
        <v>857</v>
      </c>
      <c r="C105" s="4" t="s">
        <v>40</v>
      </c>
      <c r="D105" s="30">
        <f>_xlfn.IFNA(VLOOKUP(A105,'Prior Year data'!$A$1:$V$318,13,FALSE),0)</f>
        <v>186780.73964875925</v>
      </c>
      <c r="E105">
        <f>VLOOKUP(A105,'Basic HH'!$B$1:$Y$318,23,FALSE)</f>
        <v>99224.567241978759</v>
      </c>
      <c r="F105">
        <f>VLOOKUP(A105,'Conc. HH'!$B$1:$Y$318,23,FALSE)</f>
        <v>26748.351165812837</v>
      </c>
      <c r="G105">
        <f>VLOOKUP(A105,'Targeted HH'!$B$1:$Y$318,23,FALSE)</f>
        <v>57803.67371790218</v>
      </c>
      <c r="H105">
        <f>VLOOKUP(A105,'EFIG HH'!$B$1:$Y$318,23,FALSE)</f>
        <v>76704.016853375768</v>
      </c>
      <c r="I105">
        <f t="shared" si="23"/>
        <v>260480.60897906954</v>
      </c>
      <c r="J105">
        <f t="shared" si="24"/>
        <v>260480.60897906954</v>
      </c>
      <c r="K105" s="43">
        <f t="shared" si="25"/>
        <v>235637.12635142362</v>
      </c>
      <c r="L105">
        <f t="shared" si="26"/>
        <v>0</v>
      </c>
      <c r="M105">
        <f t="shared" si="27"/>
        <v>48856.386702664371</v>
      </c>
      <c r="N105" s="43">
        <f t="shared" si="28"/>
        <v>218020.33165959522</v>
      </c>
      <c r="O105">
        <f t="shared" si="29"/>
        <v>0</v>
      </c>
      <c r="P105">
        <f t="shared" si="30"/>
        <v>31239.592010835971</v>
      </c>
      <c r="Q105" s="43">
        <f t="shared" si="31"/>
        <v>218020.33165959522</v>
      </c>
      <c r="R105">
        <f t="shared" si="32"/>
        <v>0</v>
      </c>
      <c r="S105">
        <f t="shared" si="33"/>
        <v>31239.592010835971</v>
      </c>
      <c r="T105" s="43">
        <f t="shared" si="34"/>
        <v>218020.33165959522</v>
      </c>
      <c r="U105">
        <f t="shared" si="35"/>
        <v>0</v>
      </c>
      <c r="V105">
        <f t="shared" si="36"/>
        <v>31239.592010835971</v>
      </c>
      <c r="W105" s="43">
        <f t="shared" si="37"/>
        <v>218020.33165959522</v>
      </c>
      <c r="X105" s="43">
        <f t="shared" si="38"/>
        <v>42460.27731947432</v>
      </c>
      <c r="Y105" s="27">
        <f t="shared" si="39"/>
        <v>1712.3722507327489</v>
      </c>
      <c r="Z105" s="27">
        <f t="shared" si="40"/>
        <v>216307.95940886246</v>
      </c>
      <c r="AA105">
        <f t="shared" si="41"/>
        <v>0</v>
      </c>
      <c r="AB105" s="27">
        <f t="shared" si="42"/>
        <v>216307.95940886246</v>
      </c>
      <c r="AD105" s="27">
        <f t="shared" si="43"/>
        <v>0</v>
      </c>
      <c r="AE105" s="27">
        <f t="shared" si="44"/>
        <v>216307.95940886246</v>
      </c>
      <c r="AF105" s="50"/>
      <c r="AG105" t="str">
        <f t="shared" si="45"/>
        <v>5303700</v>
      </c>
    </row>
    <row r="106" spans="1:33" x14ac:dyDescent="0.25">
      <c r="A106" t="s">
        <v>1418</v>
      </c>
      <c r="B106" t="s">
        <v>1419</v>
      </c>
      <c r="C106" t="s">
        <v>1425</v>
      </c>
      <c r="D106" s="30">
        <f>_xlfn.IFNA(VLOOKUP(A106,'Prior Year data'!$A$1:$V$318,13,FALSE),0)</f>
        <v>108443.3155962617</v>
      </c>
      <c r="E106">
        <f>VLOOKUP(A106,'Basic HH'!$B$1:$Y$318,23,FALSE)</f>
        <v>64935.107934169588</v>
      </c>
      <c r="F106">
        <f>VLOOKUP(A106,'Conc. HH'!$B$1:$Y$318,23,FALSE)</f>
        <v>0</v>
      </c>
      <c r="G106">
        <f>VLOOKUP(A106,'Targeted HH'!$B$1:$Y$318,23,FALSE)</f>
        <v>42638.769098206503</v>
      </c>
      <c r="H106">
        <f>VLOOKUP(A106,'EFIG HH'!$B$1:$Y$318,23,FALSE)</f>
        <v>56580.570976808202</v>
      </c>
      <c r="I106">
        <f t="shared" si="23"/>
        <v>164154.4480091843</v>
      </c>
      <c r="J106">
        <f t="shared" si="24"/>
        <v>164154.4480091843</v>
      </c>
      <c r="K106" s="43">
        <f t="shared" si="25"/>
        <v>148498.12643749037</v>
      </c>
      <c r="L106">
        <f t="shared" si="26"/>
        <v>0</v>
      </c>
      <c r="M106">
        <f t="shared" si="27"/>
        <v>40054.810841228667</v>
      </c>
      <c r="N106" s="43">
        <f t="shared" si="28"/>
        <v>134055.03257333717</v>
      </c>
      <c r="O106">
        <f t="shared" si="29"/>
        <v>0</v>
      </c>
      <c r="P106">
        <f t="shared" si="30"/>
        <v>25611.71697707547</v>
      </c>
      <c r="Q106" s="43">
        <f t="shared" si="31"/>
        <v>134055.03257333717</v>
      </c>
      <c r="R106">
        <f t="shared" si="32"/>
        <v>0</v>
      </c>
      <c r="S106">
        <f t="shared" si="33"/>
        <v>25611.71697707547</v>
      </c>
      <c r="T106" s="43">
        <f t="shared" si="34"/>
        <v>134055.03257333717</v>
      </c>
      <c r="U106">
        <f t="shared" si="35"/>
        <v>0</v>
      </c>
      <c r="V106">
        <f t="shared" si="36"/>
        <v>25611.71697707547</v>
      </c>
      <c r="W106" s="43">
        <f t="shared" si="37"/>
        <v>134055.03257333717</v>
      </c>
      <c r="X106" s="43">
        <f t="shared" si="38"/>
        <v>30099.415435847128</v>
      </c>
      <c r="Y106" s="27">
        <f t="shared" si="39"/>
        <v>1052.8931687346812</v>
      </c>
      <c r="Z106" s="27">
        <f t="shared" si="40"/>
        <v>133002.13940460249</v>
      </c>
      <c r="AA106">
        <f t="shared" si="41"/>
        <v>0</v>
      </c>
      <c r="AB106" s="27">
        <f t="shared" si="42"/>
        <v>133002.13940460249</v>
      </c>
      <c r="AD106" s="27">
        <f t="shared" si="43"/>
        <v>0</v>
      </c>
      <c r="AE106" s="27">
        <f t="shared" si="44"/>
        <v>133002.13940460249</v>
      </c>
      <c r="AF106" s="50"/>
      <c r="AG106" t="str">
        <f t="shared" si="45"/>
        <v>5307790</v>
      </c>
    </row>
    <row r="107" spans="1:33" x14ac:dyDescent="0.25">
      <c r="A107" s="7" t="s">
        <v>75</v>
      </c>
      <c r="B107" s="2" t="s">
        <v>858</v>
      </c>
      <c r="C107" s="4" t="s">
        <v>44</v>
      </c>
      <c r="D107" s="30">
        <f>_xlfn.IFNA(VLOOKUP(A107,'Prior Year data'!$A$1:$V$318,13,FALSE),0)</f>
        <v>123165.02696241088</v>
      </c>
      <c r="E107">
        <f>VLOOKUP(A107,'Basic HH'!$B$1:$Y$318,23,FALSE)</f>
        <v>66579.255075786583</v>
      </c>
      <c r="F107">
        <f>VLOOKUP(A107,'Conc. HH'!$B$1:$Y$318,23,FALSE)</f>
        <v>17948.027838532413</v>
      </c>
      <c r="G107">
        <f>VLOOKUP(A107,'Targeted HH'!$B$1:$Y$318,23,FALSE)</f>
        <v>38786.014832358589</v>
      </c>
      <c r="H107">
        <f>VLOOKUP(A107,'EFIG HH'!$B$1:$Y$318,23,FALSE)</f>
        <v>51468.063256594098</v>
      </c>
      <c r="I107">
        <f t="shared" si="23"/>
        <v>174781.36100327168</v>
      </c>
      <c r="J107">
        <f t="shared" si="24"/>
        <v>174781.36100327168</v>
      </c>
      <c r="K107" s="43">
        <f t="shared" si="25"/>
        <v>158111.49170766512</v>
      </c>
      <c r="L107">
        <f t="shared" si="26"/>
        <v>0</v>
      </c>
      <c r="M107">
        <f t="shared" si="27"/>
        <v>34946.464745254241</v>
      </c>
      <c r="N107" s="43">
        <f t="shared" si="28"/>
        <v>145510.38188001612</v>
      </c>
      <c r="O107">
        <f t="shared" si="29"/>
        <v>0</v>
      </c>
      <c r="P107">
        <f t="shared" si="30"/>
        <v>22345.354917605247</v>
      </c>
      <c r="Q107" s="43">
        <f t="shared" si="31"/>
        <v>145510.38188001612</v>
      </c>
      <c r="R107">
        <f t="shared" si="32"/>
        <v>0</v>
      </c>
      <c r="S107">
        <f t="shared" si="33"/>
        <v>22345.354917605247</v>
      </c>
      <c r="T107" s="43">
        <f t="shared" si="34"/>
        <v>145510.38188001612</v>
      </c>
      <c r="U107">
        <f t="shared" si="35"/>
        <v>0</v>
      </c>
      <c r="V107">
        <f t="shared" si="36"/>
        <v>22345.354917605247</v>
      </c>
      <c r="W107" s="43">
        <f t="shared" si="37"/>
        <v>145510.38188001612</v>
      </c>
      <c r="X107" s="43">
        <f t="shared" si="38"/>
        <v>29270.979123255558</v>
      </c>
      <c r="Y107" s="27">
        <f t="shared" si="39"/>
        <v>1142.8656136249806</v>
      </c>
      <c r="Z107" s="27">
        <f t="shared" si="40"/>
        <v>144367.51626639115</v>
      </c>
      <c r="AA107">
        <f t="shared" si="41"/>
        <v>0</v>
      </c>
      <c r="AB107" s="27">
        <f t="shared" si="42"/>
        <v>144367.51626639115</v>
      </c>
      <c r="AD107" s="27">
        <f t="shared" si="43"/>
        <v>0</v>
      </c>
      <c r="AE107" s="27">
        <f t="shared" si="44"/>
        <v>144367.51626639115</v>
      </c>
      <c r="AF107" s="50"/>
      <c r="AG107" t="str">
        <f t="shared" si="45"/>
        <v>5303710</v>
      </c>
    </row>
    <row r="108" spans="1:33" x14ac:dyDescent="0.25">
      <c r="A108" s="7" t="s">
        <v>425</v>
      </c>
      <c r="B108" s="2" t="s">
        <v>860</v>
      </c>
      <c r="C108" s="4" t="s">
        <v>859</v>
      </c>
      <c r="D108" s="30">
        <f>_xlfn.IFNA(VLOOKUP(A108,'Prior Year data'!$A$1:$V$318,13,FALSE),0)</f>
        <v>135318.58825045213</v>
      </c>
      <c r="E108">
        <f>VLOOKUP(A108,'Basic HH'!$B$1:$Y$318,23,FALSE)</f>
        <v>46143.531772604125</v>
      </c>
      <c r="F108">
        <f>VLOOKUP(A108,'Conc. HH'!$B$1:$Y$318,23,FALSE)</f>
        <v>12414.405739968846</v>
      </c>
      <c r="G108">
        <f>VLOOKUP(A108,'Targeted HH'!$B$1:$Y$318,23,FALSE)</f>
        <v>34532.693300671737</v>
      </c>
      <c r="H108">
        <f>VLOOKUP(A108,'EFIG HH'!$B$1:$Y$318,23,FALSE)</f>
        <v>46842.571474543896</v>
      </c>
      <c r="I108">
        <f t="shared" si="23"/>
        <v>139933.20228778859</v>
      </c>
      <c r="J108">
        <f t="shared" si="24"/>
        <v>139933.20228778859</v>
      </c>
      <c r="K108" s="43">
        <f t="shared" si="25"/>
        <v>126586.99546766064</v>
      </c>
      <c r="L108">
        <f t="shared" si="26"/>
        <v>8731.5927827914857</v>
      </c>
      <c r="M108">
        <f t="shared" si="27"/>
        <v>0</v>
      </c>
      <c r="N108" s="43">
        <f t="shared" si="28"/>
        <v>135318.58825045213</v>
      </c>
      <c r="O108">
        <f t="shared" si="29"/>
        <v>0</v>
      </c>
      <c r="P108">
        <f t="shared" si="30"/>
        <v>0</v>
      </c>
      <c r="Q108" s="43">
        <f t="shared" si="31"/>
        <v>135318.58825045213</v>
      </c>
      <c r="R108">
        <f t="shared" si="32"/>
        <v>0</v>
      </c>
      <c r="S108">
        <f t="shared" si="33"/>
        <v>0</v>
      </c>
      <c r="T108" s="43">
        <f t="shared" si="34"/>
        <v>135318.58825045213</v>
      </c>
      <c r="U108">
        <f t="shared" si="35"/>
        <v>0</v>
      </c>
      <c r="V108">
        <f t="shared" si="36"/>
        <v>0</v>
      </c>
      <c r="W108" s="43">
        <f t="shared" si="37"/>
        <v>135318.58825045213</v>
      </c>
      <c r="X108" s="43">
        <f t="shared" si="38"/>
        <v>4614.6140373364615</v>
      </c>
      <c r="Y108" s="27">
        <f t="shared" si="39"/>
        <v>1062.8173701257961</v>
      </c>
      <c r="Z108" s="27">
        <f t="shared" si="40"/>
        <v>134255.77088032634</v>
      </c>
      <c r="AA108">
        <f t="shared" si="41"/>
        <v>0</v>
      </c>
      <c r="AB108" s="27">
        <f t="shared" si="42"/>
        <v>134255.77088032634</v>
      </c>
      <c r="AD108" s="27">
        <f t="shared" si="43"/>
        <v>0</v>
      </c>
      <c r="AE108" s="27">
        <f t="shared" si="44"/>
        <v>134255.77088032634</v>
      </c>
      <c r="AF108" s="50"/>
      <c r="AG108" t="str">
        <f t="shared" si="45"/>
        <v>5300002</v>
      </c>
    </row>
    <row r="109" spans="1:33" x14ac:dyDescent="0.25">
      <c r="A109" s="7" t="s">
        <v>427</v>
      </c>
      <c r="B109" s="2" t="s">
        <v>862</v>
      </c>
      <c r="C109" s="4" t="s">
        <v>861</v>
      </c>
      <c r="D109" s="30">
        <f>_xlfn.IFNA(VLOOKUP(A109,'Prior Year data'!$A$1:$V$318,13,FALSE),0)</f>
        <v>1925.9705613483072</v>
      </c>
      <c r="E109">
        <f>VLOOKUP(A109,'Basic HH'!$B$1:$Y$318,23,FALSE)</f>
        <v>0</v>
      </c>
      <c r="F109">
        <f>VLOOKUP(A109,'Conc. HH'!$B$1:$Y$318,23,FALSE)</f>
        <v>1649.7080528055303</v>
      </c>
      <c r="G109">
        <f>VLOOKUP(A109,'Targeted HH'!$B$1:$Y$318,23,FALSE)</f>
        <v>0</v>
      </c>
      <c r="H109">
        <f>VLOOKUP(A109,'EFIG HH'!$B$1:$Y$318,23,FALSE)</f>
        <v>0</v>
      </c>
      <c r="I109">
        <f t="shared" si="23"/>
        <v>1649.7080528055303</v>
      </c>
      <c r="J109">
        <f t="shared" si="24"/>
        <v>0</v>
      </c>
      <c r="K109" s="43">
        <f t="shared" si="25"/>
        <v>1649.7080528055303</v>
      </c>
      <c r="L109">
        <f t="shared" si="26"/>
        <v>0</v>
      </c>
      <c r="M109">
        <f t="shared" si="27"/>
        <v>0</v>
      </c>
      <c r="N109" s="43">
        <f t="shared" si="28"/>
        <v>1649.7080528055303</v>
      </c>
      <c r="O109">
        <f t="shared" si="29"/>
        <v>0</v>
      </c>
      <c r="P109">
        <f t="shared" si="30"/>
        <v>0</v>
      </c>
      <c r="Q109" s="43">
        <f t="shared" si="31"/>
        <v>1649.7080528055303</v>
      </c>
      <c r="R109">
        <f t="shared" si="32"/>
        <v>0</v>
      </c>
      <c r="S109">
        <f t="shared" si="33"/>
        <v>0</v>
      </c>
      <c r="T109" s="43">
        <f t="shared" si="34"/>
        <v>1649.7080528055303</v>
      </c>
      <c r="U109">
        <f t="shared" si="35"/>
        <v>0</v>
      </c>
      <c r="V109">
        <f t="shared" si="36"/>
        <v>0</v>
      </c>
      <c r="W109" s="43">
        <f t="shared" si="37"/>
        <v>1649.7080528055303</v>
      </c>
      <c r="X109" s="43">
        <f t="shared" si="38"/>
        <v>0</v>
      </c>
      <c r="Y109" s="27">
        <f t="shared" si="39"/>
        <v>12.957113999098077</v>
      </c>
      <c r="Z109" s="27">
        <f t="shared" si="40"/>
        <v>1636.7509388064323</v>
      </c>
      <c r="AA109">
        <f t="shared" si="41"/>
        <v>0</v>
      </c>
      <c r="AB109" s="27">
        <f t="shared" si="42"/>
        <v>1636.7509388064323</v>
      </c>
      <c r="AD109" s="27">
        <f t="shared" si="43"/>
        <v>0</v>
      </c>
      <c r="AE109" s="27">
        <f t="shared" si="44"/>
        <v>1636.7509388064323</v>
      </c>
      <c r="AF109" s="50"/>
      <c r="AG109" t="str">
        <f t="shared" si="45"/>
        <v>5303720</v>
      </c>
    </row>
    <row r="110" spans="1:33" x14ac:dyDescent="0.25">
      <c r="A110" s="7" t="s">
        <v>142</v>
      </c>
      <c r="B110" s="2" t="s">
        <v>864</v>
      </c>
      <c r="C110" s="4" t="s">
        <v>863</v>
      </c>
      <c r="D110" s="30">
        <f>_xlfn.IFNA(VLOOKUP(A110,'Prior Year data'!$A$1:$V$318,13,FALSE),0)</f>
        <v>720718.73240550619</v>
      </c>
      <c r="E110">
        <f>VLOOKUP(A110,'Basic HH'!$B$1:$Y$318,23,FALSE)</f>
        <v>736109.77023215138</v>
      </c>
      <c r="F110">
        <f>VLOOKUP(A110,'Conc. HH'!$B$1:$Y$318,23,FALSE)</f>
        <v>0</v>
      </c>
      <c r="G110">
        <f>VLOOKUP(A110,'Targeted HH'!$B$1:$Y$318,23,FALSE)</f>
        <v>0</v>
      </c>
      <c r="H110">
        <f>VLOOKUP(A110,'EFIG HH'!$B$1:$Y$318,23,FALSE)</f>
        <v>0</v>
      </c>
      <c r="I110">
        <f t="shared" si="23"/>
        <v>736109.77023215138</v>
      </c>
      <c r="J110">
        <f t="shared" si="24"/>
        <v>736109.77023215138</v>
      </c>
      <c r="K110" s="43">
        <f t="shared" si="25"/>
        <v>665902.89241318731</v>
      </c>
      <c r="L110">
        <f t="shared" si="26"/>
        <v>54815.839992318884</v>
      </c>
      <c r="M110">
        <f t="shared" si="27"/>
        <v>0</v>
      </c>
      <c r="N110" s="43">
        <f t="shared" si="28"/>
        <v>720718.73240550619</v>
      </c>
      <c r="O110">
        <f t="shared" si="29"/>
        <v>0</v>
      </c>
      <c r="P110">
        <f t="shared" si="30"/>
        <v>0</v>
      </c>
      <c r="Q110" s="43">
        <f t="shared" si="31"/>
        <v>720718.73240550619</v>
      </c>
      <c r="R110">
        <f t="shared" si="32"/>
        <v>0</v>
      </c>
      <c r="S110">
        <f t="shared" si="33"/>
        <v>0</v>
      </c>
      <c r="T110" s="43">
        <f t="shared" si="34"/>
        <v>720718.73240550619</v>
      </c>
      <c r="U110">
        <f t="shared" si="35"/>
        <v>0</v>
      </c>
      <c r="V110">
        <f t="shared" si="36"/>
        <v>0</v>
      </c>
      <c r="W110" s="43">
        <f t="shared" si="37"/>
        <v>720718.73240550619</v>
      </c>
      <c r="X110" s="43">
        <f t="shared" si="38"/>
        <v>15391.037826645188</v>
      </c>
      <c r="Y110" s="27">
        <f t="shared" si="39"/>
        <v>5660.6590245967791</v>
      </c>
      <c r="Z110" s="27">
        <f t="shared" si="40"/>
        <v>715058.07338090939</v>
      </c>
      <c r="AA110">
        <f t="shared" si="41"/>
        <v>0</v>
      </c>
      <c r="AB110" s="27">
        <f t="shared" si="42"/>
        <v>715058.07338090939</v>
      </c>
      <c r="AD110" s="27">
        <f t="shared" si="43"/>
        <v>0</v>
      </c>
      <c r="AE110" s="27">
        <f t="shared" si="44"/>
        <v>715058.07338090939</v>
      </c>
      <c r="AF110" s="50"/>
      <c r="AG110" t="str">
        <f t="shared" si="45"/>
        <v>5303750</v>
      </c>
    </row>
    <row r="111" spans="1:33" x14ac:dyDescent="0.25">
      <c r="A111" s="7" t="s">
        <v>144</v>
      </c>
      <c r="B111" s="2" t="s">
        <v>866</v>
      </c>
      <c r="C111" s="4" t="s">
        <v>865</v>
      </c>
      <c r="D111" s="30">
        <f>_xlfn.IFNA(VLOOKUP(A111,'Prior Year data'!$A$1:$V$318,13,FALSE),0)</f>
        <v>4206.6072911182928</v>
      </c>
      <c r="E111">
        <f>VLOOKUP(A111,'Basic HH'!$B$1:$Y$318,23,FALSE)</f>
        <v>0</v>
      </c>
      <c r="F111">
        <f>VLOOKUP(A111,'Conc. HH'!$B$1:$Y$318,23,FALSE)</f>
        <v>3603.2087210565005</v>
      </c>
      <c r="G111">
        <f>VLOOKUP(A111,'Targeted HH'!$B$1:$Y$318,23,FALSE)</f>
        <v>0</v>
      </c>
      <c r="H111">
        <f>VLOOKUP(A111,'EFIG HH'!$B$1:$Y$318,23,FALSE)</f>
        <v>0</v>
      </c>
      <c r="I111">
        <f t="shared" si="23"/>
        <v>3603.2087210565005</v>
      </c>
      <c r="J111">
        <f t="shared" si="24"/>
        <v>0</v>
      </c>
      <c r="K111" s="43">
        <f t="shared" si="25"/>
        <v>3603.2087210565005</v>
      </c>
      <c r="L111">
        <f t="shared" si="26"/>
        <v>0</v>
      </c>
      <c r="M111">
        <f t="shared" si="27"/>
        <v>0</v>
      </c>
      <c r="N111" s="43">
        <f t="shared" si="28"/>
        <v>3603.2087210565005</v>
      </c>
      <c r="O111">
        <f t="shared" si="29"/>
        <v>0</v>
      </c>
      <c r="P111">
        <f t="shared" si="30"/>
        <v>0</v>
      </c>
      <c r="Q111" s="43">
        <f t="shared" si="31"/>
        <v>3603.2087210565005</v>
      </c>
      <c r="R111">
        <f t="shared" si="32"/>
        <v>0</v>
      </c>
      <c r="S111">
        <f t="shared" si="33"/>
        <v>0</v>
      </c>
      <c r="T111" s="43">
        <f t="shared" si="34"/>
        <v>3603.2087210565005</v>
      </c>
      <c r="U111">
        <f t="shared" si="35"/>
        <v>0</v>
      </c>
      <c r="V111">
        <f t="shared" si="36"/>
        <v>0</v>
      </c>
      <c r="W111" s="43">
        <f t="shared" si="37"/>
        <v>3603.2087210565005</v>
      </c>
      <c r="X111" s="43">
        <f t="shared" si="38"/>
        <v>0</v>
      </c>
      <c r="Y111" s="27">
        <f t="shared" si="39"/>
        <v>28.300271724973513</v>
      </c>
      <c r="Z111" s="27">
        <f t="shared" si="40"/>
        <v>3574.9084493315272</v>
      </c>
      <c r="AA111">
        <f t="shared" si="41"/>
        <v>0</v>
      </c>
      <c r="AB111" s="27">
        <f t="shared" si="42"/>
        <v>3574.9084493315272</v>
      </c>
      <c r="AD111" s="27">
        <f t="shared" si="43"/>
        <v>0</v>
      </c>
      <c r="AE111" s="27">
        <f t="shared" si="44"/>
        <v>3574.9084493315272</v>
      </c>
      <c r="AF111" s="50"/>
      <c r="AG111" t="str">
        <f t="shared" si="45"/>
        <v>5303780</v>
      </c>
    </row>
    <row r="112" spans="1:33" x14ac:dyDescent="0.25">
      <c r="A112" s="7" t="s">
        <v>146</v>
      </c>
      <c r="B112" s="2" t="s">
        <v>868</v>
      </c>
      <c r="C112" s="4" t="s">
        <v>867</v>
      </c>
      <c r="D112" s="30">
        <f>_xlfn.IFNA(VLOOKUP(A112,'Prior Year data'!$A$1:$V$318,13,FALSE),0)</f>
        <v>190959.90102910419</v>
      </c>
      <c r="E112">
        <f>VLOOKUP(A112,'Basic HH'!$B$1:$Y$318,23,FALSE)</f>
        <v>81789.974470239045</v>
      </c>
      <c r="F112">
        <f>VLOOKUP(A112,'Conc. HH'!$B$1:$Y$318,23,FALSE)</f>
        <v>0</v>
      </c>
      <c r="G112">
        <f>VLOOKUP(A112,'Targeted HH'!$B$1:$Y$318,23,FALSE)</f>
        <v>39554.946078125031</v>
      </c>
      <c r="H112">
        <f>VLOOKUP(A112,'EFIG HH'!$B$1:$Y$318,23,FALSE)</f>
        <v>52488.415622469583</v>
      </c>
      <c r="I112">
        <f t="shared" si="23"/>
        <v>173833.33617083367</v>
      </c>
      <c r="J112">
        <f t="shared" si="24"/>
        <v>0</v>
      </c>
      <c r="K112" s="43">
        <f t="shared" si="25"/>
        <v>173833.33617083367</v>
      </c>
      <c r="L112">
        <f t="shared" si="26"/>
        <v>0</v>
      </c>
      <c r="M112">
        <f t="shared" si="27"/>
        <v>0</v>
      </c>
      <c r="N112" s="43">
        <f t="shared" si="28"/>
        <v>173833.33617083367</v>
      </c>
      <c r="O112">
        <f t="shared" si="29"/>
        <v>0</v>
      </c>
      <c r="P112">
        <f t="shared" si="30"/>
        <v>0</v>
      </c>
      <c r="Q112" s="43">
        <f t="shared" si="31"/>
        <v>173833.33617083367</v>
      </c>
      <c r="R112">
        <f t="shared" si="32"/>
        <v>0</v>
      </c>
      <c r="S112">
        <f t="shared" si="33"/>
        <v>0</v>
      </c>
      <c r="T112" s="43">
        <f t="shared" si="34"/>
        <v>173833.33617083367</v>
      </c>
      <c r="U112">
        <f t="shared" si="35"/>
        <v>0</v>
      </c>
      <c r="V112">
        <f t="shared" si="36"/>
        <v>0</v>
      </c>
      <c r="W112" s="43">
        <f t="shared" si="37"/>
        <v>173833.33617083367</v>
      </c>
      <c r="X112" s="43">
        <f t="shared" si="38"/>
        <v>0</v>
      </c>
      <c r="Y112" s="27">
        <f t="shared" si="39"/>
        <v>1365.3193665258443</v>
      </c>
      <c r="Z112" s="27">
        <f t="shared" si="40"/>
        <v>172468.01680430782</v>
      </c>
      <c r="AA112">
        <f t="shared" si="41"/>
        <v>0</v>
      </c>
      <c r="AB112" s="27">
        <f t="shared" si="42"/>
        <v>172468.01680430782</v>
      </c>
      <c r="AD112" s="27">
        <f t="shared" si="43"/>
        <v>0</v>
      </c>
      <c r="AE112" s="27">
        <f t="shared" si="44"/>
        <v>172468.01680430782</v>
      </c>
      <c r="AF112" s="50"/>
      <c r="AG112" t="str">
        <f t="shared" si="45"/>
        <v>5303810</v>
      </c>
    </row>
    <row r="113" spans="1:33" x14ac:dyDescent="0.25">
      <c r="A113" s="7" t="s">
        <v>429</v>
      </c>
      <c r="B113" s="2" t="s">
        <v>870</v>
      </c>
      <c r="C113" s="4" t="s">
        <v>869</v>
      </c>
      <c r="D113" s="30">
        <f>_xlfn.IFNA(VLOOKUP(A113,'Prior Year data'!$A$1:$V$318,13,FALSE),0)</f>
        <v>71147.47691825607</v>
      </c>
      <c r="E113">
        <f>VLOOKUP(A113,'Basic HH'!$B$1:$Y$318,23,FALSE)</f>
        <v>22866.014368023833</v>
      </c>
      <c r="F113">
        <f>VLOOKUP(A113,'Conc. HH'!$B$1:$Y$318,23,FALSE)</f>
        <v>6164.0801172440124</v>
      </c>
      <c r="G113">
        <f>VLOOKUP(A113,'Targeted HH'!$B$1:$Y$318,23,FALSE)</f>
        <v>16129.624575899548</v>
      </c>
      <c r="H113">
        <f>VLOOKUP(A113,'EFIG HH'!$B$1:$Y$318,23,FALSE)</f>
        <v>22170.4600663399</v>
      </c>
      <c r="I113">
        <f t="shared" si="23"/>
        <v>67330.17912750729</v>
      </c>
      <c r="J113">
        <f t="shared" si="24"/>
        <v>0</v>
      </c>
      <c r="K113" s="43">
        <f t="shared" si="25"/>
        <v>67330.17912750729</v>
      </c>
      <c r="L113">
        <f t="shared" si="26"/>
        <v>0</v>
      </c>
      <c r="M113">
        <f t="shared" si="27"/>
        <v>0</v>
      </c>
      <c r="N113" s="43">
        <f t="shared" si="28"/>
        <v>67330.17912750729</v>
      </c>
      <c r="O113">
        <f t="shared" si="29"/>
        <v>0</v>
      </c>
      <c r="P113">
        <f t="shared" si="30"/>
        <v>0</v>
      </c>
      <c r="Q113" s="43">
        <f t="shared" si="31"/>
        <v>67330.17912750729</v>
      </c>
      <c r="R113">
        <f t="shared" si="32"/>
        <v>0</v>
      </c>
      <c r="S113">
        <f t="shared" si="33"/>
        <v>0</v>
      </c>
      <c r="T113" s="43">
        <f t="shared" si="34"/>
        <v>67330.17912750729</v>
      </c>
      <c r="U113">
        <f t="shared" si="35"/>
        <v>0</v>
      </c>
      <c r="V113">
        <f t="shared" si="36"/>
        <v>0</v>
      </c>
      <c r="W113" s="43">
        <f t="shared" si="37"/>
        <v>67330.17912750729</v>
      </c>
      <c r="X113" s="43">
        <f t="shared" si="38"/>
        <v>0</v>
      </c>
      <c r="Y113" s="27">
        <f t="shared" si="39"/>
        <v>528.82375463414553</v>
      </c>
      <c r="Z113" s="27">
        <f t="shared" si="40"/>
        <v>66801.355372873149</v>
      </c>
      <c r="AA113">
        <f t="shared" si="41"/>
        <v>0</v>
      </c>
      <c r="AB113" s="27">
        <f t="shared" si="42"/>
        <v>66801.355372873149</v>
      </c>
      <c r="AD113" s="27">
        <f t="shared" si="43"/>
        <v>0</v>
      </c>
      <c r="AE113" s="27">
        <f t="shared" si="44"/>
        <v>66801.355372873149</v>
      </c>
      <c r="AF113" s="50"/>
      <c r="AG113" t="str">
        <f t="shared" si="45"/>
        <v>5303870</v>
      </c>
    </row>
    <row r="114" spans="1:33" x14ac:dyDescent="0.25">
      <c r="A114" s="7" t="s">
        <v>431</v>
      </c>
      <c r="B114" s="2" t="s">
        <v>872</v>
      </c>
      <c r="C114" s="8" t="s">
        <v>871</v>
      </c>
      <c r="D114" s="30">
        <f>_xlfn.IFNA(VLOOKUP(A114,'Prior Year data'!$A$1:$V$318,13,FALSE),0)</f>
        <v>1803697.9887434535</v>
      </c>
      <c r="E114">
        <f>VLOOKUP(A114,'Basic HH'!$B$1:$Y$318,23,FALSE)</f>
        <v>671427.49197933276</v>
      </c>
      <c r="F114">
        <f>VLOOKUP(A114,'Conc. HH'!$B$1:$Y$318,23,FALSE)</f>
        <v>180640.12419937717</v>
      </c>
      <c r="G114">
        <f>VLOOKUP(A114,'Targeted HH'!$B$1:$Y$318,23,FALSE)</f>
        <v>362735.0504574136</v>
      </c>
      <c r="H114">
        <f>VLOOKUP(A114,'EFIG HH'!$B$1:$Y$318,23,FALSE)</f>
        <v>492039.3083571957</v>
      </c>
      <c r="I114">
        <f t="shared" si="23"/>
        <v>1706841.9749933193</v>
      </c>
      <c r="J114">
        <f t="shared" si="24"/>
        <v>0</v>
      </c>
      <c r="K114" s="43">
        <f t="shared" si="25"/>
        <v>1706841.9749933193</v>
      </c>
      <c r="L114">
        <f t="shared" si="26"/>
        <v>0</v>
      </c>
      <c r="M114">
        <f t="shared" si="27"/>
        <v>0</v>
      </c>
      <c r="N114" s="43">
        <f t="shared" si="28"/>
        <v>1706841.9749933193</v>
      </c>
      <c r="O114">
        <f t="shared" si="29"/>
        <v>0</v>
      </c>
      <c r="P114">
        <f t="shared" si="30"/>
        <v>0</v>
      </c>
      <c r="Q114" s="43">
        <f t="shared" si="31"/>
        <v>1706841.9749933193</v>
      </c>
      <c r="R114">
        <f t="shared" si="32"/>
        <v>0</v>
      </c>
      <c r="S114">
        <f t="shared" si="33"/>
        <v>0</v>
      </c>
      <c r="T114" s="43">
        <f t="shared" si="34"/>
        <v>1706841.9749933193</v>
      </c>
      <c r="U114">
        <f t="shared" si="35"/>
        <v>0</v>
      </c>
      <c r="V114">
        <f t="shared" si="36"/>
        <v>0</v>
      </c>
      <c r="W114" s="43">
        <f t="shared" si="37"/>
        <v>1706841.9749933193</v>
      </c>
      <c r="X114" s="43">
        <f t="shared" si="38"/>
        <v>0</v>
      </c>
      <c r="Y114" s="27">
        <f t="shared" si="39"/>
        <v>13405.854454564622</v>
      </c>
      <c r="Z114" s="27">
        <f t="shared" si="40"/>
        <v>1693436.1205387546</v>
      </c>
      <c r="AA114">
        <f t="shared" si="41"/>
        <v>0</v>
      </c>
      <c r="AB114" s="27">
        <f t="shared" si="42"/>
        <v>1693436.1205387546</v>
      </c>
      <c r="AD114" s="27">
        <f t="shared" si="43"/>
        <v>0</v>
      </c>
      <c r="AE114" s="27">
        <f t="shared" si="44"/>
        <v>1693436.1205387546</v>
      </c>
      <c r="AF114" s="50"/>
      <c r="AG114" t="str">
        <f t="shared" si="45"/>
        <v>5300003</v>
      </c>
    </row>
    <row r="115" spans="1:33" x14ac:dyDescent="0.25">
      <c r="A115" s="7" t="s">
        <v>433</v>
      </c>
      <c r="B115" s="2" t="s">
        <v>874</v>
      </c>
      <c r="C115" s="4" t="s">
        <v>873</v>
      </c>
      <c r="D115" s="30">
        <f>_xlfn.IFNA(VLOOKUP(A115,'Prior Year data'!$A$1:$V$318,13,FALSE),0)</f>
        <v>6712892.4936572826</v>
      </c>
      <c r="E115">
        <f>VLOOKUP(A115,'Basic HH'!$B$1:$Y$318,23,FALSE)</f>
        <v>2231443.8429808184</v>
      </c>
      <c r="F115">
        <f>VLOOKUP(A115,'Conc. HH'!$B$1:$Y$318,23,FALSE)</f>
        <v>0</v>
      </c>
      <c r="G115">
        <f>VLOOKUP(A115,'Targeted HH'!$B$1:$Y$318,23,FALSE)</f>
        <v>1626784.7474099423</v>
      </c>
      <c r="H115">
        <f>VLOOKUP(A115,'EFIG HH'!$B$1:$Y$318,23,FALSE)</f>
        <v>2206685.1299653999</v>
      </c>
      <c r="I115">
        <f t="shared" si="23"/>
        <v>6064913.7203561608</v>
      </c>
      <c r="J115">
        <f t="shared" si="24"/>
        <v>0</v>
      </c>
      <c r="K115" s="43">
        <f t="shared" si="25"/>
        <v>6064913.7203561608</v>
      </c>
      <c r="L115">
        <f t="shared" si="26"/>
        <v>0</v>
      </c>
      <c r="M115">
        <f t="shared" si="27"/>
        <v>0</v>
      </c>
      <c r="N115" s="43">
        <f t="shared" si="28"/>
        <v>6064913.7203561608</v>
      </c>
      <c r="O115">
        <f t="shared" si="29"/>
        <v>0</v>
      </c>
      <c r="P115">
        <f t="shared" si="30"/>
        <v>0</v>
      </c>
      <c r="Q115" s="43">
        <f t="shared" si="31"/>
        <v>6064913.7203561608</v>
      </c>
      <c r="R115">
        <f t="shared" si="32"/>
        <v>0</v>
      </c>
      <c r="S115">
        <f t="shared" si="33"/>
        <v>0</v>
      </c>
      <c r="T115" s="43">
        <f t="shared" si="34"/>
        <v>6064913.7203561608</v>
      </c>
      <c r="U115">
        <f t="shared" si="35"/>
        <v>0</v>
      </c>
      <c r="V115">
        <f t="shared" si="36"/>
        <v>0</v>
      </c>
      <c r="W115" s="43">
        <f t="shared" si="37"/>
        <v>6064913.7203561608</v>
      </c>
      <c r="X115" s="43">
        <f t="shared" si="38"/>
        <v>0</v>
      </c>
      <c r="Y115" s="27">
        <f t="shared" si="39"/>
        <v>47634.960825770038</v>
      </c>
      <c r="Z115" s="27">
        <f t="shared" si="40"/>
        <v>6017278.7595303906</v>
      </c>
      <c r="AA115">
        <f t="shared" si="41"/>
        <v>0</v>
      </c>
      <c r="AB115" s="27">
        <f t="shared" si="42"/>
        <v>6017278.7595303906</v>
      </c>
      <c r="AD115" s="27">
        <f t="shared" si="43"/>
        <v>0</v>
      </c>
      <c r="AE115" s="27">
        <f t="shared" si="44"/>
        <v>6017278.7595303906</v>
      </c>
      <c r="AF115" s="50"/>
      <c r="AG115" t="str">
        <f t="shared" si="45"/>
        <v>5303930</v>
      </c>
    </row>
    <row r="116" spans="1:33" x14ac:dyDescent="0.25">
      <c r="A116" s="7" t="s">
        <v>435</v>
      </c>
      <c r="B116" s="2" t="s">
        <v>876</v>
      </c>
      <c r="C116" s="4" t="s">
        <v>875</v>
      </c>
      <c r="D116" s="30">
        <f>_xlfn.IFNA(VLOOKUP(A116,'Prior Year data'!$A$1:$V$318,13,FALSE),0)</f>
        <v>10063648.898710484</v>
      </c>
      <c r="E116">
        <f>VLOOKUP(A116,'Basic HH'!$B$1:$Y$318,23,FALSE)</f>
        <v>3961097.2582145892</v>
      </c>
      <c r="F116">
        <f>VLOOKUP(A116,'Conc. HH'!$B$1:$Y$318,23,FALSE)</f>
        <v>0</v>
      </c>
      <c r="G116">
        <f>VLOOKUP(A116,'Targeted HH'!$B$1:$Y$318,23,FALSE)</f>
        <v>3203312.6493268684</v>
      </c>
      <c r="H116">
        <f>VLOOKUP(A116,'EFIG HH'!$B$1:$Y$318,23,FALSE)</f>
        <v>4250715.0780712869</v>
      </c>
      <c r="I116">
        <f t="shared" si="23"/>
        <v>11415124.985612744</v>
      </c>
      <c r="J116">
        <f t="shared" si="24"/>
        <v>11415124.985612744</v>
      </c>
      <c r="K116" s="43">
        <f t="shared" si="25"/>
        <v>10326401.105612662</v>
      </c>
      <c r="L116">
        <f t="shared" si="26"/>
        <v>0</v>
      </c>
      <c r="M116">
        <f t="shared" si="27"/>
        <v>262752.206902178</v>
      </c>
      <c r="N116" s="43">
        <f t="shared" si="28"/>
        <v>10231657.060949856</v>
      </c>
      <c r="O116">
        <f t="shared" si="29"/>
        <v>0</v>
      </c>
      <c r="P116">
        <f t="shared" si="30"/>
        <v>168008.16223937273</v>
      </c>
      <c r="Q116" s="43">
        <f t="shared" si="31"/>
        <v>10231657.060949856</v>
      </c>
      <c r="R116">
        <f t="shared" si="32"/>
        <v>0</v>
      </c>
      <c r="S116">
        <f t="shared" si="33"/>
        <v>168008.16223937273</v>
      </c>
      <c r="T116" s="43">
        <f t="shared" si="34"/>
        <v>10231657.060949856</v>
      </c>
      <c r="U116">
        <f t="shared" si="35"/>
        <v>0</v>
      </c>
      <c r="V116">
        <f t="shared" si="36"/>
        <v>168008.16223937273</v>
      </c>
      <c r="W116" s="43">
        <f t="shared" si="37"/>
        <v>10231657.060949856</v>
      </c>
      <c r="X116" s="43">
        <f t="shared" si="38"/>
        <v>1183467.9246628881</v>
      </c>
      <c r="Y116" s="27">
        <f t="shared" si="39"/>
        <v>80361.338306464517</v>
      </c>
      <c r="Z116" s="27">
        <f t="shared" si="40"/>
        <v>10151295.722643392</v>
      </c>
      <c r="AA116">
        <f t="shared" si="41"/>
        <v>0</v>
      </c>
      <c r="AB116" s="27">
        <f t="shared" si="42"/>
        <v>10151295.722643392</v>
      </c>
      <c r="AD116" s="27">
        <f t="shared" si="43"/>
        <v>0</v>
      </c>
      <c r="AE116" s="27">
        <f t="shared" si="44"/>
        <v>10151295.722643392</v>
      </c>
      <c r="AF116" s="50"/>
      <c r="AG116" t="str">
        <f t="shared" si="45"/>
        <v>5303960</v>
      </c>
    </row>
    <row r="117" spans="1:33" x14ac:dyDescent="0.25">
      <c r="A117" s="7" t="s">
        <v>437</v>
      </c>
      <c r="B117" s="2" t="s">
        <v>878</v>
      </c>
      <c r="C117" s="4" t="s">
        <v>877</v>
      </c>
      <c r="D117" s="30">
        <f>_xlfn.IFNA(VLOOKUP(A117,'Prior Year data'!$A$1:$V$318,13,FALSE),0)</f>
        <v>307378.91352978168</v>
      </c>
      <c r="E117">
        <f>VLOOKUP(A117,'Basic HH'!$B$1:$Y$318,23,FALSE)</f>
        <v>141593.39666353213</v>
      </c>
      <c r="F117">
        <f>VLOOKUP(A117,'Conc. HH'!$B$1:$Y$318,23,FALSE)</f>
        <v>38169.880726011019</v>
      </c>
      <c r="G117">
        <f>VLOOKUP(A117,'Targeted HH'!$B$1:$Y$318,23,FALSE)</f>
        <v>73067.831610616427</v>
      </c>
      <c r="H117">
        <f>VLOOKUP(A117,'EFIG HH'!$B$1:$Y$318,23,FALSE)</f>
        <v>96959.169319450404</v>
      </c>
      <c r="I117">
        <f t="shared" si="23"/>
        <v>349790.27831960993</v>
      </c>
      <c r="J117">
        <f t="shared" si="24"/>
        <v>349790.27831960993</v>
      </c>
      <c r="K117" s="43">
        <f t="shared" si="25"/>
        <v>316428.83641876222</v>
      </c>
      <c r="L117">
        <f t="shared" si="26"/>
        <v>0</v>
      </c>
      <c r="M117">
        <f t="shared" si="27"/>
        <v>9049.9228889805381</v>
      </c>
      <c r="N117" s="43">
        <f t="shared" si="28"/>
        <v>313165.58581281116</v>
      </c>
      <c r="O117">
        <f t="shared" si="29"/>
        <v>0</v>
      </c>
      <c r="P117">
        <f t="shared" si="30"/>
        <v>5786.6722830294748</v>
      </c>
      <c r="Q117" s="43">
        <f t="shared" si="31"/>
        <v>313165.58581281116</v>
      </c>
      <c r="R117">
        <f t="shared" si="32"/>
        <v>0</v>
      </c>
      <c r="S117">
        <f t="shared" si="33"/>
        <v>5786.6722830294748</v>
      </c>
      <c r="T117" s="43">
        <f t="shared" si="34"/>
        <v>313165.58581281116</v>
      </c>
      <c r="U117">
        <f t="shared" si="35"/>
        <v>0</v>
      </c>
      <c r="V117">
        <f t="shared" si="36"/>
        <v>5786.6722830294748</v>
      </c>
      <c r="W117" s="43">
        <f t="shared" si="37"/>
        <v>313165.58581281116</v>
      </c>
      <c r="X117" s="43">
        <f t="shared" si="38"/>
        <v>36624.692506798776</v>
      </c>
      <c r="Y117" s="27">
        <f t="shared" si="39"/>
        <v>2459.6607800212118</v>
      </c>
      <c r="Z117" s="27">
        <f t="shared" si="40"/>
        <v>310705.92503278994</v>
      </c>
      <c r="AA117">
        <f t="shared" si="41"/>
        <v>0</v>
      </c>
      <c r="AB117" s="27">
        <f t="shared" si="42"/>
        <v>310705.92503278994</v>
      </c>
      <c r="AD117" s="27">
        <f t="shared" si="43"/>
        <v>0</v>
      </c>
      <c r="AE117" s="27">
        <f t="shared" si="44"/>
        <v>310705.92503278994</v>
      </c>
      <c r="AF117" s="50"/>
      <c r="AG117" t="str">
        <f t="shared" si="45"/>
        <v>5303990</v>
      </c>
    </row>
    <row r="118" spans="1:33" x14ac:dyDescent="0.25">
      <c r="A118" s="7" t="s">
        <v>439</v>
      </c>
      <c r="B118" s="2" t="s">
        <v>880</v>
      </c>
      <c r="C118" s="8" t="s">
        <v>879</v>
      </c>
      <c r="D118" s="30">
        <f>_xlfn.IFNA(VLOOKUP(A118,'Prior Year data'!$A$1:$V$318,13,FALSE),0)</f>
        <v>429069.52098446962</v>
      </c>
      <c r="E118">
        <f>VLOOKUP(A118,'Basic HH'!$B$1:$Y$318,23,FALSE)</f>
        <v>155496.32000873794</v>
      </c>
      <c r="F118">
        <f>VLOOKUP(A118,'Conc. HH'!$B$1:$Y$318,23,FALSE)</f>
        <v>35605.684430987923</v>
      </c>
      <c r="G118">
        <f>VLOOKUP(A118,'Targeted HH'!$B$1:$Y$318,23,FALSE)</f>
        <v>74394.156257552575</v>
      </c>
      <c r="H118">
        <f>VLOOKUP(A118,'EFIG HH'!$B$1:$Y$318,23,FALSE)</f>
        <v>102247.06833269125</v>
      </c>
      <c r="I118">
        <f t="shared" si="23"/>
        <v>367743.22902996972</v>
      </c>
      <c r="J118">
        <f t="shared" si="24"/>
        <v>0</v>
      </c>
      <c r="K118" s="43">
        <f t="shared" si="25"/>
        <v>367743.22902996972</v>
      </c>
      <c r="L118">
        <f t="shared" si="26"/>
        <v>0</v>
      </c>
      <c r="M118">
        <f t="shared" si="27"/>
        <v>0</v>
      </c>
      <c r="N118" s="43">
        <f t="shared" si="28"/>
        <v>367743.22902996972</v>
      </c>
      <c r="O118">
        <f t="shared" si="29"/>
        <v>0</v>
      </c>
      <c r="P118">
        <f t="shared" si="30"/>
        <v>0</v>
      </c>
      <c r="Q118" s="43">
        <f t="shared" si="31"/>
        <v>367743.22902996972</v>
      </c>
      <c r="R118">
        <f t="shared" si="32"/>
        <v>0</v>
      </c>
      <c r="S118">
        <f t="shared" si="33"/>
        <v>0</v>
      </c>
      <c r="T118" s="43">
        <f t="shared" si="34"/>
        <v>367743.22902996972</v>
      </c>
      <c r="U118">
        <f t="shared" si="35"/>
        <v>0</v>
      </c>
      <c r="V118">
        <f t="shared" si="36"/>
        <v>0</v>
      </c>
      <c r="W118" s="43">
        <f t="shared" si="37"/>
        <v>367743.22902996972</v>
      </c>
      <c r="X118" s="43">
        <f t="shared" si="38"/>
        <v>0</v>
      </c>
      <c r="Y118" s="27">
        <f t="shared" si="39"/>
        <v>2888.3237448192554</v>
      </c>
      <c r="Z118" s="27">
        <f t="shared" si="40"/>
        <v>364854.90528515045</v>
      </c>
      <c r="AA118">
        <f t="shared" si="41"/>
        <v>0</v>
      </c>
      <c r="AB118" s="27">
        <f t="shared" si="42"/>
        <v>364854.90528515045</v>
      </c>
      <c r="AD118" s="27">
        <f t="shared" si="43"/>
        <v>0</v>
      </c>
      <c r="AE118" s="27">
        <f t="shared" si="44"/>
        <v>364854.90528515045</v>
      </c>
      <c r="AF118" s="50"/>
      <c r="AG118" t="str">
        <f t="shared" si="45"/>
        <v>5304020</v>
      </c>
    </row>
    <row r="119" spans="1:33" x14ac:dyDescent="0.25">
      <c r="A119" s="7" t="s">
        <v>277</v>
      </c>
      <c r="B119" s="2" t="s">
        <v>882</v>
      </c>
      <c r="C119" s="4" t="s">
        <v>881</v>
      </c>
      <c r="D119" s="30">
        <f>_xlfn.IFNA(VLOOKUP(A119,'Prior Year data'!$A$1:$V$318,13,FALSE),0)</f>
        <v>115930.5378808594</v>
      </c>
      <c r="E119">
        <f>VLOOKUP(A119,'Basic HH'!$B$1:$Y$318,23,FALSE)</f>
        <v>56285.573828981724</v>
      </c>
      <c r="F119">
        <f>VLOOKUP(A119,'Conc. HH'!$B$1:$Y$318,23,FALSE)</f>
        <v>0</v>
      </c>
      <c r="G119">
        <f>VLOOKUP(A119,'Targeted HH'!$B$1:$Y$318,23,FALSE)</f>
        <v>27220.608053763473</v>
      </c>
      <c r="H119">
        <f>VLOOKUP(A119,'EFIG HH'!$B$1:$Y$318,23,FALSE)</f>
        <v>36121.060213312405</v>
      </c>
      <c r="I119">
        <f t="shared" si="23"/>
        <v>119627.2420960576</v>
      </c>
      <c r="J119">
        <f t="shared" si="24"/>
        <v>119627.2420960576</v>
      </c>
      <c r="K119" s="43">
        <f t="shared" si="25"/>
        <v>108217.72749742807</v>
      </c>
      <c r="L119">
        <f t="shared" si="26"/>
        <v>7712.8103834313224</v>
      </c>
      <c r="M119">
        <f t="shared" si="27"/>
        <v>0</v>
      </c>
      <c r="N119" s="43">
        <f t="shared" si="28"/>
        <v>115930.5378808594</v>
      </c>
      <c r="O119">
        <f t="shared" si="29"/>
        <v>0</v>
      </c>
      <c r="P119">
        <f t="shared" si="30"/>
        <v>0</v>
      </c>
      <c r="Q119" s="43">
        <f t="shared" si="31"/>
        <v>115930.5378808594</v>
      </c>
      <c r="R119">
        <f t="shared" si="32"/>
        <v>0</v>
      </c>
      <c r="S119">
        <f t="shared" si="33"/>
        <v>0</v>
      </c>
      <c r="T119" s="43">
        <f t="shared" si="34"/>
        <v>115930.5378808594</v>
      </c>
      <c r="U119">
        <f t="shared" si="35"/>
        <v>0</v>
      </c>
      <c r="V119">
        <f t="shared" si="36"/>
        <v>0</v>
      </c>
      <c r="W119" s="43">
        <f t="shared" si="37"/>
        <v>115930.5378808594</v>
      </c>
      <c r="X119" s="43">
        <f t="shared" si="38"/>
        <v>3696.7042151982023</v>
      </c>
      <c r="Y119" s="27">
        <f t="shared" si="39"/>
        <v>910.54001509206773</v>
      </c>
      <c r="Z119" s="27">
        <f t="shared" si="40"/>
        <v>115019.99786576733</v>
      </c>
      <c r="AA119">
        <f t="shared" si="41"/>
        <v>0</v>
      </c>
      <c r="AB119" s="27">
        <f t="shared" si="42"/>
        <v>115019.99786576733</v>
      </c>
      <c r="AD119" s="27">
        <f t="shared" si="43"/>
        <v>0</v>
      </c>
      <c r="AE119" s="27">
        <f t="shared" si="44"/>
        <v>115019.99786576733</v>
      </c>
      <c r="AF119" s="50"/>
      <c r="AG119" t="str">
        <f t="shared" si="45"/>
        <v>5304050</v>
      </c>
    </row>
    <row r="120" spans="1:33" x14ac:dyDescent="0.25">
      <c r="A120" s="7" t="s">
        <v>440</v>
      </c>
      <c r="B120" s="2" t="s">
        <v>884</v>
      </c>
      <c r="C120" s="4" t="s">
        <v>883</v>
      </c>
      <c r="D120" s="30">
        <f>_xlfn.IFNA(VLOOKUP(A120,'Prior Year data'!$A$1:$V$318,13,FALSE),0)</f>
        <v>2676.9319125298243</v>
      </c>
      <c r="E120">
        <f>VLOOKUP(A120,'Basic HH'!$B$1:$Y$318,23,FALSE)</f>
        <v>12312.469275089752</v>
      </c>
      <c r="F120">
        <f>VLOOKUP(A120,'Conc. HH'!$B$1:$Y$318,23,FALSE)</f>
        <v>3319.1200631313923</v>
      </c>
      <c r="G120">
        <f>VLOOKUP(A120,'Targeted HH'!$B$1:$Y$318,23,FALSE)</f>
        <v>6345.08120513218</v>
      </c>
      <c r="H120">
        <f>VLOOKUP(A120,'EFIG HH'!$B$1:$Y$318,23,FALSE)</f>
        <v>8419.7626965665422</v>
      </c>
      <c r="I120">
        <f t="shared" si="23"/>
        <v>30396.433239919868</v>
      </c>
      <c r="J120">
        <f t="shared" si="24"/>
        <v>30396.433239919868</v>
      </c>
      <c r="K120" s="43">
        <f t="shared" si="25"/>
        <v>27497.356552030877</v>
      </c>
      <c r="L120">
        <f t="shared" si="26"/>
        <v>0</v>
      </c>
      <c r="M120">
        <f t="shared" si="27"/>
        <v>24820.424639501052</v>
      </c>
      <c r="N120" s="43">
        <f t="shared" si="28"/>
        <v>18547.527173546703</v>
      </c>
      <c r="O120">
        <f t="shared" si="29"/>
        <v>0</v>
      </c>
      <c r="P120">
        <f t="shared" si="30"/>
        <v>15870.595261016879</v>
      </c>
      <c r="Q120" s="43">
        <f t="shared" si="31"/>
        <v>18547.527173546703</v>
      </c>
      <c r="R120">
        <f t="shared" si="32"/>
        <v>0</v>
      </c>
      <c r="S120">
        <f t="shared" si="33"/>
        <v>15870.595261016879</v>
      </c>
      <c r="T120" s="43">
        <f t="shared" si="34"/>
        <v>18547.527173546703</v>
      </c>
      <c r="U120">
        <f t="shared" si="35"/>
        <v>0</v>
      </c>
      <c r="V120">
        <f t="shared" si="36"/>
        <v>15870.595261016879</v>
      </c>
      <c r="W120" s="43">
        <f t="shared" si="37"/>
        <v>18547.527173546703</v>
      </c>
      <c r="X120" s="43">
        <f t="shared" si="38"/>
        <v>11848.906066373165</v>
      </c>
      <c r="Y120" s="27">
        <f t="shared" si="39"/>
        <v>145.67572946032257</v>
      </c>
      <c r="Z120" s="27">
        <f t="shared" si="40"/>
        <v>18401.85144408638</v>
      </c>
      <c r="AA120">
        <f t="shared" si="41"/>
        <v>0</v>
      </c>
      <c r="AB120" s="27">
        <f t="shared" si="42"/>
        <v>18401.85144408638</v>
      </c>
      <c r="AD120" s="27">
        <f t="shared" si="43"/>
        <v>0</v>
      </c>
      <c r="AE120" s="27">
        <f t="shared" si="44"/>
        <v>18401.85144408638</v>
      </c>
      <c r="AF120" s="50"/>
      <c r="AG120" t="str">
        <f t="shared" si="45"/>
        <v>5304080</v>
      </c>
    </row>
    <row r="121" spans="1:33" x14ac:dyDescent="0.25">
      <c r="A121" s="7" t="s">
        <v>148</v>
      </c>
      <c r="B121" s="2" t="s">
        <v>886</v>
      </c>
      <c r="C121" s="4" t="s">
        <v>885</v>
      </c>
      <c r="D121" s="30">
        <f>_xlfn.IFNA(VLOOKUP(A121,'Prior Year data'!$A$1:$V$318,13,FALSE),0)</f>
        <v>91437.928602673419</v>
      </c>
      <c r="E121">
        <f>VLOOKUP(A121,'Basic HH'!$B$1:$Y$318,23,FALSE)</f>
        <v>104655.98883826289</v>
      </c>
      <c r="F121">
        <f>VLOOKUP(A121,'Conc. HH'!$B$1:$Y$318,23,FALSE)</f>
        <v>0</v>
      </c>
      <c r="G121">
        <f>VLOOKUP(A121,'Targeted HH'!$B$1:$Y$318,23,FALSE)</f>
        <v>50613.31809996644</v>
      </c>
      <c r="H121">
        <f>VLOOKUP(A121,'EFIG HH'!$B$1:$Y$318,23,FALSE)</f>
        <v>67162.596334127753</v>
      </c>
      <c r="I121">
        <f t="shared" si="23"/>
        <v>222431.90327235707</v>
      </c>
      <c r="J121">
        <f t="shared" si="24"/>
        <v>222431.90327235707</v>
      </c>
      <c r="K121" s="43">
        <f t="shared" si="25"/>
        <v>201217.3370655303</v>
      </c>
      <c r="L121">
        <f t="shared" si="26"/>
        <v>0</v>
      </c>
      <c r="M121">
        <f t="shared" si="27"/>
        <v>109779.40846285688</v>
      </c>
      <c r="N121" s="43">
        <f t="shared" si="28"/>
        <v>161632.72119840863</v>
      </c>
      <c r="O121">
        <f t="shared" si="29"/>
        <v>0</v>
      </c>
      <c r="P121">
        <f t="shared" si="30"/>
        <v>70194.792595735213</v>
      </c>
      <c r="Q121" s="43">
        <f t="shared" si="31"/>
        <v>161632.72119840863</v>
      </c>
      <c r="R121">
        <f t="shared" si="32"/>
        <v>0</v>
      </c>
      <c r="S121">
        <f t="shared" si="33"/>
        <v>70194.792595735213</v>
      </c>
      <c r="T121" s="43">
        <f t="shared" si="34"/>
        <v>161632.72119840863</v>
      </c>
      <c r="U121">
        <f t="shared" si="35"/>
        <v>0</v>
      </c>
      <c r="V121">
        <f t="shared" si="36"/>
        <v>70194.792595735213</v>
      </c>
      <c r="W121" s="43">
        <f t="shared" si="37"/>
        <v>161632.72119840863</v>
      </c>
      <c r="X121" s="43">
        <f t="shared" si="38"/>
        <v>60799.182073948439</v>
      </c>
      <c r="Y121" s="27">
        <f t="shared" si="39"/>
        <v>1269.4934664291748</v>
      </c>
      <c r="Z121" s="27">
        <f t="shared" si="40"/>
        <v>160363.22773197945</v>
      </c>
      <c r="AA121">
        <f t="shared" si="41"/>
        <v>0</v>
      </c>
      <c r="AB121" s="27">
        <f t="shared" si="42"/>
        <v>160363.22773197945</v>
      </c>
      <c r="AD121" s="27">
        <f t="shared" si="43"/>
        <v>0</v>
      </c>
      <c r="AE121" s="27">
        <f t="shared" si="44"/>
        <v>160363.22773197945</v>
      </c>
      <c r="AF121" s="50"/>
      <c r="AG121" t="str">
        <f t="shared" si="45"/>
        <v>5304170</v>
      </c>
    </row>
    <row r="122" spans="1:33" x14ac:dyDescent="0.25">
      <c r="A122" s="7" t="s">
        <v>279</v>
      </c>
      <c r="B122" s="2" t="s">
        <v>888</v>
      </c>
      <c r="C122" s="4" t="s">
        <v>887</v>
      </c>
      <c r="D122" s="30">
        <f>_xlfn.IFNA(VLOOKUP(A122,'Prior Year data'!$A$1:$V$318,13,FALSE),0)</f>
        <v>228255.23947952068</v>
      </c>
      <c r="E122">
        <f>VLOOKUP(A122,'Basic HH'!$B$1:$Y$318,23,FALSE)</f>
        <v>71972.775530406594</v>
      </c>
      <c r="F122">
        <f>VLOOKUP(A122,'Conc. HH'!$B$1:$Y$318,23,FALSE)</f>
        <v>18850.068228170079</v>
      </c>
      <c r="G122">
        <f>VLOOKUP(A122,'Targeted HH'!$B$1:$Y$318,23,FALSE)</f>
        <v>44007.663088804933</v>
      </c>
      <c r="H122">
        <f>VLOOKUP(A122,'EFIG HH'!$B$1:$Y$318,23,FALSE)</f>
        <v>60683.648052684417</v>
      </c>
      <c r="I122">
        <f t="shared" si="23"/>
        <v>195514.154900066</v>
      </c>
      <c r="J122">
        <f t="shared" si="24"/>
        <v>0</v>
      </c>
      <c r="K122" s="43">
        <f t="shared" si="25"/>
        <v>195514.154900066</v>
      </c>
      <c r="L122">
        <f t="shared" si="26"/>
        <v>0</v>
      </c>
      <c r="M122">
        <f t="shared" si="27"/>
        <v>0</v>
      </c>
      <c r="N122" s="43">
        <f t="shared" si="28"/>
        <v>195514.154900066</v>
      </c>
      <c r="O122">
        <f t="shared" si="29"/>
        <v>0</v>
      </c>
      <c r="P122">
        <f t="shared" si="30"/>
        <v>0</v>
      </c>
      <c r="Q122" s="43">
        <f t="shared" si="31"/>
        <v>195514.154900066</v>
      </c>
      <c r="R122">
        <f t="shared" si="32"/>
        <v>0</v>
      </c>
      <c r="S122">
        <f t="shared" si="33"/>
        <v>0</v>
      </c>
      <c r="T122" s="43">
        <f t="shared" si="34"/>
        <v>195514.154900066</v>
      </c>
      <c r="U122">
        <f t="shared" si="35"/>
        <v>0</v>
      </c>
      <c r="V122">
        <f t="shared" si="36"/>
        <v>0</v>
      </c>
      <c r="W122" s="43">
        <f t="shared" si="37"/>
        <v>195514.154900066</v>
      </c>
      <c r="X122" s="43">
        <f t="shared" si="38"/>
        <v>0</v>
      </c>
      <c r="Y122" s="27">
        <f t="shared" si="39"/>
        <v>1535.6045508593413</v>
      </c>
      <c r="Z122" s="27">
        <f t="shared" si="40"/>
        <v>193978.55034920666</v>
      </c>
      <c r="AA122">
        <f t="shared" si="41"/>
        <v>0</v>
      </c>
      <c r="AB122" s="27">
        <f t="shared" si="42"/>
        <v>193978.55034920666</v>
      </c>
      <c r="AD122" s="27">
        <f t="shared" si="43"/>
        <v>0</v>
      </c>
      <c r="AE122" s="27">
        <f t="shared" si="44"/>
        <v>193978.55034920666</v>
      </c>
      <c r="AF122" s="50"/>
      <c r="AG122" t="str">
        <f t="shared" si="45"/>
        <v>5304110</v>
      </c>
    </row>
    <row r="123" spans="1:33" x14ac:dyDescent="0.25">
      <c r="A123" s="7" t="s">
        <v>442</v>
      </c>
      <c r="B123" s="2" t="s">
        <v>890</v>
      </c>
      <c r="C123" s="4" t="s">
        <v>889</v>
      </c>
      <c r="D123" s="30">
        <f>_xlfn.IFNA(VLOOKUP(A123,'Prior Year data'!$A$1:$V$318,13,FALSE),0)</f>
        <v>33091.727899453654</v>
      </c>
      <c r="E123">
        <f>VLOOKUP(A123,'Basic HH'!$B$1:$Y$318,23,FALSE)</f>
        <v>12556.949794993021</v>
      </c>
      <c r="F123">
        <f>VLOOKUP(A123,'Conc. HH'!$B$1:$Y$318,23,FALSE)</f>
        <v>3378.3081533436889</v>
      </c>
      <c r="G123">
        <f>VLOOKUP(A123,'Targeted HH'!$B$1:$Y$318,23,FALSE)</f>
        <v>6853.3051011519283</v>
      </c>
      <c r="H123">
        <f>VLOOKUP(A123,'EFIG HH'!$B$1:$Y$318,23,FALSE)</f>
        <v>9296.304555292847</v>
      </c>
      <c r="I123">
        <f t="shared" si="23"/>
        <v>32084.867604781488</v>
      </c>
      <c r="J123">
        <f t="shared" si="24"/>
        <v>0</v>
      </c>
      <c r="K123" s="43">
        <f t="shared" si="25"/>
        <v>32084.867604781488</v>
      </c>
      <c r="L123">
        <f t="shared" si="26"/>
        <v>0</v>
      </c>
      <c r="M123">
        <f t="shared" si="27"/>
        <v>0</v>
      </c>
      <c r="N123" s="43">
        <f t="shared" si="28"/>
        <v>32084.867604781488</v>
      </c>
      <c r="O123">
        <f t="shared" si="29"/>
        <v>0</v>
      </c>
      <c r="P123">
        <f t="shared" si="30"/>
        <v>0</v>
      </c>
      <c r="Q123" s="43">
        <f t="shared" si="31"/>
        <v>32084.867604781488</v>
      </c>
      <c r="R123">
        <f t="shared" si="32"/>
        <v>0</v>
      </c>
      <c r="S123">
        <f t="shared" si="33"/>
        <v>0</v>
      </c>
      <c r="T123" s="43">
        <f t="shared" si="34"/>
        <v>32084.867604781488</v>
      </c>
      <c r="U123">
        <f t="shared" si="35"/>
        <v>0</v>
      </c>
      <c r="V123">
        <f t="shared" si="36"/>
        <v>0</v>
      </c>
      <c r="W123" s="43">
        <f t="shared" si="37"/>
        <v>32084.867604781488</v>
      </c>
      <c r="X123" s="43">
        <f t="shared" si="38"/>
        <v>0</v>
      </c>
      <c r="Y123" s="27">
        <f t="shared" si="39"/>
        <v>252.00052002784824</v>
      </c>
      <c r="Z123" s="27">
        <f t="shared" si="40"/>
        <v>31832.867084753641</v>
      </c>
      <c r="AA123">
        <f t="shared" si="41"/>
        <v>0</v>
      </c>
      <c r="AB123" s="27">
        <f t="shared" si="42"/>
        <v>31832.867084753641</v>
      </c>
      <c r="AD123" s="27">
        <f t="shared" si="43"/>
        <v>0</v>
      </c>
      <c r="AE123" s="27">
        <f t="shared" si="44"/>
        <v>31832.867084753641</v>
      </c>
      <c r="AF123" s="50"/>
      <c r="AG123" t="str">
        <f t="shared" si="45"/>
        <v>5304150</v>
      </c>
    </row>
    <row r="124" spans="1:33" x14ac:dyDescent="0.25">
      <c r="A124" s="7" t="s">
        <v>281</v>
      </c>
      <c r="B124" s="2" t="s">
        <v>892</v>
      </c>
      <c r="C124" s="8" t="s">
        <v>891</v>
      </c>
      <c r="D124" s="30">
        <f>_xlfn.IFNA(VLOOKUP(A124,'Prior Year data'!$A$1:$V$318,13,FALSE),0)</f>
        <v>277760.2376209721</v>
      </c>
      <c r="E124">
        <f>VLOOKUP(A124,'Basic HH'!$B$1:$Y$318,23,FALSE)</f>
        <v>123353.5656331668</v>
      </c>
      <c r="F124">
        <f>VLOOKUP(A124,'Conc. HH'!$B$1:$Y$318,23,FALSE)</f>
        <v>0</v>
      </c>
      <c r="G124">
        <f>VLOOKUP(A124,'Targeted HH'!$B$1:$Y$318,23,FALSE)</f>
        <v>59505.651695862478</v>
      </c>
      <c r="H124">
        <f>VLOOKUP(A124,'EFIG HH'!$B$1:$Y$318,23,FALSE)</f>
        <v>80717.646852310092</v>
      </c>
      <c r="I124">
        <f t="shared" si="23"/>
        <v>263576.86418133939</v>
      </c>
      <c r="J124">
        <f t="shared" si="24"/>
        <v>0</v>
      </c>
      <c r="K124" s="43">
        <f t="shared" si="25"/>
        <v>263576.86418133939</v>
      </c>
      <c r="L124">
        <f t="shared" si="26"/>
        <v>0</v>
      </c>
      <c r="M124">
        <f t="shared" si="27"/>
        <v>0</v>
      </c>
      <c r="N124" s="43">
        <f t="shared" si="28"/>
        <v>263576.86418133939</v>
      </c>
      <c r="O124">
        <f t="shared" si="29"/>
        <v>0</v>
      </c>
      <c r="P124">
        <f t="shared" si="30"/>
        <v>0</v>
      </c>
      <c r="Q124" s="43">
        <f t="shared" si="31"/>
        <v>263576.86418133939</v>
      </c>
      <c r="R124">
        <f t="shared" si="32"/>
        <v>0</v>
      </c>
      <c r="S124">
        <f t="shared" si="33"/>
        <v>0</v>
      </c>
      <c r="T124" s="43">
        <f t="shared" si="34"/>
        <v>263576.86418133939</v>
      </c>
      <c r="U124">
        <f t="shared" si="35"/>
        <v>0</v>
      </c>
      <c r="V124">
        <f t="shared" si="36"/>
        <v>0</v>
      </c>
      <c r="W124" s="43">
        <f t="shared" si="37"/>
        <v>263576.86418133939</v>
      </c>
      <c r="X124" s="43">
        <f t="shared" si="38"/>
        <v>0</v>
      </c>
      <c r="Y124" s="27">
        <f t="shared" si="39"/>
        <v>2070.181733619138</v>
      </c>
      <c r="Z124" s="27">
        <f t="shared" si="40"/>
        <v>261506.68244772026</v>
      </c>
      <c r="AA124">
        <f t="shared" si="41"/>
        <v>0</v>
      </c>
      <c r="AB124" s="27">
        <f t="shared" si="42"/>
        <v>261506.68244772026</v>
      </c>
      <c r="AD124" s="27">
        <f t="shared" si="43"/>
        <v>0</v>
      </c>
      <c r="AE124" s="27">
        <f t="shared" si="44"/>
        <v>261506.68244772026</v>
      </c>
      <c r="AF124" s="50"/>
      <c r="AG124" t="str">
        <f t="shared" si="45"/>
        <v>5301200</v>
      </c>
    </row>
    <row r="125" spans="1:33" x14ac:dyDescent="0.25">
      <c r="A125" s="7" t="s">
        <v>150</v>
      </c>
      <c r="B125" s="2" t="s">
        <v>894</v>
      </c>
      <c r="C125" s="4" t="s">
        <v>893</v>
      </c>
      <c r="D125" s="30">
        <f>_xlfn.IFNA(VLOOKUP(A125,'Prior Year data'!$A$1:$V$318,13,FALSE),0)</f>
        <v>1106315.7177922886</v>
      </c>
      <c r="E125">
        <f>VLOOKUP(A125,'Basic HH'!$B$1:$Y$318,23,FALSE)</f>
        <v>587480.67683999659</v>
      </c>
      <c r="F125">
        <f>VLOOKUP(A125,'Conc. HH'!$B$1:$Y$318,23,FALSE)</f>
        <v>0</v>
      </c>
      <c r="G125">
        <f>VLOOKUP(A125,'Targeted HH'!$B$1:$Y$318,23,FALSE)</f>
        <v>284115.09656115633</v>
      </c>
      <c r="H125">
        <f>VLOOKUP(A125,'EFIG HH'!$B$1:$Y$318,23,FALSE)</f>
        <v>377013.56597644818</v>
      </c>
      <c r="I125">
        <f t="shared" si="23"/>
        <v>1248609.3393776012</v>
      </c>
      <c r="J125">
        <f t="shared" si="24"/>
        <v>1248609.3393776012</v>
      </c>
      <c r="K125" s="43">
        <f t="shared" si="25"/>
        <v>1129522.5307544055</v>
      </c>
      <c r="L125">
        <f t="shared" si="26"/>
        <v>0</v>
      </c>
      <c r="M125">
        <f t="shared" si="27"/>
        <v>23206.812962116906</v>
      </c>
      <c r="N125" s="43">
        <f t="shared" si="28"/>
        <v>1121154.5427185041</v>
      </c>
      <c r="O125">
        <f t="shared" si="29"/>
        <v>0</v>
      </c>
      <c r="P125">
        <f t="shared" si="30"/>
        <v>14838.824926215457</v>
      </c>
      <c r="Q125" s="43">
        <f t="shared" si="31"/>
        <v>1121154.5427185041</v>
      </c>
      <c r="R125">
        <f t="shared" si="32"/>
        <v>0</v>
      </c>
      <c r="S125">
        <f t="shared" si="33"/>
        <v>14838.824926215457</v>
      </c>
      <c r="T125" s="43">
        <f t="shared" si="34"/>
        <v>1121154.5427185041</v>
      </c>
      <c r="U125">
        <f t="shared" si="35"/>
        <v>0</v>
      </c>
      <c r="V125">
        <f t="shared" si="36"/>
        <v>14838.824926215457</v>
      </c>
      <c r="W125" s="43">
        <f t="shared" si="37"/>
        <v>1121154.5427185041</v>
      </c>
      <c r="X125" s="43">
        <f t="shared" si="38"/>
        <v>127454.79665909708</v>
      </c>
      <c r="Y125" s="27">
        <f t="shared" si="39"/>
        <v>8805.7563857468685</v>
      </c>
      <c r="Z125" s="27">
        <f t="shared" si="40"/>
        <v>1112348.7863327572</v>
      </c>
      <c r="AA125">
        <f t="shared" si="41"/>
        <v>0</v>
      </c>
      <c r="AB125" s="27">
        <f t="shared" si="42"/>
        <v>1112348.7863327572</v>
      </c>
      <c r="AD125" s="27">
        <f t="shared" si="43"/>
        <v>0</v>
      </c>
      <c r="AE125" s="27">
        <f t="shared" si="44"/>
        <v>1112348.7863327572</v>
      </c>
      <c r="AF125" s="50"/>
      <c r="AG125" t="str">
        <f t="shared" si="45"/>
        <v>5304200</v>
      </c>
    </row>
    <row r="126" spans="1:33" x14ac:dyDescent="0.25">
      <c r="A126" s="7" t="s">
        <v>152</v>
      </c>
      <c r="B126" s="2" t="s">
        <v>896</v>
      </c>
      <c r="C126" s="4" t="s">
        <v>895</v>
      </c>
      <c r="D126" s="30">
        <f>_xlfn.IFNA(VLOOKUP(A126,'Prior Year data'!$A$1:$V$318,13,FALSE),0)</f>
        <v>1133697.1679403197</v>
      </c>
      <c r="E126">
        <f>VLOOKUP(A126,'Basic HH'!$B$1:$Y$318,23,FALSE)</f>
        <v>1307760.1294327474</v>
      </c>
      <c r="F126">
        <f>VLOOKUP(A126,'Conc. HH'!$B$1:$Y$318,23,FALSE)</f>
        <v>0</v>
      </c>
      <c r="G126">
        <f>VLOOKUP(A126,'Targeted HH'!$B$1:$Y$318,23,FALSE)</f>
        <v>0</v>
      </c>
      <c r="H126">
        <f>VLOOKUP(A126,'EFIG HH'!$B$1:$Y$318,23,FALSE)</f>
        <v>0</v>
      </c>
      <c r="I126">
        <f t="shared" si="23"/>
        <v>1307760.1294327474</v>
      </c>
      <c r="J126">
        <f t="shared" si="24"/>
        <v>1307760.1294327474</v>
      </c>
      <c r="K126" s="43">
        <f t="shared" si="25"/>
        <v>1183031.7813840024</v>
      </c>
      <c r="L126">
        <f t="shared" si="26"/>
        <v>0</v>
      </c>
      <c r="M126">
        <f t="shared" si="27"/>
        <v>49334.613443682669</v>
      </c>
      <c r="N126" s="43">
        <f t="shared" si="28"/>
        <v>1165242.5461397457</v>
      </c>
      <c r="O126">
        <f t="shared" si="29"/>
        <v>0</v>
      </c>
      <c r="P126">
        <f t="shared" si="30"/>
        <v>31545.378199425992</v>
      </c>
      <c r="Q126" s="43">
        <f t="shared" si="31"/>
        <v>1165242.5461397457</v>
      </c>
      <c r="R126">
        <f t="shared" si="32"/>
        <v>0</v>
      </c>
      <c r="S126">
        <f t="shared" si="33"/>
        <v>31545.378199425992</v>
      </c>
      <c r="T126" s="43">
        <f t="shared" si="34"/>
        <v>1165242.5461397457</v>
      </c>
      <c r="U126">
        <f t="shared" si="35"/>
        <v>0</v>
      </c>
      <c r="V126">
        <f t="shared" si="36"/>
        <v>31545.378199425992</v>
      </c>
      <c r="W126" s="43">
        <f t="shared" si="37"/>
        <v>1165242.5461397457</v>
      </c>
      <c r="X126" s="43">
        <f t="shared" si="38"/>
        <v>142517.58329300163</v>
      </c>
      <c r="Y126" s="27">
        <f t="shared" si="39"/>
        <v>9152.0317678365464</v>
      </c>
      <c r="Z126" s="27">
        <f t="shared" si="40"/>
        <v>1156090.5143719092</v>
      </c>
      <c r="AA126">
        <f t="shared" si="41"/>
        <v>0</v>
      </c>
      <c r="AB126" s="27">
        <f t="shared" si="42"/>
        <v>1156090.5143719092</v>
      </c>
      <c r="AD126" s="27">
        <f t="shared" si="43"/>
        <v>0</v>
      </c>
      <c r="AE126" s="27">
        <f t="shared" si="44"/>
        <v>1156090.5143719092</v>
      </c>
      <c r="AF126" s="50"/>
      <c r="AG126" t="str">
        <f t="shared" si="45"/>
        <v>5304230</v>
      </c>
    </row>
    <row r="127" spans="1:33" x14ac:dyDescent="0.25">
      <c r="A127" s="7" t="s">
        <v>154</v>
      </c>
      <c r="B127" s="2" t="s">
        <v>898</v>
      </c>
      <c r="C127" s="4" t="s">
        <v>897</v>
      </c>
      <c r="D127" s="30">
        <f>_xlfn.IFNA(VLOOKUP(A127,'Prior Year data'!$A$1:$V$318,13,FALSE),0)</f>
        <v>562969.94025078963</v>
      </c>
      <c r="E127">
        <f>VLOOKUP(A127,'Basic HH'!$B$1:$Y$318,23,FALSE)</f>
        <v>259441.3168679626</v>
      </c>
      <c r="F127">
        <f>VLOOKUP(A127,'Conc. HH'!$B$1:$Y$318,23,FALSE)</f>
        <v>0</v>
      </c>
      <c r="G127">
        <f>VLOOKUP(A127,'Targeted HH'!$B$1:$Y$318,23,FALSE)</f>
        <v>125469.99024781596</v>
      </c>
      <c r="H127">
        <f>VLOOKUP(A127,'EFIG HH'!$B$1:$Y$318,23,FALSE)</f>
        <v>166495.5119207369</v>
      </c>
      <c r="I127">
        <f t="shared" si="23"/>
        <v>551406.81903651543</v>
      </c>
      <c r="J127">
        <f t="shared" si="24"/>
        <v>0</v>
      </c>
      <c r="K127" s="43">
        <f t="shared" si="25"/>
        <v>551406.81903651543</v>
      </c>
      <c r="L127">
        <f t="shared" si="26"/>
        <v>0</v>
      </c>
      <c r="M127">
        <f t="shared" si="27"/>
        <v>0</v>
      </c>
      <c r="N127" s="43">
        <f t="shared" si="28"/>
        <v>551406.81903651543</v>
      </c>
      <c r="O127">
        <f t="shared" si="29"/>
        <v>0</v>
      </c>
      <c r="P127">
        <f t="shared" si="30"/>
        <v>0</v>
      </c>
      <c r="Q127" s="43">
        <f t="shared" si="31"/>
        <v>551406.81903651543</v>
      </c>
      <c r="R127">
        <f t="shared" si="32"/>
        <v>0</v>
      </c>
      <c r="S127">
        <f t="shared" si="33"/>
        <v>0</v>
      </c>
      <c r="T127" s="43">
        <f t="shared" si="34"/>
        <v>551406.81903651543</v>
      </c>
      <c r="U127">
        <f t="shared" si="35"/>
        <v>0</v>
      </c>
      <c r="V127">
        <f t="shared" si="36"/>
        <v>0</v>
      </c>
      <c r="W127" s="43">
        <f t="shared" si="37"/>
        <v>551406.81903651543</v>
      </c>
      <c r="X127" s="43">
        <f t="shared" si="38"/>
        <v>0</v>
      </c>
      <c r="Y127" s="27">
        <f t="shared" si="39"/>
        <v>4330.8517540335924</v>
      </c>
      <c r="Z127" s="27">
        <f t="shared" si="40"/>
        <v>547075.96728248184</v>
      </c>
      <c r="AA127">
        <f t="shared" si="41"/>
        <v>0</v>
      </c>
      <c r="AB127" s="27">
        <f t="shared" si="42"/>
        <v>547075.96728248184</v>
      </c>
      <c r="AD127" s="27">
        <f t="shared" si="43"/>
        <v>0</v>
      </c>
      <c r="AE127" s="27">
        <f t="shared" si="44"/>
        <v>547075.96728248184</v>
      </c>
      <c r="AF127" s="50"/>
      <c r="AG127" t="str">
        <f t="shared" si="45"/>
        <v>5304260</v>
      </c>
    </row>
    <row r="128" spans="1:33" x14ac:dyDescent="0.25">
      <c r="A128" s="7" t="s">
        <v>156</v>
      </c>
      <c r="B128" s="2" t="s">
        <v>900</v>
      </c>
      <c r="C128" s="4" t="s">
        <v>899</v>
      </c>
      <c r="D128" s="30">
        <f>_xlfn.IFNA(VLOOKUP(A128,'Prior Year data'!$A$1:$V$318,13,FALSE),0)</f>
        <v>22527.916023066129</v>
      </c>
      <c r="E128">
        <f>VLOOKUP(A128,'Basic HH'!$B$1:$Y$318,23,FALSE)</f>
        <v>0</v>
      </c>
      <c r="F128">
        <f>VLOOKUP(A128,'Conc. HH'!$B$1:$Y$318,23,FALSE)</f>
        <v>2104.1365660964157</v>
      </c>
      <c r="G128">
        <f>VLOOKUP(A128,'Targeted HH'!$B$1:$Y$318,23,FALSE)</f>
        <v>0</v>
      </c>
      <c r="H128">
        <f>VLOOKUP(A128,'EFIG HH'!$B$1:$Y$318,23,FALSE)</f>
        <v>0</v>
      </c>
      <c r="I128">
        <f t="shared" si="23"/>
        <v>2104.1365660964157</v>
      </c>
      <c r="J128">
        <f t="shared" si="24"/>
        <v>0</v>
      </c>
      <c r="K128" s="43">
        <f t="shared" si="25"/>
        <v>2104.1365660964157</v>
      </c>
      <c r="L128">
        <f t="shared" si="26"/>
        <v>0</v>
      </c>
      <c r="M128">
        <f t="shared" si="27"/>
        <v>0</v>
      </c>
      <c r="N128" s="43">
        <f t="shared" si="28"/>
        <v>2104.1365660964157</v>
      </c>
      <c r="O128">
        <f t="shared" si="29"/>
        <v>0</v>
      </c>
      <c r="P128">
        <f t="shared" si="30"/>
        <v>0</v>
      </c>
      <c r="Q128" s="43">
        <f t="shared" si="31"/>
        <v>2104.1365660964157</v>
      </c>
      <c r="R128">
        <f t="shared" si="32"/>
        <v>0</v>
      </c>
      <c r="S128">
        <f t="shared" si="33"/>
        <v>0</v>
      </c>
      <c r="T128" s="43">
        <f t="shared" si="34"/>
        <v>2104.1365660964157</v>
      </c>
      <c r="U128">
        <f t="shared" si="35"/>
        <v>0</v>
      </c>
      <c r="V128">
        <f t="shared" si="36"/>
        <v>0</v>
      </c>
      <c r="W128" s="43">
        <f t="shared" si="37"/>
        <v>2104.1365660964157</v>
      </c>
      <c r="X128" s="43">
        <f t="shared" si="38"/>
        <v>0</v>
      </c>
      <c r="Y128" s="27">
        <f t="shared" si="39"/>
        <v>16.526280095570268</v>
      </c>
      <c r="Z128" s="27">
        <f t="shared" si="40"/>
        <v>2087.6102860008455</v>
      </c>
      <c r="AA128">
        <f t="shared" si="41"/>
        <v>0</v>
      </c>
      <c r="AB128" s="27">
        <f t="shared" si="42"/>
        <v>2087.6102860008455</v>
      </c>
      <c r="AD128" s="27">
        <f t="shared" si="43"/>
        <v>0</v>
      </c>
      <c r="AE128" s="27">
        <f t="shared" si="44"/>
        <v>2087.6102860008455</v>
      </c>
      <c r="AF128" s="50"/>
      <c r="AG128" t="str">
        <f t="shared" si="45"/>
        <v>5304290</v>
      </c>
    </row>
    <row r="129" spans="1:33" x14ac:dyDescent="0.25">
      <c r="A129" s="7" t="s">
        <v>158</v>
      </c>
      <c r="B129" s="2" t="s">
        <v>902</v>
      </c>
      <c r="C129" s="4" t="s">
        <v>901</v>
      </c>
      <c r="D129" s="30">
        <f>_xlfn.IFNA(VLOOKUP(A129,'Prior Year data'!$A$1:$V$318,13,FALSE),0)</f>
        <v>55878.734146078205</v>
      </c>
      <c r="E129">
        <f>VLOOKUP(A129,'Basic HH'!$B$1:$Y$318,23,FALSE)</f>
        <v>47863.451057543643</v>
      </c>
      <c r="F129">
        <f>VLOOKUP(A129,'Conc. HH'!$B$1:$Y$318,23,FALSE)</f>
        <v>0</v>
      </c>
      <c r="G129">
        <f>VLOOKUP(A129,'Targeted HH'!$B$1:$Y$318,23,FALSE)</f>
        <v>0</v>
      </c>
      <c r="H129">
        <f>VLOOKUP(A129,'EFIG HH'!$B$1:$Y$318,23,FALSE)</f>
        <v>0</v>
      </c>
      <c r="I129">
        <f t="shared" si="23"/>
        <v>47863.451057543643</v>
      </c>
      <c r="J129">
        <f t="shared" si="24"/>
        <v>0</v>
      </c>
      <c r="K129" s="43">
        <f t="shared" si="25"/>
        <v>47863.451057543643</v>
      </c>
      <c r="L129">
        <f t="shared" si="26"/>
        <v>0</v>
      </c>
      <c r="M129">
        <f t="shared" si="27"/>
        <v>0</v>
      </c>
      <c r="N129" s="43">
        <f t="shared" si="28"/>
        <v>47863.451057543643</v>
      </c>
      <c r="O129">
        <f t="shared" si="29"/>
        <v>0</v>
      </c>
      <c r="P129">
        <f t="shared" si="30"/>
        <v>0</v>
      </c>
      <c r="Q129" s="43">
        <f t="shared" si="31"/>
        <v>47863.451057543643</v>
      </c>
      <c r="R129">
        <f t="shared" si="32"/>
        <v>0</v>
      </c>
      <c r="S129">
        <f t="shared" si="33"/>
        <v>0</v>
      </c>
      <c r="T129" s="43">
        <f t="shared" si="34"/>
        <v>47863.451057543643</v>
      </c>
      <c r="U129">
        <f t="shared" si="35"/>
        <v>0</v>
      </c>
      <c r="V129">
        <f t="shared" si="36"/>
        <v>0</v>
      </c>
      <c r="W129" s="43">
        <f t="shared" si="37"/>
        <v>47863.451057543643</v>
      </c>
      <c r="X129" s="43">
        <f t="shared" si="38"/>
        <v>0</v>
      </c>
      <c r="Y129" s="27">
        <f t="shared" si="39"/>
        <v>375.92845030256456</v>
      </c>
      <c r="Z129" s="27">
        <f t="shared" si="40"/>
        <v>47487.522607241081</v>
      </c>
      <c r="AA129">
        <f t="shared" si="41"/>
        <v>0</v>
      </c>
      <c r="AB129" s="27">
        <f t="shared" si="42"/>
        <v>47487.522607241081</v>
      </c>
      <c r="AD129" s="27">
        <f t="shared" si="43"/>
        <v>0</v>
      </c>
      <c r="AE129" s="27">
        <f t="shared" si="44"/>
        <v>47487.522607241081</v>
      </c>
      <c r="AF129" s="50"/>
      <c r="AG129" t="str">
        <f t="shared" si="45"/>
        <v>5304380</v>
      </c>
    </row>
    <row r="130" spans="1:33" x14ac:dyDescent="0.25">
      <c r="A130" s="7" t="s">
        <v>446</v>
      </c>
      <c r="B130" s="2" t="s">
        <v>904</v>
      </c>
      <c r="C130" s="4" t="s">
        <v>903</v>
      </c>
      <c r="D130" s="30">
        <f>_xlfn.IFNA(VLOOKUP(A130,'Prior Year data'!$A$1:$V$318,13,FALSE),0)</f>
        <v>164299.83801132365</v>
      </c>
      <c r="E130">
        <f>VLOOKUP(A130,'Basic HH'!$B$1:$Y$318,23,FALSE)</f>
        <v>56447.598506007103</v>
      </c>
      <c r="F130">
        <f>VLOOKUP(A130,'Conc. HH'!$B$1:$Y$318,23,FALSE)</f>
        <v>14873.011902391754</v>
      </c>
      <c r="G130">
        <f>VLOOKUP(A130,'Targeted HH'!$B$1:$Y$318,23,FALSE)</f>
        <v>38576.431740408283</v>
      </c>
      <c r="H130">
        <f>VLOOKUP(A130,'EFIG HH'!$B$1:$Y$318,23,FALSE)</f>
        <v>53024.001605127931</v>
      </c>
      <c r="I130">
        <f t="shared" si="23"/>
        <v>162921.04375393508</v>
      </c>
      <c r="J130">
        <f t="shared" si="24"/>
        <v>0</v>
      </c>
      <c r="K130" s="43">
        <f t="shared" si="25"/>
        <v>162921.04375393508</v>
      </c>
      <c r="L130">
        <f t="shared" si="26"/>
        <v>0</v>
      </c>
      <c r="M130">
        <f t="shared" si="27"/>
        <v>0</v>
      </c>
      <c r="N130" s="43">
        <f t="shared" si="28"/>
        <v>162921.04375393508</v>
      </c>
      <c r="O130">
        <f t="shared" si="29"/>
        <v>0</v>
      </c>
      <c r="P130">
        <f t="shared" si="30"/>
        <v>0</v>
      </c>
      <c r="Q130" s="43">
        <f t="shared" si="31"/>
        <v>162921.04375393508</v>
      </c>
      <c r="R130">
        <f t="shared" si="32"/>
        <v>0</v>
      </c>
      <c r="S130">
        <f t="shared" si="33"/>
        <v>0</v>
      </c>
      <c r="T130" s="43">
        <f t="shared" si="34"/>
        <v>162921.04375393508</v>
      </c>
      <c r="U130">
        <f t="shared" si="35"/>
        <v>0</v>
      </c>
      <c r="V130">
        <f t="shared" si="36"/>
        <v>0</v>
      </c>
      <c r="W130" s="43">
        <f t="shared" si="37"/>
        <v>162921.04375393508</v>
      </c>
      <c r="X130" s="43">
        <f t="shared" si="38"/>
        <v>0</v>
      </c>
      <c r="Y130" s="27">
        <f t="shared" si="39"/>
        <v>1279.6121914915743</v>
      </c>
      <c r="Z130" s="27">
        <f t="shared" si="40"/>
        <v>161641.4315624435</v>
      </c>
      <c r="AA130">
        <f t="shared" si="41"/>
        <v>0</v>
      </c>
      <c r="AB130" s="27">
        <f t="shared" si="42"/>
        <v>161641.4315624435</v>
      </c>
      <c r="AD130" s="27">
        <f t="shared" si="43"/>
        <v>0</v>
      </c>
      <c r="AE130" s="27">
        <f t="shared" si="44"/>
        <v>161641.4315624435</v>
      </c>
      <c r="AF130" s="50"/>
      <c r="AG130" t="str">
        <f t="shared" si="45"/>
        <v>5304410</v>
      </c>
    </row>
    <row r="131" spans="1:33" x14ac:dyDescent="0.25">
      <c r="A131" s="7" t="s">
        <v>448</v>
      </c>
      <c r="B131" s="2" t="s">
        <v>906</v>
      </c>
      <c r="C131" s="4" t="s">
        <v>905</v>
      </c>
      <c r="D131" s="30">
        <f>_xlfn.IFNA(VLOOKUP(A131,'Prior Year data'!$A$1:$V$318,13,FALSE),0)</f>
        <v>2837489.7283133357</v>
      </c>
      <c r="E131">
        <f>VLOOKUP(A131,'Basic HH'!$B$1:$Y$318,23,FALSE)</f>
        <v>1062083.3245287524</v>
      </c>
      <c r="F131">
        <f>VLOOKUP(A131,'Conc. HH'!$B$1:$Y$318,23,FALSE)</f>
        <v>285741.74567589315</v>
      </c>
      <c r="G131">
        <f>VLOOKUP(A131,'Targeted HH'!$B$1:$Y$318,23,FALSE)</f>
        <v>638171.39034305234</v>
      </c>
      <c r="H131">
        <f>VLOOKUP(A131,'EFIG HH'!$B$1:$Y$318,23,FALSE)</f>
        <v>865660.51205082284</v>
      </c>
      <c r="I131">
        <f t="shared" si="23"/>
        <v>2851656.9725985206</v>
      </c>
      <c r="J131">
        <f t="shared" si="24"/>
        <v>2851656.9725985206</v>
      </c>
      <c r="K131" s="43">
        <f t="shared" si="25"/>
        <v>2579678.6063914248</v>
      </c>
      <c r="L131">
        <f t="shared" si="26"/>
        <v>257811.1219219109</v>
      </c>
      <c r="M131">
        <f t="shared" si="27"/>
        <v>0</v>
      </c>
      <c r="N131" s="43">
        <f t="shared" si="28"/>
        <v>2837489.7283133357</v>
      </c>
      <c r="O131">
        <f t="shared" si="29"/>
        <v>0</v>
      </c>
      <c r="P131">
        <f t="shared" si="30"/>
        <v>0</v>
      </c>
      <c r="Q131" s="43">
        <f t="shared" si="31"/>
        <v>2837489.7283133357</v>
      </c>
      <c r="R131">
        <f t="shared" si="32"/>
        <v>0</v>
      </c>
      <c r="S131">
        <f t="shared" si="33"/>
        <v>0</v>
      </c>
      <c r="T131" s="43">
        <f t="shared" si="34"/>
        <v>2837489.7283133357</v>
      </c>
      <c r="U131">
        <f t="shared" si="35"/>
        <v>0</v>
      </c>
      <c r="V131">
        <f t="shared" si="36"/>
        <v>0</v>
      </c>
      <c r="W131" s="43">
        <f t="shared" si="37"/>
        <v>2837489.7283133357</v>
      </c>
      <c r="X131" s="43">
        <f t="shared" si="38"/>
        <v>14167.24428518489</v>
      </c>
      <c r="Y131" s="27">
        <f t="shared" si="39"/>
        <v>22286.172282726744</v>
      </c>
      <c r="Z131" s="27">
        <f t="shared" si="40"/>
        <v>2815203.5560306087</v>
      </c>
      <c r="AA131">
        <f t="shared" si="41"/>
        <v>0</v>
      </c>
      <c r="AB131" s="27">
        <f t="shared" si="42"/>
        <v>2815203.5560306087</v>
      </c>
      <c r="AD131" s="27">
        <f t="shared" si="43"/>
        <v>0</v>
      </c>
      <c r="AE131" s="27">
        <f t="shared" si="44"/>
        <v>2815203.5560306087</v>
      </c>
      <c r="AF131" s="50"/>
      <c r="AG131" t="str">
        <f t="shared" si="45"/>
        <v>5304470</v>
      </c>
    </row>
    <row r="132" spans="1:33" x14ac:dyDescent="0.25">
      <c r="A132" s="7" t="s">
        <v>450</v>
      </c>
      <c r="B132" s="2" t="s">
        <v>908</v>
      </c>
      <c r="C132" s="4" t="s">
        <v>907</v>
      </c>
      <c r="D132" s="30">
        <f>_xlfn.IFNA(VLOOKUP(A132,'Prior Year data'!$A$1:$V$318,13,FALSE),0)</f>
        <v>139513.25395105808</v>
      </c>
      <c r="E132">
        <f>VLOOKUP(A132,'Basic HH'!$B$1:$Y$318,23,FALSE)</f>
        <v>50054.000566892624</v>
      </c>
      <c r="F132">
        <f>VLOOKUP(A132,'Conc. HH'!$B$1:$Y$318,23,FALSE)</f>
        <v>13466.474023017059</v>
      </c>
      <c r="G132">
        <f>VLOOKUP(A132,'Targeted HH'!$B$1:$Y$318,23,FALSE)</f>
        <v>32956.477877165984</v>
      </c>
      <c r="H132">
        <f>VLOOKUP(A132,'EFIG HH'!$B$1:$Y$318,23,FALSE)</f>
        <v>44704.48212854407</v>
      </c>
      <c r="I132">
        <f t="shared" ref="I132:I195" si="46">SUM(E132:H132)</f>
        <v>141181.43459561974</v>
      </c>
      <c r="J132">
        <f t="shared" ref="J132:J195" si="47">IF(I132&lt;D132,0,I132)</f>
        <v>141181.43459561974</v>
      </c>
      <c r="K132" s="43">
        <f t="shared" ref="K132:K195" si="48">IF(J132=0,I132,I132-$K$1*J132/$J$3)</f>
        <v>127716.17692646156</v>
      </c>
      <c r="L132">
        <f t="shared" ref="L132:L195" si="49">IF($J132=0,0,IF(K132&lt;$D132,$D132-K132,0))</f>
        <v>11797.077024596525</v>
      </c>
      <c r="M132">
        <f t="shared" ref="M132:M195" si="50">IF($J132=0,0,IF(L132&gt;0,0,K132-$D132))</f>
        <v>0</v>
      </c>
      <c r="N132" s="43">
        <f t="shared" ref="N132:N195" si="51">IF(L132&gt;0,L132+K132,K132-$L$3*M132/$M$3)</f>
        <v>139513.25395105808</v>
      </c>
      <c r="O132">
        <f t="shared" ref="O132:O195" si="52">IF($J132=0,0,IF(N132&lt;$D132,$D132-N132,0))</f>
        <v>0</v>
      </c>
      <c r="P132">
        <f t="shared" ref="P132:P195" si="53">IF($J132=0,0,IF(O132&gt;0,0,N132-$D132))</f>
        <v>0</v>
      </c>
      <c r="Q132" s="43">
        <f t="shared" ref="Q132:Q195" si="54">IF(O132&gt;0,O132+N132,N132-$O$3*P132/$P$3)</f>
        <v>139513.25395105808</v>
      </c>
      <c r="R132">
        <f t="shared" ref="R132:R195" si="55">IF($J132=0,0,IF(Q132&lt;$D132,$D132-Q132,0))</f>
        <v>0</v>
      </c>
      <c r="S132">
        <f t="shared" ref="S132:S195" si="56">IF($J132=0,0,IF(R132&gt;0,0,Q132-$D132))</f>
        <v>0</v>
      </c>
      <c r="T132" s="43">
        <f t="shared" ref="T132:T195" si="57">IF(R132&gt;0,R132+Q132,Q132-$R$3*S132/$S$3)</f>
        <v>139513.25395105808</v>
      </c>
      <c r="U132">
        <f t="shared" ref="U132:U195" si="58">IF($J132=0,0,IF(T132&lt;$D132,$D132-T132,0))</f>
        <v>0</v>
      </c>
      <c r="V132">
        <f t="shared" ref="V132:V195" si="59">IF($J132=0,0,IF(U132&gt;0,0,T132-$D132))</f>
        <v>0</v>
      </c>
      <c r="W132" s="43">
        <f t="shared" ref="W132:W195" si="60">IF(U132&gt;0,U132+T132,T132-$U$3*V132/$V$3)</f>
        <v>139513.25395105808</v>
      </c>
      <c r="X132" s="43">
        <f t="shared" ref="X132:X195" si="61">I132-W132</f>
        <v>1668.180644561653</v>
      </c>
      <c r="Y132" s="27">
        <f t="shared" ref="Y132:Y195" si="62">W132/$W$3*$Y$1</f>
        <v>1095.7630550173913</v>
      </c>
      <c r="Z132" s="27">
        <f t="shared" ref="Z132:Z195" si="63">W132-Y132</f>
        <v>138417.49089604069</v>
      </c>
      <c r="AA132">
        <f t="shared" ref="AA132:AA195" si="64">Z132/$Z$3*$AA$1</f>
        <v>0</v>
      </c>
      <c r="AB132" s="27">
        <f t="shared" ref="AB132:AB195" si="65">Z132-AA132</f>
        <v>138417.49089604069</v>
      </c>
      <c r="AD132" s="27">
        <f t="shared" ref="AD132:AD195" si="66">IF(AC132&gt;0,AC132*AB132,0)</f>
        <v>0</v>
      </c>
      <c r="AE132" s="27">
        <f t="shared" ref="AE132:AE195" si="67">AB132-AD132</f>
        <v>138417.49089604069</v>
      </c>
      <c r="AF132" s="50"/>
      <c r="AG132" t="str">
        <f t="shared" ref="AG132:AG195" si="68">A132</f>
        <v>5304500</v>
      </c>
    </row>
    <row r="133" spans="1:33" x14ac:dyDescent="0.25">
      <c r="A133" s="7" t="s">
        <v>452</v>
      </c>
      <c r="B133" s="2" t="s">
        <v>910</v>
      </c>
      <c r="C133" s="4" t="s">
        <v>909</v>
      </c>
      <c r="D133" s="30">
        <f>_xlfn.IFNA(VLOOKUP(A133,'Prior Year data'!$A$1:$V$318,13,FALSE),0)</f>
        <v>104164.87057093962</v>
      </c>
      <c r="E133">
        <f>VLOOKUP(A133,'Basic HH'!$B$1:$Y$318,23,FALSE)</f>
        <v>36193.561173803428</v>
      </c>
      <c r="F133">
        <f>VLOOKUP(A133,'Conc. HH'!$B$1:$Y$318,23,FALSE)</f>
        <v>9737.4764419906369</v>
      </c>
      <c r="G133">
        <f>VLOOKUP(A133,'Targeted HH'!$B$1:$Y$318,23,FALSE)</f>
        <v>18896.429465478926</v>
      </c>
      <c r="H133">
        <f>VLOOKUP(A133,'EFIG HH'!$B$1:$Y$318,23,FALSE)</f>
        <v>25632.444598034181</v>
      </c>
      <c r="I133">
        <f t="shared" si="46"/>
        <v>90459.911679307173</v>
      </c>
      <c r="J133">
        <f t="shared" si="47"/>
        <v>0</v>
      </c>
      <c r="K133" s="43">
        <f t="shared" si="48"/>
        <v>90459.911679307173</v>
      </c>
      <c r="L133">
        <f t="shared" si="49"/>
        <v>0</v>
      </c>
      <c r="M133">
        <f t="shared" si="50"/>
        <v>0</v>
      </c>
      <c r="N133" s="43">
        <f t="shared" si="51"/>
        <v>90459.911679307173</v>
      </c>
      <c r="O133">
        <f t="shared" si="52"/>
        <v>0</v>
      </c>
      <c r="P133">
        <f t="shared" si="53"/>
        <v>0</v>
      </c>
      <c r="Q133" s="43">
        <f t="shared" si="54"/>
        <v>90459.911679307173</v>
      </c>
      <c r="R133">
        <f t="shared" si="55"/>
        <v>0</v>
      </c>
      <c r="S133">
        <f t="shared" si="56"/>
        <v>0</v>
      </c>
      <c r="T133" s="43">
        <f t="shared" si="57"/>
        <v>90459.911679307173</v>
      </c>
      <c r="U133">
        <f t="shared" si="58"/>
        <v>0</v>
      </c>
      <c r="V133">
        <f t="shared" si="59"/>
        <v>0</v>
      </c>
      <c r="W133" s="43">
        <f t="shared" si="60"/>
        <v>90459.911679307173</v>
      </c>
      <c r="X133" s="43">
        <f t="shared" si="61"/>
        <v>0</v>
      </c>
      <c r="Y133" s="27">
        <f t="shared" si="62"/>
        <v>710.48897772174189</v>
      </c>
      <c r="Z133" s="27">
        <f t="shared" si="63"/>
        <v>89749.422701585427</v>
      </c>
      <c r="AA133">
        <f t="shared" si="64"/>
        <v>0</v>
      </c>
      <c r="AB133" s="27">
        <f t="shared" si="65"/>
        <v>89749.422701585427</v>
      </c>
      <c r="AD133" s="27">
        <f t="shared" si="66"/>
        <v>0</v>
      </c>
      <c r="AE133" s="27">
        <f t="shared" si="67"/>
        <v>89749.422701585427</v>
      </c>
      <c r="AF133" s="50"/>
      <c r="AG133" t="str">
        <f t="shared" si="68"/>
        <v>5304530</v>
      </c>
    </row>
    <row r="134" spans="1:33" x14ac:dyDescent="0.25">
      <c r="A134" s="7" t="s">
        <v>76</v>
      </c>
      <c r="B134" s="2" t="s">
        <v>911</v>
      </c>
      <c r="C134" s="4" t="s">
        <v>29</v>
      </c>
      <c r="D134" s="30">
        <f>_xlfn.IFNA(VLOOKUP(A134,'Prior Year data'!$A$1:$V$318,13,FALSE),0)</f>
        <v>1859.3547160139533</v>
      </c>
      <c r="E134">
        <f>VLOOKUP(A134,'Basic HH'!$B$1:$Y$318,23,FALSE)</f>
        <v>0</v>
      </c>
      <c r="F134">
        <f>VLOOKUP(A134,'Conc. HH'!$B$1:$Y$318,23,FALSE)</f>
        <v>1686.3327836333028</v>
      </c>
      <c r="G134">
        <f>VLOOKUP(A134,'Targeted HH'!$B$1:$Y$318,23,FALSE)</f>
        <v>0</v>
      </c>
      <c r="H134">
        <f>VLOOKUP(A134,'EFIG HH'!$B$1:$Y$318,23,FALSE)</f>
        <v>0</v>
      </c>
      <c r="I134">
        <f t="shared" si="46"/>
        <v>1686.3327836333028</v>
      </c>
      <c r="J134">
        <f t="shared" si="47"/>
        <v>0</v>
      </c>
      <c r="K134" s="43">
        <f t="shared" si="48"/>
        <v>1686.3327836333028</v>
      </c>
      <c r="L134">
        <f t="shared" si="49"/>
        <v>0</v>
      </c>
      <c r="M134">
        <f t="shared" si="50"/>
        <v>0</v>
      </c>
      <c r="N134" s="43">
        <f t="shared" si="51"/>
        <v>1686.3327836333028</v>
      </c>
      <c r="O134">
        <f t="shared" si="52"/>
        <v>0</v>
      </c>
      <c r="P134">
        <f t="shared" si="53"/>
        <v>0</v>
      </c>
      <c r="Q134" s="43">
        <f t="shared" si="54"/>
        <v>1686.3327836333028</v>
      </c>
      <c r="R134">
        <f t="shared" si="55"/>
        <v>0</v>
      </c>
      <c r="S134">
        <f t="shared" si="56"/>
        <v>0</v>
      </c>
      <c r="T134" s="43">
        <f t="shared" si="57"/>
        <v>1686.3327836333028</v>
      </c>
      <c r="U134">
        <f t="shared" si="58"/>
        <v>0</v>
      </c>
      <c r="V134">
        <f t="shared" si="59"/>
        <v>0</v>
      </c>
      <c r="W134" s="43">
        <f t="shared" si="60"/>
        <v>1686.3327836333028</v>
      </c>
      <c r="X134" s="43">
        <f t="shared" si="61"/>
        <v>0</v>
      </c>
      <c r="Y134" s="27">
        <f t="shared" si="62"/>
        <v>13.24477144958739</v>
      </c>
      <c r="Z134" s="27">
        <f t="shared" si="63"/>
        <v>1673.0880121837154</v>
      </c>
      <c r="AA134">
        <f t="shared" si="64"/>
        <v>0</v>
      </c>
      <c r="AB134" s="27">
        <f t="shared" si="65"/>
        <v>1673.0880121837154</v>
      </c>
      <c r="AD134" s="27">
        <f t="shared" si="66"/>
        <v>0</v>
      </c>
      <c r="AE134" s="27">
        <f t="shared" si="67"/>
        <v>1673.0880121837154</v>
      </c>
      <c r="AF134" s="50"/>
      <c r="AG134" t="str">
        <f t="shared" si="68"/>
        <v>5304550</v>
      </c>
    </row>
    <row r="135" spans="1:33" x14ac:dyDescent="0.25">
      <c r="A135" s="7" t="s">
        <v>454</v>
      </c>
      <c r="B135" s="2" t="s">
        <v>913</v>
      </c>
      <c r="C135" s="4" t="s">
        <v>912</v>
      </c>
      <c r="D135" s="30">
        <f>_xlfn.IFNA(VLOOKUP(A135,'Prior Year data'!$A$1:$V$318,13,FALSE),0)</f>
        <v>187445.0175131693</v>
      </c>
      <c r="E135">
        <f>VLOOKUP(A135,'Basic HH'!$B$1:$Y$318,23,FALSE)</f>
        <v>70388.43829719277</v>
      </c>
      <c r="F135">
        <f>VLOOKUP(A135,'Conc. HH'!$B$1:$Y$318,23,FALSE)</f>
        <v>18937.229094867755</v>
      </c>
      <c r="G135">
        <f>VLOOKUP(A135,'Targeted HH'!$B$1:$Y$318,23,FALSE)</f>
        <v>40994.145615777714</v>
      </c>
      <c r="H135">
        <f>VLOOKUP(A135,'EFIG HH'!$B$1:$Y$318,23,FALSE)</f>
        <v>55607.33937910293</v>
      </c>
      <c r="I135">
        <f t="shared" si="46"/>
        <v>185927.15238694116</v>
      </c>
      <c r="J135">
        <f t="shared" si="47"/>
        <v>0</v>
      </c>
      <c r="K135" s="43">
        <f t="shared" si="48"/>
        <v>185927.15238694116</v>
      </c>
      <c r="L135">
        <f t="shared" si="49"/>
        <v>0</v>
      </c>
      <c r="M135">
        <f t="shared" si="50"/>
        <v>0</v>
      </c>
      <c r="N135" s="43">
        <f t="shared" si="51"/>
        <v>185927.15238694116</v>
      </c>
      <c r="O135">
        <f t="shared" si="52"/>
        <v>0</v>
      </c>
      <c r="P135">
        <f t="shared" si="53"/>
        <v>0</v>
      </c>
      <c r="Q135" s="43">
        <f t="shared" si="54"/>
        <v>185927.15238694116</v>
      </c>
      <c r="R135">
        <f t="shared" si="55"/>
        <v>0</v>
      </c>
      <c r="S135">
        <f t="shared" si="56"/>
        <v>0</v>
      </c>
      <c r="T135" s="43">
        <f t="shared" si="57"/>
        <v>185927.15238694116</v>
      </c>
      <c r="U135">
        <f t="shared" si="58"/>
        <v>0</v>
      </c>
      <c r="V135">
        <f t="shared" si="59"/>
        <v>0</v>
      </c>
      <c r="W135" s="43">
        <f t="shared" si="60"/>
        <v>185927.15238694116</v>
      </c>
      <c r="X135" s="43">
        <f t="shared" si="61"/>
        <v>0</v>
      </c>
      <c r="Y135" s="27">
        <f t="shared" si="62"/>
        <v>1460.306449318922</v>
      </c>
      <c r="Z135" s="27">
        <f t="shared" si="63"/>
        <v>184466.84593762225</v>
      </c>
      <c r="AA135">
        <f t="shared" si="64"/>
        <v>0</v>
      </c>
      <c r="AB135" s="27">
        <f t="shared" si="65"/>
        <v>184466.84593762225</v>
      </c>
      <c r="AD135" s="27">
        <f t="shared" si="66"/>
        <v>0</v>
      </c>
      <c r="AE135" s="27">
        <f t="shared" si="67"/>
        <v>184466.84593762225</v>
      </c>
      <c r="AF135" s="50"/>
      <c r="AG135" t="str">
        <f t="shared" si="68"/>
        <v>5304590</v>
      </c>
    </row>
    <row r="136" spans="1:33" x14ac:dyDescent="0.25">
      <c r="A136" s="7" t="s">
        <v>160</v>
      </c>
      <c r="B136" s="2" t="s">
        <v>915</v>
      </c>
      <c r="C136" s="4" t="s">
        <v>914</v>
      </c>
      <c r="D136" s="30">
        <f>_xlfn.IFNA(VLOOKUP(A136,'Prior Year data'!$A$1:$V$318,13,FALSE),0)</f>
        <v>612434.13850288768</v>
      </c>
      <c r="E136">
        <f>VLOOKUP(A136,'Basic HH'!$B$1:$Y$318,23,FALSE)</f>
        <v>257048.14874456308</v>
      </c>
      <c r="F136">
        <f>VLOOKUP(A136,'Conc. HH'!$B$1:$Y$318,23,FALSE)</f>
        <v>0</v>
      </c>
      <c r="G136">
        <f>VLOOKUP(A136,'Targeted HH'!$B$1:$Y$318,23,FALSE)</f>
        <v>123999.80113868363</v>
      </c>
      <c r="H136">
        <f>VLOOKUP(A136,'EFIG HH'!$B$1:$Y$318,23,FALSE)</f>
        <v>168202.04254253837</v>
      </c>
      <c r="I136">
        <f t="shared" si="46"/>
        <v>549249.99242578505</v>
      </c>
      <c r="J136">
        <f t="shared" si="47"/>
        <v>0</v>
      </c>
      <c r="K136" s="43">
        <f t="shared" si="48"/>
        <v>549249.99242578505</v>
      </c>
      <c r="L136">
        <f t="shared" si="49"/>
        <v>0</v>
      </c>
      <c r="M136">
        <f t="shared" si="50"/>
        <v>0</v>
      </c>
      <c r="N136" s="43">
        <f t="shared" si="51"/>
        <v>549249.99242578505</v>
      </c>
      <c r="O136">
        <f t="shared" si="52"/>
        <v>0</v>
      </c>
      <c r="P136">
        <f t="shared" si="53"/>
        <v>0</v>
      </c>
      <c r="Q136" s="43">
        <f t="shared" si="54"/>
        <v>549249.99242578505</v>
      </c>
      <c r="R136">
        <f t="shared" si="55"/>
        <v>0</v>
      </c>
      <c r="S136">
        <f t="shared" si="56"/>
        <v>0</v>
      </c>
      <c r="T136" s="43">
        <f t="shared" si="57"/>
        <v>549249.99242578505</v>
      </c>
      <c r="U136">
        <f t="shared" si="58"/>
        <v>0</v>
      </c>
      <c r="V136">
        <f t="shared" si="59"/>
        <v>0</v>
      </c>
      <c r="W136" s="43">
        <f t="shared" si="60"/>
        <v>549249.99242578505</v>
      </c>
      <c r="X136" s="43">
        <f t="shared" si="61"/>
        <v>0</v>
      </c>
      <c r="Y136" s="27">
        <f t="shared" si="62"/>
        <v>4313.9116365237123</v>
      </c>
      <c r="Z136" s="27">
        <f t="shared" si="63"/>
        <v>544936.08078926138</v>
      </c>
      <c r="AA136">
        <f t="shared" si="64"/>
        <v>0</v>
      </c>
      <c r="AB136" s="27">
        <f t="shared" si="65"/>
        <v>544936.08078926138</v>
      </c>
      <c r="AD136" s="27">
        <f t="shared" si="66"/>
        <v>0</v>
      </c>
      <c r="AE136" s="27">
        <f t="shared" si="67"/>
        <v>544936.08078926138</v>
      </c>
      <c r="AF136" s="50"/>
      <c r="AG136" t="str">
        <f t="shared" si="68"/>
        <v>5304620</v>
      </c>
    </row>
    <row r="137" spans="1:33" x14ac:dyDescent="0.25">
      <c r="A137" s="7" t="s">
        <v>456</v>
      </c>
      <c r="B137" s="2" t="s">
        <v>917</v>
      </c>
      <c r="C137" s="4" t="s">
        <v>916</v>
      </c>
      <c r="D137" s="30">
        <f>_xlfn.IFNA(VLOOKUP(A137,'Prior Year data'!$A$1:$V$318,13,FALSE),0)</f>
        <v>393436.86809156358</v>
      </c>
      <c r="E137">
        <f>VLOOKUP(A137,'Basic HH'!$B$1:$Y$318,23,FALSE)</f>
        <v>125710.11820919406</v>
      </c>
      <c r="F137">
        <f>VLOOKUP(A137,'Conc. HH'!$B$1:$Y$318,23,FALSE)</f>
        <v>33122.544339551489</v>
      </c>
      <c r="G137">
        <f>VLOOKUP(A137,'Targeted HH'!$B$1:$Y$318,23,FALSE)</f>
        <v>81808.996925763189</v>
      </c>
      <c r="H137">
        <f>VLOOKUP(A137,'EFIG HH'!$B$1:$Y$318,23,FALSE)</f>
        <v>112447.94265825646</v>
      </c>
      <c r="I137">
        <f t="shared" si="46"/>
        <v>353089.60213276517</v>
      </c>
      <c r="J137">
        <f t="shared" si="47"/>
        <v>0</v>
      </c>
      <c r="K137" s="43">
        <f t="shared" si="48"/>
        <v>353089.60213276517</v>
      </c>
      <c r="L137">
        <f t="shared" si="49"/>
        <v>0</v>
      </c>
      <c r="M137">
        <f t="shared" si="50"/>
        <v>0</v>
      </c>
      <c r="N137" s="43">
        <f t="shared" si="51"/>
        <v>353089.60213276517</v>
      </c>
      <c r="O137">
        <f t="shared" si="52"/>
        <v>0</v>
      </c>
      <c r="P137">
        <f t="shared" si="53"/>
        <v>0</v>
      </c>
      <c r="Q137" s="43">
        <f t="shared" si="54"/>
        <v>353089.60213276517</v>
      </c>
      <c r="R137">
        <f t="shared" si="55"/>
        <v>0</v>
      </c>
      <c r="S137">
        <f t="shared" si="56"/>
        <v>0</v>
      </c>
      <c r="T137" s="43">
        <f t="shared" si="57"/>
        <v>353089.60213276517</v>
      </c>
      <c r="U137">
        <f t="shared" si="58"/>
        <v>0</v>
      </c>
      <c r="V137">
        <f t="shared" si="59"/>
        <v>0</v>
      </c>
      <c r="W137" s="43">
        <f t="shared" si="60"/>
        <v>353089.60213276517</v>
      </c>
      <c r="X137" s="43">
        <f t="shared" si="61"/>
        <v>0</v>
      </c>
      <c r="Y137" s="27">
        <f t="shared" si="62"/>
        <v>2773.2314326465444</v>
      </c>
      <c r="Z137" s="27">
        <f t="shared" si="63"/>
        <v>350316.3707001186</v>
      </c>
      <c r="AA137">
        <f t="shared" si="64"/>
        <v>0</v>
      </c>
      <c r="AB137" s="27">
        <f t="shared" si="65"/>
        <v>350316.3707001186</v>
      </c>
      <c r="AD137" s="27">
        <f t="shared" si="66"/>
        <v>0</v>
      </c>
      <c r="AE137" s="27">
        <f t="shared" si="67"/>
        <v>350316.3707001186</v>
      </c>
      <c r="AF137" s="50"/>
      <c r="AG137" t="str">
        <f t="shared" si="68"/>
        <v>5304650</v>
      </c>
    </row>
    <row r="138" spans="1:33" x14ac:dyDescent="0.25">
      <c r="A138" s="7" t="s">
        <v>458</v>
      </c>
      <c r="B138" s="2" t="s">
        <v>919</v>
      </c>
      <c r="C138" s="4" t="s">
        <v>918</v>
      </c>
      <c r="D138" s="30">
        <f>_xlfn.IFNA(VLOOKUP(A138,'Prior Year data'!$A$1:$V$318,13,FALSE),0)</f>
        <v>51372.18175992302</v>
      </c>
      <c r="E138">
        <f>VLOOKUP(A138,'Basic HH'!$B$1:$Y$318,23,FALSE)</f>
        <v>0</v>
      </c>
      <c r="F138">
        <f>VLOOKUP(A138,'Conc. HH'!$B$1:$Y$318,23,FALSE)</f>
        <v>3714.9769500773168</v>
      </c>
      <c r="G138">
        <f>VLOOKUP(A138,'Targeted HH'!$B$1:$Y$318,23,FALSE)</f>
        <v>0</v>
      </c>
      <c r="H138">
        <f>VLOOKUP(A138,'EFIG HH'!$B$1:$Y$318,23,FALSE)</f>
        <v>0</v>
      </c>
      <c r="I138">
        <f t="shared" si="46"/>
        <v>3714.9769500773168</v>
      </c>
      <c r="J138">
        <f t="shared" si="47"/>
        <v>0</v>
      </c>
      <c r="K138" s="43">
        <f t="shared" si="48"/>
        <v>3714.9769500773168</v>
      </c>
      <c r="L138">
        <f t="shared" si="49"/>
        <v>0</v>
      </c>
      <c r="M138">
        <f t="shared" si="50"/>
        <v>0</v>
      </c>
      <c r="N138" s="43">
        <f t="shared" si="51"/>
        <v>3714.9769500773168</v>
      </c>
      <c r="O138">
        <f t="shared" si="52"/>
        <v>0</v>
      </c>
      <c r="P138">
        <f t="shared" si="53"/>
        <v>0</v>
      </c>
      <c r="Q138" s="43">
        <f t="shared" si="54"/>
        <v>3714.9769500773168</v>
      </c>
      <c r="R138">
        <f t="shared" si="55"/>
        <v>0</v>
      </c>
      <c r="S138">
        <f t="shared" si="56"/>
        <v>0</v>
      </c>
      <c r="T138" s="43">
        <f t="shared" si="57"/>
        <v>3714.9769500773168</v>
      </c>
      <c r="U138">
        <f t="shared" si="58"/>
        <v>0</v>
      </c>
      <c r="V138">
        <f t="shared" si="59"/>
        <v>0</v>
      </c>
      <c r="W138" s="43">
        <f t="shared" si="60"/>
        <v>3714.9769500773168</v>
      </c>
      <c r="X138" s="43">
        <f t="shared" si="61"/>
        <v>0</v>
      </c>
      <c r="Y138" s="27">
        <f t="shared" si="62"/>
        <v>29.178120191820231</v>
      </c>
      <c r="Z138" s="27">
        <f t="shared" si="63"/>
        <v>3685.7988298854966</v>
      </c>
      <c r="AA138">
        <f t="shared" si="64"/>
        <v>0</v>
      </c>
      <c r="AB138" s="27">
        <f t="shared" si="65"/>
        <v>3685.7988298854966</v>
      </c>
      <c r="AD138" s="27">
        <f t="shared" si="66"/>
        <v>0</v>
      </c>
      <c r="AE138" s="27">
        <f t="shared" si="67"/>
        <v>3685.7988298854966</v>
      </c>
      <c r="AF138" s="50"/>
      <c r="AG138" t="str">
        <f t="shared" si="68"/>
        <v>5304710</v>
      </c>
    </row>
    <row r="139" spans="1:33" x14ac:dyDescent="0.25">
      <c r="A139" s="7" t="s">
        <v>283</v>
      </c>
      <c r="B139" s="2" t="s">
        <v>921</v>
      </c>
      <c r="C139" s="4" t="s">
        <v>920</v>
      </c>
      <c r="D139" s="30">
        <f>_xlfn.IFNA(VLOOKUP(A139,'Prior Year data'!$A$1:$V$318,13,FALSE),0)</f>
        <v>224337.96032810328</v>
      </c>
      <c r="E139">
        <f>VLOOKUP(A139,'Basic HH'!$B$1:$Y$318,23,FALSE)</f>
        <v>78980.178979598408</v>
      </c>
      <c r="F139">
        <f>VLOOKUP(A139,'Conc. HH'!$B$1:$Y$318,23,FALSE)</f>
        <v>20809.975501288893</v>
      </c>
      <c r="G139">
        <f>VLOOKUP(A139,'Targeted HH'!$B$1:$Y$318,23,FALSE)</f>
        <v>43712.343058198399</v>
      </c>
      <c r="H139">
        <f>VLOOKUP(A139,'EFIG HH'!$B$1:$Y$318,23,FALSE)</f>
        <v>60083.404397767248</v>
      </c>
      <c r="I139">
        <f t="shared" si="46"/>
        <v>203585.90193685293</v>
      </c>
      <c r="J139">
        <f t="shared" si="47"/>
        <v>0</v>
      </c>
      <c r="K139" s="43">
        <f t="shared" si="48"/>
        <v>203585.90193685293</v>
      </c>
      <c r="L139">
        <f t="shared" si="49"/>
        <v>0</v>
      </c>
      <c r="M139">
        <f t="shared" si="50"/>
        <v>0</v>
      </c>
      <c r="N139" s="43">
        <f t="shared" si="51"/>
        <v>203585.90193685293</v>
      </c>
      <c r="O139">
        <f t="shared" si="52"/>
        <v>0</v>
      </c>
      <c r="P139">
        <f t="shared" si="53"/>
        <v>0</v>
      </c>
      <c r="Q139" s="43">
        <f t="shared" si="54"/>
        <v>203585.90193685293</v>
      </c>
      <c r="R139">
        <f t="shared" si="55"/>
        <v>0</v>
      </c>
      <c r="S139">
        <f t="shared" si="56"/>
        <v>0</v>
      </c>
      <c r="T139" s="43">
        <f t="shared" si="57"/>
        <v>203585.90193685293</v>
      </c>
      <c r="U139">
        <f t="shared" si="58"/>
        <v>0</v>
      </c>
      <c r="V139">
        <f t="shared" si="59"/>
        <v>0</v>
      </c>
      <c r="W139" s="43">
        <f t="shared" si="60"/>
        <v>203585.90193685293</v>
      </c>
      <c r="X139" s="43">
        <f t="shared" si="61"/>
        <v>0</v>
      </c>
      <c r="Y139" s="27">
        <f t="shared" si="62"/>
        <v>1599.0015539531119</v>
      </c>
      <c r="Z139" s="27">
        <f t="shared" si="63"/>
        <v>201986.90038289982</v>
      </c>
      <c r="AA139">
        <f t="shared" si="64"/>
        <v>0</v>
      </c>
      <c r="AB139" s="27">
        <f t="shared" si="65"/>
        <v>201986.90038289982</v>
      </c>
      <c r="AD139" s="27">
        <f t="shared" si="66"/>
        <v>0</v>
      </c>
      <c r="AE139" s="27">
        <f t="shared" si="67"/>
        <v>201986.90038289982</v>
      </c>
      <c r="AF139" s="50"/>
      <c r="AG139" t="str">
        <f t="shared" si="68"/>
        <v>5304740</v>
      </c>
    </row>
    <row r="140" spans="1:33" x14ac:dyDescent="0.25">
      <c r="A140" s="7" t="s">
        <v>460</v>
      </c>
      <c r="B140" s="2" t="s">
        <v>923</v>
      </c>
      <c r="C140" s="4" t="s">
        <v>922</v>
      </c>
      <c r="D140" s="30">
        <f>_xlfn.IFNA(VLOOKUP(A140,'Prior Year data'!$A$1:$V$318,13,FALSE),0)</f>
        <v>87792.652111487871</v>
      </c>
      <c r="E140">
        <f>VLOOKUP(A140,'Basic HH'!$B$1:$Y$318,23,FALSE)</f>
        <v>29889.010683390963</v>
      </c>
      <c r="F140">
        <f>VLOOKUP(A140,'Conc. HH'!$B$1:$Y$318,23,FALSE)</f>
        <v>7591.2140173858452</v>
      </c>
      <c r="G140">
        <f>VLOOKUP(A140,'Targeted HH'!$B$1:$Y$318,23,FALSE)</f>
        <v>16274.547099134314</v>
      </c>
      <c r="H140">
        <f>VLOOKUP(A140,'EFIG HH'!$B$1:$Y$318,23,FALSE)</f>
        <v>21444.8434341264</v>
      </c>
      <c r="I140">
        <f t="shared" si="46"/>
        <v>75199.615234037512</v>
      </c>
      <c r="J140">
        <f t="shared" si="47"/>
        <v>0</v>
      </c>
      <c r="K140" s="43">
        <f t="shared" si="48"/>
        <v>75199.615234037512</v>
      </c>
      <c r="L140">
        <f t="shared" si="49"/>
        <v>0</v>
      </c>
      <c r="M140">
        <f t="shared" si="50"/>
        <v>0</v>
      </c>
      <c r="N140" s="43">
        <f t="shared" si="51"/>
        <v>75199.615234037512</v>
      </c>
      <c r="O140">
        <f t="shared" si="52"/>
        <v>0</v>
      </c>
      <c r="P140">
        <f t="shared" si="53"/>
        <v>0</v>
      </c>
      <c r="Q140" s="43">
        <f t="shared" si="54"/>
        <v>75199.615234037512</v>
      </c>
      <c r="R140">
        <f t="shared" si="55"/>
        <v>0</v>
      </c>
      <c r="S140">
        <f t="shared" si="56"/>
        <v>0</v>
      </c>
      <c r="T140" s="43">
        <f t="shared" si="57"/>
        <v>75199.615234037512</v>
      </c>
      <c r="U140">
        <f t="shared" si="58"/>
        <v>0</v>
      </c>
      <c r="V140">
        <f t="shared" si="59"/>
        <v>0</v>
      </c>
      <c r="W140" s="43">
        <f t="shared" si="60"/>
        <v>75199.615234037512</v>
      </c>
      <c r="X140" s="43">
        <f t="shared" si="61"/>
        <v>0</v>
      </c>
      <c r="Y140" s="27">
        <f t="shared" si="62"/>
        <v>590.63177003876592</v>
      </c>
      <c r="Z140" s="27">
        <f t="shared" si="63"/>
        <v>74608.983463998753</v>
      </c>
      <c r="AA140">
        <f t="shared" si="64"/>
        <v>0</v>
      </c>
      <c r="AB140" s="27">
        <f t="shared" si="65"/>
        <v>74608.983463998753</v>
      </c>
      <c r="AD140" s="27">
        <f t="shared" si="66"/>
        <v>0</v>
      </c>
      <c r="AE140" s="27">
        <f t="shared" si="67"/>
        <v>74608.983463998753</v>
      </c>
      <c r="AF140" s="50"/>
      <c r="AG140" t="str">
        <f t="shared" si="68"/>
        <v>5304800</v>
      </c>
    </row>
    <row r="141" spans="1:33" x14ac:dyDescent="0.25">
      <c r="A141" s="7" t="s">
        <v>462</v>
      </c>
      <c r="B141" s="2" t="s">
        <v>925</v>
      </c>
      <c r="C141" s="4" t="s">
        <v>924</v>
      </c>
      <c r="D141" s="30">
        <f>_xlfn.IFNA(VLOOKUP(A141,'Prior Year data'!$A$1:$V$318,13,FALSE),0)</f>
        <v>302414.31699507608</v>
      </c>
      <c r="E141">
        <f>VLOOKUP(A141,'Basic HH'!$B$1:$Y$318,23,FALSE)</f>
        <v>128401.46529736453</v>
      </c>
      <c r="F141">
        <f>VLOOKUP(A141,'Conc. HH'!$B$1:$Y$318,23,FALSE)</f>
        <v>34613.680658370235</v>
      </c>
      <c r="G141">
        <f>VLOOKUP(A141,'Targeted HH'!$B$1:$Y$318,23,FALSE)</f>
        <v>78416.904387231378</v>
      </c>
      <c r="H141">
        <f>VLOOKUP(A141,'EFIG HH'!$B$1:$Y$318,23,FALSE)</f>
        <v>104057.25395693834</v>
      </c>
      <c r="I141">
        <f t="shared" si="46"/>
        <v>345489.3042999045</v>
      </c>
      <c r="J141">
        <f t="shared" si="47"/>
        <v>345489.3042999045</v>
      </c>
      <c r="K141" s="43">
        <f t="shared" si="48"/>
        <v>312538.07018288877</v>
      </c>
      <c r="L141">
        <f t="shared" si="49"/>
        <v>0</v>
      </c>
      <c r="M141">
        <f t="shared" si="50"/>
        <v>10123.75318781269</v>
      </c>
      <c r="N141" s="43">
        <f t="shared" si="51"/>
        <v>308887.614358027</v>
      </c>
      <c r="O141">
        <f t="shared" si="52"/>
        <v>0</v>
      </c>
      <c r="P141">
        <f t="shared" si="53"/>
        <v>6473.2973629509215</v>
      </c>
      <c r="Q141" s="43">
        <f t="shared" si="54"/>
        <v>308887.614358027</v>
      </c>
      <c r="R141">
        <f t="shared" si="55"/>
        <v>0</v>
      </c>
      <c r="S141">
        <f t="shared" si="56"/>
        <v>6473.2973629509215</v>
      </c>
      <c r="T141" s="43">
        <f t="shared" si="57"/>
        <v>308887.614358027</v>
      </c>
      <c r="U141">
        <f t="shared" si="58"/>
        <v>0</v>
      </c>
      <c r="V141">
        <f t="shared" si="59"/>
        <v>6473.2973629509215</v>
      </c>
      <c r="W141" s="43">
        <f t="shared" si="60"/>
        <v>308887.614358027</v>
      </c>
      <c r="X141" s="43">
        <f t="shared" si="61"/>
        <v>36601.689941877499</v>
      </c>
      <c r="Y141" s="27">
        <f t="shared" si="62"/>
        <v>2426.0607962360446</v>
      </c>
      <c r="Z141" s="27">
        <f t="shared" si="63"/>
        <v>306461.55356179096</v>
      </c>
      <c r="AA141">
        <f t="shared" si="64"/>
        <v>0</v>
      </c>
      <c r="AB141" s="27">
        <f t="shared" si="65"/>
        <v>306461.55356179096</v>
      </c>
      <c r="AD141" s="27">
        <f t="shared" si="66"/>
        <v>0</v>
      </c>
      <c r="AE141" s="27">
        <f t="shared" si="67"/>
        <v>306461.55356179096</v>
      </c>
      <c r="AF141" s="50"/>
      <c r="AG141" t="str">
        <f t="shared" si="68"/>
        <v>5304830</v>
      </c>
    </row>
    <row r="142" spans="1:33" x14ac:dyDescent="0.25">
      <c r="A142" s="7" t="s">
        <v>162</v>
      </c>
      <c r="B142" s="2" t="s">
        <v>927</v>
      </c>
      <c r="C142" s="4" t="s">
        <v>926</v>
      </c>
      <c r="D142" s="30">
        <f>_xlfn.IFNA(VLOOKUP(A142,'Prior Year data'!$A$1:$V$318,13,FALSE),0)</f>
        <v>2738913.1186065446</v>
      </c>
      <c r="E142">
        <f>VLOOKUP(A142,'Basic HH'!$B$1:$Y$318,23,FALSE)</f>
        <v>1236523.7000554425</v>
      </c>
      <c r="F142">
        <f>VLOOKUP(A142,'Conc. HH'!$B$1:$Y$318,23,FALSE)</f>
        <v>0</v>
      </c>
      <c r="G142">
        <f>VLOOKUP(A142,'Targeted HH'!$B$1:$Y$318,23,FALSE)</f>
        <v>750055.34848143568</v>
      </c>
      <c r="H142">
        <f>VLOOKUP(A142,'EFIG HH'!$B$1:$Y$318,23,FALSE)</f>
        <v>995304.52634650655</v>
      </c>
      <c r="I142">
        <f t="shared" si="46"/>
        <v>2981883.5748833846</v>
      </c>
      <c r="J142">
        <f t="shared" si="47"/>
        <v>2981883.5748833846</v>
      </c>
      <c r="K142" s="43">
        <f t="shared" si="48"/>
        <v>2697484.7742178398</v>
      </c>
      <c r="L142">
        <f t="shared" si="49"/>
        <v>41428.344388704747</v>
      </c>
      <c r="M142">
        <f t="shared" si="50"/>
        <v>0</v>
      </c>
      <c r="N142" s="43">
        <f t="shared" si="51"/>
        <v>2738913.1186065446</v>
      </c>
      <c r="O142">
        <f t="shared" si="52"/>
        <v>0</v>
      </c>
      <c r="P142">
        <f t="shared" si="53"/>
        <v>0</v>
      </c>
      <c r="Q142" s="43">
        <f t="shared" si="54"/>
        <v>2738913.1186065446</v>
      </c>
      <c r="R142">
        <f t="shared" si="55"/>
        <v>0</v>
      </c>
      <c r="S142">
        <f t="shared" si="56"/>
        <v>0</v>
      </c>
      <c r="T142" s="43">
        <f t="shared" si="57"/>
        <v>2738913.1186065446</v>
      </c>
      <c r="U142">
        <f t="shared" si="58"/>
        <v>0</v>
      </c>
      <c r="V142">
        <f t="shared" si="59"/>
        <v>0</v>
      </c>
      <c r="W142" s="43">
        <f t="shared" si="60"/>
        <v>2738913.1186065446</v>
      </c>
      <c r="X142" s="43">
        <f t="shared" si="61"/>
        <v>242970.45627684006</v>
      </c>
      <c r="Y142" s="27">
        <f t="shared" si="62"/>
        <v>21511.933248466506</v>
      </c>
      <c r="Z142" s="27">
        <f t="shared" si="63"/>
        <v>2717401.1853580782</v>
      </c>
      <c r="AA142">
        <f t="shared" si="64"/>
        <v>0</v>
      </c>
      <c r="AB142" s="27">
        <f t="shared" si="65"/>
        <v>2717401.1853580782</v>
      </c>
      <c r="AD142" s="27">
        <f t="shared" si="66"/>
        <v>0</v>
      </c>
      <c r="AE142" s="27">
        <f t="shared" si="67"/>
        <v>2717401.1853580782</v>
      </c>
      <c r="AF142" s="50"/>
      <c r="AG142" t="str">
        <f t="shared" si="68"/>
        <v>5304860</v>
      </c>
    </row>
    <row r="143" spans="1:33" x14ac:dyDescent="0.25">
      <c r="A143" s="7" t="s">
        <v>464</v>
      </c>
      <c r="B143" s="2" t="s">
        <v>929</v>
      </c>
      <c r="C143" s="4" t="s">
        <v>928</v>
      </c>
      <c r="D143" s="30">
        <f>_xlfn.IFNA(VLOOKUP(A143,'Prior Year data'!$A$1:$V$318,13,FALSE),0)</f>
        <v>116250.37706464557</v>
      </c>
      <c r="E143">
        <f>VLOOKUP(A143,'Basic HH'!$B$1:$Y$318,23,FALSE)</f>
        <v>46620.244536568476</v>
      </c>
      <c r="F143">
        <f>VLOOKUP(A143,'Conc. HH'!$B$1:$Y$318,23,FALSE)</f>
        <v>0</v>
      </c>
      <c r="G143">
        <f>VLOOKUP(A143,'Targeted HH'!$B$1:$Y$318,23,FALSE)</f>
        <v>22301.409996750801</v>
      </c>
      <c r="H143">
        <f>VLOOKUP(A143,'EFIG HH'!$B$1:$Y$318,23,FALSE)</f>
        <v>30653.690507763269</v>
      </c>
      <c r="I143">
        <f t="shared" si="46"/>
        <v>99575.345041082546</v>
      </c>
      <c r="J143">
        <f t="shared" si="47"/>
        <v>0</v>
      </c>
      <c r="K143" s="43">
        <f t="shared" si="48"/>
        <v>99575.345041082546</v>
      </c>
      <c r="L143">
        <f t="shared" si="49"/>
        <v>0</v>
      </c>
      <c r="M143">
        <f t="shared" si="50"/>
        <v>0</v>
      </c>
      <c r="N143" s="43">
        <f t="shared" si="51"/>
        <v>99575.345041082546</v>
      </c>
      <c r="O143">
        <f t="shared" si="52"/>
        <v>0</v>
      </c>
      <c r="P143">
        <f t="shared" si="53"/>
        <v>0</v>
      </c>
      <c r="Q143" s="43">
        <f t="shared" si="54"/>
        <v>99575.345041082546</v>
      </c>
      <c r="R143">
        <f t="shared" si="55"/>
        <v>0</v>
      </c>
      <c r="S143">
        <f t="shared" si="56"/>
        <v>0</v>
      </c>
      <c r="T143" s="43">
        <f t="shared" si="57"/>
        <v>99575.345041082546</v>
      </c>
      <c r="U143">
        <f t="shared" si="58"/>
        <v>0</v>
      </c>
      <c r="V143">
        <f t="shared" si="59"/>
        <v>0</v>
      </c>
      <c r="W143" s="43">
        <f t="shared" si="60"/>
        <v>99575.345041082546</v>
      </c>
      <c r="X143" s="43">
        <f t="shared" si="61"/>
        <v>0</v>
      </c>
      <c r="Y143" s="27">
        <f t="shared" si="62"/>
        <v>782.0832874051099</v>
      </c>
      <c r="Z143" s="27">
        <f t="shared" si="63"/>
        <v>98793.261753677434</v>
      </c>
      <c r="AA143">
        <f t="shared" si="64"/>
        <v>0</v>
      </c>
      <c r="AB143" s="27">
        <f t="shared" si="65"/>
        <v>98793.261753677434</v>
      </c>
      <c r="AD143" s="27">
        <f t="shared" si="66"/>
        <v>0</v>
      </c>
      <c r="AE143" s="27">
        <f t="shared" si="67"/>
        <v>98793.261753677434</v>
      </c>
      <c r="AF143" s="50"/>
      <c r="AG143" t="str">
        <f t="shared" si="68"/>
        <v>5304890</v>
      </c>
    </row>
    <row r="144" spans="1:33" x14ac:dyDescent="0.25">
      <c r="A144" s="7" t="s">
        <v>164</v>
      </c>
      <c r="B144" s="2" t="s">
        <v>931</v>
      </c>
      <c r="C144" s="4" t="s">
        <v>930</v>
      </c>
      <c r="D144" s="30">
        <f>_xlfn.IFNA(VLOOKUP(A144,'Prior Year data'!$A$1:$V$318,13,FALSE),0)</f>
        <v>1762160.0236813528</v>
      </c>
      <c r="E144">
        <f>VLOOKUP(A144,'Basic HH'!$B$1:$Y$318,23,FALSE)</f>
        <v>669270.65131023584</v>
      </c>
      <c r="F144">
        <f>VLOOKUP(A144,'Conc. HH'!$B$1:$Y$318,23,FALSE)</f>
        <v>0</v>
      </c>
      <c r="G144">
        <f>VLOOKUP(A144,'Targeted HH'!$B$1:$Y$318,23,FALSE)</f>
        <v>357565.940281238</v>
      </c>
      <c r="H144">
        <f>VLOOKUP(A144,'EFIG HH'!$B$1:$Y$318,23,FALSE)</f>
        <v>491480.83780780452</v>
      </c>
      <c r="I144">
        <f t="shared" si="46"/>
        <v>1518317.4293992785</v>
      </c>
      <c r="J144">
        <f t="shared" si="47"/>
        <v>0</v>
      </c>
      <c r="K144" s="43">
        <f t="shared" si="48"/>
        <v>1518317.4293992785</v>
      </c>
      <c r="L144">
        <f t="shared" si="49"/>
        <v>0</v>
      </c>
      <c r="M144">
        <f t="shared" si="50"/>
        <v>0</v>
      </c>
      <c r="N144" s="43">
        <f t="shared" si="51"/>
        <v>1518317.4293992785</v>
      </c>
      <c r="O144">
        <f t="shared" si="52"/>
        <v>0</v>
      </c>
      <c r="P144">
        <f t="shared" si="53"/>
        <v>0</v>
      </c>
      <c r="Q144" s="43">
        <f t="shared" si="54"/>
        <v>1518317.4293992785</v>
      </c>
      <c r="R144">
        <f t="shared" si="55"/>
        <v>0</v>
      </c>
      <c r="S144">
        <f t="shared" si="56"/>
        <v>0</v>
      </c>
      <c r="T144" s="43">
        <f t="shared" si="57"/>
        <v>1518317.4293992785</v>
      </c>
      <c r="U144">
        <f t="shared" si="58"/>
        <v>0</v>
      </c>
      <c r="V144">
        <f t="shared" si="59"/>
        <v>0</v>
      </c>
      <c r="W144" s="43">
        <f t="shared" si="60"/>
        <v>1518317.4293992785</v>
      </c>
      <c r="X144" s="43">
        <f t="shared" si="61"/>
        <v>0</v>
      </c>
      <c r="Y144" s="27">
        <f t="shared" si="62"/>
        <v>11925.147595714063</v>
      </c>
      <c r="Z144" s="27">
        <f t="shared" si="63"/>
        <v>1506392.2818035644</v>
      </c>
      <c r="AA144">
        <f t="shared" si="64"/>
        <v>0</v>
      </c>
      <c r="AB144" s="27">
        <f t="shared" si="65"/>
        <v>1506392.2818035644</v>
      </c>
      <c r="AD144" s="27">
        <f t="shared" si="66"/>
        <v>0</v>
      </c>
      <c r="AE144" s="27">
        <f t="shared" si="67"/>
        <v>1506392.2818035644</v>
      </c>
      <c r="AF144" s="50"/>
      <c r="AG144" t="str">
        <f t="shared" si="68"/>
        <v>5304920</v>
      </c>
    </row>
    <row r="145" spans="1:33" x14ac:dyDescent="0.25">
      <c r="A145" s="7" t="s">
        <v>166</v>
      </c>
      <c r="B145" s="2" t="s">
        <v>933</v>
      </c>
      <c r="C145" s="4" t="s">
        <v>932</v>
      </c>
      <c r="D145" s="30">
        <f>_xlfn.IFNA(VLOOKUP(A145,'Prior Year data'!$A$1:$V$318,13,FALSE),0)</f>
        <v>325501.05578100769</v>
      </c>
      <c r="E145">
        <f>VLOOKUP(A145,'Basic HH'!$B$1:$Y$318,23,FALSE)</f>
        <v>130536.68470239179</v>
      </c>
      <c r="F145">
        <f>VLOOKUP(A145,'Conc. HH'!$B$1:$Y$318,23,FALSE)</f>
        <v>0</v>
      </c>
      <c r="G145">
        <f>VLOOKUP(A145,'Targeted HH'!$B$1:$Y$318,23,FALSE)</f>
        <v>62443.947990902256</v>
      </c>
      <c r="H145">
        <f>VLOOKUP(A145,'EFIG HH'!$B$1:$Y$318,23,FALSE)</f>
        <v>85830.333421737145</v>
      </c>
      <c r="I145">
        <f t="shared" si="46"/>
        <v>278810.96611503122</v>
      </c>
      <c r="J145">
        <f t="shared" si="47"/>
        <v>0</v>
      </c>
      <c r="K145" s="43">
        <f t="shared" si="48"/>
        <v>278810.96611503122</v>
      </c>
      <c r="L145">
        <f t="shared" si="49"/>
        <v>0</v>
      </c>
      <c r="M145">
        <f t="shared" si="50"/>
        <v>0</v>
      </c>
      <c r="N145" s="43">
        <f t="shared" si="51"/>
        <v>278810.96611503122</v>
      </c>
      <c r="O145">
        <f t="shared" si="52"/>
        <v>0</v>
      </c>
      <c r="P145">
        <f t="shared" si="53"/>
        <v>0</v>
      </c>
      <c r="Q145" s="43">
        <f t="shared" si="54"/>
        <v>278810.96611503122</v>
      </c>
      <c r="R145">
        <f t="shared" si="55"/>
        <v>0</v>
      </c>
      <c r="S145">
        <f t="shared" si="56"/>
        <v>0</v>
      </c>
      <c r="T145" s="43">
        <f t="shared" si="57"/>
        <v>278810.96611503122</v>
      </c>
      <c r="U145">
        <f t="shared" si="58"/>
        <v>0</v>
      </c>
      <c r="V145">
        <f t="shared" si="59"/>
        <v>0</v>
      </c>
      <c r="W145" s="43">
        <f t="shared" si="60"/>
        <v>278810.96611503122</v>
      </c>
      <c r="X145" s="43">
        <f t="shared" si="61"/>
        <v>0</v>
      </c>
      <c r="Y145" s="27">
        <f t="shared" si="62"/>
        <v>2189.8332047343083</v>
      </c>
      <c r="Z145" s="27">
        <f t="shared" si="63"/>
        <v>276621.1329102969</v>
      </c>
      <c r="AA145">
        <f t="shared" si="64"/>
        <v>0</v>
      </c>
      <c r="AB145" s="27">
        <f t="shared" si="65"/>
        <v>276621.1329102969</v>
      </c>
      <c r="AD145" s="27">
        <f t="shared" si="66"/>
        <v>0</v>
      </c>
      <c r="AE145" s="27">
        <f t="shared" si="67"/>
        <v>276621.1329102969</v>
      </c>
      <c r="AF145" s="50"/>
      <c r="AG145" t="str">
        <f t="shared" si="68"/>
        <v>5304950</v>
      </c>
    </row>
    <row r="146" spans="1:33" x14ac:dyDescent="0.25">
      <c r="A146" s="7" t="s">
        <v>168</v>
      </c>
      <c r="B146" s="2" t="s">
        <v>935</v>
      </c>
      <c r="C146" s="4" t="s">
        <v>934</v>
      </c>
      <c r="D146" s="30">
        <f>_xlfn.IFNA(VLOOKUP(A146,'Prior Year data'!$A$1:$V$318,13,FALSE),0)</f>
        <v>124423.19634021613</v>
      </c>
      <c r="E146">
        <f>VLOOKUP(A146,'Basic HH'!$B$1:$Y$318,23,FALSE)</f>
        <v>120486.30647766395</v>
      </c>
      <c r="F146">
        <f>VLOOKUP(A146,'Conc. HH'!$B$1:$Y$318,23,FALSE)</f>
        <v>0</v>
      </c>
      <c r="G146">
        <f>VLOOKUP(A146,'Targeted HH'!$B$1:$Y$318,23,FALSE)</f>
        <v>0</v>
      </c>
      <c r="H146">
        <f>VLOOKUP(A146,'EFIG HH'!$B$1:$Y$318,23,FALSE)</f>
        <v>0</v>
      </c>
      <c r="I146">
        <f t="shared" si="46"/>
        <v>120486.30647766395</v>
      </c>
      <c r="J146">
        <f t="shared" si="47"/>
        <v>0</v>
      </c>
      <c r="K146" s="43">
        <f t="shared" si="48"/>
        <v>120486.30647766395</v>
      </c>
      <c r="L146">
        <f t="shared" si="49"/>
        <v>0</v>
      </c>
      <c r="M146">
        <f t="shared" si="50"/>
        <v>0</v>
      </c>
      <c r="N146" s="43">
        <f t="shared" si="51"/>
        <v>120486.30647766395</v>
      </c>
      <c r="O146">
        <f t="shared" si="52"/>
        <v>0</v>
      </c>
      <c r="P146">
        <f t="shared" si="53"/>
        <v>0</v>
      </c>
      <c r="Q146" s="43">
        <f t="shared" si="54"/>
        <v>120486.30647766395</v>
      </c>
      <c r="R146">
        <f t="shared" si="55"/>
        <v>0</v>
      </c>
      <c r="S146">
        <f t="shared" si="56"/>
        <v>0</v>
      </c>
      <c r="T146" s="43">
        <f t="shared" si="57"/>
        <v>120486.30647766395</v>
      </c>
      <c r="U146">
        <f t="shared" si="58"/>
        <v>0</v>
      </c>
      <c r="V146">
        <f t="shared" si="59"/>
        <v>0</v>
      </c>
      <c r="W146" s="43">
        <f t="shared" si="60"/>
        <v>120486.30647766395</v>
      </c>
      <c r="X146" s="43">
        <f t="shared" si="61"/>
        <v>0</v>
      </c>
      <c r="Y146" s="27">
        <f t="shared" si="62"/>
        <v>946.32186931889316</v>
      </c>
      <c r="Z146" s="27">
        <f t="shared" si="63"/>
        <v>119539.98460834505</v>
      </c>
      <c r="AA146">
        <f t="shared" si="64"/>
        <v>0</v>
      </c>
      <c r="AB146" s="27">
        <f t="shared" si="65"/>
        <v>119539.98460834505</v>
      </c>
      <c r="AD146" s="27">
        <f t="shared" si="66"/>
        <v>0</v>
      </c>
      <c r="AE146" s="27">
        <f t="shared" si="67"/>
        <v>119539.98460834505</v>
      </c>
      <c r="AF146" s="50"/>
      <c r="AG146" t="str">
        <f t="shared" si="68"/>
        <v>5304980</v>
      </c>
    </row>
    <row r="147" spans="1:33" x14ac:dyDescent="0.25">
      <c r="A147" s="7" t="s">
        <v>170</v>
      </c>
      <c r="B147" s="2" t="s">
        <v>937</v>
      </c>
      <c r="C147" s="4" t="s">
        <v>936</v>
      </c>
      <c r="D147" s="30">
        <f>_xlfn.IFNA(VLOOKUP(A147,'Prior Year data'!$A$1:$V$318,13,FALSE),0)</f>
        <v>361722.21452466806</v>
      </c>
      <c r="E147">
        <f>VLOOKUP(A147,'Basic HH'!$B$1:$Y$318,23,FALSE)</f>
        <v>159926.23128017172</v>
      </c>
      <c r="F147">
        <f>VLOOKUP(A147,'Conc. HH'!$B$1:$Y$318,23,FALSE)</f>
        <v>0</v>
      </c>
      <c r="G147">
        <f>VLOOKUP(A147,'Targeted HH'!$B$1:$Y$318,23,FALSE)</f>
        <v>77154.202283141713</v>
      </c>
      <c r="H147">
        <f>VLOOKUP(A147,'EFIG HH'!$B$1:$Y$318,23,FALSE)</f>
        <v>104652.54148795427</v>
      </c>
      <c r="I147">
        <f t="shared" si="46"/>
        <v>341732.97505126771</v>
      </c>
      <c r="J147">
        <f t="shared" si="47"/>
        <v>0</v>
      </c>
      <c r="K147" s="43">
        <f t="shared" si="48"/>
        <v>341732.97505126771</v>
      </c>
      <c r="L147">
        <f t="shared" si="49"/>
        <v>0</v>
      </c>
      <c r="M147">
        <f t="shared" si="50"/>
        <v>0</v>
      </c>
      <c r="N147" s="43">
        <f t="shared" si="51"/>
        <v>341732.97505126771</v>
      </c>
      <c r="O147">
        <f t="shared" si="52"/>
        <v>0</v>
      </c>
      <c r="P147">
        <f t="shared" si="53"/>
        <v>0</v>
      </c>
      <c r="Q147" s="43">
        <f t="shared" si="54"/>
        <v>341732.97505126771</v>
      </c>
      <c r="R147">
        <f t="shared" si="55"/>
        <v>0</v>
      </c>
      <c r="S147">
        <f t="shared" si="56"/>
        <v>0</v>
      </c>
      <c r="T147" s="43">
        <f t="shared" si="57"/>
        <v>341732.97505126771</v>
      </c>
      <c r="U147">
        <f t="shared" si="58"/>
        <v>0</v>
      </c>
      <c r="V147">
        <f t="shared" si="59"/>
        <v>0</v>
      </c>
      <c r="W147" s="43">
        <f t="shared" si="60"/>
        <v>341732.97505126771</v>
      </c>
      <c r="X147" s="43">
        <f t="shared" si="61"/>
        <v>0</v>
      </c>
      <c r="Y147" s="27">
        <f t="shared" si="62"/>
        <v>2684.0343704815373</v>
      </c>
      <c r="Z147" s="27">
        <f t="shared" si="63"/>
        <v>339048.94068078615</v>
      </c>
      <c r="AA147">
        <f t="shared" si="64"/>
        <v>0</v>
      </c>
      <c r="AB147" s="27">
        <f t="shared" si="65"/>
        <v>339048.94068078615</v>
      </c>
      <c r="AD147" s="27">
        <f t="shared" si="66"/>
        <v>0</v>
      </c>
      <c r="AE147" s="27">
        <f t="shared" si="67"/>
        <v>339048.94068078615</v>
      </c>
      <c r="AF147" s="50"/>
      <c r="AG147" t="str">
        <f t="shared" si="68"/>
        <v>5305010</v>
      </c>
    </row>
    <row r="148" spans="1:33" x14ac:dyDescent="0.25">
      <c r="A148" s="7" t="s">
        <v>466</v>
      </c>
      <c r="B148" s="2" t="s">
        <v>939</v>
      </c>
      <c r="C148" s="4" t="s">
        <v>938</v>
      </c>
      <c r="D148" s="30">
        <f>_xlfn.IFNA(VLOOKUP(A148,'Prior Year data'!$A$1:$V$318,13,FALSE),0)</f>
        <v>232688.6862829818</v>
      </c>
      <c r="E148">
        <f>VLOOKUP(A148,'Basic HH'!$B$1:$Y$318,23,FALSE)</f>
        <v>95285.0896208294</v>
      </c>
      <c r="F148">
        <f>VLOOKUP(A148,'Conc. HH'!$B$1:$Y$318,23,FALSE)</f>
        <v>25635.397163607988</v>
      </c>
      <c r="G148">
        <f>VLOOKUP(A148,'Targeted HH'!$B$1:$Y$318,23,FALSE)</f>
        <v>45965.443525546492</v>
      </c>
      <c r="H148">
        <f>VLOOKUP(A148,'EFIG HH'!$B$1:$Y$318,23,FALSE)</f>
        <v>62350.757149389232</v>
      </c>
      <c r="I148">
        <f t="shared" si="46"/>
        <v>229236.68745937309</v>
      </c>
      <c r="J148">
        <f t="shared" si="47"/>
        <v>0</v>
      </c>
      <c r="K148" s="43">
        <f t="shared" si="48"/>
        <v>229236.68745937309</v>
      </c>
      <c r="L148">
        <f t="shared" si="49"/>
        <v>0</v>
      </c>
      <c r="M148">
        <f t="shared" si="50"/>
        <v>0</v>
      </c>
      <c r="N148" s="43">
        <f t="shared" si="51"/>
        <v>229236.68745937309</v>
      </c>
      <c r="O148">
        <f t="shared" si="52"/>
        <v>0</v>
      </c>
      <c r="P148">
        <f t="shared" si="53"/>
        <v>0</v>
      </c>
      <c r="Q148" s="43">
        <f t="shared" si="54"/>
        <v>229236.68745937309</v>
      </c>
      <c r="R148">
        <f t="shared" si="55"/>
        <v>0</v>
      </c>
      <c r="S148">
        <f t="shared" si="56"/>
        <v>0</v>
      </c>
      <c r="T148" s="43">
        <f t="shared" si="57"/>
        <v>229236.68745937309</v>
      </c>
      <c r="U148">
        <f t="shared" si="58"/>
        <v>0</v>
      </c>
      <c r="V148">
        <f t="shared" si="59"/>
        <v>0</v>
      </c>
      <c r="W148" s="43">
        <f t="shared" si="60"/>
        <v>229236.68745937309</v>
      </c>
      <c r="X148" s="43">
        <f t="shared" si="61"/>
        <v>0</v>
      </c>
      <c r="Y148" s="27">
        <f t="shared" si="62"/>
        <v>1800.4675961516023</v>
      </c>
      <c r="Z148" s="27">
        <f t="shared" si="63"/>
        <v>227436.21986322149</v>
      </c>
      <c r="AA148">
        <f t="shared" si="64"/>
        <v>0</v>
      </c>
      <c r="AB148" s="27">
        <f t="shared" si="65"/>
        <v>227436.21986322149</v>
      </c>
      <c r="AD148" s="27">
        <f t="shared" si="66"/>
        <v>0</v>
      </c>
      <c r="AE148" s="27">
        <f t="shared" si="67"/>
        <v>227436.21986322149</v>
      </c>
      <c r="AF148" s="50"/>
      <c r="AG148" t="str">
        <f t="shared" si="68"/>
        <v>5305020</v>
      </c>
    </row>
    <row r="149" spans="1:33" x14ac:dyDescent="0.25">
      <c r="A149" s="7" t="s">
        <v>468</v>
      </c>
      <c r="B149" s="2" t="s">
        <v>941</v>
      </c>
      <c r="C149" s="4" t="s">
        <v>940</v>
      </c>
      <c r="D149" s="30">
        <f>_xlfn.IFNA(VLOOKUP(A149,'Prior Year data'!$A$1:$V$318,13,FALSE),0)</f>
        <v>34783.513122304146</v>
      </c>
      <c r="E149">
        <f>VLOOKUP(A149,'Basic HH'!$B$1:$Y$318,23,FALSE)</f>
        <v>0</v>
      </c>
      <c r="F149">
        <f>VLOOKUP(A149,'Conc. HH'!$B$1:$Y$318,23,FALSE)</f>
        <v>3121.4963251933332</v>
      </c>
      <c r="G149">
        <f>VLOOKUP(A149,'Targeted HH'!$B$1:$Y$318,23,FALSE)</f>
        <v>0</v>
      </c>
      <c r="H149">
        <f>VLOOKUP(A149,'EFIG HH'!$B$1:$Y$318,23,FALSE)</f>
        <v>0</v>
      </c>
      <c r="I149">
        <f t="shared" si="46"/>
        <v>3121.4963251933332</v>
      </c>
      <c r="J149">
        <f t="shared" si="47"/>
        <v>0</v>
      </c>
      <c r="K149" s="43">
        <f t="shared" si="48"/>
        <v>3121.4963251933332</v>
      </c>
      <c r="L149">
        <f t="shared" si="49"/>
        <v>0</v>
      </c>
      <c r="M149">
        <f t="shared" si="50"/>
        <v>0</v>
      </c>
      <c r="N149" s="43">
        <f t="shared" si="51"/>
        <v>3121.4963251933332</v>
      </c>
      <c r="O149">
        <f t="shared" si="52"/>
        <v>0</v>
      </c>
      <c r="P149">
        <f t="shared" si="53"/>
        <v>0</v>
      </c>
      <c r="Q149" s="43">
        <f t="shared" si="54"/>
        <v>3121.4963251933332</v>
      </c>
      <c r="R149">
        <f t="shared" si="55"/>
        <v>0</v>
      </c>
      <c r="S149">
        <f t="shared" si="56"/>
        <v>0</v>
      </c>
      <c r="T149" s="43">
        <f t="shared" si="57"/>
        <v>3121.4963251933332</v>
      </c>
      <c r="U149">
        <f t="shared" si="58"/>
        <v>0</v>
      </c>
      <c r="V149">
        <f t="shared" si="59"/>
        <v>0</v>
      </c>
      <c r="W149" s="43">
        <f t="shared" si="60"/>
        <v>3121.4963251933332</v>
      </c>
      <c r="X149" s="43">
        <f t="shared" si="61"/>
        <v>0</v>
      </c>
      <c r="Y149" s="27">
        <f t="shared" si="62"/>
        <v>24.516812938212357</v>
      </c>
      <c r="Z149" s="27">
        <f t="shared" si="63"/>
        <v>3096.9795122551209</v>
      </c>
      <c r="AA149">
        <f t="shared" si="64"/>
        <v>0</v>
      </c>
      <c r="AB149" s="27">
        <f t="shared" si="65"/>
        <v>3096.9795122551209</v>
      </c>
      <c r="AD149" s="27">
        <f t="shared" si="66"/>
        <v>0</v>
      </c>
      <c r="AE149" s="27">
        <f t="shared" si="67"/>
        <v>3096.9795122551209</v>
      </c>
      <c r="AF149" s="50"/>
      <c r="AG149" t="str">
        <f t="shared" si="68"/>
        <v>5305040</v>
      </c>
    </row>
    <row r="150" spans="1:33" x14ac:dyDescent="0.25">
      <c r="A150" s="7" t="s">
        <v>172</v>
      </c>
      <c r="B150" s="2" t="s">
        <v>943</v>
      </c>
      <c r="C150" s="4" t="s">
        <v>942</v>
      </c>
      <c r="D150" s="30">
        <f>_xlfn.IFNA(VLOOKUP(A150,'Prior Year data'!$A$1:$V$318,13,FALSE),0)</f>
        <v>763271.52032702044</v>
      </c>
      <c r="E150">
        <f>VLOOKUP(A150,'Basic HH'!$B$1:$Y$318,23,FALSE)</f>
        <v>363217.84361514781</v>
      </c>
      <c r="F150">
        <f>VLOOKUP(A150,'Conc. HH'!$B$1:$Y$318,23,FALSE)</f>
        <v>0</v>
      </c>
      <c r="G150">
        <f>VLOOKUP(A150,'Targeted HH'!$B$1:$Y$318,23,FALSE)</f>
        <v>175657.98634694243</v>
      </c>
      <c r="H150">
        <f>VLOOKUP(A150,'EFIG HH'!$B$1:$Y$318,23,FALSE)</f>
        <v>233093.71668903172</v>
      </c>
      <c r="I150">
        <f t="shared" si="46"/>
        <v>771969.54665112193</v>
      </c>
      <c r="J150">
        <f t="shared" si="47"/>
        <v>771969.54665112193</v>
      </c>
      <c r="K150" s="43">
        <f t="shared" si="48"/>
        <v>698342.5227568408</v>
      </c>
      <c r="L150">
        <f t="shared" si="49"/>
        <v>64928.997570179636</v>
      </c>
      <c r="M150">
        <f t="shared" si="50"/>
        <v>0</v>
      </c>
      <c r="N150" s="43">
        <f t="shared" si="51"/>
        <v>763271.52032702044</v>
      </c>
      <c r="O150">
        <f t="shared" si="52"/>
        <v>0</v>
      </c>
      <c r="P150">
        <f t="shared" si="53"/>
        <v>0</v>
      </c>
      <c r="Q150" s="43">
        <f t="shared" si="54"/>
        <v>763271.52032702044</v>
      </c>
      <c r="R150">
        <f t="shared" si="55"/>
        <v>0</v>
      </c>
      <c r="S150">
        <f t="shared" si="56"/>
        <v>0</v>
      </c>
      <c r="T150" s="43">
        <f t="shared" si="57"/>
        <v>763271.52032702044</v>
      </c>
      <c r="U150">
        <f t="shared" si="58"/>
        <v>0</v>
      </c>
      <c r="V150">
        <f t="shared" si="59"/>
        <v>0</v>
      </c>
      <c r="W150" s="43">
        <f t="shared" si="60"/>
        <v>763271.52032702044</v>
      </c>
      <c r="X150" s="43">
        <f t="shared" si="61"/>
        <v>8698.0263241014909</v>
      </c>
      <c r="Y150" s="27">
        <f t="shared" si="62"/>
        <v>5994.8765385022525</v>
      </c>
      <c r="Z150" s="27">
        <f t="shared" si="63"/>
        <v>757276.64378851815</v>
      </c>
      <c r="AA150">
        <f t="shared" si="64"/>
        <v>0</v>
      </c>
      <c r="AB150" s="27">
        <f t="shared" si="65"/>
        <v>757276.64378851815</v>
      </c>
      <c r="AD150" s="27">
        <f t="shared" si="66"/>
        <v>0</v>
      </c>
      <c r="AE150" s="27">
        <f t="shared" si="67"/>
        <v>757276.64378851815</v>
      </c>
      <c r="AF150" s="50"/>
      <c r="AG150" t="str">
        <f t="shared" si="68"/>
        <v>5305130</v>
      </c>
    </row>
    <row r="151" spans="1:33" x14ac:dyDescent="0.25">
      <c r="A151" s="7" t="s">
        <v>470</v>
      </c>
      <c r="B151" s="2" t="s">
        <v>945</v>
      </c>
      <c r="C151" s="4" t="s">
        <v>944</v>
      </c>
      <c r="D151" s="30">
        <f>_xlfn.IFNA(VLOOKUP(A151,'Prior Year data'!$A$1:$V$318,13,FALSE),0)</f>
        <v>372631.0681217059</v>
      </c>
      <c r="E151">
        <f>VLOOKUP(A151,'Basic HH'!$B$1:$Y$318,23,FALSE)</f>
        <v>132401.49448385453</v>
      </c>
      <c r="F151">
        <f>VLOOKUP(A151,'Conc. HH'!$B$1:$Y$318,23,FALSE)</f>
        <v>34885.611708410659</v>
      </c>
      <c r="G151">
        <f>VLOOKUP(A151,'Targeted HH'!$B$1:$Y$318,23,FALSE)</f>
        <v>64487.381586084564</v>
      </c>
      <c r="H151">
        <f>VLOOKUP(A151,'EFIG HH'!$B$1:$Y$318,23,FALSE)</f>
        <v>88639.069775582495</v>
      </c>
      <c r="I151">
        <f t="shared" si="46"/>
        <v>320413.5575539323</v>
      </c>
      <c r="J151">
        <f t="shared" si="47"/>
        <v>0</v>
      </c>
      <c r="K151" s="43">
        <f t="shared" si="48"/>
        <v>320413.5575539323</v>
      </c>
      <c r="L151">
        <f t="shared" si="49"/>
        <v>0</v>
      </c>
      <c r="M151">
        <f t="shared" si="50"/>
        <v>0</v>
      </c>
      <c r="N151" s="43">
        <f t="shared" si="51"/>
        <v>320413.5575539323</v>
      </c>
      <c r="O151">
        <f t="shared" si="52"/>
        <v>0</v>
      </c>
      <c r="P151">
        <f t="shared" si="53"/>
        <v>0</v>
      </c>
      <c r="Q151" s="43">
        <f t="shared" si="54"/>
        <v>320413.5575539323</v>
      </c>
      <c r="R151">
        <f t="shared" si="55"/>
        <v>0</v>
      </c>
      <c r="S151">
        <f t="shared" si="56"/>
        <v>0</v>
      </c>
      <c r="T151" s="43">
        <f t="shared" si="57"/>
        <v>320413.5575539323</v>
      </c>
      <c r="U151">
        <f t="shared" si="58"/>
        <v>0</v>
      </c>
      <c r="V151">
        <f t="shared" si="59"/>
        <v>0</v>
      </c>
      <c r="W151" s="43">
        <f t="shared" si="60"/>
        <v>320413.5575539323</v>
      </c>
      <c r="X151" s="43">
        <f t="shared" si="61"/>
        <v>0</v>
      </c>
      <c r="Y151" s="27">
        <f t="shared" si="62"/>
        <v>2516.5876986673552</v>
      </c>
      <c r="Z151" s="27">
        <f t="shared" si="63"/>
        <v>317896.96985526494</v>
      </c>
      <c r="AA151">
        <f t="shared" si="64"/>
        <v>0</v>
      </c>
      <c r="AB151" s="27">
        <f t="shared" si="65"/>
        <v>317896.96985526494</v>
      </c>
      <c r="AD151" s="27">
        <f t="shared" si="66"/>
        <v>0</v>
      </c>
      <c r="AE151" s="27">
        <f t="shared" si="67"/>
        <v>317896.96985526494</v>
      </c>
      <c r="AF151" s="50"/>
      <c r="AG151" t="str">
        <f t="shared" si="68"/>
        <v>5305160</v>
      </c>
    </row>
    <row r="152" spans="1:33" x14ac:dyDescent="0.25">
      <c r="A152" s="7" t="s">
        <v>472</v>
      </c>
      <c r="B152" s="2" t="s">
        <v>947</v>
      </c>
      <c r="C152" s="4" t="s">
        <v>946</v>
      </c>
      <c r="D152" s="30">
        <f>_xlfn.IFNA(VLOOKUP(A152,'Prior Year data'!$A$1:$V$318,13,FALSE),0)</f>
        <v>99623.785179009254</v>
      </c>
      <c r="E152">
        <f>VLOOKUP(A152,'Basic HH'!$B$1:$Y$318,23,FALSE)</f>
        <v>32746.737285124174</v>
      </c>
      <c r="F152">
        <f>VLOOKUP(A152,'Conc. HH'!$B$1:$Y$318,23,FALSE)</f>
        <v>8576.5517242525657</v>
      </c>
      <c r="G152">
        <f>VLOOKUP(A152,'Targeted HH'!$B$1:$Y$318,23,FALSE)</f>
        <v>18500.05080929786</v>
      </c>
      <c r="H152">
        <f>VLOOKUP(A152,'EFIG HH'!$B$1:$Y$318,23,FALSE)</f>
        <v>25510.342823766099</v>
      </c>
      <c r="I152">
        <f t="shared" si="46"/>
        <v>85333.682642440705</v>
      </c>
      <c r="J152">
        <f t="shared" si="47"/>
        <v>0</v>
      </c>
      <c r="K152" s="43">
        <f t="shared" si="48"/>
        <v>85333.682642440705</v>
      </c>
      <c r="L152">
        <f t="shared" si="49"/>
        <v>0</v>
      </c>
      <c r="M152">
        <f t="shared" si="50"/>
        <v>0</v>
      </c>
      <c r="N152" s="43">
        <f t="shared" si="51"/>
        <v>85333.682642440705</v>
      </c>
      <c r="O152">
        <f t="shared" si="52"/>
        <v>0</v>
      </c>
      <c r="P152">
        <f t="shared" si="53"/>
        <v>0</v>
      </c>
      <c r="Q152" s="43">
        <f t="shared" si="54"/>
        <v>85333.682642440705</v>
      </c>
      <c r="R152">
        <f t="shared" si="55"/>
        <v>0</v>
      </c>
      <c r="S152">
        <f t="shared" si="56"/>
        <v>0</v>
      </c>
      <c r="T152" s="43">
        <f t="shared" si="57"/>
        <v>85333.682642440705</v>
      </c>
      <c r="U152">
        <f t="shared" si="58"/>
        <v>0</v>
      </c>
      <c r="V152">
        <f t="shared" si="59"/>
        <v>0</v>
      </c>
      <c r="W152" s="43">
        <f t="shared" si="60"/>
        <v>85333.682642440705</v>
      </c>
      <c r="X152" s="43">
        <f t="shared" si="61"/>
        <v>0</v>
      </c>
      <c r="Y152" s="27">
        <f t="shared" si="62"/>
        <v>670.22662105614381</v>
      </c>
      <c r="Z152" s="27">
        <f t="shared" si="63"/>
        <v>84663.456021384554</v>
      </c>
      <c r="AA152">
        <f t="shared" si="64"/>
        <v>0</v>
      </c>
      <c r="AB152" s="27">
        <f t="shared" si="65"/>
        <v>84663.456021384554</v>
      </c>
      <c r="AD152" s="27">
        <f t="shared" si="66"/>
        <v>0</v>
      </c>
      <c r="AE152" s="27">
        <f t="shared" si="67"/>
        <v>84663.456021384554</v>
      </c>
      <c r="AF152" s="50"/>
      <c r="AG152" t="str">
        <f t="shared" si="68"/>
        <v>5305190</v>
      </c>
    </row>
    <row r="153" spans="1:33" x14ac:dyDescent="0.25">
      <c r="A153" s="7" t="s">
        <v>474</v>
      </c>
      <c r="B153" s="2" t="s">
        <v>949</v>
      </c>
      <c r="C153" s="4" t="s">
        <v>948</v>
      </c>
      <c r="D153" s="30">
        <f>_xlfn.IFNA(VLOOKUP(A153,'Prior Year data'!$A$1:$V$318,13,FALSE),0)</f>
        <v>3435951.8903981484</v>
      </c>
      <c r="E153">
        <f>VLOOKUP(A153,'Basic HH'!$B$1:$Y$318,23,FALSE)</f>
        <v>1767718.8030664574</v>
      </c>
      <c r="F153">
        <f>VLOOKUP(A153,'Conc. HH'!$B$1:$Y$318,23,FALSE)</f>
        <v>476530.80906386417</v>
      </c>
      <c r="G153">
        <f>VLOOKUP(A153,'Targeted HH'!$B$1:$Y$318,23,FALSE)</f>
        <v>1135397.0812425248</v>
      </c>
      <c r="H153">
        <f>VLOOKUP(A153,'EFIG HH'!$B$1:$Y$318,23,FALSE)</f>
        <v>1506643.2849912106</v>
      </c>
      <c r="I153">
        <f t="shared" si="46"/>
        <v>4886289.9783640569</v>
      </c>
      <c r="J153">
        <f t="shared" si="47"/>
        <v>4886289.9783640569</v>
      </c>
      <c r="K153" s="43">
        <f t="shared" si="48"/>
        <v>4420257.360170654</v>
      </c>
      <c r="L153">
        <f t="shared" si="49"/>
        <v>0</v>
      </c>
      <c r="M153">
        <f t="shared" si="50"/>
        <v>984305.46977250557</v>
      </c>
      <c r="N153" s="43">
        <f t="shared" si="51"/>
        <v>4065333.2950620838</v>
      </c>
      <c r="O153">
        <f t="shared" si="52"/>
        <v>0</v>
      </c>
      <c r="P153">
        <f t="shared" si="53"/>
        <v>629381.4046639353</v>
      </c>
      <c r="Q153" s="43">
        <f t="shared" si="54"/>
        <v>4065333.2950620838</v>
      </c>
      <c r="R153">
        <f t="shared" si="55"/>
        <v>0</v>
      </c>
      <c r="S153">
        <f t="shared" si="56"/>
        <v>629381.4046639353</v>
      </c>
      <c r="T153" s="43">
        <f t="shared" si="57"/>
        <v>4065333.2950620838</v>
      </c>
      <c r="U153">
        <f t="shared" si="58"/>
        <v>0</v>
      </c>
      <c r="V153">
        <f t="shared" si="59"/>
        <v>629381.4046639353</v>
      </c>
      <c r="W153" s="43">
        <f t="shared" si="60"/>
        <v>4065333.2950620838</v>
      </c>
      <c r="X153" s="43">
        <f t="shared" si="61"/>
        <v>820956.68330197316</v>
      </c>
      <c r="Y153" s="27">
        <f t="shared" si="62"/>
        <v>31929.884114263841</v>
      </c>
      <c r="Z153" s="27">
        <f t="shared" si="63"/>
        <v>4033403.4109478197</v>
      </c>
      <c r="AA153">
        <f t="shared" si="64"/>
        <v>0</v>
      </c>
      <c r="AB153" s="27">
        <f t="shared" si="65"/>
        <v>4033403.4109478197</v>
      </c>
      <c r="AD153" s="27">
        <f t="shared" si="66"/>
        <v>0</v>
      </c>
      <c r="AE153" s="27">
        <f t="shared" si="67"/>
        <v>4033403.4109478197</v>
      </c>
      <c r="AF153" s="50"/>
      <c r="AG153" t="str">
        <f t="shared" si="68"/>
        <v>5305220</v>
      </c>
    </row>
    <row r="154" spans="1:33" x14ac:dyDescent="0.25">
      <c r="A154" s="7" t="s">
        <v>476</v>
      </c>
      <c r="B154" s="2" t="s">
        <v>951</v>
      </c>
      <c r="C154" s="4" t="s">
        <v>950</v>
      </c>
      <c r="D154" s="30">
        <f>_xlfn.IFNA(VLOOKUP(A154,'Prior Year data'!$A$1:$V$318,13,FALSE),0)</f>
        <v>223025.80469723608</v>
      </c>
      <c r="E154">
        <f>VLOOKUP(A154,'Basic HH'!$B$1:$Y$318,23,FALSE)</f>
        <v>77078.804300459902</v>
      </c>
      <c r="F154">
        <f>VLOOKUP(A154,'Conc. HH'!$B$1:$Y$318,23,FALSE)</f>
        <v>20308.994609591195</v>
      </c>
      <c r="G154">
        <f>VLOOKUP(A154,'Targeted HH'!$B$1:$Y$318,23,FALSE)</f>
        <v>40238.240778250853</v>
      </c>
      <c r="H154">
        <f>VLOOKUP(A154,'EFIG HH'!$B$1:$Y$318,23,FALSE)</f>
        <v>55308.188117839527</v>
      </c>
      <c r="I154">
        <f t="shared" si="46"/>
        <v>192934.22780614148</v>
      </c>
      <c r="J154">
        <f t="shared" si="47"/>
        <v>0</v>
      </c>
      <c r="K154" s="43">
        <f t="shared" si="48"/>
        <v>192934.22780614148</v>
      </c>
      <c r="L154">
        <f t="shared" si="49"/>
        <v>0</v>
      </c>
      <c r="M154">
        <f t="shared" si="50"/>
        <v>0</v>
      </c>
      <c r="N154" s="43">
        <f t="shared" si="51"/>
        <v>192934.22780614148</v>
      </c>
      <c r="O154">
        <f t="shared" si="52"/>
        <v>0</v>
      </c>
      <c r="P154">
        <f t="shared" si="53"/>
        <v>0</v>
      </c>
      <c r="Q154" s="43">
        <f t="shared" si="54"/>
        <v>192934.22780614148</v>
      </c>
      <c r="R154">
        <f t="shared" si="55"/>
        <v>0</v>
      </c>
      <c r="S154">
        <f t="shared" si="56"/>
        <v>0</v>
      </c>
      <c r="T154" s="43">
        <f t="shared" si="57"/>
        <v>192934.22780614148</v>
      </c>
      <c r="U154">
        <f t="shared" si="58"/>
        <v>0</v>
      </c>
      <c r="V154">
        <f t="shared" si="59"/>
        <v>0</v>
      </c>
      <c r="W154" s="43">
        <f t="shared" si="60"/>
        <v>192934.22780614148</v>
      </c>
      <c r="X154" s="43">
        <f t="shared" si="61"/>
        <v>0</v>
      </c>
      <c r="Y154" s="27">
        <f t="shared" si="62"/>
        <v>1515.3413234304078</v>
      </c>
      <c r="Z154" s="27">
        <f t="shared" si="63"/>
        <v>191418.88648271107</v>
      </c>
      <c r="AA154">
        <f t="shared" si="64"/>
        <v>0</v>
      </c>
      <c r="AB154" s="27">
        <f t="shared" si="65"/>
        <v>191418.88648271107</v>
      </c>
      <c r="AD154" s="27">
        <f t="shared" si="66"/>
        <v>0</v>
      </c>
      <c r="AE154" s="27">
        <f t="shared" si="67"/>
        <v>191418.88648271107</v>
      </c>
      <c r="AF154" s="50"/>
      <c r="AG154" t="str">
        <f t="shared" si="68"/>
        <v>5305250</v>
      </c>
    </row>
    <row r="155" spans="1:33" x14ac:dyDescent="0.25">
      <c r="A155" s="7" t="s">
        <v>478</v>
      </c>
      <c r="B155" s="2" t="s">
        <v>953</v>
      </c>
      <c r="C155" s="4" t="s">
        <v>952</v>
      </c>
      <c r="D155" s="30">
        <f>_xlfn.IFNA(VLOOKUP(A155,'Prior Year data'!$A$1:$V$318,13,FALSE),0)</f>
        <v>559516.59861087787</v>
      </c>
      <c r="E155">
        <f>VLOOKUP(A155,'Basic HH'!$B$1:$Y$318,23,FALSE)</f>
        <v>165408.82453668927</v>
      </c>
      <c r="F155">
        <f>VLOOKUP(A155,'Conc. HH'!$B$1:$Y$318,23,FALSE)</f>
        <v>43566.069081864982</v>
      </c>
      <c r="G155">
        <f>VLOOKUP(A155,'Targeted HH'!$B$1:$Y$318,23,FALSE)</f>
        <v>113865.18901779132</v>
      </c>
      <c r="H155">
        <f>VLOOKUP(A155,'EFIG HH'!$B$1:$Y$318,23,FALSE)</f>
        <v>156499.14786364668</v>
      </c>
      <c r="I155">
        <f t="shared" si="46"/>
        <v>479339.23049999226</v>
      </c>
      <c r="J155">
        <f t="shared" si="47"/>
        <v>0</v>
      </c>
      <c r="K155" s="43">
        <f t="shared" si="48"/>
        <v>479339.23049999226</v>
      </c>
      <c r="L155">
        <f t="shared" si="49"/>
        <v>0</v>
      </c>
      <c r="M155">
        <f t="shared" si="50"/>
        <v>0</v>
      </c>
      <c r="N155" s="43">
        <f t="shared" si="51"/>
        <v>479339.23049999226</v>
      </c>
      <c r="O155">
        <f t="shared" si="52"/>
        <v>0</v>
      </c>
      <c r="P155">
        <f t="shared" si="53"/>
        <v>0</v>
      </c>
      <c r="Q155" s="43">
        <f t="shared" si="54"/>
        <v>479339.23049999226</v>
      </c>
      <c r="R155">
        <f t="shared" si="55"/>
        <v>0</v>
      </c>
      <c r="S155">
        <f t="shared" si="56"/>
        <v>0</v>
      </c>
      <c r="T155" s="43">
        <f t="shared" si="57"/>
        <v>479339.23049999226</v>
      </c>
      <c r="U155">
        <f t="shared" si="58"/>
        <v>0</v>
      </c>
      <c r="V155">
        <f t="shared" si="59"/>
        <v>0</v>
      </c>
      <c r="W155" s="43">
        <f t="shared" si="60"/>
        <v>479339.23049999226</v>
      </c>
      <c r="X155" s="43">
        <f t="shared" si="61"/>
        <v>0</v>
      </c>
      <c r="Y155" s="27">
        <f t="shared" si="62"/>
        <v>3764.8195044365784</v>
      </c>
      <c r="Z155" s="27">
        <f t="shared" si="63"/>
        <v>475574.41099555569</v>
      </c>
      <c r="AA155">
        <f t="shared" si="64"/>
        <v>0</v>
      </c>
      <c r="AB155" s="27">
        <f t="shared" si="65"/>
        <v>475574.41099555569</v>
      </c>
      <c r="AD155" s="27">
        <f t="shared" si="66"/>
        <v>0</v>
      </c>
      <c r="AE155" s="27">
        <f t="shared" si="67"/>
        <v>475574.41099555569</v>
      </c>
      <c r="AF155" s="50"/>
      <c r="AG155" t="str">
        <f t="shared" si="68"/>
        <v>5305280</v>
      </c>
    </row>
    <row r="156" spans="1:33" x14ac:dyDescent="0.25">
      <c r="A156" s="7" t="s">
        <v>480</v>
      </c>
      <c r="B156" s="2" t="s">
        <v>955</v>
      </c>
      <c r="C156" s="4" t="s">
        <v>954</v>
      </c>
      <c r="D156" s="30">
        <f>_xlfn.IFNA(VLOOKUP(A156,'Prior Year data'!$A$1:$V$318,13,FALSE),0)</f>
        <v>612757.34099062544</v>
      </c>
      <c r="E156">
        <f>VLOOKUP(A156,'Basic HH'!$B$1:$Y$318,23,FALSE)</f>
        <v>210372.9789226159</v>
      </c>
      <c r="F156">
        <f>VLOOKUP(A156,'Conc. HH'!$B$1:$Y$318,23,FALSE)</f>
        <v>55097.847440652848</v>
      </c>
      <c r="G156">
        <f>VLOOKUP(A156,'Targeted HH'!$B$1:$Y$318,23,FALSE)</f>
        <v>109037.16857965295</v>
      </c>
      <c r="H156">
        <f>VLOOKUP(A156,'EFIG HH'!$B$1:$Y$318,23,FALSE)</f>
        <v>150355.02224684393</v>
      </c>
      <c r="I156">
        <f t="shared" si="46"/>
        <v>524863.0171897657</v>
      </c>
      <c r="J156">
        <f t="shared" si="47"/>
        <v>0</v>
      </c>
      <c r="K156" s="43">
        <f t="shared" si="48"/>
        <v>524863.0171897657</v>
      </c>
      <c r="L156">
        <f t="shared" si="49"/>
        <v>0</v>
      </c>
      <c r="M156">
        <f t="shared" si="50"/>
        <v>0</v>
      </c>
      <c r="N156" s="43">
        <f t="shared" si="51"/>
        <v>524863.0171897657</v>
      </c>
      <c r="O156">
        <f t="shared" si="52"/>
        <v>0</v>
      </c>
      <c r="P156">
        <f t="shared" si="53"/>
        <v>0</v>
      </c>
      <c r="Q156" s="43">
        <f t="shared" si="54"/>
        <v>524863.0171897657</v>
      </c>
      <c r="R156">
        <f t="shared" si="55"/>
        <v>0</v>
      </c>
      <c r="S156">
        <f t="shared" si="56"/>
        <v>0</v>
      </c>
      <c r="T156" s="43">
        <f t="shared" si="57"/>
        <v>524863.0171897657</v>
      </c>
      <c r="U156">
        <f t="shared" si="58"/>
        <v>0</v>
      </c>
      <c r="V156">
        <f t="shared" si="59"/>
        <v>0</v>
      </c>
      <c r="W156" s="43">
        <f t="shared" si="60"/>
        <v>524863.0171897657</v>
      </c>
      <c r="X156" s="43">
        <f t="shared" si="61"/>
        <v>0</v>
      </c>
      <c r="Y156" s="27">
        <f t="shared" si="62"/>
        <v>4122.3717954658268</v>
      </c>
      <c r="Z156" s="27">
        <f t="shared" si="63"/>
        <v>520740.64539429988</v>
      </c>
      <c r="AA156">
        <f t="shared" si="64"/>
        <v>0</v>
      </c>
      <c r="AB156" s="27">
        <f t="shared" si="65"/>
        <v>520740.64539429988</v>
      </c>
      <c r="AD156" s="27">
        <f t="shared" si="66"/>
        <v>0</v>
      </c>
      <c r="AE156" s="27">
        <f t="shared" si="67"/>
        <v>520740.64539429988</v>
      </c>
      <c r="AF156" s="50"/>
      <c r="AG156" t="str">
        <f t="shared" si="68"/>
        <v>5305310</v>
      </c>
    </row>
    <row r="157" spans="1:33" x14ac:dyDescent="0.25">
      <c r="A157" s="7" t="s">
        <v>174</v>
      </c>
      <c r="B157" s="2" t="s">
        <v>957</v>
      </c>
      <c r="C157" s="4" t="s">
        <v>956</v>
      </c>
      <c r="D157" s="30">
        <f>_xlfn.IFNA(VLOOKUP(A157,'Prior Year data'!$A$1:$V$318,13,FALSE),0)</f>
        <v>0</v>
      </c>
      <c r="E157">
        <f>VLOOKUP(A157,'Basic HH'!$B$1:$Y$318,23,FALSE)</f>
        <v>0</v>
      </c>
      <c r="F157">
        <f>VLOOKUP(A157,'Conc. HH'!$B$1:$Y$318,23,FALSE)</f>
        <v>0</v>
      </c>
      <c r="G157">
        <f>VLOOKUP(A157,'Targeted HH'!$B$1:$Y$318,23,FALSE)</f>
        <v>0</v>
      </c>
      <c r="H157">
        <f>VLOOKUP(A157,'EFIG HH'!$B$1:$Y$318,23,FALSE)</f>
        <v>0</v>
      </c>
      <c r="I157">
        <f t="shared" si="46"/>
        <v>0</v>
      </c>
      <c r="J157">
        <f t="shared" si="47"/>
        <v>0</v>
      </c>
      <c r="K157" s="43">
        <f t="shared" si="48"/>
        <v>0</v>
      </c>
      <c r="L157">
        <f t="shared" si="49"/>
        <v>0</v>
      </c>
      <c r="M157">
        <f t="shared" si="50"/>
        <v>0</v>
      </c>
      <c r="N157" s="43">
        <f t="shared" si="51"/>
        <v>0</v>
      </c>
      <c r="O157">
        <f t="shared" si="52"/>
        <v>0</v>
      </c>
      <c r="P157">
        <f t="shared" si="53"/>
        <v>0</v>
      </c>
      <c r="Q157" s="43">
        <f t="shared" si="54"/>
        <v>0</v>
      </c>
      <c r="R157">
        <f t="shared" si="55"/>
        <v>0</v>
      </c>
      <c r="S157">
        <f t="shared" si="56"/>
        <v>0</v>
      </c>
      <c r="T157" s="43">
        <f t="shared" si="57"/>
        <v>0</v>
      </c>
      <c r="U157">
        <f t="shared" si="58"/>
        <v>0</v>
      </c>
      <c r="V157">
        <f t="shared" si="59"/>
        <v>0</v>
      </c>
      <c r="W157" s="43">
        <f t="shared" si="60"/>
        <v>0</v>
      </c>
      <c r="X157" s="43">
        <f t="shared" si="61"/>
        <v>0</v>
      </c>
      <c r="Y157" s="27">
        <f t="shared" si="62"/>
        <v>0</v>
      </c>
      <c r="Z157" s="27">
        <f t="shared" si="63"/>
        <v>0</v>
      </c>
      <c r="AA157">
        <f t="shared" si="64"/>
        <v>0</v>
      </c>
      <c r="AB157" s="27">
        <f t="shared" si="65"/>
        <v>0</v>
      </c>
      <c r="AD157" s="27">
        <f t="shared" si="66"/>
        <v>0</v>
      </c>
      <c r="AE157" s="27">
        <f t="shared" si="67"/>
        <v>0</v>
      </c>
      <c r="AF157" s="50"/>
      <c r="AG157" t="str">
        <f t="shared" si="68"/>
        <v>5305340</v>
      </c>
    </row>
    <row r="158" spans="1:33" x14ac:dyDescent="0.25">
      <c r="A158" s="7" t="s">
        <v>482</v>
      </c>
      <c r="B158" s="9" t="s">
        <v>959</v>
      </c>
      <c r="C158" s="4" t="s">
        <v>958</v>
      </c>
      <c r="D158" s="30">
        <f>_xlfn.IFNA(VLOOKUP(A158,'Prior Year data'!$A$1:$V$318,13,FALSE),0)</f>
        <v>1908297.6738672997</v>
      </c>
      <c r="E158">
        <f>VLOOKUP(A158,'Basic HH'!$B$1:$Y$318,23,FALSE)</f>
        <v>680703.65849424794</v>
      </c>
      <c r="F158">
        <f>VLOOKUP(A158,'Conc. HH'!$B$1:$Y$318,23,FALSE)</f>
        <v>0</v>
      </c>
      <c r="G158">
        <f>VLOOKUP(A158,'Targeted HH'!$B$1:$Y$318,23,FALSE)</f>
        <v>361666.08665449405</v>
      </c>
      <c r="H158">
        <f>VLOOKUP(A158,'EFIG HH'!$B$1:$Y$318,23,FALSE)</f>
        <v>490589.29074907023</v>
      </c>
      <c r="I158">
        <f t="shared" si="46"/>
        <v>1532959.0358978123</v>
      </c>
      <c r="J158">
        <f t="shared" si="47"/>
        <v>0</v>
      </c>
      <c r="K158" s="43">
        <f t="shared" si="48"/>
        <v>1532959.0358978123</v>
      </c>
      <c r="L158">
        <f t="shared" si="49"/>
        <v>0</v>
      </c>
      <c r="M158">
        <f t="shared" si="50"/>
        <v>0</v>
      </c>
      <c r="N158" s="43">
        <f t="shared" si="51"/>
        <v>1532959.0358978123</v>
      </c>
      <c r="O158">
        <f t="shared" si="52"/>
        <v>0</v>
      </c>
      <c r="P158">
        <f t="shared" si="53"/>
        <v>0</v>
      </c>
      <c r="Q158" s="43">
        <f t="shared" si="54"/>
        <v>1532959.0358978123</v>
      </c>
      <c r="R158">
        <f t="shared" si="55"/>
        <v>0</v>
      </c>
      <c r="S158">
        <f t="shared" si="56"/>
        <v>0</v>
      </c>
      <c r="T158" s="43">
        <f t="shared" si="57"/>
        <v>1532959.0358978123</v>
      </c>
      <c r="U158">
        <f t="shared" si="58"/>
        <v>0</v>
      </c>
      <c r="V158">
        <f t="shared" si="59"/>
        <v>0</v>
      </c>
      <c r="W158" s="43">
        <f t="shared" si="60"/>
        <v>1532959.0358978123</v>
      </c>
      <c r="X158" s="43">
        <f t="shared" si="61"/>
        <v>0</v>
      </c>
      <c r="Y158" s="27">
        <f t="shared" si="62"/>
        <v>12040.14549743904</v>
      </c>
      <c r="Z158" s="27">
        <f t="shared" si="63"/>
        <v>1520918.8904003734</v>
      </c>
      <c r="AA158">
        <f t="shared" si="64"/>
        <v>0</v>
      </c>
      <c r="AB158" s="27">
        <f t="shared" si="65"/>
        <v>1520918.8904003734</v>
      </c>
      <c r="AD158" s="27">
        <f t="shared" si="66"/>
        <v>0</v>
      </c>
      <c r="AE158" s="27">
        <f t="shared" si="67"/>
        <v>1520918.8904003734</v>
      </c>
      <c r="AF158" s="50"/>
      <c r="AG158" t="str">
        <f t="shared" si="68"/>
        <v>5305400</v>
      </c>
    </row>
    <row r="159" spans="1:33" x14ac:dyDescent="0.25">
      <c r="A159" s="7" t="s">
        <v>285</v>
      </c>
      <c r="B159" s="2" t="s">
        <v>961</v>
      </c>
      <c r="C159" s="4" t="s">
        <v>960</v>
      </c>
      <c r="D159" s="30">
        <f>_xlfn.IFNA(VLOOKUP(A159,'Prior Year data'!$A$1:$V$318,13,FALSE),0)</f>
        <v>4887996.3073310861</v>
      </c>
      <c r="E159">
        <f>VLOOKUP(A159,'Basic HH'!$B$1:$Y$318,23,FALSE)</f>
        <v>2085204.6179455568</v>
      </c>
      <c r="F159">
        <f>VLOOKUP(A159,'Conc. HH'!$B$1:$Y$318,23,FALSE)</f>
        <v>0</v>
      </c>
      <c r="G159">
        <f>VLOOKUP(A159,'Targeted HH'!$B$1:$Y$318,23,FALSE)</f>
        <v>1388888.9937431971</v>
      </c>
      <c r="H159">
        <f>VLOOKUP(A159,'EFIG HH'!$B$1:$Y$318,23,FALSE)</f>
        <v>1843020.6582276828</v>
      </c>
      <c r="I159">
        <f t="shared" si="46"/>
        <v>5317114.2699164366</v>
      </c>
      <c r="J159">
        <f t="shared" si="47"/>
        <v>5317114.2699164366</v>
      </c>
      <c r="K159" s="43">
        <f t="shared" si="48"/>
        <v>4809991.545842601</v>
      </c>
      <c r="L159">
        <f t="shared" si="49"/>
        <v>78004.76148848515</v>
      </c>
      <c r="M159">
        <f t="shared" si="50"/>
        <v>0</v>
      </c>
      <c r="N159" s="43">
        <f t="shared" si="51"/>
        <v>4887996.3073310861</v>
      </c>
      <c r="O159">
        <f t="shared" si="52"/>
        <v>0</v>
      </c>
      <c r="P159">
        <f t="shared" si="53"/>
        <v>0</v>
      </c>
      <c r="Q159" s="43">
        <f t="shared" si="54"/>
        <v>4887996.3073310861</v>
      </c>
      <c r="R159">
        <f t="shared" si="55"/>
        <v>0</v>
      </c>
      <c r="S159">
        <f t="shared" si="56"/>
        <v>0</v>
      </c>
      <c r="T159" s="43">
        <f t="shared" si="57"/>
        <v>4887996.3073310861</v>
      </c>
      <c r="U159">
        <f t="shared" si="58"/>
        <v>0</v>
      </c>
      <c r="V159">
        <f t="shared" si="59"/>
        <v>0</v>
      </c>
      <c r="W159" s="43">
        <f t="shared" si="60"/>
        <v>4887996.3073310861</v>
      </c>
      <c r="X159" s="43">
        <f t="shared" si="61"/>
        <v>429117.9625853505</v>
      </c>
      <c r="Y159" s="27">
        <f t="shared" si="62"/>
        <v>38391.232481136009</v>
      </c>
      <c r="Z159" s="27">
        <f t="shared" si="63"/>
        <v>4849605.0748499501</v>
      </c>
      <c r="AA159">
        <f t="shared" si="64"/>
        <v>0</v>
      </c>
      <c r="AB159" s="27">
        <f t="shared" si="65"/>
        <v>4849605.0748499501</v>
      </c>
      <c r="AD159" s="27">
        <f t="shared" si="66"/>
        <v>0</v>
      </c>
      <c r="AE159" s="27">
        <f t="shared" si="67"/>
        <v>4849605.0748499501</v>
      </c>
      <c r="AF159" s="50"/>
      <c r="AG159" t="str">
        <f t="shared" si="68"/>
        <v>5305430</v>
      </c>
    </row>
    <row r="160" spans="1:33" x14ac:dyDescent="0.25">
      <c r="A160" s="7" t="s">
        <v>484</v>
      </c>
      <c r="B160" s="2" t="s">
        <v>963</v>
      </c>
      <c r="C160" s="4" t="s">
        <v>962</v>
      </c>
      <c r="D160" s="30">
        <f>_xlfn.IFNA(VLOOKUP(A160,'Prior Year data'!$A$1:$V$318,13,FALSE),0)</f>
        <v>339451.1010287652</v>
      </c>
      <c r="E160">
        <f>VLOOKUP(A160,'Basic HH'!$B$1:$Y$318,23,FALSE)</f>
        <v>166218.33521371169</v>
      </c>
      <c r="F160">
        <f>VLOOKUP(A160,'Conc. HH'!$B$1:$Y$318,23,FALSE)</f>
        <v>0</v>
      </c>
      <c r="G160">
        <f>VLOOKUP(A160,'Targeted HH'!$B$1:$Y$318,23,FALSE)</f>
        <v>80385.85815877025</v>
      </c>
      <c r="H160">
        <f>VLOOKUP(A160,'EFIG HH'!$B$1:$Y$318,23,FALSE)</f>
        <v>106670.00594243821</v>
      </c>
      <c r="I160">
        <f t="shared" si="46"/>
        <v>353274.19931492012</v>
      </c>
      <c r="J160">
        <f t="shared" si="47"/>
        <v>353274.19931492012</v>
      </c>
      <c r="K160" s="43">
        <f t="shared" si="48"/>
        <v>319580.47651584231</v>
      </c>
      <c r="L160">
        <f t="shared" si="49"/>
        <v>19870.624512922892</v>
      </c>
      <c r="M160">
        <f t="shared" si="50"/>
        <v>0</v>
      </c>
      <c r="N160" s="43">
        <f t="shared" si="51"/>
        <v>339451.1010287652</v>
      </c>
      <c r="O160">
        <f t="shared" si="52"/>
        <v>0</v>
      </c>
      <c r="P160">
        <f t="shared" si="53"/>
        <v>0</v>
      </c>
      <c r="Q160" s="43">
        <f t="shared" si="54"/>
        <v>339451.1010287652</v>
      </c>
      <c r="R160">
        <f t="shared" si="55"/>
        <v>0</v>
      </c>
      <c r="S160">
        <f t="shared" si="56"/>
        <v>0</v>
      </c>
      <c r="T160" s="43">
        <f t="shared" si="57"/>
        <v>339451.1010287652</v>
      </c>
      <c r="U160">
        <f t="shared" si="58"/>
        <v>0</v>
      </c>
      <c r="V160">
        <f t="shared" si="59"/>
        <v>0</v>
      </c>
      <c r="W160" s="43">
        <f t="shared" si="60"/>
        <v>339451.1010287652</v>
      </c>
      <c r="X160" s="43">
        <f t="shared" si="61"/>
        <v>13823.098286154913</v>
      </c>
      <c r="Y160" s="27">
        <f t="shared" si="62"/>
        <v>2666.1121073326944</v>
      </c>
      <c r="Z160" s="27">
        <f t="shared" si="63"/>
        <v>336784.98892143252</v>
      </c>
      <c r="AA160">
        <f t="shared" si="64"/>
        <v>0</v>
      </c>
      <c r="AB160" s="27">
        <f t="shared" si="65"/>
        <v>336784.98892143252</v>
      </c>
      <c r="AD160" s="27">
        <f t="shared" si="66"/>
        <v>0</v>
      </c>
      <c r="AE160" s="27">
        <f t="shared" si="67"/>
        <v>336784.98892143252</v>
      </c>
      <c r="AF160" s="50"/>
      <c r="AG160" t="str">
        <f t="shared" si="68"/>
        <v>5305460</v>
      </c>
    </row>
    <row r="161" spans="1:33" x14ac:dyDescent="0.25">
      <c r="A161" s="7" t="s">
        <v>486</v>
      </c>
      <c r="B161" s="2" t="s">
        <v>965</v>
      </c>
      <c r="C161" s="4" t="s">
        <v>964</v>
      </c>
      <c r="D161" s="30">
        <f>_xlfn.IFNA(VLOOKUP(A161,'Prior Year data'!$A$1:$V$318,13,FALSE),0)</f>
        <v>158628.66298361492</v>
      </c>
      <c r="E161">
        <f>VLOOKUP(A161,'Basic HH'!$B$1:$Y$318,23,FALSE)</f>
        <v>74754.277741616359</v>
      </c>
      <c r="F161">
        <f>VLOOKUP(A161,'Conc. HH'!$B$1:$Y$318,23,FALSE)</f>
        <v>0</v>
      </c>
      <c r="G161">
        <f>VLOOKUP(A161,'Targeted HH'!$B$1:$Y$318,23,FALSE)</f>
        <v>36152.370071404599</v>
      </c>
      <c r="H161">
        <f>VLOOKUP(A161,'EFIG HH'!$B$1:$Y$318,23,FALSE)</f>
        <v>47973.283095805527</v>
      </c>
      <c r="I161">
        <f t="shared" si="46"/>
        <v>158879.93090882647</v>
      </c>
      <c r="J161">
        <f t="shared" si="47"/>
        <v>158879.93090882647</v>
      </c>
      <c r="K161" s="43">
        <f t="shared" si="48"/>
        <v>143726.66933252165</v>
      </c>
      <c r="L161">
        <f t="shared" si="49"/>
        <v>14901.993651093275</v>
      </c>
      <c r="M161">
        <f t="shared" si="50"/>
        <v>0</v>
      </c>
      <c r="N161" s="43">
        <f t="shared" si="51"/>
        <v>158628.66298361492</v>
      </c>
      <c r="O161">
        <f t="shared" si="52"/>
        <v>0</v>
      </c>
      <c r="P161">
        <f t="shared" si="53"/>
        <v>0</v>
      </c>
      <c r="Q161" s="43">
        <f t="shared" si="54"/>
        <v>158628.66298361492</v>
      </c>
      <c r="R161">
        <f t="shared" si="55"/>
        <v>0</v>
      </c>
      <c r="S161">
        <f t="shared" si="56"/>
        <v>0</v>
      </c>
      <c r="T161" s="43">
        <f t="shared" si="57"/>
        <v>158628.66298361492</v>
      </c>
      <c r="U161">
        <f t="shared" si="58"/>
        <v>0</v>
      </c>
      <c r="V161">
        <f t="shared" si="59"/>
        <v>0</v>
      </c>
      <c r="W161" s="43">
        <f t="shared" si="60"/>
        <v>158628.66298361492</v>
      </c>
      <c r="X161" s="43">
        <f t="shared" si="61"/>
        <v>251.26792521154857</v>
      </c>
      <c r="Y161" s="27">
        <f t="shared" si="62"/>
        <v>1245.8990342611228</v>
      </c>
      <c r="Z161" s="27">
        <f t="shared" si="63"/>
        <v>157382.7639493538</v>
      </c>
      <c r="AA161">
        <f t="shared" si="64"/>
        <v>0</v>
      </c>
      <c r="AB161" s="27">
        <f t="shared" si="65"/>
        <v>157382.7639493538</v>
      </c>
      <c r="AD161" s="27">
        <f t="shared" si="66"/>
        <v>0</v>
      </c>
      <c r="AE161" s="27">
        <f t="shared" si="67"/>
        <v>157382.7639493538</v>
      </c>
      <c r="AF161" s="50"/>
      <c r="AG161" t="str">
        <f t="shared" si="68"/>
        <v>5305490</v>
      </c>
    </row>
    <row r="162" spans="1:33" x14ac:dyDescent="0.25">
      <c r="A162" s="7" t="s">
        <v>488</v>
      </c>
      <c r="B162" s="2" t="s">
        <v>967</v>
      </c>
      <c r="C162" s="4" t="s">
        <v>966</v>
      </c>
      <c r="D162" s="30">
        <f>_xlfn.IFNA(VLOOKUP(A162,'Prior Year data'!$A$1:$V$318,13,FALSE),0)</f>
        <v>73704.390178004614</v>
      </c>
      <c r="E162">
        <f>VLOOKUP(A162,'Basic HH'!$B$1:$Y$318,23,FALSE)</f>
        <v>36057.945734191409</v>
      </c>
      <c r="F162">
        <f>VLOOKUP(A162,'Conc. HH'!$B$1:$Y$318,23,FALSE)</f>
        <v>0</v>
      </c>
      <c r="G162">
        <f>VLOOKUP(A162,'Targeted HH'!$B$1:$Y$318,23,FALSE)</f>
        <v>17438.20203444222</v>
      </c>
      <c r="H162">
        <f>VLOOKUP(A162,'EFIG HH'!$B$1:$Y$318,23,FALSE)</f>
        <v>23140.054199153263</v>
      </c>
      <c r="I162">
        <f t="shared" si="46"/>
        <v>76636.201967786896</v>
      </c>
      <c r="J162">
        <f t="shared" si="47"/>
        <v>76636.201967786896</v>
      </c>
      <c r="K162" s="43">
        <f t="shared" si="48"/>
        <v>69326.981678039854</v>
      </c>
      <c r="L162">
        <f t="shared" si="49"/>
        <v>4377.4084999647603</v>
      </c>
      <c r="M162">
        <f t="shared" si="50"/>
        <v>0</v>
      </c>
      <c r="N162" s="43">
        <f t="shared" si="51"/>
        <v>73704.390178004614</v>
      </c>
      <c r="O162">
        <f t="shared" si="52"/>
        <v>0</v>
      </c>
      <c r="P162">
        <f t="shared" si="53"/>
        <v>0</v>
      </c>
      <c r="Q162" s="43">
        <f t="shared" si="54"/>
        <v>73704.390178004614</v>
      </c>
      <c r="R162">
        <f t="shared" si="55"/>
        <v>0</v>
      </c>
      <c r="S162">
        <f t="shared" si="56"/>
        <v>0</v>
      </c>
      <c r="T162" s="43">
        <f t="shared" si="57"/>
        <v>73704.390178004614</v>
      </c>
      <c r="U162">
        <f t="shared" si="58"/>
        <v>0</v>
      </c>
      <c r="V162">
        <f t="shared" si="59"/>
        <v>0</v>
      </c>
      <c r="W162" s="43">
        <f t="shared" si="60"/>
        <v>73704.390178004614</v>
      </c>
      <c r="X162" s="43">
        <f t="shared" si="61"/>
        <v>2931.8117897822813</v>
      </c>
      <c r="Y162" s="27">
        <f t="shared" si="62"/>
        <v>578.88799424014599</v>
      </c>
      <c r="Z162" s="27">
        <f t="shared" si="63"/>
        <v>73125.502183764474</v>
      </c>
      <c r="AA162">
        <f t="shared" si="64"/>
        <v>0</v>
      </c>
      <c r="AB162" s="27">
        <f t="shared" si="65"/>
        <v>73125.502183764474</v>
      </c>
      <c r="AD162" s="27">
        <f t="shared" si="66"/>
        <v>0</v>
      </c>
      <c r="AE162" s="27">
        <f t="shared" si="67"/>
        <v>73125.502183764474</v>
      </c>
      <c r="AF162" s="50"/>
      <c r="AG162" t="str">
        <f t="shared" si="68"/>
        <v>5305520</v>
      </c>
    </row>
    <row r="163" spans="1:33" x14ac:dyDescent="0.25">
      <c r="A163" s="7" t="s">
        <v>490</v>
      </c>
      <c r="B163" s="2" t="s">
        <v>969</v>
      </c>
      <c r="C163" s="4" t="s">
        <v>968</v>
      </c>
      <c r="D163" s="30">
        <f>_xlfn.IFNA(VLOOKUP(A163,'Prior Year data'!$A$1:$V$318,13,FALSE),0)</f>
        <v>169193.4424531518</v>
      </c>
      <c r="E163">
        <f>VLOOKUP(A163,'Basic HH'!$B$1:$Y$318,23,FALSE)</f>
        <v>67718.581012993629</v>
      </c>
      <c r="F163">
        <f>VLOOKUP(A163,'Conc. HH'!$B$1:$Y$318,23,FALSE)</f>
        <v>18255.160347222667</v>
      </c>
      <c r="G163">
        <f>VLOOKUP(A163,'Targeted HH'!$B$1:$Y$318,23,FALSE)</f>
        <v>53410.076081740328</v>
      </c>
      <c r="H163">
        <f>VLOOKUP(A163,'EFIG HH'!$B$1:$Y$318,23,FALSE)</f>
        <v>70873.823624208424</v>
      </c>
      <c r="I163">
        <f t="shared" si="46"/>
        <v>210257.64106616506</v>
      </c>
      <c r="J163">
        <f t="shared" si="47"/>
        <v>210257.64106616506</v>
      </c>
      <c r="K163" s="43">
        <f t="shared" si="48"/>
        <v>190204.20187301264</v>
      </c>
      <c r="L163">
        <f t="shared" si="49"/>
        <v>0</v>
      </c>
      <c r="M163">
        <f t="shared" si="50"/>
        <v>21010.759419860842</v>
      </c>
      <c r="N163" s="43">
        <f t="shared" si="51"/>
        <v>182628.07396016186</v>
      </c>
      <c r="O163">
        <f t="shared" si="52"/>
        <v>0</v>
      </c>
      <c r="P163">
        <f t="shared" si="53"/>
        <v>13434.631507010054</v>
      </c>
      <c r="Q163" s="43">
        <f t="shared" si="54"/>
        <v>182628.07396016186</v>
      </c>
      <c r="R163">
        <f t="shared" si="55"/>
        <v>0</v>
      </c>
      <c r="S163">
        <f t="shared" si="56"/>
        <v>13434.631507010054</v>
      </c>
      <c r="T163" s="43">
        <f t="shared" si="57"/>
        <v>182628.07396016186</v>
      </c>
      <c r="U163">
        <f t="shared" si="58"/>
        <v>0</v>
      </c>
      <c r="V163">
        <f t="shared" si="59"/>
        <v>13434.631507010054</v>
      </c>
      <c r="W163" s="43">
        <f t="shared" si="60"/>
        <v>182628.07396016186</v>
      </c>
      <c r="X163" s="43">
        <f t="shared" si="61"/>
        <v>27629.567106003204</v>
      </c>
      <c r="Y163" s="27">
        <f t="shared" si="62"/>
        <v>1434.3948735131005</v>
      </c>
      <c r="Z163" s="27">
        <f t="shared" si="63"/>
        <v>181193.67908664874</v>
      </c>
      <c r="AA163">
        <f t="shared" si="64"/>
        <v>0</v>
      </c>
      <c r="AB163" s="27">
        <f t="shared" si="65"/>
        <v>181193.67908664874</v>
      </c>
      <c r="AD163" s="27">
        <f t="shared" si="66"/>
        <v>0</v>
      </c>
      <c r="AE163" s="27">
        <f t="shared" si="67"/>
        <v>181193.67908664874</v>
      </c>
      <c r="AF163" s="50"/>
      <c r="AG163" t="str">
        <f t="shared" si="68"/>
        <v>5305550</v>
      </c>
    </row>
    <row r="164" spans="1:33" x14ac:dyDescent="0.25">
      <c r="A164" s="7" t="s">
        <v>492</v>
      </c>
      <c r="B164" s="2" t="s">
        <v>971</v>
      </c>
      <c r="C164" s="4" t="s">
        <v>970</v>
      </c>
      <c r="D164" s="30">
        <f>_xlfn.IFNA(VLOOKUP(A164,'Prior Year data'!$A$1:$V$318,13,FALSE),0)</f>
        <v>608102.70117077255</v>
      </c>
      <c r="E164">
        <f>VLOOKUP(A164,'Basic HH'!$B$1:$Y$318,23,FALSE)</f>
        <v>217422.06496243982</v>
      </c>
      <c r="F164">
        <f>VLOOKUP(A164,'Conc. HH'!$B$1:$Y$318,23,FALSE)</f>
        <v>58558.761113818153</v>
      </c>
      <c r="G164">
        <f>VLOOKUP(A164,'Targeted HH'!$B$1:$Y$318,23,FALSE)</f>
        <v>120505.35846693911</v>
      </c>
      <c r="H164">
        <f>VLOOKUP(A164,'EFIG HH'!$B$1:$Y$318,23,FALSE)</f>
        <v>163461.93498157669</v>
      </c>
      <c r="I164">
        <f t="shared" si="46"/>
        <v>559948.11952477379</v>
      </c>
      <c r="J164">
        <f t="shared" si="47"/>
        <v>0</v>
      </c>
      <c r="K164" s="43">
        <f t="shared" si="48"/>
        <v>559948.11952477379</v>
      </c>
      <c r="L164">
        <f t="shared" si="49"/>
        <v>0</v>
      </c>
      <c r="M164">
        <f t="shared" si="50"/>
        <v>0</v>
      </c>
      <c r="N164" s="43">
        <f t="shared" si="51"/>
        <v>559948.11952477379</v>
      </c>
      <c r="O164">
        <f t="shared" si="52"/>
        <v>0</v>
      </c>
      <c r="P164">
        <f t="shared" si="53"/>
        <v>0</v>
      </c>
      <c r="Q164" s="43">
        <f t="shared" si="54"/>
        <v>559948.11952477379</v>
      </c>
      <c r="R164">
        <f t="shared" si="55"/>
        <v>0</v>
      </c>
      <c r="S164">
        <f t="shared" si="56"/>
        <v>0</v>
      </c>
      <c r="T164" s="43">
        <f t="shared" si="57"/>
        <v>559948.11952477379</v>
      </c>
      <c r="U164">
        <f t="shared" si="58"/>
        <v>0</v>
      </c>
      <c r="V164">
        <f t="shared" si="59"/>
        <v>0</v>
      </c>
      <c r="W164" s="43">
        <f t="shared" si="60"/>
        <v>559948.11952477379</v>
      </c>
      <c r="X164" s="43">
        <f t="shared" si="61"/>
        <v>0</v>
      </c>
      <c r="Y164" s="27">
        <f t="shared" si="62"/>
        <v>4397.9367173025221</v>
      </c>
      <c r="Z164" s="27">
        <f t="shared" si="63"/>
        <v>555550.18280747125</v>
      </c>
      <c r="AA164">
        <f t="shared" si="64"/>
        <v>0</v>
      </c>
      <c r="AB164" s="27">
        <f t="shared" si="65"/>
        <v>555550.18280747125</v>
      </c>
      <c r="AD164" s="27">
        <f t="shared" si="66"/>
        <v>0</v>
      </c>
      <c r="AE164" s="27">
        <f t="shared" si="67"/>
        <v>555550.18280747125</v>
      </c>
      <c r="AF164" s="50"/>
      <c r="AG164" t="str">
        <f t="shared" si="68"/>
        <v>5305610</v>
      </c>
    </row>
    <row r="165" spans="1:33" x14ac:dyDescent="0.25">
      <c r="A165" s="7" t="s">
        <v>494</v>
      </c>
      <c r="B165" s="2" t="s">
        <v>973</v>
      </c>
      <c r="C165" s="4" t="s">
        <v>972</v>
      </c>
      <c r="D165" s="30">
        <f>_xlfn.IFNA(VLOOKUP(A165,'Prior Year data'!$A$1:$V$318,13,FALSE),0)</f>
        <v>364543.06628524303</v>
      </c>
      <c r="E165">
        <f>VLOOKUP(A165,'Basic HH'!$B$1:$Y$318,23,FALSE)</f>
        <v>132740.67440605481</v>
      </c>
      <c r="F165">
        <f>VLOOKUP(A165,'Conc. HH'!$B$1:$Y$318,23,FALSE)</f>
        <v>34487.876753137563</v>
      </c>
      <c r="G165">
        <f>VLOOKUP(A165,'Targeted HH'!$B$1:$Y$318,23,FALSE)</f>
        <v>61831.277481158024</v>
      </c>
      <c r="H165">
        <f>VLOOKUP(A165,'EFIG HH'!$B$1:$Y$318,23,FALSE)</f>
        <v>83738.930245522148</v>
      </c>
      <c r="I165">
        <f t="shared" si="46"/>
        <v>312798.75888587255</v>
      </c>
      <c r="J165">
        <f t="shared" si="47"/>
        <v>0</v>
      </c>
      <c r="K165" s="43">
        <f t="shared" si="48"/>
        <v>312798.75888587255</v>
      </c>
      <c r="L165">
        <f t="shared" si="49"/>
        <v>0</v>
      </c>
      <c r="M165">
        <f t="shared" si="50"/>
        <v>0</v>
      </c>
      <c r="N165" s="43">
        <f t="shared" si="51"/>
        <v>312798.75888587255</v>
      </c>
      <c r="O165">
        <f t="shared" si="52"/>
        <v>0</v>
      </c>
      <c r="P165">
        <f t="shared" si="53"/>
        <v>0</v>
      </c>
      <c r="Q165" s="43">
        <f t="shared" si="54"/>
        <v>312798.75888587255</v>
      </c>
      <c r="R165">
        <f t="shared" si="55"/>
        <v>0</v>
      </c>
      <c r="S165">
        <f t="shared" si="56"/>
        <v>0</v>
      </c>
      <c r="T165" s="43">
        <f t="shared" si="57"/>
        <v>312798.75888587255</v>
      </c>
      <c r="U165">
        <f t="shared" si="58"/>
        <v>0</v>
      </c>
      <c r="V165">
        <f t="shared" si="59"/>
        <v>0</v>
      </c>
      <c r="W165" s="43">
        <f t="shared" si="60"/>
        <v>312798.75888587255</v>
      </c>
      <c r="X165" s="43">
        <f t="shared" si="61"/>
        <v>0</v>
      </c>
      <c r="Y165" s="27">
        <f t="shared" si="62"/>
        <v>2456.7796530835094</v>
      </c>
      <c r="Z165" s="27">
        <f t="shared" si="63"/>
        <v>310341.97923278902</v>
      </c>
      <c r="AA165">
        <f t="shared" si="64"/>
        <v>0</v>
      </c>
      <c r="AB165" s="27">
        <f t="shared" si="65"/>
        <v>310341.97923278902</v>
      </c>
      <c r="AD165" s="27">
        <f t="shared" si="66"/>
        <v>0</v>
      </c>
      <c r="AE165" s="27">
        <f t="shared" si="67"/>
        <v>310341.97923278902</v>
      </c>
      <c r="AF165" s="50"/>
      <c r="AG165" t="str">
        <f t="shared" si="68"/>
        <v>5305640</v>
      </c>
    </row>
    <row r="166" spans="1:33" x14ac:dyDescent="0.25">
      <c r="A166" s="7" t="s">
        <v>176</v>
      </c>
      <c r="B166" s="2" t="s">
        <v>975</v>
      </c>
      <c r="C166" s="4" t="s">
        <v>974</v>
      </c>
      <c r="D166" s="30">
        <f>_xlfn.IFNA(VLOOKUP(A166,'Prior Year data'!$A$1:$V$318,13,FALSE),0)</f>
        <v>440369.30911398097</v>
      </c>
      <c r="E166">
        <f>VLOOKUP(A166,'Basic HH'!$B$1:$Y$318,23,FALSE)</f>
        <v>183922.38229136838</v>
      </c>
      <c r="F166">
        <f>VLOOKUP(A166,'Conc. HH'!$B$1:$Y$318,23,FALSE)</f>
        <v>0</v>
      </c>
      <c r="G166">
        <f>VLOOKUP(A166,'Targeted HH'!$B$1:$Y$318,23,FALSE)</f>
        <v>88723.995642333961</v>
      </c>
      <c r="H166">
        <f>VLOOKUP(A166,'EFIG HH'!$B$1:$Y$318,23,FALSE)</f>
        <v>120351.46147440243</v>
      </c>
      <c r="I166">
        <f t="shared" si="46"/>
        <v>392997.83940810477</v>
      </c>
      <c r="J166">
        <f t="shared" si="47"/>
        <v>0</v>
      </c>
      <c r="K166" s="43">
        <f t="shared" si="48"/>
        <v>392997.83940810477</v>
      </c>
      <c r="L166">
        <f t="shared" si="49"/>
        <v>0</v>
      </c>
      <c r="M166">
        <f t="shared" si="50"/>
        <v>0</v>
      </c>
      <c r="N166" s="43">
        <f t="shared" si="51"/>
        <v>392997.83940810477</v>
      </c>
      <c r="O166">
        <f t="shared" si="52"/>
        <v>0</v>
      </c>
      <c r="P166">
        <f t="shared" si="53"/>
        <v>0</v>
      </c>
      <c r="Q166" s="43">
        <f t="shared" si="54"/>
        <v>392997.83940810477</v>
      </c>
      <c r="R166">
        <f t="shared" si="55"/>
        <v>0</v>
      </c>
      <c r="S166">
        <f t="shared" si="56"/>
        <v>0</v>
      </c>
      <c r="T166" s="43">
        <f t="shared" si="57"/>
        <v>392997.83940810477</v>
      </c>
      <c r="U166">
        <f t="shared" si="58"/>
        <v>0</v>
      </c>
      <c r="V166">
        <f t="shared" si="59"/>
        <v>0</v>
      </c>
      <c r="W166" s="43">
        <f t="shared" si="60"/>
        <v>392997.83940810477</v>
      </c>
      <c r="X166" s="43">
        <f t="shared" si="61"/>
        <v>0</v>
      </c>
      <c r="Y166" s="27">
        <f t="shared" si="62"/>
        <v>3086.678153719552</v>
      </c>
      <c r="Z166" s="27">
        <f t="shared" si="63"/>
        <v>389911.1612543852</v>
      </c>
      <c r="AA166">
        <f t="shared" si="64"/>
        <v>0</v>
      </c>
      <c r="AB166" s="27">
        <f t="shared" si="65"/>
        <v>389911.1612543852</v>
      </c>
      <c r="AD166" s="27">
        <f t="shared" si="66"/>
        <v>0</v>
      </c>
      <c r="AE166" s="27">
        <f t="shared" si="67"/>
        <v>389911.1612543852</v>
      </c>
      <c r="AF166" s="50"/>
      <c r="AG166" t="str">
        <f t="shared" si="68"/>
        <v>5305670</v>
      </c>
    </row>
    <row r="167" spans="1:33" x14ac:dyDescent="0.25">
      <c r="A167" s="7" t="s">
        <v>496</v>
      </c>
      <c r="B167" s="2" t="s">
        <v>977</v>
      </c>
      <c r="C167" s="4" t="s">
        <v>976</v>
      </c>
      <c r="D167" s="30">
        <f>_xlfn.IFNA(VLOOKUP(A167,'Prior Year data'!$A$1:$V$318,13,FALSE),0)</f>
        <v>331010.76670559053</v>
      </c>
      <c r="E167">
        <f>VLOOKUP(A167,'Basic HH'!$B$1:$Y$318,23,FALSE)</f>
        <v>122245.23065981964</v>
      </c>
      <c r="F167">
        <f>VLOOKUP(A167,'Conc. HH'!$B$1:$Y$318,23,FALSE)</f>
        <v>32954.120626804543</v>
      </c>
      <c r="G167">
        <f>VLOOKUP(A167,'Targeted HH'!$B$1:$Y$318,23,FALSE)</f>
        <v>68769.761397227267</v>
      </c>
      <c r="H167">
        <f>VLOOKUP(A167,'EFIG HH'!$B$1:$Y$318,23,FALSE)</f>
        <v>92229.140910619797</v>
      </c>
      <c r="I167">
        <f t="shared" si="46"/>
        <v>316198.25359447126</v>
      </c>
      <c r="J167">
        <f t="shared" si="47"/>
        <v>0</v>
      </c>
      <c r="K167" s="43">
        <f t="shared" si="48"/>
        <v>316198.25359447126</v>
      </c>
      <c r="L167">
        <f t="shared" si="49"/>
        <v>0</v>
      </c>
      <c r="M167">
        <f t="shared" si="50"/>
        <v>0</v>
      </c>
      <c r="N167" s="43">
        <f t="shared" si="51"/>
        <v>316198.25359447126</v>
      </c>
      <c r="O167">
        <f t="shared" si="52"/>
        <v>0</v>
      </c>
      <c r="P167">
        <f t="shared" si="53"/>
        <v>0</v>
      </c>
      <c r="Q167" s="43">
        <f t="shared" si="54"/>
        <v>316198.25359447126</v>
      </c>
      <c r="R167">
        <f t="shared" si="55"/>
        <v>0</v>
      </c>
      <c r="S167">
        <f t="shared" si="56"/>
        <v>0</v>
      </c>
      <c r="T167" s="43">
        <f t="shared" si="57"/>
        <v>316198.25359447126</v>
      </c>
      <c r="U167">
        <f t="shared" si="58"/>
        <v>0</v>
      </c>
      <c r="V167">
        <f t="shared" si="59"/>
        <v>0</v>
      </c>
      <c r="W167" s="43">
        <f t="shared" si="60"/>
        <v>316198.25359447126</v>
      </c>
      <c r="X167" s="43">
        <f t="shared" si="61"/>
        <v>0</v>
      </c>
      <c r="Y167" s="27">
        <f t="shared" si="62"/>
        <v>2483.4799170506617</v>
      </c>
      <c r="Z167" s="27">
        <f t="shared" si="63"/>
        <v>313714.77367742057</v>
      </c>
      <c r="AA167">
        <f t="shared" si="64"/>
        <v>0</v>
      </c>
      <c r="AB167" s="27">
        <f t="shared" si="65"/>
        <v>313714.77367742057</v>
      </c>
      <c r="AD167" s="27">
        <f t="shared" si="66"/>
        <v>0</v>
      </c>
      <c r="AE167" s="27">
        <f t="shared" si="67"/>
        <v>313714.77367742057</v>
      </c>
      <c r="AF167" s="50"/>
      <c r="AG167" t="str">
        <f t="shared" si="68"/>
        <v>5305700</v>
      </c>
    </row>
    <row r="168" spans="1:33" x14ac:dyDescent="0.25">
      <c r="A168" s="7" t="s">
        <v>498</v>
      </c>
      <c r="B168" s="2" t="s">
        <v>979</v>
      </c>
      <c r="C168" s="4" t="s">
        <v>978</v>
      </c>
      <c r="D168" s="30">
        <f>_xlfn.IFNA(VLOOKUP(A168,'Prior Year data'!$A$1:$V$318,13,FALSE),0)</f>
        <v>763845.99170933105</v>
      </c>
      <c r="E168">
        <f>VLOOKUP(A168,'Basic HH'!$B$1:$Y$318,23,FALSE)</f>
        <v>257343.74984185811</v>
      </c>
      <c r="F168">
        <f>VLOOKUP(A168,'Conc. HH'!$B$1:$Y$318,23,FALSE)</f>
        <v>67805.836841699624</v>
      </c>
      <c r="G168">
        <f>VLOOKUP(A168,'Targeted HH'!$B$1:$Y$318,23,FALSE)</f>
        <v>138609.10609922544</v>
      </c>
      <c r="H168">
        <f>VLOOKUP(A168,'EFIG HH'!$B$1:$Y$318,23,FALSE)</f>
        <v>190520.71777266171</v>
      </c>
      <c r="I168">
        <f t="shared" si="46"/>
        <v>654279.41055544489</v>
      </c>
      <c r="J168">
        <f t="shared" si="47"/>
        <v>0</v>
      </c>
      <c r="K168" s="43">
        <f t="shared" si="48"/>
        <v>654279.41055544489</v>
      </c>
      <c r="L168">
        <f t="shared" si="49"/>
        <v>0</v>
      </c>
      <c r="M168">
        <f t="shared" si="50"/>
        <v>0</v>
      </c>
      <c r="N168" s="43">
        <f t="shared" si="51"/>
        <v>654279.41055544489</v>
      </c>
      <c r="O168">
        <f t="shared" si="52"/>
        <v>0</v>
      </c>
      <c r="P168">
        <f t="shared" si="53"/>
        <v>0</v>
      </c>
      <c r="Q168" s="43">
        <f t="shared" si="54"/>
        <v>654279.41055544489</v>
      </c>
      <c r="R168">
        <f t="shared" si="55"/>
        <v>0</v>
      </c>
      <c r="S168">
        <f t="shared" si="56"/>
        <v>0</v>
      </c>
      <c r="T168" s="43">
        <f t="shared" si="57"/>
        <v>654279.41055544489</v>
      </c>
      <c r="U168">
        <f t="shared" si="58"/>
        <v>0</v>
      </c>
      <c r="V168">
        <f t="shared" si="59"/>
        <v>0</v>
      </c>
      <c r="W168" s="43">
        <f t="shared" si="60"/>
        <v>654279.41055544489</v>
      </c>
      <c r="X168" s="43">
        <f t="shared" si="61"/>
        <v>0</v>
      </c>
      <c r="Y168" s="27">
        <f t="shared" si="62"/>
        <v>5138.8322287767478</v>
      </c>
      <c r="Z168" s="27">
        <f t="shared" si="63"/>
        <v>649140.57832666812</v>
      </c>
      <c r="AA168">
        <f t="shared" si="64"/>
        <v>0</v>
      </c>
      <c r="AB168" s="27">
        <f t="shared" si="65"/>
        <v>649140.57832666812</v>
      </c>
      <c r="AD168" s="27">
        <f t="shared" si="66"/>
        <v>0</v>
      </c>
      <c r="AE168" s="27">
        <f t="shared" si="67"/>
        <v>649140.57832666812</v>
      </c>
      <c r="AF168" s="50"/>
      <c r="AG168" t="str">
        <f t="shared" si="68"/>
        <v>5305730</v>
      </c>
    </row>
    <row r="169" spans="1:33" x14ac:dyDescent="0.25">
      <c r="A169" s="7" t="s">
        <v>178</v>
      </c>
      <c r="B169" s="2" t="s">
        <v>981</v>
      </c>
      <c r="C169" s="4" t="s">
        <v>980</v>
      </c>
      <c r="D169" s="30">
        <f>_xlfn.IFNA(VLOOKUP(A169,'Prior Year data'!$A$1:$V$318,13,FALSE),0)</f>
        <v>919462.26747060753</v>
      </c>
      <c r="E169">
        <f>VLOOKUP(A169,'Basic HH'!$B$1:$Y$318,23,FALSE)</f>
        <v>480186.30172850034</v>
      </c>
      <c r="F169">
        <f>VLOOKUP(A169,'Conc. HH'!$B$1:$Y$318,23,FALSE)</f>
        <v>0</v>
      </c>
      <c r="G169">
        <f>VLOOKUP(A169,'Targeted HH'!$B$1:$Y$318,23,FALSE)</f>
        <v>232225.81245866959</v>
      </c>
      <c r="H169">
        <f>VLOOKUP(A169,'EFIG HH'!$B$1:$Y$318,23,FALSE)</f>
        <v>308157.79494482151</v>
      </c>
      <c r="I169">
        <f t="shared" si="46"/>
        <v>1020569.9091319914</v>
      </c>
      <c r="J169">
        <f t="shared" si="47"/>
        <v>1020569.9091319914</v>
      </c>
      <c r="K169" s="43">
        <f t="shared" si="48"/>
        <v>923232.48771243333</v>
      </c>
      <c r="L169">
        <f t="shared" si="49"/>
        <v>0</v>
      </c>
      <c r="M169">
        <f t="shared" si="50"/>
        <v>3770.2202418257948</v>
      </c>
      <c r="N169" s="43">
        <f t="shared" si="51"/>
        <v>921873.0094450895</v>
      </c>
      <c r="O169">
        <f t="shared" si="52"/>
        <v>0</v>
      </c>
      <c r="P169">
        <f t="shared" si="53"/>
        <v>2410.7419744819636</v>
      </c>
      <c r="Q169" s="43">
        <f t="shared" si="54"/>
        <v>921873.0094450895</v>
      </c>
      <c r="R169">
        <f t="shared" si="55"/>
        <v>0</v>
      </c>
      <c r="S169">
        <f t="shared" si="56"/>
        <v>2410.7419744819636</v>
      </c>
      <c r="T169" s="43">
        <f t="shared" si="57"/>
        <v>921873.0094450895</v>
      </c>
      <c r="U169">
        <f t="shared" si="58"/>
        <v>0</v>
      </c>
      <c r="V169">
        <f t="shared" si="59"/>
        <v>2410.7419744819636</v>
      </c>
      <c r="W169" s="43">
        <f t="shared" si="60"/>
        <v>921873.0094450895</v>
      </c>
      <c r="X169" s="43">
        <f t="shared" si="61"/>
        <v>98696.899686901947</v>
      </c>
      <c r="Y169" s="27">
        <f t="shared" si="62"/>
        <v>7240.562144167282</v>
      </c>
      <c r="Z169" s="27">
        <f t="shared" si="63"/>
        <v>914632.44730092224</v>
      </c>
      <c r="AA169">
        <f t="shared" si="64"/>
        <v>0</v>
      </c>
      <c r="AB169" s="27">
        <f t="shared" si="65"/>
        <v>914632.44730092224</v>
      </c>
      <c r="AD169" s="27">
        <f t="shared" si="66"/>
        <v>0</v>
      </c>
      <c r="AE169" s="27">
        <f t="shared" si="67"/>
        <v>914632.44730092224</v>
      </c>
      <c r="AF169" s="50"/>
      <c r="AG169" t="str">
        <f t="shared" si="68"/>
        <v>5305760</v>
      </c>
    </row>
    <row r="170" spans="1:33" x14ac:dyDescent="0.25">
      <c r="A170" s="7" t="s">
        <v>500</v>
      </c>
      <c r="B170" s="2" t="s">
        <v>983</v>
      </c>
      <c r="C170" s="4" t="s">
        <v>982</v>
      </c>
      <c r="D170" s="30">
        <f>_xlfn.IFNA(VLOOKUP(A170,'Prior Year data'!$A$1:$V$318,13,FALSE),0)</f>
        <v>700312.61587496137</v>
      </c>
      <c r="E170">
        <f>VLOOKUP(A170,'Basic HH'!$B$1:$Y$318,23,FALSE)</f>
        <v>320124.20115233352</v>
      </c>
      <c r="F170">
        <f>VLOOKUP(A170,'Conc. HH'!$B$1:$Y$318,23,FALSE)</f>
        <v>73925.331355520728</v>
      </c>
      <c r="G170">
        <f>VLOOKUP(A170,'Targeted HH'!$B$1:$Y$318,23,FALSE)</f>
        <v>154817.20830577979</v>
      </c>
      <c r="H170">
        <f>VLOOKUP(A170,'EFIG HH'!$B$1:$Y$318,23,FALSE)</f>
        <v>205438.5299632143</v>
      </c>
      <c r="I170">
        <f t="shared" si="46"/>
        <v>754305.27077684843</v>
      </c>
      <c r="J170">
        <f t="shared" si="47"/>
        <v>754305.27077684843</v>
      </c>
      <c r="K170" s="43">
        <f t="shared" si="48"/>
        <v>682362.98699636105</v>
      </c>
      <c r="L170">
        <f t="shared" si="49"/>
        <v>17949.628878600313</v>
      </c>
      <c r="M170">
        <f t="shared" si="50"/>
        <v>0</v>
      </c>
      <c r="N170" s="43">
        <f t="shared" si="51"/>
        <v>700312.61587496137</v>
      </c>
      <c r="O170">
        <f t="shared" si="52"/>
        <v>0</v>
      </c>
      <c r="P170">
        <f t="shared" si="53"/>
        <v>0</v>
      </c>
      <c r="Q170" s="43">
        <f t="shared" si="54"/>
        <v>700312.61587496137</v>
      </c>
      <c r="R170">
        <f t="shared" si="55"/>
        <v>0</v>
      </c>
      <c r="S170">
        <f t="shared" si="56"/>
        <v>0</v>
      </c>
      <c r="T170" s="43">
        <f t="shared" si="57"/>
        <v>700312.61587496137</v>
      </c>
      <c r="U170">
        <f t="shared" si="58"/>
        <v>0</v>
      </c>
      <c r="V170">
        <f t="shared" si="59"/>
        <v>0</v>
      </c>
      <c r="W170" s="43">
        <f t="shared" si="60"/>
        <v>700312.61587496137</v>
      </c>
      <c r="X170" s="43">
        <f t="shared" si="61"/>
        <v>53992.654901887057</v>
      </c>
      <c r="Y170" s="27">
        <f t="shared" si="62"/>
        <v>5500.3855885088005</v>
      </c>
      <c r="Z170" s="27">
        <f t="shared" si="63"/>
        <v>694812.23028645257</v>
      </c>
      <c r="AA170">
        <f t="shared" si="64"/>
        <v>0</v>
      </c>
      <c r="AB170" s="27">
        <f t="shared" si="65"/>
        <v>694812.23028645257</v>
      </c>
      <c r="AD170" s="27">
        <f t="shared" si="66"/>
        <v>0</v>
      </c>
      <c r="AE170" s="27">
        <f t="shared" si="67"/>
        <v>694812.23028645257</v>
      </c>
      <c r="AF170" s="50"/>
      <c r="AG170" t="str">
        <f t="shared" si="68"/>
        <v>5305790</v>
      </c>
    </row>
    <row r="171" spans="1:33" x14ac:dyDescent="0.25">
      <c r="A171" s="7" t="s">
        <v>502</v>
      </c>
      <c r="B171" s="2" t="s">
        <v>985</v>
      </c>
      <c r="C171" s="4" t="s">
        <v>984</v>
      </c>
      <c r="D171" s="30">
        <f>_xlfn.IFNA(VLOOKUP(A171,'Prior Year data'!$A$1:$V$318,13,FALSE),0)</f>
        <v>17551.828687366069</v>
      </c>
      <c r="E171">
        <f>VLOOKUP(A171,'Basic HH'!$B$1:$Y$318,23,FALSE)</f>
        <v>0</v>
      </c>
      <c r="F171">
        <f>VLOOKUP(A171,'Conc. HH'!$B$1:$Y$318,23,FALSE)</f>
        <v>2104.1365660964157</v>
      </c>
      <c r="G171">
        <f>VLOOKUP(A171,'Targeted HH'!$B$1:$Y$318,23,FALSE)</f>
        <v>0</v>
      </c>
      <c r="H171">
        <f>VLOOKUP(A171,'EFIG HH'!$B$1:$Y$318,23,FALSE)</f>
        <v>0</v>
      </c>
      <c r="I171">
        <f t="shared" si="46"/>
        <v>2104.1365660964157</v>
      </c>
      <c r="J171">
        <f t="shared" si="47"/>
        <v>0</v>
      </c>
      <c r="K171" s="43">
        <f t="shared" si="48"/>
        <v>2104.1365660964157</v>
      </c>
      <c r="L171">
        <f t="shared" si="49"/>
        <v>0</v>
      </c>
      <c r="M171">
        <f t="shared" si="50"/>
        <v>0</v>
      </c>
      <c r="N171" s="43">
        <f t="shared" si="51"/>
        <v>2104.1365660964157</v>
      </c>
      <c r="O171">
        <f t="shared" si="52"/>
        <v>0</v>
      </c>
      <c r="P171">
        <f t="shared" si="53"/>
        <v>0</v>
      </c>
      <c r="Q171" s="43">
        <f t="shared" si="54"/>
        <v>2104.1365660964157</v>
      </c>
      <c r="R171">
        <f t="shared" si="55"/>
        <v>0</v>
      </c>
      <c r="S171">
        <f t="shared" si="56"/>
        <v>0</v>
      </c>
      <c r="T171" s="43">
        <f t="shared" si="57"/>
        <v>2104.1365660964157</v>
      </c>
      <c r="U171">
        <f t="shared" si="58"/>
        <v>0</v>
      </c>
      <c r="V171">
        <f t="shared" si="59"/>
        <v>0</v>
      </c>
      <c r="W171" s="43">
        <f t="shared" si="60"/>
        <v>2104.1365660964157</v>
      </c>
      <c r="X171" s="43">
        <f t="shared" si="61"/>
        <v>0</v>
      </c>
      <c r="Y171" s="27">
        <f t="shared" si="62"/>
        <v>16.526280095570268</v>
      </c>
      <c r="Z171" s="27">
        <f t="shared" si="63"/>
        <v>2087.6102860008455</v>
      </c>
      <c r="AA171">
        <f t="shared" si="64"/>
        <v>0</v>
      </c>
      <c r="AB171" s="27">
        <f t="shared" si="65"/>
        <v>2087.6102860008455</v>
      </c>
      <c r="AD171" s="27">
        <f t="shared" si="66"/>
        <v>0</v>
      </c>
      <c r="AE171" s="27">
        <f t="shared" si="67"/>
        <v>2087.6102860008455</v>
      </c>
      <c r="AF171" s="50"/>
      <c r="AG171" t="str">
        <f t="shared" si="68"/>
        <v>5305820</v>
      </c>
    </row>
    <row r="172" spans="1:33" x14ac:dyDescent="0.25">
      <c r="A172" s="7" t="s">
        <v>180</v>
      </c>
      <c r="B172" s="2" t="s">
        <v>987</v>
      </c>
      <c r="C172" s="4" t="s">
        <v>986</v>
      </c>
      <c r="D172" s="30">
        <f>_xlfn.IFNA(VLOOKUP(A172,'Prior Year data'!$A$1:$V$318,13,FALSE),0)</f>
        <v>3148039.6573922336</v>
      </c>
      <c r="E172">
        <f>VLOOKUP(A172,'Basic HH'!$B$1:$Y$318,23,FALSE)</f>
        <v>1285773.5771558012</v>
      </c>
      <c r="F172">
        <f>VLOOKUP(A172,'Conc. HH'!$B$1:$Y$318,23,FALSE)</f>
        <v>0</v>
      </c>
      <c r="G172">
        <f>VLOOKUP(A172,'Targeted HH'!$B$1:$Y$318,23,FALSE)</f>
        <v>785782.39655200019</v>
      </c>
      <c r="H172">
        <f>VLOOKUP(A172,'EFIG HH'!$B$1:$Y$318,23,FALSE)</f>
        <v>1042713.4178764792</v>
      </c>
      <c r="I172">
        <f t="shared" si="46"/>
        <v>3114269.3915842809</v>
      </c>
      <c r="J172">
        <f t="shared" si="47"/>
        <v>0</v>
      </c>
      <c r="K172" s="43">
        <f t="shared" si="48"/>
        <v>3114269.3915842809</v>
      </c>
      <c r="L172">
        <f t="shared" si="49"/>
        <v>0</v>
      </c>
      <c r="M172">
        <f t="shared" si="50"/>
        <v>0</v>
      </c>
      <c r="N172" s="43">
        <f t="shared" si="51"/>
        <v>3114269.3915842809</v>
      </c>
      <c r="O172">
        <f t="shared" si="52"/>
        <v>0</v>
      </c>
      <c r="P172">
        <f t="shared" si="53"/>
        <v>0</v>
      </c>
      <c r="Q172" s="43">
        <f t="shared" si="54"/>
        <v>3114269.3915842809</v>
      </c>
      <c r="R172">
        <f t="shared" si="55"/>
        <v>0</v>
      </c>
      <c r="S172">
        <f t="shared" si="56"/>
        <v>0</v>
      </c>
      <c r="T172" s="43">
        <f t="shared" si="57"/>
        <v>3114269.3915842809</v>
      </c>
      <c r="U172">
        <f t="shared" si="58"/>
        <v>0</v>
      </c>
      <c r="V172">
        <f t="shared" si="59"/>
        <v>0</v>
      </c>
      <c r="W172" s="43">
        <f t="shared" si="60"/>
        <v>3114269.3915842809</v>
      </c>
      <c r="X172" s="43">
        <f t="shared" si="61"/>
        <v>0</v>
      </c>
      <c r="Y172" s="27">
        <f t="shared" si="62"/>
        <v>24460.051256969931</v>
      </c>
      <c r="Z172" s="27">
        <f t="shared" si="63"/>
        <v>3089809.3403273108</v>
      </c>
      <c r="AA172">
        <f t="shared" si="64"/>
        <v>0</v>
      </c>
      <c r="AB172" s="27">
        <f t="shared" si="65"/>
        <v>3089809.3403273108</v>
      </c>
      <c r="AD172" s="27">
        <f t="shared" si="66"/>
        <v>0</v>
      </c>
      <c r="AE172" s="27">
        <f t="shared" si="67"/>
        <v>3089809.3403273108</v>
      </c>
      <c r="AF172" s="50"/>
      <c r="AG172" t="str">
        <f t="shared" si="68"/>
        <v>5305850</v>
      </c>
    </row>
    <row r="173" spans="1:33" x14ac:dyDescent="0.25">
      <c r="A173" s="7" t="s">
        <v>504</v>
      </c>
      <c r="B173" s="2" t="s">
        <v>989</v>
      </c>
      <c r="C173" s="4" t="s">
        <v>988</v>
      </c>
      <c r="D173" s="30">
        <f>_xlfn.IFNA(VLOOKUP(A173,'Prior Year data'!$A$1:$V$318,13,FALSE),0)</f>
        <v>156786.44020856492</v>
      </c>
      <c r="E173">
        <f>VLOOKUP(A173,'Basic HH'!$B$1:$Y$318,23,FALSE)</f>
        <v>51888.263373592512</v>
      </c>
      <c r="F173">
        <f>VLOOKUP(A173,'Conc. HH'!$B$1:$Y$318,23,FALSE)</f>
        <v>13987.720266053726</v>
      </c>
      <c r="G173">
        <f>VLOOKUP(A173,'Targeted HH'!$B$1:$Y$318,23,FALSE)</f>
        <v>37671.132778715684</v>
      </c>
      <c r="H173">
        <f>VLOOKUP(A173,'EFIG HH'!$B$1:$Y$318,23,FALSE)</f>
        <v>51779.651844607513</v>
      </c>
      <c r="I173">
        <f t="shared" si="46"/>
        <v>155326.76826296945</v>
      </c>
      <c r="J173">
        <f t="shared" si="47"/>
        <v>0</v>
      </c>
      <c r="K173" s="43">
        <f t="shared" si="48"/>
        <v>155326.76826296945</v>
      </c>
      <c r="L173">
        <f t="shared" si="49"/>
        <v>0</v>
      </c>
      <c r="M173">
        <f t="shared" si="50"/>
        <v>0</v>
      </c>
      <c r="N173" s="43">
        <f t="shared" si="51"/>
        <v>155326.76826296945</v>
      </c>
      <c r="O173">
        <f t="shared" si="52"/>
        <v>0</v>
      </c>
      <c r="P173">
        <f t="shared" si="53"/>
        <v>0</v>
      </c>
      <c r="Q173" s="43">
        <f t="shared" si="54"/>
        <v>155326.76826296945</v>
      </c>
      <c r="R173">
        <f t="shared" si="55"/>
        <v>0</v>
      </c>
      <c r="S173">
        <f t="shared" si="56"/>
        <v>0</v>
      </c>
      <c r="T173" s="43">
        <f t="shared" si="57"/>
        <v>155326.76826296945</v>
      </c>
      <c r="U173">
        <f t="shared" si="58"/>
        <v>0</v>
      </c>
      <c r="V173">
        <f t="shared" si="59"/>
        <v>0</v>
      </c>
      <c r="W173" s="43">
        <f t="shared" si="60"/>
        <v>155326.76826296945</v>
      </c>
      <c r="X173" s="43">
        <f t="shared" si="61"/>
        <v>0</v>
      </c>
      <c r="Y173" s="27">
        <f t="shared" si="62"/>
        <v>1219.9653387592639</v>
      </c>
      <c r="Z173" s="27">
        <f t="shared" si="63"/>
        <v>154106.80292421018</v>
      </c>
      <c r="AA173">
        <f t="shared" si="64"/>
        <v>0</v>
      </c>
      <c r="AB173" s="27">
        <f t="shared" si="65"/>
        <v>154106.80292421018</v>
      </c>
      <c r="AD173" s="27">
        <f t="shared" si="66"/>
        <v>0</v>
      </c>
      <c r="AE173" s="27">
        <f t="shared" si="67"/>
        <v>154106.80292421018</v>
      </c>
      <c r="AF173" s="50"/>
      <c r="AG173" t="str">
        <f t="shared" si="68"/>
        <v>5305880</v>
      </c>
    </row>
    <row r="174" spans="1:33" x14ac:dyDescent="0.25">
      <c r="A174" s="7" t="s">
        <v>182</v>
      </c>
      <c r="B174" s="2" t="s">
        <v>991</v>
      </c>
      <c r="C174" s="4" t="s">
        <v>990</v>
      </c>
      <c r="D174" s="30">
        <f>_xlfn.IFNA(VLOOKUP(A174,'Prior Year data'!$A$1:$V$318,13,FALSE),0)</f>
        <v>812684.67483330495</v>
      </c>
      <c r="E174">
        <f>VLOOKUP(A174,'Basic HH'!$B$1:$Y$318,23,FALSE)</f>
        <v>930470.89236035408</v>
      </c>
      <c r="F174">
        <f>VLOOKUP(A174,'Conc. HH'!$B$1:$Y$318,23,FALSE)</f>
        <v>0</v>
      </c>
      <c r="G174">
        <f>VLOOKUP(A174,'Targeted HH'!$B$1:$Y$318,23,FALSE)</f>
        <v>0</v>
      </c>
      <c r="H174">
        <f>VLOOKUP(A174,'EFIG HH'!$B$1:$Y$318,23,FALSE)</f>
        <v>0</v>
      </c>
      <c r="I174">
        <f t="shared" si="46"/>
        <v>930470.89236035408</v>
      </c>
      <c r="J174">
        <f t="shared" si="47"/>
        <v>930470.89236035408</v>
      </c>
      <c r="K174" s="43">
        <f t="shared" si="48"/>
        <v>841726.71466326446</v>
      </c>
      <c r="L174">
        <f t="shared" si="49"/>
        <v>0</v>
      </c>
      <c r="M174">
        <f t="shared" si="50"/>
        <v>29042.039829959511</v>
      </c>
      <c r="N174" s="43">
        <f t="shared" si="51"/>
        <v>831254.64155990502</v>
      </c>
      <c r="O174">
        <f t="shared" si="52"/>
        <v>0</v>
      </c>
      <c r="P174">
        <f t="shared" si="53"/>
        <v>18569.966726600076</v>
      </c>
      <c r="Q174" s="43">
        <f t="shared" si="54"/>
        <v>831254.64155990502</v>
      </c>
      <c r="R174">
        <f t="shared" si="55"/>
        <v>0</v>
      </c>
      <c r="S174">
        <f t="shared" si="56"/>
        <v>18569.966726600076</v>
      </c>
      <c r="T174" s="43">
        <f t="shared" si="57"/>
        <v>831254.64155990502</v>
      </c>
      <c r="U174">
        <f t="shared" si="58"/>
        <v>0</v>
      </c>
      <c r="V174">
        <f t="shared" si="59"/>
        <v>18569.966726600076</v>
      </c>
      <c r="W174" s="43">
        <f t="shared" si="60"/>
        <v>831254.64155990502</v>
      </c>
      <c r="X174" s="43">
        <f t="shared" si="61"/>
        <v>99216.250800449052</v>
      </c>
      <c r="Y174" s="27">
        <f t="shared" si="62"/>
        <v>6528.8286219214797</v>
      </c>
      <c r="Z174" s="27">
        <f t="shared" si="63"/>
        <v>824725.81293798354</v>
      </c>
      <c r="AA174">
        <f t="shared" si="64"/>
        <v>0</v>
      </c>
      <c r="AB174" s="27">
        <f t="shared" si="65"/>
        <v>824725.81293798354</v>
      </c>
      <c r="AD174" s="27">
        <f t="shared" si="66"/>
        <v>0</v>
      </c>
      <c r="AE174" s="27">
        <f t="shared" si="67"/>
        <v>824725.81293798354</v>
      </c>
      <c r="AF174" s="50"/>
      <c r="AG174" t="str">
        <f t="shared" si="68"/>
        <v>5305910</v>
      </c>
    </row>
    <row r="175" spans="1:33" x14ac:dyDescent="0.25">
      <c r="A175" s="7" t="s">
        <v>184</v>
      </c>
      <c r="B175" s="2" t="s">
        <v>993</v>
      </c>
      <c r="C175" s="4" t="s">
        <v>992</v>
      </c>
      <c r="D175" s="30">
        <f>_xlfn.IFNA(VLOOKUP(A175,'Prior Year data'!$A$1:$V$318,13,FALSE),0)</f>
        <v>942701.63726035494</v>
      </c>
      <c r="E175">
        <f>VLOOKUP(A175,'Basic HH'!$B$1:$Y$318,23,FALSE)</f>
        <v>461717.59781586565</v>
      </c>
      <c r="F175">
        <f>VLOOKUP(A175,'Conc. HH'!$B$1:$Y$318,23,FALSE)</f>
        <v>0</v>
      </c>
      <c r="G175">
        <f>VLOOKUP(A175,'Targeted HH'!$B$1:$Y$318,23,FALSE)</f>
        <v>223294.05044102852</v>
      </c>
      <c r="H175">
        <f>VLOOKUP(A175,'EFIG HH'!$B$1:$Y$318,23,FALSE)</f>
        <v>296305.57206232828</v>
      </c>
      <c r="I175">
        <f t="shared" si="46"/>
        <v>981317.22031922243</v>
      </c>
      <c r="J175">
        <f t="shared" si="47"/>
        <v>981317.22031922243</v>
      </c>
      <c r="K175" s="43">
        <f t="shared" si="48"/>
        <v>887723.54587733967</v>
      </c>
      <c r="L175">
        <f t="shared" si="49"/>
        <v>54978.091383015271</v>
      </c>
      <c r="M175">
        <f t="shared" si="50"/>
        <v>0</v>
      </c>
      <c r="N175" s="43">
        <f t="shared" si="51"/>
        <v>942701.63726035494</v>
      </c>
      <c r="O175">
        <f t="shared" si="52"/>
        <v>0</v>
      </c>
      <c r="P175">
        <f t="shared" si="53"/>
        <v>0</v>
      </c>
      <c r="Q175" s="43">
        <f t="shared" si="54"/>
        <v>942701.63726035494</v>
      </c>
      <c r="R175">
        <f t="shared" si="55"/>
        <v>0</v>
      </c>
      <c r="S175">
        <f t="shared" si="56"/>
        <v>0</v>
      </c>
      <c r="T175" s="43">
        <f t="shared" si="57"/>
        <v>942701.63726035494</v>
      </c>
      <c r="U175">
        <f t="shared" si="58"/>
        <v>0</v>
      </c>
      <c r="V175">
        <f t="shared" si="59"/>
        <v>0</v>
      </c>
      <c r="W175" s="43">
        <f t="shared" si="60"/>
        <v>942701.63726035494</v>
      </c>
      <c r="X175" s="43">
        <f t="shared" si="61"/>
        <v>38615.583058867487</v>
      </c>
      <c r="Y175" s="27">
        <f t="shared" si="62"/>
        <v>7404.1540624998725</v>
      </c>
      <c r="Z175" s="27">
        <f t="shared" si="63"/>
        <v>935297.48319785506</v>
      </c>
      <c r="AA175">
        <f t="shared" si="64"/>
        <v>0</v>
      </c>
      <c r="AB175" s="27">
        <f t="shared" si="65"/>
        <v>935297.48319785506</v>
      </c>
      <c r="AD175" s="27">
        <f t="shared" si="66"/>
        <v>0</v>
      </c>
      <c r="AE175" s="27">
        <f t="shared" si="67"/>
        <v>935297.48319785506</v>
      </c>
      <c r="AF175" s="50"/>
      <c r="AG175" t="str">
        <f t="shared" si="68"/>
        <v>5305940</v>
      </c>
    </row>
    <row r="176" spans="1:33" x14ac:dyDescent="0.25">
      <c r="A176" s="7" t="s">
        <v>186</v>
      </c>
      <c r="B176" s="2" t="s">
        <v>995</v>
      </c>
      <c r="C176" s="4" t="s">
        <v>994</v>
      </c>
      <c r="D176" s="30">
        <f>_xlfn.IFNA(VLOOKUP(A176,'Prior Year data'!$A$1:$V$318,13,FALSE),0)</f>
        <v>0</v>
      </c>
      <c r="E176">
        <f>VLOOKUP(A176,'Basic HH'!$B$1:$Y$318,23,FALSE)</f>
        <v>9674.0830018562319</v>
      </c>
      <c r="F176">
        <f>VLOOKUP(A176,'Conc. HH'!$B$1:$Y$318,23,FALSE)</f>
        <v>0</v>
      </c>
      <c r="G176">
        <f>VLOOKUP(A176,'Targeted HH'!$B$1:$Y$318,23,FALSE)</f>
        <v>4678.5420092405975</v>
      </c>
      <c r="H176">
        <f>VLOOKUP(A176,'EFIG HH'!$B$1:$Y$318,23,FALSE)</f>
        <v>6208.3072241630689</v>
      </c>
      <c r="I176">
        <f t="shared" si="46"/>
        <v>20560.932235259897</v>
      </c>
      <c r="J176">
        <f t="shared" si="47"/>
        <v>20560.932235259897</v>
      </c>
      <c r="K176" s="43">
        <f t="shared" si="48"/>
        <v>18599.921913620448</v>
      </c>
      <c r="L176">
        <f t="shared" si="49"/>
        <v>0</v>
      </c>
      <c r="M176">
        <f t="shared" si="50"/>
        <v>18599.921913620448</v>
      </c>
      <c r="N176" s="43">
        <f t="shared" si="51"/>
        <v>11893.101623563627</v>
      </c>
      <c r="O176">
        <f t="shared" si="52"/>
        <v>0</v>
      </c>
      <c r="P176">
        <f t="shared" si="53"/>
        <v>11893.101623563627</v>
      </c>
      <c r="Q176" s="43">
        <f t="shared" si="54"/>
        <v>11893.101623563627</v>
      </c>
      <c r="R176">
        <f t="shared" si="55"/>
        <v>0</v>
      </c>
      <c r="S176">
        <f t="shared" si="56"/>
        <v>11893.101623563627</v>
      </c>
      <c r="T176" s="43">
        <f t="shared" si="57"/>
        <v>11893.101623563627</v>
      </c>
      <c r="U176">
        <f t="shared" si="58"/>
        <v>0</v>
      </c>
      <c r="V176">
        <f t="shared" si="59"/>
        <v>11893.101623563627</v>
      </c>
      <c r="W176" s="43">
        <f t="shared" si="60"/>
        <v>11893.101623563627</v>
      </c>
      <c r="X176" s="43">
        <f t="shared" si="61"/>
        <v>8667.8306116962704</v>
      </c>
      <c r="Y176" s="27">
        <f t="shared" si="62"/>
        <v>93.410633037346187</v>
      </c>
      <c r="Z176" s="27">
        <f t="shared" si="63"/>
        <v>11799.69099052628</v>
      </c>
      <c r="AA176">
        <f t="shared" si="64"/>
        <v>0</v>
      </c>
      <c r="AB176" s="27">
        <f t="shared" si="65"/>
        <v>11799.69099052628</v>
      </c>
      <c r="AD176" s="27">
        <f t="shared" si="66"/>
        <v>0</v>
      </c>
      <c r="AE176" s="27">
        <f t="shared" si="67"/>
        <v>11799.69099052628</v>
      </c>
      <c r="AF176" s="50"/>
      <c r="AG176" t="str">
        <f t="shared" si="68"/>
        <v>5305970</v>
      </c>
    </row>
    <row r="177" spans="1:33" x14ac:dyDescent="0.25">
      <c r="A177" s="7" t="s">
        <v>506</v>
      </c>
      <c r="B177" s="2" t="s">
        <v>997</v>
      </c>
      <c r="C177" s="4" t="s">
        <v>996</v>
      </c>
      <c r="D177" s="30">
        <f>_xlfn.IFNA(VLOOKUP(A177,'Prior Year data'!$A$1:$V$318,13,FALSE),0)</f>
        <v>219894.23057426311</v>
      </c>
      <c r="E177">
        <f>VLOOKUP(A177,'Basic HH'!$B$1:$Y$318,23,FALSE)</f>
        <v>73714.833714291832</v>
      </c>
      <c r="F177">
        <f>VLOOKUP(A177,'Conc. HH'!$B$1:$Y$318,23,FALSE)</f>
        <v>19422.643801202968</v>
      </c>
      <c r="G177">
        <f>VLOOKUP(A177,'Targeted HH'!$B$1:$Y$318,23,FALSE)</f>
        <v>48106.896243049909</v>
      </c>
      <c r="H177">
        <f>VLOOKUP(A177,'EFIG HH'!$B$1:$Y$318,23,FALSE)</f>
        <v>66123.79705760222</v>
      </c>
      <c r="I177">
        <f t="shared" si="46"/>
        <v>207368.17081614694</v>
      </c>
      <c r="J177">
        <f t="shared" si="47"/>
        <v>0</v>
      </c>
      <c r="K177" s="43">
        <f t="shared" si="48"/>
        <v>207368.17081614694</v>
      </c>
      <c r="L177">
        <f t="shared" si="49"/>
        <v>0</v>
      </c>
      <c r="M177">
        <f t="shared" si="50"/>
        <v>0</v>
      </c>
      <c r="N177" s="43">
        <f t="shared" si="51"/>
        <v>207368.17081614694</v>
      </c>
      <c r="O177">
        <f t="shared" si="52"/>
        <v>0</v>
      </c>
      <c r="P177">
        <f t="shared" si="53"/>
        <v>0</v>
      </c>
      <c r="Q177" s="43">
        <f t="shared" si="54"/>
        <v>207368.17081614694</v>
      </c>
      <c r="R177">
        <f t="shared" si="55"/>
        <v>0</v>
      </c>
      <c r="S177">
        <f t="shared" si="56"/>
        <v>0</v>
      </c>
      <c r="T177" s="43">
        <f t="shared" si="57"/>
        <v>207368.17081614694</v>
      </c>
      <c r="U177">
        <f t="shared" si="58"/>
        <v>0</v>
      </c>
      <c r="V177">
        <f t="shared" si="59"/>
        <v>0</v>
      </c>
      <c r="W177" s="43">
        <f t="shared" si="60"/>
        <v>207368.17081614694</v>
      </c>
      <c r="X177" s="43">
        <f t="shared" si="61"/>
        <v>0</v>
      </c>
      <c r="Y177" s="27">
        <f t="shared" si="62"/>
        <v>1628.7081974776497</v>
      </c>
      <c r="Z177" s="27">
        <f t="shared" si="63"/>
        <v>205739.46261866929</v>
      </c>
      <c r="AA177">
        <f t="shared" si="64"/>
        <v>0</v>
      </c>
      <c r="AB177" s="27">
        <f t="shared" si="65"/>
        <v>205739.46261866929</v>
      </c>
      <c r="AD177" s="27">
        <f t="shared" si="66"/>
        <v>0</v>
      </c>
      <c r="AE177" s="27">
        <f t="shared" si="67"/>
        <v>205739.46261866929</v>
      </c>
      <c r="AF177" s="50"/>
      <c r="AG177" t="str">
        <f t="shared" si="68"/>
        <v>5306000</v>
      </c>
    </row>
    <row r="178" spans="1:33" x14ac:dyDescent="0.25">
      <c r="A178" s="7" t="s">
        <v>508</v>
      </c>
      <c r="B178" s="2" t="s">
        <v>999</v>
      </c>
      <c r="C178" s="4" t="s">
        <v>998</v>
      </c>
      <c r="D178" s="30">
        <f>_xlfn.IFNA(VLOOKUP(A178,'Prior Year data'!$A$1:$V$318,13,FALSE),0)</f>
        <v>393368.96393928782</v>
      </c>
      <c r="E178">
        <f>VLOOKUP(A178,'Basic HH'!$B$1:$Y$318,23,FALSE)</f>
        <v>153290.37673610865</v>
      </c>
      <c r="F178">
        <f>VLOOKUP(A178,'Conc. HH'!$B$1:$Y$318,23,FALSE)</f>
        <v>41241.076695489755</v>
      </c>
      <c r="G178">
        <f>VLOOKUP(A178,'Targeted HH'!$B$1:$Y$318,23,FALSE)</f>
        <v>84308.213068853031</v>
      </c>
      <c r="H178">
        <f>VLOOKUP(A178,'EFIG HH'!$B$1:$Y$318,23,FALSE)</f>
        <v>114361.58373699755</v>
      </c>
      <c r="I178">
        <f t="shared" si="46"/>
        <v>393201.25023744901</v>
      </c>
      <c r="J178">
        <f t="shared" si="47"/>
        <v>0</v>
      </c>
      <c r="K178" s="43">
        <f t="shared" si="48"/>
        <v>393201.25023744901</v>
      </c>
      <c r="L178">
        <f t="shared" si="49"/>
        <v>0</v>
      </c>
      <c r="M178">
        <f t="shared" si="50"/>
        <v>0</v>
      </c>
      <c r="N178" s="43">
        <f t="shared" si="51"/>
        <v>393201.25023744901</v>
      </c>
      <c r="O178">
        <f t="shared" si="52"/>
        <v>0</v>
      </c>
      <c r="P178">
        <f t="shared" si="53"/>
        <v>0</v>
      </c>
      <c r="Q178" s="43">
        <f t="shared" si="54"/>
        <v>393201.25023744901</v>
      </c>
      <c r="R178">
        <f t="shared" si="55"/>
        <v>0</v>
      </c>
      <c r="S178">
        <f t="shared" si="56"/>
        <v>0</v>
      </c>
      <c r="T178" s="43">
        <f t="shared" si="57"/>
        <v>393201.25023744901</v>
      </c>
      <c r="U178">
        <f t="shared" si="58"/>
        <v>0</v>
      </c>
      <c r="V178">
        <f t="shared" si="59"/>
        <v>0</v>
      </c>
      <c r="W178" s="43">
        <f t="shared" si="60"/>
        <v>393201.25023744901</v>
      </c>
      <c r="X178" s="43">
        <f t="shared" si="61"/>
        <v>0</v>
      </c>
      <c r="Y178" s="27">
        <f t="shared" si="62"/>
        <v>3088.275780220788</v>
      </c>
      <c r="Z178" s="27">
        <f t="shared" si="63"/>
        <v>390112.97445722821</v>
      </c>
      <c r="AA178">
        <f t="shared" si="64"/>
        <v>0</v>
      </c>
      <c r="AB178" s="27">
        <f t="shared" si="65"/>
        <v>390112.97445722821</v>
      </c>
      <c r="AD178" s="27">
        <f t="shared" si="66"/>
        <v>0</v>
      </c>
      <c r="AE178" s="27">
        <f t="shared" si="67"/>
        <v>390112.97445722821</v>
      </c>
      <c r="AF178" s="50"/>
      <c r="AG178" t="str">
        <f t="shared" si="68"/>
        <v>5306060</v>
      </c>
    </row>
    <row r="179" spans="1:33" x14ac:dyDescent="0.25">
      <c r="A179" s="7" t="s">
        <v>510</v>
      </c>
      <c r="B179" s="2" t="s">
        <v>1001</v>
      </c>
      <c r="C179" s="4" t="s">
        <v>1000</v>
      </c>
      <c r="D179" s="30">
        <f>_xlfn.IFNA(VLOOKUP(A179,'Prior Year data'!$A$1:$V$318,13,FALSE),0)</f>
        <v>447224.16088599339</v>
      </c>
      <c r="E179">
        <f>VLOOKUP(A179,'Basic HH'!$B$1:$Y$318,23,FALSE)</f>
        <v>137286.13463806658</v>
      </c>
      <c r="F179">
        <f>VLOOKUP(A179,'Conc. HH'!$B$1:$Y$318,23,FALSE)</f>
        <v>36172.63388606393</v>
      </c>
      <c r="G179">
        <f>VLOOKUP(A179,'Targeted HH'!$B$1:$Y$318,23,FALSE)</f>
        <v>101987.43770218735</v>
      </c>
      <c r="H179">
        <f>VLOOKUP(A179,'EFIG HH'!$B$1:$Y$318,23,FALSE)</f>
        <v>140183.57366005657</v>
      </c>
      <c r="I179">
        <f t="shared" si="46"/>
        <v>415629.77988637442</v>
      </c>
      <c r="J179">
        <f t="shared" si="47"/>
        <v>0</v>
      </c>
      <c r="K179" s="43">
        <f t="shared" si="48"/>
        <v>415629.77988637442</v>
      </c>
      <c r="L179">
        <f t="shared" si="49"/>
        <v>0</v>
      </c>
      <c r="M179">
        <f t="shared" si="50"/>
        <v>0</v>
      </c>
      <c r="N179" s="43">
        <f t="shared" si="51"/>
        <v>415629.77988637442</v>
      </c>
      <c r="O179">
        <f t="shared" si="52"/>
        <v>0</v>
      </c>
      <c r="P179">
        <f t="shared" si="53"/>
        <v>0</v>
      </c>
      <c r="Q179" s="43">
        <f t="shared" si="54"/>
        <v>415629.77988637442</v>
      </c>
      <c r="R179">
        <f t="shared" si="55"/>
        <v>0</v>
      </c>
      <c r="S179">
        <f t="shared" si="56"/>
        <v>0</v>
      </c>
      <c r="T179" s="43">
        <f t="shared" si="57"/>
        <v>415629.77988637442</v>
      </c>
      <c r="U179">
        <f t="shared" si="58"/>
        <v>0</v>
      </c>
      <c r="V179">
        <f t="shared" si="59"/>
        <v>0</v>
      </c>
      <c r="W179" s="43">
        <f t="shared" si="60"/>
        <v>415629.77988637442</v>
      </c>
      <c r="X179" s="43">
        <f t="shared" si="61"/>
        <v>0</v>
      </c>
      <c r="Y179" s="27">
        <f t="shared" si="62"/>
        <v>3264.4336252401304</v>
      </c>
      <c r="Z179" s="27">
        <f t="shared" si="63"/>
        <v>412365.34626113431</v>
      </c>
      <c r="AA179">
        <f t="shared" si="64"/>
        <v>0</v>
      </c>
      <c r="AB179" s="27">
        <f t="shared" si="65"/>
        <v>412365.34626113431</v>
      </c>
      <c r="AD179" s="27">
        <f t="shared" si="66"/>
        <v>0</v>
      </c>
      <c r="AE179" s="27">
        <f t="shared" si="67"/>
        <v>412365.34626113431</v>
      </c>
      <c r="AF179" s="50"/>
      <c r="AG179" t="str">
        <f t="shared" si="68"/>
        <v>5306090</v>
      </c>
    </row>
    <row r="180" spans="1:33" x14ac:dyDescent="0.25">
      <c r="A180" s="7" t="s">
        <v>287</v>
      </c>
      <c r="B180" s="2" t="s">
        <v>1003</v>
      </c>
      <c r="C180" s="4" t="s">
        <v>1002</v>
      </c>
      <c r="D180" s="30">
        <f>_xlfn.IFNA(VLOOKUP(A180,'Prior Year data'!$A$1:$V$318,13,FALSE),0)</f>
        <v>73196.590823053106</v>
      </c>
      <c r="E180">
        <f>VLOOKUP(A180,'Basic HH'!$B$1:$Y$318,23,FALSE)</f>
        <v>33419.559460957877</v>
      </c>
      <c r="F180">
        <f>VLOOKUP(A180,'Conc. HH'!$B$1:$Y$318,23,FALSE)</f>
        <v>0</v>
      </c>
      <c r="G180">
        <f>VLOOKUP(A180,'Targeted HH'!$B$1:$Y$318,23,FALSE)</f>
        <v>16162.236031922057</v>
      </c>
      <c r="H180">
        <f>VLOOKUP(A180,'EFIG HH'!$B$1:$Y$318,23,FALSE)</f>
        <v>21750.264121879965</v>
      </c>
      <c r="I180">
        <f t="shared" si="46"/>
        <v>71332.059614759899</v>
      </c>
      <c r="J180">
        <f t="shared" si="47"/>
        <v>0</v>
      </c>
      <c r="K180" s="43">
        <f t="shared" si="48"/>
        <v>71332.059614759899</v>
      </c>
      <c r="L180">
        <f t="shared" si="49"/>
        <v>0</v>
      </c>
      <c r="M180">
        <f t="shared" si="50"/>
        <v>0</v>
      </c>
      <c r="N180" s="43">
        <f t="shared" si="51"/>
        <v>71332.059614759899</v>
      </c>
      <c r="O180">
        <f t="shared" si="52"/>
        <v>0</v>
      </c>
      <c r="P180">
        <f t="shared" si="53"/>
        <v>0</v>
      </c>
      <c r="Q180" s="43">
        <f t="shared" si="54"/>
        <v>71332.059614759899</v>
      </c>
      <c r="R180">
        <f t="shared" si="55"/>
        <v>0</v>
      </c>
      <c r="S180">
        <f t="shared" si="56"/>
        <v>0</v>
      </c>
      <c r="T180" s="43">
        <f t="shared" si="57"/>
        <v>71332.059614759899</v>
      </c>
      <c r="U180">
        <f t="shared" si="58"/>
        <v>0</v>
      </c>
      <c r="V180">
        <f t="shared" si="59"/>
        <v>0</v>
      </c>
      <c r="W180" s="43">
        <f t="shared" si="60"/>
        <v>71332.059614759899</v>
      </c>
      <c r="X180" s="43">
        <f t="shared" si="61"/>
        <v>0</v>
      </c>
      <c r="Y180" s="27">
        <f t="shared" si="62"/>
        <v>560.25526858954879</v>
      </c>
      <c r="Z180" s="27">
        <f t="shared" si="63"/>
        <v>70771.804346170349</v>
      </c>
      <c r="AA180">
        <f t="shared" si="64"/>
        <v>0</v>
      </c>
      <c r="AB180" s="27">
        <f t="shared" si="65"/>
        <v>70771.804346170349</v>
      </c>
      <c r="AD180" s="27">
        <f t="shared" si="66"/>
        <v>0</v>
      </c>
      <c r="AE180" s="27">
        <f t="shared" si="67"/>
        <v>70771.804346170349</v>
      </c>
      <c r="AF180" s="50"/>
      <c r="AG180" t="str">
        <f t="shared" si="68"/>
        <v>5306120</v>
      </c>
    </row>
    <row r="181" spans="1:33" x14ac:dyDescent="0.25">
      <c r="A181" s="7" t="s">
        <v>512</v>
      </c>
      <c r="B181" s="2" t="s">
        <v>1005</v>
      </c>
      <c r="C181" s="4" t="s">
        <v>1004</v>
      </c>
      <c r="D181" s="30">
        <f>_xlfn.IFNA(VLOOKUP(A181,'Prior Year data'!$A$1:$V$318,13,FALSE),0)</f>
        <v>464895.16593520448</v>
      </c>
      <c r="E181">
        <f>VLOOKUP(A181,'Basic HH'!$B$1:$Y$318,23,FALSE)</f>
        <v>153527.45130701046</v>
      </c>
      <c r="F181">
        <f>VLOOKUP(A181,'Conc. HH'!$B$1:$Y$318,23,FALSE)</f>
        <v>39918.368212003705</v>
      </c>
      <c r="G181">
        <f>VLOOKUP(A181,'Targeted HH'!$B$1:$Y$318,23,FALSE)</f>
        <v>96922.255362238822</v>
      </c>
      <c r="H181">
        <f>VLOOKUP(A181,'EFIG HH'!$B$1:$Y$318,23,FALSE)</f>
        <v>131266.35157710139</v>
      </c>
      <c r="I181">
        <f t="shared" si="46"/>
        <v>421634.42645835434</v>
      </c>
      <c r="J181">
        <f t="shared" si="47"/>
        <v>0</v>
      </c>
      <c r="K181" s="43">
        <f t="shared" si="48"/>
        <v>421634.42645835434</v>
      </c>
      <c r="L181">
        <f t="shared" si="49"/>
        <v>0</v>
      </c>
      <c r="M181">
        <f t="shared" si="50"/>
        <v>0</v>
      </c>
      <c r="N181" s="43">
        <f t="shared" si="51"/>
        <v>421634.42645835434</v>
      </c>
      <c r="O181">
        <f t="shared" si="52"/>
        <v>0</v>
      </c>
      <c r="P181">
        <f t="shared" si="53"/>
        <v>0</v>
      </c>
      <c r="Q181" s="43">
        <f t="shared" si="54"/>
        <v>421634.42645835434</v>
      </c>
      <c r="R181">
        <f t="shared" si="55"/>
        <v>0</v>
      </c>
      <c r="S181">
        <f t="shared" si="56"/>
        <v>0</v>
      </c>
      <c r="T181" s="43">
        <f t="shared" si="57"/>
        <v>421634.42645835434</v>
      </c>
      <c r="U181">
        <f t="shared" si="58"/>
        <v>0</v>
      </c>
      <c r="V181">
        <f t="shared" si="59"/>
        <v>0</v>
      </c>
      <c r="W181" s="43">
        <f t="shared" si="60"/>
        <v>421634.42645835434</v>
      </c>
      <c r="X181" s="43">
        <f t="shared" si="61"/>
        <v>0</v>
      </c>
      <c r="Y181" s="27">
        <f t="shared" si="62"/>
        <v>3311.5952366689676</v>
      </c>
      <c r="Z181" s="27">
        <f t="shared" si="63"/>
        <v>418322.8312216854</v>
      </c>
      <c r="AA181">
        <f t="shared" si="64"/>
        <v>0</v>
      </c>
      <c r="AB181" s="27">
        <f t="shared" si="65"/>
        <v>418322.8312216854</v>
      </c>
      <c r="AD181" s="27">
        <f t="shared" si="66"/>
        <v>0</v>
      </c>
      <c r="AE181" s="27">
        <f t="shared" si="67"/>
        <v>418322.8312216854</v>
      </c>
      <c r="AF181" s="50"/>
      <c r="AG181" t="str">
        <f t="shared" si="68"/>
        <v>5306150</v>
      </c>
    </row>
    <row r="182" spans="1:33" x14ac:dyDescent="0.25">
      <c r="A182" s="7" t="s">
        <v>188</v>
      </c>
      <c r="B182" s="2" t="s">
        <v>1007</v>
      </c>
      <c r="C182" s="4" t="s">
        <v>1006</v>
      </c>
      <c r="D182" s="30">
        <f>_xlfn.IFNA(VLOOKUP(A182,'Prior Year data'!$A$1:$V$318,13,FALSE),0)</f>
        <v>1855916.9213288403</v>
      </c>
      <c r="E182">
        <f>VLOOKUP(A182,'Basic HH'!$B$1:$Y$318,23,FALSE)</f>
        <v>709725.90749981639</v>
      </c>
      <c r="F182">
        <f>VLOOKUP(A182,'Conc. HH'!$B$1:$Y$318,23,FALSE)</f>
        <v>0</v>
      </c>
      <c r="G182">
        <f>VLOOKUP(A182,'Targeted HH'!$B$1:$Y$318,23,FALSE)</f>
        <v>383881.60407740384</v>
      </c>
      <c r="H182">
        <f>VLOOKUP(A182,'EFIG HH'!$B$1:$Y$318,23,FALSE)</f>
        <v>527652.19260696508</v>
      </c>
      <c r="I182">
        <f t="shared" si="46"/>
        <v>1621259.7041841852</v>
      </c>
      <c r="J182">
        <f t="shared" si="47"/>
        <v>0</v>
      </c>
      <c r="K182" s="43">
        <f t="shared" si="48"/>
        <v>1621259.7041841852</v>
      </c>
      <c r="L182">
        <f t="shared" si="49"/>
        <v>0</v>
      </c>
      <c r="M182">
        <f t="shared" si="50"/>
        <v>0</v>
      </c>
      <c r="N182" s="43">
        <f t="shared" si="51"/>
        <v>1621259.7041841852</v>
      </c>
      <c r="O182">
        <f t="shared" si="52"/>
        <v>0</v>
      </c>
      <c r="P182">
        <f t="shared" si="53"/>
        <v>0</v>
      </c>
      <c r="Q182" s="43">
        <f t="shared" si="54"/>
        <v>1621259.7041841852</v>
      </c>
      <c r="R182">
        <f t="shared" si="55"/>
        <v>0</v>
      </c>
      <c r="S182">
        <f t="shared" si="56"/>
        <v>0</v>
      </c>
      <c r="T182" s="43">
        <f t="shared" si="57"/>
        <v>1621259.7041841852</v>
      </c>
      <c r="U182">
        <f t="shared" si="58"/>
        <v>0</v>
      </c>
      <c r="V182">
        <f t="shared" si="59"/>
        <v>0</v>
      </c>
      <c r="W182" s="43">
        <f t="shared" si="60"/>
        <v>1621259.7041841852</v>
      </c>
      <c r="X182" s="43">
        <f t="shared" si="61"/>
        <v>0</v>
      </c>
      <c r="Y182" s="27">
        <f t="shared" si="62"/>
        <v>12733.675375793795</v>
      </c>
      <c r="Z182" s="27">
        <f t="shared" si="63"/>
        <v>1608526.0288083914</v>
      </c>
      <c r="AA182">
        <f t="shared" si="64"/>
        <v>0</v>
      </c>
      <c r="AB182" s="27">
        <f t="shared" si="65"/>
        <v>1608526.0288083914</v>
      </c>
      <c r="AD182" s="27">
        <f t="shared" si="66"/>
        <v>0</v>
      </c>
      <c r="AE182" s="27">
        <f t="shared" si="67"/>
        <v>1608526.0288083914</v>
      </c>
      <c r="AF182" s="50"/>
      <c r="AG182" t="str">
        <f t="shared" si="68"/>
        <v>5306180</v>
      </c>
    </row>
    <row r="183" spans="1:33" x14ac:dyDescent="0.25">
      <c r="A183" s="7" t="s">
        <v>514</v>
      </c>
      <c r="B183" s="2" t="s">
        <v>1009</v>
      </c>
      <c r="C183" s="4" t="s">
        <v>1008</v>
      </c>
      <c r="D183" s="30">
        <f>_xlfn.IFNA(VLOOKUP(A183,'Prior Year data'!$A$1:$V$318,13,FALSE),0)</f>
        <v>923904.81881539966</v>
      </c>
      <c r="E183">
        <f>VLOOKUP(A183,'Basic HH'!$B$1:$Y$318,23,FALSE)</f>
        <v>307362.84723107488</v>
      </c>
      <c r="F183">
        <f>VLOOKUP(A183,'Conc. HH'!$B$1:$Y$318,23,FALSE)</f>
        <v>82692.567047589138</v>
      </c>
      <c r="G183">
        <f>VLOOKUP(A183,'Targeted HH'!$B$1:$Y$318,23,FALSE)</f>
        <v>190233.48251887833</v>
      </c>
      <c r="H183">
        <f>VLOOKUP(A183,'EFIG HH'!$B$1:$Y$318,23,FALSE)</f>
        <v>257642.1184663054</v>
      </c>
      <c r="I183">
        <f t="shared" si="46"/>
        <v>837931.01526384777</v>
      </c>
      <c r="J183">
        <f t="shared" si="47"/>
        <v>0</v>
      </c>
      <c r="K183" s="43">
        <f t="shared" si="48"/>
        <v>837931.01526384777</v>
      </c>
      <c r="L183">
        <f t="shared" si="49"/>
        <v>0</v>
      </c>
      <c r="M183">
        <f t="shared" si="50"/>
        <v>0</v>
      </c>
      <c r="N183" s="43">
        <f t="shared" si="51"/>
        <v>837931.01526384777</v>
      </c>
      <c r="O183">
        <f t="shared" si="52"/>
        <v>0</v>
      </c>
      <c r="P183">
        <f t="shared" si="53"/>
        <v>0</v>
      </c>
      <c r="Q183" s="43">
        <f t="shared" si="54"/>
        <v>837931.01526384777</v>
      </c>
      <c r="R183">
        <f t="shared" si="55"/>
        <v>0</v>
      </c>
      <c r="S183">
        <f t="shared" si="56"/>
        <v>0</v>
      </c>
      <c r="T183" s="43">
        <f t="shared" si="57"/>
        <v>837931.01526384777</v>
      </c>
      <c r="U183">
        <f t="shared" si="58"/>
        <v>0</v>
      </c>
      <c r="V183">
        <f t="shared" si="59"/>
        <v>0</v>
      </c>
      <c r="W183" s="43">
        <f t="shared" si="60"/>
        <v>837931.01526384777</v>
      </c>
      <c r="X183" s="43">
        <f t="shared" si="61"/>
        <v>0</v>
      </c>
      <c r="Y183" s="27">
        <f t="shared" si="62"/>
        <v>6581.2661032294318</v>
      </c>
      <c r="Z183" s="27">
        <f t="shared" si="63"/>
        <v>831349.74916061829</v>
      </c>
      <c r="AA183">
        <f t="shared" si="64"/>
        <v>0</v>
      </c>
      <c r="AB183" s="27">
        <f t="shared" si="65"/>
        <v>831349.74916061829</v>
      </c>
      <c r="AD183" s="27">
        <f t="shared" si="66"/>
        <v>0</v>
      </c>
      <c r="AE183" s="27">
        <f t="shared" si="67"/>
        <v>831349.74916061829</v>
      </c>
      <c r="AF183" s="50"/>
      <c r="AG183" t="str">
        <f t="shared" si="68"/>
        <v>5306220</v>
      </c>
    </row>
    <row r="184" spans="1:33" x14ac:dyDescent="0.25">
      <c r="A184" s="7" t="s">
        <v>516</v>
      </c>
      <c r="B184" s="2" t="s">
        <v>1011</v>
      </c>
      <c r="C184" s="4" t="s">
        <v>1010</v>
      </c>
      <c r="D184" s="30">
        <f>_xlfn.IFNA(VLOOKUP(A184,'Prior Year data'!$A$1:$V$318,13,FALSE),0)</f>
        <v>237734.85425948972</v>
      </c>
      <c r="E184">
        <f>VLOOKUP(A184,'Basic HH'!$B$1:$Y$318,23,FALSE)</f>
        <v>87946.209107783958</v>
      </c>
      <c r="F184">
        <f>VLOOKUP(A184,'Conc. HH'!$B$1:$Y$318,23,FALSE)</f>
        <v>18972.371996073864</v>
      </c>
      <c r="G184">
        <f>VLOOKUP(A184,'Targeted HH'!$B$1:$Y$318,23,FALSE)</f>
        <v>42532.200084005417</v>
      </c>
      <c r="H184">
        <f>VLOOKUP(A184,'EFIG HH'!$B$1:$Y$318,23,FALSE)</f>
        <v>56550.686716887903</v>
      </c>
      <c r="I184">
        <f t="shared" si="46"/>
        <v>206001.46790475113</v>
      </c>
      <c r="J184">
        <f t="shared" si="47"/>
        <v>0</v>
      </c>
      <c r="K184" s="43">
        <f t="shared" si="48"/>
        <v>206001.46790475113</v>
      </c>
      <c r="L184">
        <f t="shared" si="49"/>
        <v>0</v>
      </c>
      <c r="M184">
        <f t="shared" si="50"/>
        <v>0</v>
      </c>
      <c r="N184" s="43">
        <f t="shared" si="51"/>
        <v>206001.46790475113</v>
      </c>
      <c r="O184">
        <f t="shared" si="52"/>
        <v>0</v>
      </c>
      <c r="P184">
        <f t="shared" si="53"/>
        <v>0</v>
      </c>
      <c r="Q184" s="43">
        <f t="shared" si="54"/>
        <v>206001.46790475113</v>
      </c>
      <c r="R184">
        <f t="shared" si="55"/>
        <v>0</v>
      </c>
      <c r="S184">
        <f t="shared" si="56"/>
        <v>0</v>
      </c>
      <c r="T184" s="43">
        <f t="shared" si="57"/>
        <v>206001.46790475113</v>
      </c>
      <c r="U184">
        <f t="shared" si="58"/>
        <v>0</v>
      </c>
      <c r="V184">
        <f t="shared" si="59"/>
        <v>0</v>
      </c>
      <c r="W184" s="43">
        <f t="shared" si="60"/>
        <v>206001.46790475113</v>
      </c>
      <c r="X184" s="43">
        <f t="shared" si="61"/>
        <v>0</v>
      </c>
      <c r="Y184" s="27">
        <f t="shared" si="62"/>
        <v>1617.9738585164382</v>
      </c>
      <c r="Z184" s="27">
        <f t="shared" si="63"/>
        <v>204383.4940462347</v>
      </c>
      <c r="AA184">
        <f t="shared" si="64"/>
        <v>0</v>
      </c>
      <c r="AB184" s="27">
        <f t="shared" si="65"/>
        <v>204383.4940462347</v>
      </c>
      <c r="AD184" s="27">
        <f t="shared" si="66"/>
        <v>0</v>
      </c>
      <c r="AE184" s="27">
        <f t="shared" si="67"/>
        <v>204383.4940462347</v>
      </c>
      <c r="AF184" s="50"/>
      <c r="AG184" t="str">
        <f t="shared" si="68"/>
        <v>5306240</v>
      </c>
    </row>
    <row r="185" spans="1:33" x14ac:dyDescent="0.25">
      <c r="A185" s="7" t="s">
        <v>518</v>
      </c>
      <c r="B185" s="2" t="s">
        <v>1013</v>
      </c>
      <c r="C185" s="4" t="s">
        <v>1012</v>
      </c>
      <c r="D185" s="30">
        <f>_xlfn.IFNA(VLOOKUP(A185,'Prior Year data'!$A$1:$V$318,13,FALSE),0)</f>
        <v>61993.362944806693</v>
      </c>
      <c r="E185">
        <f>VLOOKUP(A185,'Basic HH'!$B$1:$Y$318,23,FALSE)</f>
        <v>18770.250212584724</v>
      </c>
      <c r="F185">
        <f>VLOOKUP(A185,'Conc. HH'!$B$1:$Y$318,23,FALSE)</f>
        <v>5049.9277586313983</v>
      </c>
      <c r="G185">
        <f>VLOOKUP(A185,'Targeted HH'!$B$1:$Y$318,23,FALSE)</f>
        <v>17332.634982161624</v>
      </c>
      <c r="H185">
        <f>VLOOKUP(A185,'EFIG HH'!$B$1:$Y$318,23,FALSE)</f>
        <v>23511.203888006399</v>
      </c>
      <c r="I185">
        <f t="shared" si="46"/>
        <v>64664.016841384146</v>
      </c>
      <c r="J185">
        <f t="shared" si="47"/>
        <v>64664.016841384146</v>
      </c>
      <c r="K185" s="43">
        <f t="shared" si="48"/>
        <v>58496.650351689641</v>
      </c>
      <c r="L185">
        <f t="shared" si="49"/>
        <v>3496.7125931170522</v>
      </c>
      <c r="M185">
        <f t="shared" si="50"/>
        <v>0</v>
      </c>
      <c r="N185" s="43">
        <f t="shared" si="51"/>
        <v>61993.362944806693</v>
      </c>
      <c r="O185">
        <f t="shared" si="52"/>
        <v>0</v>
      </c>
      <c r="P185">
        <f t="shared" si="53"/>
        <v>0</v>
      </c>
      <c r="Q185" s="43">
        <f t="shared" si="54"/>
        <v>61993.362944806693</v>
      </c>
      <c r="R185">
        <f t="shared" si="55"/>
        <v>0</v>
      </c>
      <c r="S185">
        <f t="shared" si="56"/>
        <v>0</v>
      </c>
      <c r="T185" s="43">
        <f t="shared" si="57"/>
        <v>61993.362944806693</v>
      </c>
      <c r="U185">
        <f t="shared" si="58"/>
        <v>0</v>
      </c>
      <c r="V185">
        <f t="shared" si="59"/>
        <v>0</v>
      </c>
      <c r="W185" s="43">
        <f t="shared" si="60"/>
        <v>61993.362944806693</v>
      </c>
      <c r="X185" s="43">
        <f t="shared" si="61"/>
        <v>2670.6538965774525</v>
      </c>
      <c r="Y185" s="27">
        <f t="shared" si="62"/>
        <v>486.90740734234112</v>
      </c>
      <c r="Z185" s="27">
        <f t="shared" si="63"/>
        <v>61506.455537464353</v>
      </c>
      <c r="AA185">
        <f t="shared" si="64"/>
        <v>0</v>
      </c>
      <c r="AB185" s="27">
        <f t="shared" si="65"/>
        <v>61506.455537464353</v>
      </c>
      <c r="AD185" s="27">
        <f t="shared" si="66"/>
        <v>0</v>
      </c>
      <c r="AE185" s="27">
        <f t="shared" si="67"/>
        <v>61506.455537464353</v>
      </c>
      <c r="AF185" s="50"/>
      <c r="AG185" t="str">
        <f t="shared" si="68"/>
        <v>5306270</v>
      </c>
    </row>
    <row r="186" spans="1:33" x14ac:dyDescent="0.25">
      <c r="A186" s="7" t="s">
        <v>520</v>
      </c>
      <c r="B186" s="2" t="s">
        <v>1015</v>
      </c>
      <c r="C186" s="4" t="s">
        <v>1014</v>
      </c>
      <c r="D186" s="30">
        <f>_xlfn.IFNA(VLOOKUP(A186,'Prior Year data'!$A$1:$V$318,13,FALSE),0)</f>
        <v>140030.81058572637</v>
      </c>
      <c r="E186">
        <f>VLOOKUP(A186,'Basic HH'!$B$1:$Y$318,23,FALSE)</f>
        <v>62046.104869377275</v>
      </c>
      <c r="F186">
        <f>VLOOKUP(A186,'Conc. HH'!$B$1:$Y$318,23,FALSE)</f>
        <v>0</v>
      </c>
      <c r="G186">
        <f>VLOOKUP(A186,'Targeted HH'!$B$1:$Y$318,23,FALSE)</f>
        <v>29930.98648175121</v>
      </c>
      <c r="H186">
        <f>VLOOKUP(A186,'EFIG HH'!$B$1:$Y$318,23,FALSE)</f>
        <v>40600.493027509263</v>
      </c>
      <c r="I186">
        <f t="shared" si="46"/>
        <v>132577.58437863775</v>
      </c>
      <c r="J186">
        <f t="shared" si="47"/>
        <v>0</v>
      </c>
      <c r="K186" s="43">
        <f t="shared" si="48"/>
        <v>132577.58437863775</v>
      </c>
      <c r="L186">
        <f t="shared" si="49"/>
        <v>0</v>
      </c>
      <c r="M186">
        <f t="shared" si="50"/>
        <v>0</v>
      </c>
      <c r="N186" s="43">
        <f t="shared" si="51"/>
        <v>132577.58437863775</v>
      </c>
      <c r="O186">
        <f t="shared" si="52"/>
        <v>0</v>
      </c>
      <c r="P186">
        <f t="shared" si="53"/>
        <v>0</v>
      </c>
      <c r="Q186" s="43">
        <f t="shared" si="54"/>
        <v>132577.58437863775</v>
      </c>
      <c r="R186">
        <f t="shared" si="55"/>
        <v>0</v>
      </c>
      <c r="S186">
        <f t="shared" si="56"/>
        <v>0</v>
      </c>
      <c r="T186" s="43">
        <f t="shared" si="57"/>
        <v>132577.58437863775</v>
      </c>
      <c r="U186">
        <f t="shared" si="58"/>
        <v>0</v>
      </c>
      <c r="V186">
        <f t="shared" si="59"/>
        <v>0</v>
      </c>
      <c r="W186" s="43">
        <f t="shared" si="60"/>
        <v>132577.58437863775</v>
      </c>
      <c r="X186" s="43">
        <f t="shared" si="61"/>
        <v>0</v>
      </c>
      <c r="Y186" s="27">
        <f t="shared" si="62"/>
        <v>1041.2890157126201</v>
      </c>
      <c r="Z186" s="27">
        <f t="shared" si="63"/>
        <v>131536.29536292513</v>
      </c>
      <c r="AA186">
        <f t="shared" si="64"/>
        <v>0</v>
      </c>
      <c r="AB186" s="27">
        <f t="shared" si="65"/>
        <v>131536.29536292513</v>
      </c>
      <c r="AD186" s="27">
        <f t="shared" si="66"/>
        <v>0</v>
      </c>
      <c r="AE186" s="27">
        <f t="shared" si="67"/>
        <v>131536.29536292513</v>
      </c>
      <c r="AF186" s="50"/>
      <c r="AG186" t="str">
        <f t="shared" si="68"/>
        <v>5306300</v>
      </c>
    </row>
    <row r="187" spans="1:33" x14ac:dyDescent="0.25">
      <c r="A187" s="7" t="s">
        <v>289</v>
      </c>
      <c r="B187" s="2" t="s">
        <v>1017</v>
      </c>
      <c r="C187" s="4" t="s">
        <v>1016</v>
      </c>
      <c r="D187" s="30">
        <f>_xlfn.IFNA(VLOOKUP(A187,'Prior Year data'!$A$1:$V$318,13,FALSE),0)</f>
        <v>34100.110605629379</v>
      </c>
      <c r="E187">
        <f>VLOOKUP(A187,'Basic HH'!$B$1:$Y$318,23,FALSE)</f>
        <v>0</v>
      </c>
      <c r="F187">
        <f>VLOOKUP(A187,'Conc. HH'!$B$1:$Y$318,23,FALSE)</f>
        <v>0</v>
      </c>
      <c r="G187">
        <f>VLOOKUP(A187,'Targeted HH'!$B$1:$Y$318,23,FALSE)</f>
        <v>0</v>
      </c>
      <c r="H187">
        <f>VLOOKUP(A187,'EFIG HH'!$B$1:$Y$318,23,FALSE)</f>
        <v>0</v>
      </c>
      <c r="I187">
        <f t="shared" si="46"/>
        <v>0</v>
      </c>
      <c r="J187">
        <f t="shared" si="47"/>
        <v>0</v>
      </c>
      <c r="K187" s="43">
        <f t="shared" si="48"/>
        <v>0</v>
      </c>
      <c r="L187">
        <f t="shared" si="49"/>
        <v>0</v>
      </c>
      <c r="M187">
        <f t="shared" si="50"/>
        <v>0</v>
      </c>
      <c r="N187" s="43">
        <f t="shared" si="51"/>
        <v>0</v>
      </c>
      <c r="O187">
        <f t="shared" si="52"/>
        <v>0</v>
      </c>
      <c r="P187">
        <f t="shared" si="53"/>
        <v>0</v>
      </c>
      <c r="Q187" s="43">
        <f t="shared" si="54"/>
        <v>0</v>
      </c>
      <c r="R187">
        <f t="shared" si="55"/>
        <v>0</v>
      </c>
      <c r="S187">
        <f t="shared" si="56"/>
        <v>0</v>
      </c>
      <c r="T187" s="43">
        <f t="shared" si="57"/>
        <v>0</v>
      </c>
      <c r="U187">
        <f t="shared" si="58"/>
        <v>0</v>
      </c>
      <c r="V187">
        <f t="shared" si="59"/>
        <v>0</v>
      </c>
      <c r="W187" s="43">
        <f t="shared" si="60"/>
        <v>0</v>
      </c>
      <c r="X187" s="43">
        <f t="shared" si="61"/>
        <v>0</v>
      </c>
      <c r="Y187" s="27">
        <f t="shared" si="62"/>
        <v>0</v>
      </c>
      <c r="Z187" s="27">
        <f t="shared" si="63"/>
        <v>0</v>
      </c>
      <c r="AA187">
        <f t="shared" si="64"/>
        <v>0</v>
      </c>
      <c r="AB187" s="27">
        <f t="shared" si="65"/>
        <v>0</v>
      </c>
      <c r="AD187" s="27">
        <f t="shared" si="66"/>
        <v>0</v>
      </c>
      <c r="AE187" s="27">
        <f t="shared" si="67"/>
        <v>0</v>
      </c>
      <c r="AF187" s="50"/>
      <c r="AG187" t="str">
        <f t="shared" si="68"/>
        <v>5306330</v>
      </c>
    </row>
    <row r="188" spans="1:33" x14ac:dyDescent="0.25">
      <c r="A188" s="7" t="s">
        <v>522</v>
      </c>
      <c r="B188" s="2" t="s">
        <v>1019</v>
      </c>
      <c r="C188" s="4" t="s">
        <v>1018</v>
      </c>
      <c r="D188" s="30">
        <f>_xlfn.IFNA(VLOOKUP(A188,'Prior Year data'!$A$1:$V$318,13,FALSE),0)</f>
        <v>110530.43782220369</v>
      </c>
      <c r="E188">
        <f>VLOOKUP(A188,'Basic HH'!$B$1:$Y$318,23,FALSE)</f>
        <v>35194.219148596385</v>
      </c>
      <c r="F188">
        <f>VLOOKUP(A188,'Conc. HH'!$B$1:$Y$318,23,FALSE)</f>
        <v>9468.6145474338773</v>
      </c>
      <c r="G188">
        <f>VLOOKUP(A188,'Targeted HH'!$B$1:$Y$318,23,FALSE)</f>
        <v>30218.820705743263</v>
      </c>
      <c r="H188">
        <f>VLOOKUP(A188,'EFIG HH'!$B$1:$Y$318,23,FALSE)</f>
        <v>40990.931592285364</v>
      </c>
      <c r="I188">
        <f t="shared" si="46"/>
        <v>115872.5859940589</v>
      </c>
      <c r="J188">
        <f t="shared" si="47"/>
        <v>115872.5859940589</v>
      </c>
      <c r="K188" s="43">
        <f t="shared" si="48"/>
        <v>104821.17380469658</v>
      </c>
      <c r="L188">
        <f t="shared" si="49"/>
        <v>5709.2640175071137</v>
      </c>
      <c r="M188">
        <f t="shared" si="50"/>
        <v>0</v>
      </c>
      <c r="N188" s="43">
        <f t="shared" si="51"/>
        <v>110530.43782220369</v>
      </c>
      <c r="O188">
        <f t="shared" si="52"/>
        <v>0</v>
      </c>
      <c r="P188">
        <f t="shared" si="53"/>
        <v>0</v>
      </c>
      <c r="Q188" s="43">
        <f t="shared" si="54"/>
        <v>110530.43782220369</v>
      </c>
      <c r="R188">
        <f t="shared" si="55"/>
        <v>0</v>
      </c>
      <c r="S188">
        <f t="shared" si="56"/>
        <v>0</v>
      </c>
      <c r="T188" s="43">
        <f t="shared" si="57"/>
        <v>110530.43782220369</v>
      </c>
      <c r="U188">
        <f t="shared" si="58"/>
        <v>0</v>
      </c>
      <c r="V188">
        <f t="shared" si="59"/>
        <v>0</v>
      </c>
      <c r="W188" s="43">
        <f t="shared" si="60"/>
        <v>110530.43782220369</v>
      </c>
      <c r="X188" s="43">
        <f t="shared" si="61"/>
        <v>5342.1481718552095</v>
      </c>
      <c r="Y188" s="27">
        <f t="shared" si="62"/>
        <v>868.12662446361901</v>
      </c>
      <c r="Z188" s="27">
        <f t="shared" si="63"/>
        <v>109662.31119774007</v>
      </c>
      <c r="AA188">
        <f t="shared" si="64"/>
        <v>0</v>
      </c>
      <c r="AB188" s="27">
        <f t="shared" si="65"/>
        <v>109662.31119774007</v>
      </c>
      <c r="AD188" s="27">
        <f t="shared" si="66"/>
        <v>0</v>
      </c>
      <c r="AE188" s="27">
        <f t="shared" si="67"/>
        <v>109662.31119774007</v>
      </c>
      <c r="AF188" s="50"/>
      <c r="AG188" t="str">
        <f t="shared" si="68"/>
        <v>5306360</v>
      </c>
    </row>
    <row r="189" spans="1:33" x14ac:dyDescent="0.25">
      <c r="A189" s="7" t="s">
        <v>524</v>
      </c>
      <c r="B189" s="2" t="s">
        <v>1021</v>
      </c>
      <c r="C189" s="4" t="s">
        <v>1020</v>
      </c>
      <c r="D189" s="30">
        <f>_xlfn.IFNA(VLOOKUP(A189,'Prior Year data'!$A$1:$V$318,13,FALSE),0)</f>
        <v>105477.5785282666</v>
      </c>
      <c r="E189">
        <f>VLOOKUP(A189,'Basic HH'!$B$1:$Y$318,23,FALSE)</f>
        <v>36952.790920602703</v>
      </c>
      <c r="F189">
        <f>VLOOKUP(A189,'Conc. HH'!$B$1:$Y$318,23,FALSE)</f>
        <v>9608.021900135911</v>
      </c>
      <c r="G189">
        <f>VLOOKUP(A189,'Targeted HH'!$B$1:$Y$318,23,FALSE)</f>
        <v>18598.360332770837</v>
      </c>
      <c r="H189">
        <f>VLOOKUP(A189,'EFIG HH'!$B$1:$Y$318,23,FALSE)</f>
        <v>25188.630795629066</v>
      </c>
      <c r="I189">
        <f t="shared" si="46"/>
        <v>90347.803949138528</v>
      </c>
      <c r="J189">
        <f t="shared" si="47"/>
        <v>0</v>
      </c>
      <c r="K189" s="43">
        <f t="shared" si="48"/>
        <v>90347.803949138528</v>
      </c>
      <c r="L189">
        <f t="shared" si="49"/>
        <v>0</v>
      </c>
      <c r="M189">
        <f t="shared" si="50"/>
        <v>0</v>
      </c>
      <c r="N189" s="43">
        <f t="shared" si="51"/>
        <v>90347.803949138528</v>
      </c>
      <c r="O189">
        <f t="shared" si="52"/>
        <v>0</v>
      </c>
      <c r="P189">
        <f t="shared" si="53"/>
        <v>0</v>
      </c>
      <c r="Q189" s="43">
        <f t="shared" si="54"/>
        <v>90347.803949138528</v>
      </c>
      <c r="R189">
        <f t="shared" si="55"/>
        <v>0</v>
      </c>
      <c r="S189">
        <f t="shared" si="56"/>
        <v>0</v>
      </c>
      <c r="T189" s="43">
        <f t="shared" si="57"/>
        <v>90347.803949138528</v>
      </c>
      <c r="U189">
        <f t="shared" si="58"/>
        <v>0</v>
      </c>
      <c r="V189">
        <f t="shared" si="59"/>
        <v>0</v>
      </c>
      <c r="W189" s="43">
        <f t="shared" si="60"/>
        <v>90347.803949138528</v>
      </c>
      <c r="X189" s="43">
        <f t="shared" si="61"/>
        <v>0</v>
      </c>
      <c r="Y189" s="27">
        <f t="shared" si="62"/>
        <v>709.60846274971095</v>
      </c>
      <c r="Z189" s="27">
        <f t="shared" si="63"/>
        <v>89638.195486388824</v>
      </c>
      <c r="AA189">
        <f t="shared" si="64"/>
        <v>0</v>
      </c>
      <c r="AB189" s="27">
        <f t="shared" si="65"/>
        <v>89638.195486388824</v>
      </c>
      <c r="AD189" s="27">
        <f t="shared" si="66"/>
        <v>0</v>
      </c>
      <c r="AE189" s="27">
        <f t="shared" si="67"/>
        <v>89638.195486388824</v>
      </c>
      <c r="AF189" s="50"/>
      <c r="AG189" t="str">
        <f t="shared" si="68"/>
        <v>5306390</v>
      </c>
    </row>
    <row r="190" spans="1:33" x14ac:dyDescent="0.25">
      <c r="A190" s="7" t="s">
        <v>526</v>
      </c>
      <c r="B190" s="2" t="s">
        <v>1023</v>
      </c>
      <c r="C190" s="4" t="s">
        <v>1022</v>
      </c>
      <c r="D190" s="30">
        <f>_xlfn.IFNA(VLOOKUP(A190,'Prior Year data'!$A$1:$V$318,13,FALSE),0)</f>
        <v>659968.80481098976</v>
      </c>
      <c r="E190">
        <f>VLOOKUP(A190,'Basic HH'!$B$1:$Y$318,23,FALSE)</f>
        <v>179576.40325549722</v>
      </c>
      <c r="F190">
        <f>VLOOKUP(A190,'Conc. HH'!$B$1:$Y$318,23,FALSE)</f>
        <v>46691.304560286619</v>
      </c>
      <c r="G190">
        <f>VLOOKUP(A190,'Targeted HH'!$B$1:$Y$318,23,FALSE)</f>
        <v>158127.85323393031</v>
      </c>
      <c r="H190">
        <f>VLOOKUP(A190,'EFIG HH'!$B$1:$Y$318,23,FALSE)</f>
        <v>214159.96046687441</v>
      </c>
      <c r="I190">
        <f t="shared" si="46"/>
        <v>598555.52151658852</v>
      </c>
      <c r="J190">
        <f t="shared" si="47"/>
        <v>0</v>
      </c>
      <c r="K190" s="43">
        <f t="shared" si="48"/>
        <v>598555.52151658852</v>
      </c>
      <c r="L190">
        <f t="shared" si="49"/>
        <v>0</v>
      </c>
      <c r="M190">
        <f t="shared" si="50"/>
        <v>0</v>
      </c>
      <c r="N190" s="43">
        <f t="shared" si="51"/>
        <v>598555.52151658852</v>
      </c>
      <c r="O190">
        <f t="shared" si="52"/>
        <v>0</v>
      </c>
      <c r="P190">
        <f t="shared" si="53"/>
        <v>0</v>
      </c>
      <c r="Q190" s="43">
        <f t="shared" si="54"/>
        <v>598555.52151658852</v>
      </c>
      <c r="R190">
        <f t="shared" si="55"/>
        <v>0</v>
      </c>
      <c r="S190">
        <f t="shared" si="56"/>
        <v>0</v>
      </c>
      <c r="T190" s="43">
        <f t="shared" si="57"/>
        <v>598555.52151658852</v>
      </c>
      <c r="U190">
        <f t="shared" si="58"/>
        <v>0</v>
      </c>
      <c r="V190">
        <f t="shared" si="59"/>
        <v>0</v>
      </c>
      <c r="W190" s="43">
        <f t="shared" si="60"/>
        <v>598555.52151658852</v>
      </c>
      <c r="X190" s="43">
        <f t="shared" si="61"/>
        <v>0</v>
      </c>
      <c r="Y190" s="27">
        <f t="shared" si="62"/>
        <v>4701.1664360192535</v>
      </c>
      <c r="Z190" s="27">
        <f t="shared" si="63"/>
        <v>593854.35508056928</v>
      </c>
      <c r="AA190">
        <f t="shared" si="64"/>
        <v>0</v>
      </c>
      <c r="AB190" s="27">
        <f t="shared" si="65"/>
        <v>593854.35508056928</v>
      </c>
      <c r="AD190" s="27">
        <f t="shared" si="66"/>
        <v>0</v>
      </c>
      <c r="AE190" s="27">
        <f t="shared" si="67"/>
        <v>593854.35508056928</v>
      </c>
      <c r="AF190" s="50"/>
      <c r="AG190" t="str">
        <f t="shared" si="68"/>
        <v>5306420</v>
      </c>
    </row>
    <row r="191" spans="1:33" x14ac:dyDescent="0.25">
      <c r="A191" s="7" t="s">
        <v>291</v>
      </c>
      <c r="B191" s="2" t="s">
        <v>1025</v>
      </c>
      <c r="C191" s="4" t="s">
        <v>1024</v>
      </c>
      <c r="D191" s="30">
        <f>_xlfn.IFNA(VLOOKUP(A191,'Prior Year data'!$A$1:$V$318,13,FALSE),0)</f>
        <v>311401.04850206943</v>
      </c>
      <c r="E191">
        <f>VLOOKUP(A191,'Basic HH'!$B$1:$Y$318,23,FALSE)</f>
        <v>186445.96330850193</v>
      </c>
      <c r="F191">
        <f>VLOOKUP(A191,'Conc. HH'!$B$1:$Y$318,23,FALSE)</f>
        <v>0</v>
      </c>
      <c r="G191">
        <f>VLOOKUP(A191,'Targeted HH'!$B$1:$Y$318,23,FALSE)</f>
        <v>90168.2641780915</v>
      </c>
      <c r="H191">
        <f>VLOOKUP(A191,'EFIG HH'!$B$1:$Y$318,23,FALSE)</f>
        <v>119651.01195659733</v>
      </c>
      <c r="I191">
        <f t="shared" si="46"/>
        <v>396265.23944319075</v>
      </c>
      <c r="J191">
        <f t="shared" si="47"/>
        <v>396265.23944319075</v>
      </c>
      <c r="K191" s="43">
        <f t="shared" si="48"/>
        <v>358471.22233523044</v>
      </c>
      <c r="L191">
        <f t="shared" si="49"/>
        <v>0</v>
      </c>
      <c r="M191">
        <f t="shared" si="50"/>
        <v>47070.17383316101</v>
      </c>
      <c r="N191" s="43">
        <f t="shared" si="51"/>
        <v>341498.50608476222</v>
      </c>
      <c r="O191">
        <f t="shared" si="52"/>
        <v>0</v>
      </c>
      <c r="P191">
        <f t="shared" si="53"/>
        <v>30097.45758269279</v>
      </c>
      <c r="Q191" s="43">
        <f t="shared" si="54"/>
        <v>341498.50608476222</v>
      </c>
      <c r="R191">
        <f t="shared" si="55"/>
        <v>0</v>
      </c>
      <c r="S191">
        <f t="shared" si="56"/>
        <v>30097.45758269279</v>
      </c>
      <c r="T191" s="43">
        <f t="shared" si="57"/>
        <v>341498.50608476222</v>
      </c>
      <c r="U191">
        <f t="shared" si="58"/>
        <v>0</v>
      </c>
      <c r="V191">
        <f t="shared" si="59"/>
        <v>30097.45758269279</v>
      </c>
      <c r="W191" s="43">
        <f t="shared" si="60"/>
        <v>341498.50608476222</v>
      </c>
      <c r="X191" s="43">
        <f t="shared" si="61"/>
        <v>54766.733358428522</v>
      </c>
      <c r="Y191" s="27">
        <f t="shared" si="62"/>
        <v>2682.1928075922151</v>
      </c>
      <c r="Z191" s="27">
        <f t="shared" si="63"/>
        <v>338816.31327717</v>
      </c>
      <c r="AA191">
        <f t="shared" si="64"/>
        <v>0</v>
      </c>
      <c r="AB191" s="27">
        <f t="shared" si="65"/>
        <v>338816.31327717</v>
      </c>
      <c r="AD191" s="27">
        <f t="shared" si="66"/>
        <v>0</v>
      </c>
      <c r="AE191" s="27">
        <f t="shared" si="67"/>
        <v>338816.31327717</v>
      </c>
      <c r="AF191" s="50"/>
      <c r="AG191" t="str">
        <f t="shared" si="68"/>
        <v>5306450</v>
      </c>
    </row>
    <row r="192" spans="1:33" x14ac:dyDescent="0.25">
      <c r="A192" s="7" t="s">
        <v>528</v>
      </c>
      <c r="B192" s="2" t="s">
        <v>1027</v>
      </c>
      <c r="C192" s="4" t="s">
        <v>1026</v>
      </c>
      <c r="D192" s="30">
        <f>_xlfn.IFNA(VLOOKUP(A192,'Prior Year data'!$A$1:$V$318,13,FALSE),0)</f>
        <v>1810247.9044126654</v>
      </c>
      <c r="E192">
        <f>VLOOKUP(A192,'Basic HH'!$B$1:$Y$318,23,FALSE)</f>
        <v>810864.04797376797</v>
      </c>
      <c r="F192">
        <f>VLOOKUP(A192,'Conc. HH'!$B$1:$Y$318,23,FALSE)</f>
        <v>218587.76415765312</v>
      </c>
      <c r="G192">
        <f>VLOOKUP(A192,'Targeted HH'!$B$1:$Y$318,23,FALSE)</f>
        <v>459779.27134321071</v>
      </c>
      <c r="H192">
        <f>VLOOKUP(A192,'EFIG HH'!$B$1:$Y$318,23,FALSE)</f>
        <v>610115.49456276267</v>
      </c>
      <c r="I192">
        <f t="shared" si="46"/>
        <v>2099346.5780373947</v>
      </c>
      <c r="J192">
        <f t="shared" si="47"/>
        <v>2099346.5780373947</v>
      </c>
      <c r="K192" s="43">
        <f t="shared" si="48"/>
        <v>1899120.233184712</v>
      </c>
      <c r="L192">
        <f t="shared" si="49"/>
        <v>0</v>
      </c>
      <c r="M192">
        <f t="shared" si="50"/>
        <v>88872.328772046603</v>
      </c>
      <c r="N192" s="43">
        <f t="shared" si="51"/>
        <v>1867074.3600567994</v>
      </c>
      <c r="O192">
        <f t="shared" si="52"/>
        <v>0</v>
      </c>
      <c r="P192">
        <f t="shared" si="53"/>
        <v>56826.455644133966</v>
      </c>
      <c r="Q192" s="43">
        <f t="shared" si="54"/>
        <v>1867074.3600567994</v>
      </c>
      <c r="R192">
        <f t="shared" si="55"/>
        <v>0</v>
      </c>
      <c r="S192">
        <f t="shared" si="56"/>
        <v>56826.455644133966</v>
      </c>
      <c r="T192" s="43">
        <f t="shared" si="57"/>
        <v>1867074.3600567994</v>
      </c>
      <c r="U192">
        <f t="shared" si="58"/>
        <v>0</v>
      </c>
      <c r="V192">
        <f t="shared" si="59"/>
        <v>56826.455644133966</v>
      </c>
      <c r="W192" s="43">
        <f t="shared" si="60"/>
        <v>1867074.3600567994</v>
      </c>
      <c r="X192" s="43">
        <f t="shared" si="61"/>
        <v>232272.21798059531</v>
      </c>
      <c r="Y192" s="27">
        <f t="shared" si="62"/>
        <v>14664.349420437004</v>
      </c>
      <c r="Z192" s="27">
        <f t="shared" si="63"/>
        <v>1852410.0106363625</v>
      </c>
      <c r="AA192">
        <f t="shared" si="64"/>
        <v>0</v>
      </c>
      <c r="AB192" s="27">
        <f t="shared" si="65"/>
        <v>1852410.0106363625</v>
      </c>
      <c r="AD192" s="27">
        <f t="shared" si="66"/>
        <v>0</v>
      </c>
      <c r="AE192" s="27">
        <f t="shared" si="67"/>
        <v>1852410.0106363625</v>
      </c>
      <c r="AF192" s="50"/>
      <c r="AG192" t="str">
        <f t="shared" si="68"/>
        <v>5306480</v>
      </c>
    </row>
    <row r="193" spans="1:33" x14ac:dyDescent="0.25">
      <c r="A193" s="7" t="s">
        <v>530</v>
      </c>
      <c r="B193" s="2" t="s">
        <v>1029</v>
      </c>
      <c r="C193" s="4" t="s">
        <v>1028</v>
      </c>
      <c r="D193" s="30">
        <f>_xlfn.IFNA(VLOOKUP(A193,'Prior Year data'!$A$1:$V$318,13,FALSE),0)</f>
        <v>2086.468108127332</v>
      </c>
      <c r="E193">
        <f>VLOOKUP(A193,'Basic HH'!$B$1:$Y$318,23,FALSE)</f>
        <v>0</v>
      </c>
      <c r="F193">
        <f>VLOOKUP(A193,'Conc. HH'!$B$1:$Y$318,23,FALSE)</f>
        <v>1787.1837238726573</v>
      </c>
      <c r="G193">
        <f>VLOOKUP(A193,'Targeted HH'!$B$1:$Y$318,23,FALSE)</f>
        <v>0</v>
      </c>
      <c r="H193">
        <f>VLOOKUP(A193,'EFIG HH'!$B$1:$Y$318,23,FALSE)</f>
        <v>0</v>
      </c>
      <c r="I193">
        <f t="shared" si="46"/>
        <v>1787.1837238726573</v>
      </c>
      <c r="J193">
        <f t="shared" si="47"/>
        <v>0</v>
      </c>
      <c r="K193" s="43">
        <f t="shared" si="48"/>
        <v>1787.1837238726573</v>
      </c>
      <c r="L193">
        <f t="shared" si="49"/>
        <v>0</v>
      </c>
      <c r="M193">
        <f t="shared" si="50"/>
        <v>0</v>
      </c>
      <c r="N193" s="43">
        <f t="shared" si="51"/>
        <v>1787.1837238726573</v>
      </c>
      <c r="O193">
        <f t="shared" si="52"/>
        <v>0</v>
      </c>
      <c r="P193">
        <f t="shared" si="53"/>
        <v>0</v>
      </c>
      <c r="Q193" s="43">
        <f t="shared" si="54"/>
        <v>1787.1837238726573</v>
      </c>
      <c r="R193">
        <f t="shared" si="55"/>
        <v>0</v>
      </c>
      <c r="S193">
        <f t="shared" si="56"/>
        <v>0</v>
      </c>
      <c r="T193" s="43">
        <f t="shared" si="57"/>
        <v>1787.1837238726573</v>
      </c>
      <c r="U193">
        <f t="shared" si="58"/>
        <v>0</v>
      </c>
      <c r="V193">
        <f t="shared" si="59"/>
        <v>0</v>
      </c>
      <c r="W193" s="43">
        <f t="shared" si="60"/>
        <v>1787.1837238726573</v>
      </c>
      <c r="X193" s="43">
        <f t="shared" si="61"/>
        <v>0</v>
      </c>
      <c r="Y193" s="27">
        <f t="shared" si="62"/>
        <v>14.03687349902291</v>
      </c>
      <c r="Z193" s="27">
        <f t="shared" si="63"/>
        <v>1773.1468503736344</v>
      </c>
      <c r="AA193">
        <f t="shared" si="64"/>
        <v>0</v>
      </c>
      <c r="AB193" s="27">
        <f t="shared" si="65"/>
        <v>1773.1468503736344</v>
      </c>
      <c r="AD193" s="27">
        <f t="shared" si="66"/>
        <v>0</v>
      </c>
      <c r="AE193" s="27">
        <f t="shared" si="67"/>
        <v>1773.1468503736344</v>
      </c>
      <c r="AF193" s="50"/>
      <c r="AG193" t="str">
        <f t="shared" si="68"/>
        <v>5306510</v>
      </c>
    </row>
    <row r="194" spans="1:33" x14ac:dyDescent="0.25">
      <c r="A194" s="7" t="s">
        <v>532</v>
      </c>
      <c r="B194" s="2" t="s">
        <v>1031</v>
      </c>
      <c r="C194" s="4" t="s">
        <v>1030</v>
      </c>
      <c r="D194" s="30">
        <f>_xlfn.IFNA(VLOOKUP(A194,'Prior Year data'!$A$1:$V$318,13,FALSE),0)</f>
        <v>13322.768647993837</v>
      </c>
      <c r="E194">
        <f>VLOOKUP(A194,'Basic HH'!$B$1:$Y$318,23,FALSE)</f>
        <v>12312.469275089752</v>
      </c>
      <c r="F194">
        <f>VLOOKUP(A194,'Conc. HH'!$B$1:$Y$318,23,FALSE)</f>
        <v>0</v>
      </c>
      <c r="G194">
        <f>VLOOKUP(A194,'Targeted HH'!$B$1:$Y$318,23,FALSE)</f>
        <v>5954.5080117607586</v>
      </c>
      <c r="H194">
        <f>VLOOKUP(A194,'EFIG HH'!$B$1:$Y$318,23,FALSE)</f>
        <v>7901.481921662089</v>
      </c>
      <c r="I194">
        <f t="shared" si="46"/>
        <v>26168.459208512599</v>
      </c>
      <c r="J194">
        <f t="shared" si="47"/>
        <v>26168.459208512599</v>
      </c>
      <c r="K194" s="43">
        <f t="shared" si="48"/>
        <v>23672.627890062391</v>
      </c>
      <c r="L194">
        <f t="shared" si="49"/>
        <v>0</v>
      </c>
      <c r="M194">
        <f t="shared" si="50"/>
        <v>10349.859242068555</v>
      </c>
      <c r="N194" s="43">
        <f t="shared" si="51"/>
        <v>19940.64200935253</v>
      </c>
      <c r="O194">
        <f t="shared" si="52"/>
        <v>0</v>
      </c>
      <c r="P194">
        <f t="shared" si="53"/>
        <v>6617.8733613586937</v>
      </c>
      <c r="Q194" s="43">
        <f t="shared" si="54"/>
        <v>19940.64200935253</v>
      </c>
      <c r="R194">
        <f t="shared" si="55"/>
        <v>0</v>
      </c>
      <c r="S194">
        <f t="shared" si="56"/>
        <v>6617.8733613586937</v>
      </c>
      <c r="T194" s="43">
        <f t="shared" si="57"/>
        <v>19940.64200935253</v>
      </c>
      <c r="U194">
        <f t="shared" si="58"/>
        <v>0</v>
      </c>
      <c r="V194">
        <f t="shared" si="59"/>
        <v>6617.8733613586937</v>
      </c>
      <c r="W194" s="43">
        <f t="shared" si="60"/>
        <v>19940.64200935253</v>
      </c>
      <c r="X194" s="43">
        <f t="shared" si="61"/>
        <v>6227.8171991600684</v>
      </c>
      <c r="Y194" s="27">
        <f t="shared" si="62"/>
        <v>156.61751259017598</v>
      </c>
      <c r="Z194" s="27">
        <f t="shared" si="63"/>
        <v>19784.024496762355</v>
      </c>
      <c r="AA194">
        <f t="shared" si="64"/>
        <v>0</v>
      </c>
      <c r="AB194" s="27">
        <f t="shared" si="65"/>
        <v>19784.024496762355</v>
      </c>
      <c r="AD194" s="27">
        <f t="shared" si="66"/>
        <v>0</v>
      </c>
      <c r="AE194" s="27">
        <f t="shared" si="67"/>
        <v>19784.024496762355</v>
      </c>
      <c r="AF194" s="50"/>
      <c r="AG194" t="str">
        <f t="shared" si="68"/>
        <v>5306540</v>
      </c>
    </row>
    <row r="195" spans="1:33" x14ac:dyDescent="0.25">
      <c r="A195" s="7" t="s">
        <v>650</v>
      </c>
      <c r="B195" s="2" t="s">
        <v>651</v>
      </c>
      <c r="C195" s="1"/>
      <c r="D195" s="30">
        <f>_xlfn.IFNA(VLOOKUP(A195,'Prior Year data'!$A$1:$V$318,13,FALSE),0)</f>
        <v>1925370.50421125</v>
      </c>
      <c r="E195">
        <f>VLOOKUP(A195,'Basic HH'!$B$1:$Y$318,23,FALSE)</f>
        <v>782377.61163984938</v>
      </c>
      <c r="F195">
        <f>VLOOKUP(A195,'Conc. HH'!$B$1:$Y$318,23,FALSE)</f>
        <v>193418.14715785079</v>
      </c>
      <c r="G195">
        <f>VLOOKUP(A195,'Targeted HH'!$B$1:$Y$318,23,FALSE)</f>
        <v>372510.62053300312</v>
      </c>
      <c r="H195">
        <f>VLOOKUP(A195,'EFIG HH'!$B$1:$Y$318,23,FALSE)</f>
        <v>494910.52049656946</v>
      </c>
      <c r="I195">
        <f t="shared" si="46"/>
        <v>1843216.8998272726</v>
      </c>
      <c r="J195">
        <f t="shared" si="47"/>
        <v>0</v>
      </c>
      <c r="K195" s="43">
        <f t="shared" si="48"/>
        <v>1843216.8998272726</v>
      </c>
      <c r="L195">
        <f t="shared" si="49"/>
        <v>0</v>
      </c>
      <c r="M195">
        <f t="shared" si="50"/>
        <v>0</v>
      </c>
      <c r="N195" s="43">
        <f t="shared" si="51"/>
        <v>1843216.8998272726</v>
      </c>
      <c r="O195">
        <f t="shared" si="52"/>
        <v>0</v>
      </c>
      <c r="P195">
        <f t="shared" si="53"/>
        <v>0</v>
      </c>
      <c r="Q195" s="43">
        <f t="shared" si="54"/>
        <v>1843216.8998272726</v>
      </c>
      <c r="R195">
        <f t="shared" si="55"/>
        <v>0</v>
      </c>
      <c r="S195">
        <f t="shared" si="56"/>
        <v>0</v>
      </c>
      <c r="T195" s="43">
        <f t="shared" si="57"/>
        <v>1843216.8998272726</v>
      </c>
      <c r="U195">
        <f t="shared" si="58"/>
        <v>0</v>
      </c>
      <c r="V195">
        <f t="shared" si="59"/>
        <v>0</v>
      </c>
      <c r="W195" s="43">
        <f t="shared" si="60"/>
        <v>1843216.8998272726</v>
      </c>
      <c r="X195" s="43">
        <f t="shared" si="61"/>
        <v>0</v>
      </c>
      <c r="Y195" s="27">
        <f t="shared" si="62"/>
        <v>14476.968488764142</v>
      </c>
      <c r="Z195" s="27">
        <f t="shared" si="63"/>
        <v>1828739.9313385084</v>
      </c>
      <c r="AA195">
        <f t="shared" si="64"/>
        <v>0</v>
      </c>
      <c r="AB195" s="27">
        <f t="shared" si="65"/>
        <v>1828739.9313385084</v>
      </c>
      <c r="AD195" s="27">
        <f t="shared" si="66"/>
        <v>0</v>
      </c>
      <c r="AE195" s="27">
        <f t="shared" si="67"/>
        <v>1828739.9313385084</v>
      </c>
      <c r="AF195" s="50"/>
      <c r="AG195" t="str">
        <f t="shared" si="68"/>
        <v>5399999</v>
      </c>
    </row>
    <row r="196" spans="1:33" x14ac:dyDescent="0.25">
      <c r="A196" s="7" t="s">
        <v>534</v>
      </c>
      <c r="B196" s="2" t="s">
        <v>1033</v>
      </c>
      <c r="C196" s="4" t="s">
        <v>1032</v>
      </c>
      <c r="D196" s="30">
        <f>_xlfn.IFNA(VLOOKUP(A196,'Prior Year data'!$A$1:$V$318,13,FALSE),0)</f>
        <v>7291679.1025240775</v>
      </c>
      <c r="E196">
        <f>VLOOKUP(A196,'Basic HH'!$B$1:$Y$318,23,FALSE)</f>
        <v>3162545.6795159085</v>
      </c>
      <c r="F196">
        <f>VLOOKUP(A196,'Conc. HH'!$B$1:$Y$318,23,FALSE)</f>
        <v>852539.6962157489</v>
      </c>
      <c r="G196">
        <f>VLOOKUP(A196,'Targeted HH'!$B$1:$Y$318,23,FALSE)</f>
        <v>2430927.89580133</v>
      </c>
      <c r="H196">
        <f>VLOOKUP(A196,'EFIG HH'!$B$1:$Y$318,23,FALSE)</f>
        <v>3225779.9945185478</v>
      </c>
      <c r="I196">
        <f t="shared" ref="I196:I259" si="69">SUM(E196:H196)</f>
        <v>9671793.2660515346</v>
      </c>
      <c r="J196">
        <f t="shared" ref="J196:J259" si="70">IF(I196&lt;D196,0,I196)</f>
        <v>9671793.2660515346</v>
      </c>
      <c r="K196" s="43">
        <f t="shared" ref="K196:K259" si="71">IF(J196=0,I196,I196-$K$1*J196/$J$3)</f>
        <v>8749340.6162167005</v>
      </c>
      <c r="L196">
        <f t="shared" ref="L196:L259" si="72">IF($J196=0,0,IF(K196&lt;$D196,$D196-K196,0))</f>
        <v>0</v>
      </c>
      <c r="M196">
        <f t="shared" ref="M196:M259" si="73">IF($J196=0,0,IF(L196&gt;0,0,K196-$D196))</f>
        <v>1457661.513692623</v>
      </c>
      <c r="N196" s="43">
        <f t="shared" ref="N196:N259" si="74">IF(L196&gt;0,L196+K196,K196-$L$3*M196/$M$3)</f>
        <v>8223732.2904683221</v>
      </c>
      <c r="O196">
        <f t="shared" ref="O196:O259" si="75">IF($J196=0,0,IF(N196&lt;$D196,$D196-N196,0))</f>
        <v>0</v>
      </c>
      <c r="P196">
        <f t="shared" ref="P196:P259" si="76">IF($J196=0,0,IF(O196&gt;0,0,N196-$D196))</f>
        <v>932053.18794424459</v>
      </c>
      <c r="Q196" s="43">
        <f t="shared" ref="Q196:Q259" si="77">IF(O196&gt;0,O196+N196,N196-$O$3*P196/$P$3)</f>
        <v>8223732.2904683221</v>
      </c>
      <c r="R196">
        <f t="shared" ref="R196:R259" si="78">IF($J196=0,0,IF(Q196&lt;$D196,$D196-Q196,0))</f>
        <v>0</v>
      </c>
      <c r="S196">
        <f t="shared" ref="S196:S259" si="79">IF($J196=0,0,IF(R196&gt;0,0,Q196-$D196))</f>
        <v>932053.18794424459</v>
      </c>
      <c r="T196" s="43">
        <f t="shared" ref="T196:T259" si="80">IF(R196&gt;0,R196+Q196,Q196-$R$3*S196/$S$3)</f>
        <v>8223732.2904683221</v>
      </c>
      <c r="U196">
        <f t="shared" ref="U196:U259" si="81">IF($J196=0,0,IF(T196&lt;$D196,$D196-T196,0))</f>
        <v>0</v>
      </c>
      <c r="V196">
        <f t="shared" ref="V196:V259" si="82">IF($J196=0,0,IF(U196&gt;0,0,T196-$D196))</f>
        <v>932053.18794424459</v>
      </c>
      <c r="W196" s="43">
        <f t="shared" ref="W196:W259" si="83">IF(U196&gt;0,U196+T196,T196-$U$3*V196/$V$3)</f>
        <v>8223732.2904683221</v>
      </c>
      <c r="X196" s="43">
        <f t="shared" ref="X196:X259" si="84">I196-W196</f>
        <v>1448060.9755832125</v>
      </c>
      <c r="Y196" s="27">
        <f t="shared" ref="Y196:Y259" si="85">W196/$W$3*$Y$1</f>
        <v>64590.723555268312</v>
      </c>
      <c r="Z196" s="27">
        <f t="shared" ref="Z196:Z259" si="86">W196-Y196</f>
        <v>8159141.5669130534</v>
      </c>
      <c r="AA196">
        <f t="shared" ref="AA196:AA259" si="87">Z196/$Z$3*$AA$1</f>
        <v>0</v>
      </c>
      <c r="AB196" s="27">
        <f t="shared" ref="AB196:AB259" si="88">Z196-AA196</f>
        <v>8159141.5669130534</v>
      </c>
      <c r="AD196" s="27">
        <f t="shared" ref="AD196:AD259" si="89">IF(AC196&gt;0,AC196*AB196,0)</f>
        <v>0</v>
      </c>
      <c r="AE196" s="27">
        <f t="shared" ref="AE196:AE259" si="90">AB196-AD196</f>
        <v>8159141.5669130534</v>
      </c>
      <c r="AF196" s="50"/>
      <c r="AG196" t="str">
        <f t="shared" ref="AG196:AG259" si="91">A196</f>
        <v>5306570</v>
      </c>
    </row>
    <row r="197" spans="1:33" x14ac:dyDescent="0.25">
      <c r="A197" s="7" t="s">
        <v>536</v>
      </c>
      <c r="B197" s="2" t="s">
        <v>1035</v>
      </c>
      <c r="C197" s="4" t="s">
        <v>1034</v>
      </c>
      <c r="D197" s="30">
        <f>_xlfn.IFNA(VLOOKUP(A197,'Prior Year data'!$A$1:$V$318,13,FALSE),0)</f>
        <v>102702.85399673595</v>
      </c>
      <c r="E197">
        <f>VLOOKUP(A197,'Basic HH'!$B$1:$Y$318,23,FALSE)</f>
        <v>52767.725464670373</v>
      </c>
      <c r="F197">
        <f>VLOOKUP(A197,'Conc. HH'!$B$1:$Y$318,23,FALSE)</f>
        <v>14224.800270563112</v>
      </c>
      <c r="G197">
        <f>VLOOKUP(A197,'Targeted HH'!$B$1:$Y$318,23,FALSE)</f>
        <v>30444.931609931842</v>
      </c>
      <c r="H197">
        <f>VLOOKUP(A197,'EFIG HH'!$B$1:$Y$318,23,FALSE)</f>
        <v>40399.656234735856</v>
      </c>
      <c r="I197">
        <f t="shared" si="69"/>
        <v>137837.11357990117</v>
      </c>
      <c r="J197">
        <f t="shared" si="70"/>
        <v>137837.11357990117</v>
      </c>
      <c r="K197" s="43">
        <f t="shared" si="71"/>
        <v>124690.82238345248</v>
      </c>
      <c r="L197">
        <f t="shared" si="72"/>
        <v>0</v>
      </c>
      <c r="M197">
        <f t="shared" si="73"/>
        <v>21987.968386716529</v>
      </c>
      <c r="N197" s="43">
        <f t="shared" si="74"/>
        <v>116762.32928557723</v>
      </c>
      <c r="O197">
        <f t="shared" si="75"/>
        <v>0</v>
      </c>
      <c r="P197">
        <f t="shared" si="76"/>
        <v>14059.475288841277</v>
      </c>
      <c r="Q197" s="43">
        <f t="shared" si="77"/>
        <v>116762.32928557723</v>
      </c>
      <c r="R197">
        <f t="shared" si="78"/>
        <v>0</v>
      </c>
      <c r="S197">
        <f t="shared" si="79"/>
        <v>14059.475288841277</v>
      </c>
      <c r="T197" s="43">
        <f t="shared" si="80"/>
        <v>116762.32928557723</v>
      </c>
      <c r="U197">
        <f t="shared" si="81"/>
        <v>0</v>
      </c>
      <c r="V197">
        <f t="shared" si="82"/>
        <v>14059.475288841277</v>
      </c>
      <c r="W197" s="43">
        <f t="shared" si="83"/>
        <v>116762.32928557723</v>
      </c>
      <c r="X197" s="43">
        <f t="shared" si="84"/>
        <v>21074.784294323938</v>
      </c>
      <c r="Y197" s="27">
        <f t="shared" si="85"/>
        <v>917.0730595517042</v>
      </c>
      <c r="Z197" s="27">
        <f t="shared" si="86"/>
        <v>115845.25622602552</v>
      </c>
      <c r="AA197">
        <f t="shared" si="87"/>
        <v>0</v>
      </c>
      <c r="AB197" s="27">
        <f t="shared" si="88"/>
        <v>115845.25622602552</v>
      </c>
      <c r="AD197" s="27">
        <f t="shared" si="89"/>
        <v>0</v>
      </c>
      <c r="AE197" s="27">
        <f t="shared" si="90"/>
        <v>115845.25622602552</v>
      </c>
      <c r="AF197" s="50"/>
      <c r="AG197" t="str">
        <f t="shared" si="91"/>
        <v>5306600</v>
      </c>
    </row>
    <row r="198" spans="1:33" x14ac:dyDescent="0.25">
      <c r="A198" s="7" t="s">
        <v>190</v>
      </c>
      <c r="B198" s="2" t="s">
        <v>1037</v>
      </c>
      <c r="C198" s="4" t="s">
        <v>1036</v>
      </c>
      <c r="D198" s="30">
        <f>_xlfn.IFNA(VLOOKUP(A198,'Prior Year data'!$A$1:$V$318,13,FALSE),0)</f>
        <v>0</v>
      </c>
      <c r="E198">
        <f>VLOOKUP(A198,'Basic HH'!$B$1:$Y$318,23,FALSE)</f>
        <v>0</v>
      </c>
      <c r="F198">
        <f>VLOOKUP(A198,'Conc. HH'!$B$1:$Y$318,23,FALSE)</f>
        <v>0</v>
      </c>
      <c r="G198">
        <f>VLOOKUP(A198,'Targeted HH'!$B$1:$Y$318,23,FALSE)</f>
        <v>0</v>
      </c>
      <c r="H198">
        <f>VLOOKUP(A198,'EFIG HH'!$B$1:$Y$318,23,FALSE)</f>
        <v>0</v>
      </c>
      <c r="I198">
        <f t="shared" si="69"/>
        <v>0</v>
      </c>
      <c r="J198">
        <f t="shared" si="70"/>
        <v>0</v>
      </c>
      <c r="K198" s="43">
        <f t="shared" si="71"/>
        <v>0</v>
      </c>
      <c r="L198">
        <f t="shared" si="72"/>
        <v>0</v>
      </c>
      <c r="M198">
        <f t="shared" si="73"/>
        <v>0</v>
      </c>
      <c r="N198" s="43">
        <f t="shared" si="74"/>
        <v>0</v>
      </c>
      <c r="O198">
        <f t="shared" si="75"/>
        <v>0</v>
      </c>
      <c r="P198">
        <f t="shared" si="76"/>
        <v>0</v>
      </c>
      <c r="Q198" s="43">
        <f t="shared" si="77"/>
        <v>0</v>
      </c>
      <c r="R198">
        <f t="shared" si="78"/>
        <v>0</v>
      </c>
      <c r="S198">
        <f t="shared" si="79"/>
        <v>0</v>
      </c>
      <c r="T198" s="43">
        <f t="shared" si="80"/>
        <v>0</v>
      </c>
      <c r="U198">
        <f t="shared" si="81"/>
        <v>0</v>
      </c>
      <c r="V198">
        <f t="shared" si="82"/>
        <v>0</v>
      </c>
      <c r="W198" s="43">
        <f t="shared" si="83"/>
        <v>0</v>
      </c>
      <c r="X198" s="43">
        <f t="shared" si="84"/>
        <v>0</v>
      </c>
      <c r="Y198" s="27">
        <f t="shared" si="85"/>
        <v>0</v>
      </c>
      <c r="Z198" s="27">
        <f t="shared" si="86"/>
        <v>0</v>
      </c>
      <c r="AA198">
        <f t="shared" si="87"/>
        <v>0</v>
      </c>
      <c r="AB198" s="27">
        <f t="shared" si="88"/>
        <v>0</v>
      </c>
      <c r="AD198" s="27">
        <f t="shared" si="89"/>
        <v>0</v>
      </c>
      <c r="AE198" s="27">
        <f t="shared" si="90"/>
        <v>0</v>
      </c>
      <c r="AF198" s="50"/>
      <c r="AG198" t="str">
        <f t="shared" si="91"/>
        <v>5306630</v>
      </c>
    </row>
    <row r="199" spans="1:33" x14ac:dyDescent="0.25">
      <c r="A199" s="7" t="s">
        <v>293</v>
      </c>
      <c r="B199" s="2" t="s">
        <v>1039</v>
      </c>
      <c r="C199" s="4" t="s">
        <v>1038</v>
      </c>
      <c r="D199" s="30">
        <f>_xlfn.IFNA(VLOOKUP(A199,'Prior Year data'!$A$1:$V$318,13,FALSE),0)</f>
        <v>49010.986020371893</v>
      </c>
      <c r="E199">
        <f>VLOOKUP(A199,'Basic HH'!$B$1:$Y$318,23,FALSE)</f>
        <v>21986.552276945989</v>
      </c>
      <c r="F199">
        <f>VLOOKUP(A199,'Conc. HH'!$B$1:$Y$318,23,FALSE)</f>
        <v>0</v>
      </c>
      <c r="G199">
        <f>VLOOKUP(A199,'Targeted HH'!$B$1:$Y$318,23,FALSE)</f>
        <v>10633.050021001354</v>
      </c>
      <c r="H199">
        <f>VLOOKUP(A199,'EFIG HH'!$B$1:$Y$318,23,FALSE)</f>
        <v>14109.789145825158</v>
      </c>
      <c r="I199">
        <f t="shared" si="69"/>
        <v>46729.391443772503</v>
      </c>
      <c r="J199">
        <f t="shared" si="70"/>
        <v>0</v>
      </c>
      <c r="K199" s="43">
        <f t="shared" si="71"/>
        <v>46729.391443772503</v>
      </c>
      <c r="L199">
        <f t="shared" si="72"/>
        <v>0</v>
      </c>
      <c r="M199">
        <f t="shared" si="73"/>
        <v>0</v>
      </c>
      <c r="N199" s="43">
        <f t="shared" si="74"/>
        <v>46729.391443772503</v>
      </c>
      <c r="O199">
        <f t="shared" si="75"/>
        <v>0</v>
      </c>
      <c r="P199">
        <f t="shared" si="76"/>
        <v>0</v>
      </c>
      <c r="Q199" s="43">
        <f t="shared" si="77"/>
        <v>46729.391443772503</v>
      </c>
      <c r="R199">
        <f t="shared" si="78"/>
        <v>0</v>
      </c>
      <c r="S199">
        <f t="shared" si="79"/>
        <v>0</v>
      </c>
      <c r="T199" s="43">
        <f t="shared" si="80"/>
        <v>46729.391443772503</v>
      </c>
      <c r="U199">
        <f t="shared" si="81"/>
        <v>0</v>
      </c>
      <c r="V199">
        <f t="shared" si="82"/>
        <v>0</v>
      </c>
      <c r="W199" s="43">
        <f t="shared" si="83"/>
        <v>46729.391443772503</v>
      </c>
      <c r="X199" s="43">
        <f t="shared" si="84"/>
        <v>0</v>
      </c>
      <c r="Y199" s="27">
        <f t="shared" si="85"/>
        <v>367.02133508759272</v>
      </c>
      <c r="Z199" s="27">
        <f t="shared" si="86"/>
        <v>46362.370108684911</v>
      </c>
      <c r="AA199">
        <f t="shared" si="87"/>
        <v>0</v>
      </c>
      <c r="AB199" s="27">
        <f t="shared" si="88"/>
        <v>46362.370108684911</v>
      </c>
      <c r="AD199" s="27">
        <f t="shared" si="89"/>
        <v>0</v>
      </c>
      <c r="AE199" s="27">
        <f t="shared" si="90"/>
        <v>46362.370108684911</v>
      </c>
      <c r="AF199" s="50"/>
      <c r="AG199" t="str">
        <f t="shared" si="91"/>
        <v>5306660</v>
      </c>
    </row>
    <row r="200" spans="1:33" x14ac:dyDescent="0.25">
      <c r="A200" s="7" t="s">
        <v>192</v>
      </c>
      <c r="B200" s="2" t="s">
        <v>1041</v>
      </c>
      <c r="C200" s="4" t="s">
        <v>1040</v>
      </c>
      <c r="D200" s="30">
        <f>_xlfn.IFNA(VLOOKUP(A200,'Prior Year data'!$A$1:$V$318,13,FALSE),0)</f>
        <v>451003.046589993</v>
      </c>
      <c r="E200">
        <f>VLOOKUP(A200,'Basic HH'!$B$1:$Y$318,23,FALSE)</f>
        <v>554061.11737903836</v>
      </c>
      <c r="F200">
        <f>VLOOKUP(A200,'Conc. HH'!$B$1:$Y$318,23,FALSE)</f>
        <v>0</v>
      </c>
      <c r="G200">
        <f>VLOOKUP(A200,'Targeted HH'!$B$1:$Y$318,23,FALSE)</f>
        <v>267952.86052923423</v>
      </c>
      <c r="H200">
        <f>VLOOKUP(A200,'EFIG HH'!$B$1:$Y$318,23,FALSE)</f>
        <v>355566.68647479406</v>
      </c>
      <c r="I200">
        <f t="shared" si="69"/>
        <v>1177580.6643830666</v>
      </c>
      <c r="J200">
        <f t="shared" si="70"/>
        <v>1177580.6643830666</v>
      </c>
      <c r="K200" s="43">
        <f t="shared" si="71"/>
        <v>1065268.2550528073</v>
      </c>
      <c r="L200">
        <f t="shared" si="72"/>
        <v>0</v>
      </c>
      <c r="M200">
        <f t="shared" si="73"/>
        <v>614265.20846281433</v>
      </c>
      <c r="N200" s="43">
        <f t="shared" si="74"/>
        <v>843774.50993242906</v>
      </c>
      <c r="O200">
        <f t="shared" si="75"/>
        <v>0</v>
      </c>
      <c r="P200">
        <f t="shared" si="76"/>
        <v>392771.46334243607</v>
      </c>
      <c r="Q200" s="43">
        <f t="shared" si="77"/>
        <v>843774.50993242906</v>
      </c>
      <c r="R200">
        <f t="shared" si="78"/>
        <v>0</v>
      </c>
      <c r="S200">
        <f t="shared" si="79"/>
        <v>392771.46334243607</v>
      </c>
      <c r="T200" s="43">
        <f t="shared" si="80"/>
        <v>843774.50993242906</v>
      </c>
      <c r="U200">
        <f t="shared" si="81"/>
        <v>0</v>
      </c>
      <c r="V200">
        <f t="shared" si="82"/>
        <v>392771.46334243607</v>
      </c>
      <c r="W200" s="43">
        <f t="shared" si="83"/>
        <v>843774.50993242906</v>
      </c>
      <c r="X200" s="43">
        <f t="shared" si="84"/>
        <v>333806.15445063752</v>
      </c>
      <c r="Y200" s="27">
        <f t="shared" si="85"/>
        <v>6627.1619976243019</v>
      </c>
      <c r="Z200" s="27">
        <f t="shared" si="86"/>
        <v>837147.34793480474</v>
      </c>
      <c r="AA200">
        <f t="shared" si="87"/>
        <v>0</v>
      </c>
      <c r="AB200" s="27">
        <f t="shared" si="88"/>
        <v>837147.34793480474</v>
      </c>
      <c r="AD200" s="27">
        <f t="shared" si="89"/>
        <v>0</v>
      </c>
      <c r="AE200" s="27">
        <f t="shared" si="90"/>
        <v>837147.34793480474</v>
      </c>
      <c r="AF200" s="50"/>
      <c r="AG200" t="str">
        <f t="shared" si="91"/>
        <v>5306690</v>
      </c>
    </row>
    <row r="201" spans="1:33" x14ac:dyDescent="0.25">
      <c r="A201" s="7" t="s">
        <v>82</v>
      </c>
      <c r="B201" s="2" t="s">
        <v>1042</v>
      </c>
      <c r="C201" s="4" t="s">
        <v>52</v>
      </c>
      <c r="D201" s="30">
        <f>_xlfn.IFNA(VLOOKUP(A201,'Prior Year data'!$A$1:$V$318,13,FALSE),0)</f>
        <v>47635.477007535985</v>
      </c>
      <c r="E201">
        <f>VLOOKUP(A201,'Basic HH'!$B$1:$Y$318,23,FALSE)</f>
        <v>26609.005027651117</v>
      </c>
      <c r="F201">
        <f>VLOOKUP(A201,'Conc. HH'!$B$1:$Y$318,23,FALSE)</f>
        <v>0</v>
      </c>
      <c r="G201">
        <f>VLOOKUP(A201,'Targeted HH'!$B$1:$Y$318,23,FALSE)</f>
        <v>15015.367766127461</v>
      </c>
      <c r="H201">
        <f>VLOOKUP(A201,'EFIG HH'!$B$1:$Y$318,23,FALSE)</f>
        <v>19925.01424413747</v>
      </c>
      <c r="I201">
        <f t="shared" si="69"/>
        <v>61549.387037916051</v>
      </c>
      <c r="J201">
        <f t="shared" si="70"/>
        <v>61549.387037916051</v>
      </c>
      <c r="K201" s="43">
        <f t="shared" si="71"/>
        <v>55679.080094102079</v>
      </c>
      <c r="L201">
        <f t="shared" si="72"/>
        <v>0</v>
      </c>
      <c r="M201">
        <f t="shared" si="73"/>
        <v>8043.6030865660941</v>
      </c>
      <c r="N201" s="43">
        <f t="shared" si="74"/>
        <v>52778.691552866294</v>
      </c>
      <c r="O201">
        <f t="shared" si="75"/>
        <v>0</v>
      </c>
      <c r="P201">
        <f t="shared" si="76"/>
        <v>5143.2145453303092</v>
      </c>
      <c r="Q201" s="43">
        <f t="shared" si="77"/>
        <v>52778.691552866294</v>
      </c>
      <c r="R201">
        <f t="shared" si="78"/>
        <v>0</v>
      </c>
      <c r="S201">
        <f t="shared" si="79"/>
        <v>5143.2145453303092</v>
      </c>
      <c r="T201" s="43">
        <f t="shared" si="80"/>
        <v>52778.691552866294</v>
      </c>
      <c r="U201">
        <f t="shared" si="81"/>
        <v>0</v>
      </c>
      <c r="V201">
        <f t="shared" si="82"/>
        <v>5143.2145453303092</v>
      </c>
      <c r="W201" s="43">
        <f t="shared" si="83"/>
        <v>52778.691552866294</v>
      </c>
      <c r="X201" s="43">
        <f t="shared" si="84"/>
        <v>8770.6954850497568</v>
      </c>
      <c r="Y201" s="27">
        <f t="shared" si="85"/>
        <v>414.53366370536685</v>
      </c>
      <c r="Z201" s="27">
        <f t="shared" si="86"/>
        <v>52364.157889160924</v>
      </c>
      <c r="AA201">
        <f t="shared" si="87"/>
        <v>0</v>
      </c>
      <c r="AB201" s="27">
        <f t="shared" si="88"/>
        <v>52364.157889160924</v>
      </c>
      <c r="AD201" s="27">
        <f t="shared" si="89"/>
        <v>0</v>
      </c>
      <c r="AE201" s="27">
        <f t="shared" si="90"/>
        <v>52364.157889160924</v>
      </c>
      <c r="AF201" s="50"/>
      <c r="AG201" t="str">
        <f t="shared" si="91"/>
        <v>5306770</v>
      </c>
    </row>
    <row r="202" spans="1:33" x14ac:dyDescent="0.25">
      <c r="A202" s="7" t="s">
        <v>538</v>
      </c>
      <c r="B202" s="2" t="s">
        <v>1044</v>
      </c>
      <c r="C202" s="4" t="s">
        <v>1043</v>
      </c>
      <c r="D202" s="30">
        <f>_xlfn.IFNA(VLOOKUP(A202,'Prior Year data'!$A$1:$V$318,13,FALSE),0)</f>
        <v>357673.64712810732</v>
      </c>
      <c r="E202">
        <f>VLOOKUP(A202,'Basic HH'!$B$1:$Y$318,23,FALSE)</f>
        <v>205794.12931221441</v>
      </c>
      <c r="F202">
        <f>VLOOKUP(A202,'Conc. HH'!$B$1:$Y$318,23,FALSE)</f>
        <v>55476.72105519614</v>
      </c>
      <c r="G202">
        <f>VLOOKUP(A202,'Targeted HH'!$B$1:$Y$318,23,FALSE)</f>
        <v>99525.348196572697</v>
      </c>
      <c r="H202">
        <f>VLOOKUP(A202,'EFIG HH'!$B$1:$Y$318,23,FALSE)</f>
        <v>132067.62640492347</v>
      </c>
      <c r="I202">
        <f t="shared" si="69"/>
        <v>492863.8249689067</v>
      </c>
      <c r="J202">
        <f t="shared" si="70"/>
        <v>492863.8249689067</v>
      </c>
      <c r="K202" s="43">
        <f t="shared" si="71"/>
        <v>445856.66416180786</v>
      </c>
      <c r="L202">
        <f t="shared" si="72"/>
        <v>0</v>
      </c>
      <c r="M202">
        <f t="shared" si="73"/>
        <v>88183.01703370054</v>
      </c>
      <c r="N202" s="43">
        <f t="shared" si="74"/>
        <v>414059.34530064883</v>
      </c>
      <c r="O202">
        <f t="shared" si="75"/>
        <v>0</v>
      </c>
      <c r="P202">
        <f t="shared" si="76"/>
        <v>56385.69817254151</v>
      </c>
      <c r="Q202" s="43">
        <f t="shared" si="77"/>
        <v>414059.34530064883</v>
      </c>
      <c r="R202">
        <f t="shared" si="78"/>
        <v>0</v>
      </c>
      <c r="S202">
        <f t="shared" si="79"/>
        <v>56385.69817254151</v>
      </c>
      <c r="T202" s="43">
        <f t="shared" si="80"/>
        <v>414059.34530064883</v>
      </c>
      <c r="U202">
        <f t="shared" si="81"/>
        <v>0</v>
      </c>
      <c r="V202">
        <f t="shared" si="82"/>
        <v>56385.69817254151</v>
      </c>
      <c r="W202" s="43">
        <f t="shared" si="83"/>
        <v>414059.34530064883</v>
      </c>
      <c r="X202" s="43">
        <f t="shared" si="84"/>
        <v>78804.479668257874</v>
      </c>
      <c r="Y202" s="27">
        <f t="shared" si="85"/>
        <v>3252.0991398014689</v>
      </c>
      <c r="Z202" s="27">
        <f t="shared" si="86"/>
        <v>410807.24616084737</v>
      </c>
      <c r="AA202">
        <f t="shared" si="87"/>
        <v>0</v>
      </c>
      <c r="AB202" s="27">
        <f t="shared" si="88"/>
        <v>410807.24616084737</v>
      </c>
      <c r="AD202" s="27">
        <f t="shared" si="89"/>
        <v>0</v>
      </c>
      <c r="AE202" s="27">
        <f t="shared" si="90"/>
        <v>410807.24616084737</v>
      </c>
      <c r="AF202" s="50"/>
      <c r="AG202" t="str">
        <f t="shared" si="91"/>
        <v>5306750</v>
      </c>
    </row>
    <row r="203" spans="1:33" x14ac:dyDescent="0.25">
      <c r="A203" s="7" t="s">
        <v>540</v>
      </c>
      <c r="B203" s="2" t="s">
        <v>1046</v>
      </c>
      <c r="C203" s="4" t="s">
        <v>1045</v>
      </c>
      <c r="D203" s="30">
        <f>_xlfn.IFNA(VLOOKUP(A203,'Prior Year data'!$A$1:$V$318,13,FALSE),0)</f>
        <v>117711.38448883545</v>
      </c>
      <c r="E203">
        <f>VLOOKUP(A203,'Basic HH'!$B$1:$Y$318,23,FALSE)</f>
        <v>51888.263373592512</v>
      </c>
      <c r="F203">
        <f>VLOOKUP(A203,'Conc. HH'!$B$1:$Y$318,23,FALSE)</f>
        <v>13987.720266053726</v>
      </c>
      <c r="G203">
        <f>VLOOKUP(A203,'Targeted HH'!$B$1:$Y$318,23,FALSE)</f>
        <v>25923.503547801552</v>
      </c>
      <c r="H203">
        <f>VLOOKUP(A203,'EFIG HH'!$B$1:$Y$318,23,FALSE)</f>
        <v>34399.8352549915</v>
      </c>
      <c r="I203">
        <f t="shared" si="69"/>
        <v>126199.32244243928</v>
      </c>
      <c r="J203">
        <f t="shared" si="70"/>
        <v>126199.32244243928</v>
      </c>
      <c r="K203" s="43">
        <f t="shared" si="71"/>
        <v>114162.99203378551</v>
      </c>
      <c r="L203">
        <f t="shared" si="72"/>
        <v>3548.392455049936</v>
      </c>
      <c r="M203">
        <f t="shared" si="73"/>
        <v>0</v>
      </c>
      <c r="N203" s="43">
        <f t="shared" si="74"/>
        <v>117711.38448883545</v>
      </c>
      <c r="O203">
        <f t="shared" si="75"/>
        <v>0</v>
      </c>
      <c r="P203">
        <f t="shared" si="76"/>
        <v>0</v>
      </c>
      <c r="Q203" s="43">
        <f t="shared" si="77"/>
        <v>117711.38448883545</v>
      </c>
      <c r="R203">
        <f t="shared" si="78"/>
        <v>0</v>
      </c>
      <c r="S203">
        <f t="shared" si="79"/>
        <v>0</v>
      </c>
      <c r="T203" s="43">
        <f t="shared" si="80"/>
        <v>117711.38448883545</v>
      </c>
      <c r="U203">
        <f t="shared" si="81"/>
        <v>0</v>
      </c>
      <c r="V203">
        <f t="shared" si="82"/>
        <v>0</v>
      </c>
      <c r="W203" s="43">
        <f t="shared" si="83"/>
        <v>117711.38448883545</v>
      </c>
      <c r="X203" s="43">
        <f t="shared" si="84"/>
        <v>8487.9379536038323</v>
      </c>
      <c r="Y203" s="27">
        <f t="shared" si="85"/>
        <v>924.52711570372537</v>
      </c>
      <c r="Z203" s="27">
        <f t="shared" si="86"/>
        <v>116786.85737313173</v>
      </c>
      <c r="AA203">
        <f t="shared" si="87"/>
        <v>0</v>
      </c>
      <c r="AB203" s="27">
        <f t="shared" si="88"/>
        <v>116786.85737313173</v>
      </c>
      <c r="AD203" s="27">
        <f t="shared" si="89"/>
        <v>0</v>
      </c>
      <c r="AE203" s="27">
        <f t="shared" si="90"/>
        <v>116786.85737313173</v>
      </c>
      <c r="AF203" s="50"/>
      <c r="AG203" t="str">
        <f t="shared" si="91"/>
        <v>5306780</v>
      </c>
    </row>
    <row r="204" spans="1:33" x14ac:dyDescent="0.25">
      <c r="A204" s="7" t="s">
        <v>542</v>
      </c>
      <c r="B204" s="2" t="s">
        <v>1048</v>
      </c>
      <c r="C204" s="4" t="s">
        <v>1047</v>
      </c>
      <c r="D204" s="30">
        <f>_xlfn.IFNA(VLOOKUP(A204,'Prior Year data'!$A$1:$V$318,13,FALSE),0)</f>
        <v>1202156.0222008908</v>
      </c>
      <c r="E204">
        <f>VLOOKUP(A204,'Basic HH'!$B$1:$Y$318,23,FALSE)</f>
        <v>468753.29454448848</v>
      </c>
      <c r="F204">
        <f>VLOOKUP(A204,'Conc. HH'!$B$1:$Y$318,23,FALSE)</f>
        <v>92314.913121576144</v>
      </c>
      <c r="G204">
        <f>VLOOKUP(A204,'Targeted HH'!$B$1:$Y$318,23,FALSE)</f>
        <v>226696.62644774877</v>
      </c>
      <c r="H204">
        <f>VLOOKUP(A204,'EFIG HH'!$B$1:$Y$318,23,FALSE)</f>
        <v>300820.7045889924</v>
      </c>
      <c r="I204">
        <f t="shared" si="69"/>
        <v>1088585.5387028058</v>
      </c>
      <c r="J204">
        <f t="shared" si="70"/>
        <v>0</v>
      </c>
      <c r="K204" s="43">
        <f t="shared" si="71"/>
        <v>1088585.5387028058</v>
      </c>
      <c r="L204">
        <f t="shared" si="72"/>
        <v>0</v>
      </c>
      <c r="M204">
        <f t="shared" si="73"/>
        <v>0</v>
      </c>
      <c r="N204" s="43">
        <f t="shared" si="74"/>
        <v>1088585.5387028058</v>
      </c>
      <c r="O204">
        <f t="shared" si="75"/>
        <v>0</v>
      </c>
      <c r="P204">
        <f t="shared" si="76"/>
        <v>0</v>
      </c>
      <c r="Q204" s="43">
        <f t="shared" si="77"/>
        <v>1088585.5387028058</v>
      </c>
      <c r="R204">
        <f t="shared" si="78"/>
        <v>0</v>
      </c>
      <c r="S204">
        <f t="shared" si="79"/>
        <v>0</v>
      </c>
      <c r="T204" s="43">
        <f t="shared" si="80"/>
        <v>1088585.5387028058</v>
      </c>
      <c r="U204">
        <f t="shared" si="81"/>
        <v>0</v>
      </c>
      <c r="V204">
        <f t="shared" si="82"/>
        <v>0</v>
      </c>
      <c r="W204" s="43">
        <f t="shared" si="83"/>
        <v>1088585.5387028058</v>
      </c>
      <c r="X204" s="43">
        <f t="shared" si="84"/>
        <v>0</v>
      </c>
      <c r="Y204" s="27">
        <f t="shared" si="85"/>
        <v>8549.9533682670044</v>
      </c>
      <c r="Z204" s="27">
        <f t="shared" si="86"/>
        <v>1080035.5853345387</v>
      </c>
      <c r="AA204">
        <f t="shared" si="87"/>
        <v>0</v>
      </c>
      <c r="AB204" s="27">
        <f t="shared" si="88"/>
        <v>1080035.5853345387</v>
      </c>
      <c r="AD204" s="27">
        <f t="shared" si="89"/>
        <v>0</v>
      </c>
      <c r="AE204" s="27">
        <f t="shared" si="90"/>
        <v>1080035.5853345387</v>
      </c>
      <c r="AF204" s="50"/>
      <c r="AG204" t="str">
        <f t="shared" si="91"/>
        <v>5306820</v>
      </c>
    </row>
    <row r="205" spans="1:33" x14ac:dyDescent="0.25">
      <c r="A205" s="7" t="s">
        <v>544</v>
      </c>
      <c r="B205" s="2" t="s">
        <v>1050</v>
      </c>
      <c r="C205" s="4" t="s">
        <v>1049</v>
      </c>
      <c r="D205" s="30">
        <f>_xlfn.IFNA(VLOOKUP(A205,'Prior Year data'!$A$1:$V$318,13,FALSE),0)</f>
        <v>471831.73501075787</v>
      </c>
      <c r="E205">
        <f>VLOOKUP(A205,'Basic HH'!$B$1:$Y$318,23,FALSE)</f>
        <v>176753.18950183954</v>
      </c>
      <c r="F205">
        <f>VLOOKUP(A205,'Conc. HH'!$B$1:$Y$318,23,FALSE)</f>
        <v>47553.486393778978</v>
      </c>
      <c r="G205">
        <f>VLOOKUP(A205,'Targeted HH'!$B$1:$Y$318,23,FALSE)</f>
        <v>91683.421930717101</v>
      </c>
      <c r="H205">
        <f>VLOOKUP(A205,'EFIG HH'!$B$1:$Y$318,23,FALSE)</f>
        <v>124365.8352224975</v>
      </c>
      <c r="I205">
        <f t="shared" si="69"/>
        <v>440355.93304883305</v>
      </c>
      <c r="J205">
        <f t="shared" si="70"/>
        <v>0</v>
      </c>
      <c r="K205" s="43">
        <f t="shared" si="71"/>
        <v>440355.93304883305</v>
      </c>
      <c r="L205">
        <f t="shared" si="72"/>
        <v>0</v>
      </c>
      <c r="M205">
        <f t="shared" si="73"/>
        <v>0</v>
      </c>
      <c r="N205" s="43">
        <f t="shared" si="74"/>
        <v>440355.93304883305</v>
      </c>
      <c r="O205">
        <f t="shared" si="75"/>
        <v>0</v>
      </c>
      <c r="P205">
        <f t="shared" si="76"/>
        <v>0</v>
      </c>
      <c r="Q205" s="43">
        <f t="shared" si="77"/>
        <v>440355.93304883305</v>
      </c>
      <c r="R205">
        <f t="shared" si="78"/>
        <v>0</v>
      </c>
      <c r="S205">
        <f t="shared" si="79"/>
        <v>0</v>
      </c>
      <c r="T205" s="43">
        <f t="shared" si="80"/>
        <v>440355.93304883305</v>
      </c>
      <c r="U205">
        <f t="shared" si="81"/>
        <v>0</v>
      </c>
      <c r="V205">
        <f t="shared" si="82"/>
        <v>0</v>
      </c>
      <c r="W205" s="43">
        <f t="shared" si="83"/>
        <v>440355.93304883305</v>
      </c>
      <c r="X205" s="43">
        <f t="shared" si="84"/>
        <v>0</v>
      </c>
      <c r="Y205" s="27">
        <f t="shared" si="85"/>
        <v>3458.6374328412944</v>
      </c>
      <c r="Z205" s="27">
        <f t="shared" si="86"/>
        <v>436897.29561599175</v>
      </c>
      <c r="AA205">
        <f t="shared" si="87"/>
        <v>0</v>
      </c>
      <c r="AB205" s="27">
        <f t="shared" si="88"/>
        <v>436897.29561599175</v>
      </c>
      <c r="AD205" s="27">
        <f t="shared" si="89"/>
        <v>0</v>
      </c>
      <c r="AE205" s="27">
        <f t="shared" si="90"/>
        <v>436897.29561599175</v>
      </c>
      <c r="AF205" s="50"/>
      <c r="AG205" t="str">
        <f t="shared" si="91"/>
        <v>5306840</v>
      </c>
    </row>
    <row r="206" spans="1:33" x14ac:dyDescent="0.25">
      <c r="A206" s="7" t="s">
        <v>546</v>
      </c>
      <c r="B206" s="2" t="s">
        <v>1052</v>
      </c>
      <c r="C206" s="4" t="s">
        <v>1051</v>
      </c>
      <c r="D206" s="30">
        <f>_xlfn.IFNA(VLOOKUP(A206,'Prior Year data'!$A$1:$V$318,13,FALSE),0)</f>
        <v>131820.04711252492</v>
      </c>
      <c r="E206">
        <f>VLOOKUP(A206,'Basic HH'!$B$1:$Y$318,23,FALSE)</f>
        <v>53964.469361181073</v>
      </c>
      <c r="F206">
        <f>VLOOKUP(A206,'Conc. HH'!$B$1:$Y$318,23,FALSE)</f>
        <v>14518.542306065268</v>
      </c>
      <c r="G206">
        <f>VLOOKUP(A206,'Targeted HH'!$B$1:$Y$318,23,FALSE)</f>
        <v>30303.199677927845</v>
      </c>
      <c r="H206">
        <f>VLOOKUP(A206,'EFIG HH'!$B$1:$Y$318,23,FALSE)</f>
        <v>41105.389158658509</v>
      </c>
      <c r="I206">
        <f t="shared" si="69"/>
        <v>139891.60050383268</v>
      </c>
      <c r="J206">
        <f t="shared" si="70"/>
        <v>139891.60050383268</v>
      </c>
      <c r="K206" s="43">
        <f t="shared" si="71"/>
        <v>126549.36147693524</v>
      </c>
      <c r="L206">
        <f t="shared" si="72"/>
        <v>5270.6856355896743</v>
      </c>
      <c r="M206">
        <f t="shared" si="73"/>
        <v>0</v>
      </c>
      <c r="N206" s="43">
        <f t="shared" si="74"/>
        <v>131820.04711252492</v>
      </c>
      <c r="O206">
        <f t="shared" si="75"/>
        <v>0</v>
      </c>
      <c r="P206">
        <f t="shared" si="76"/>
        <v>0</v>
      </c>
      <c r="Q206" s="43">
        <f t="shared" si="77"/>
        <v>131820.04711252492</v>
      </c>
      <c r="R206">
        <f t="shared" si="78"/>
        <v>0</v>
      </c>
      <c r="S206">
        <f t="shared" si="79"/>
        <v>0</v>
      </c>
      <c r="T206" s="43">
        <f t="shared" si="80"/>
        <v>131820.04711252492</v>
      </c>
      <c r="U206">
        <f t="shared" si="81"/>
        <v>0</v>
      </c>
      <c r="V206">
        <f t="shared" si="82"/>
        <v>0</v>
      </c>
      <c r="W206" s="43">
        <f t="shared" si="83"/>
        <v>131820.04711252492</v>
      </c>
      <c r="X206" s="43">
        <f t="shared" si="84"/>
        <v>8071.553391307767</v>
      </c>
      <c r="Y206" s="27">
        <f t="shared" si="85"/>
        <v>1035.339177073658</v>
      </c>
      <c r="Z206" s="27">
        <f t="shared" si="86"/>
        <v>130784.70793545125</v>
      </c>
      <c r="AA206">
        <f t="shared" si="87"/>
        <v>0</v>
      </c>
      <c r="AB206" s="27">
        <f t="shared" si="88"/>
        <v>130784.70793545125</v>
      </c>
      <c r="AD206" s="27">
        <f t="shared" si="89"/>
        <v>0</v>
      </c>
      <c r="AE206" s="27">
        <f t="shared" si="90"/>
        <v>130784.70793545125</v>
      </c>
      <c r="AF206" s="50"/>
      <c r="AG206" t="str">
        <f t="shared" si="91"/>
        <v>5306870</v>
      </c>
    </row>
    <row r="207" spans="1:33" x14ac:dyDescent="0.25">
      <c r="A207" s="7" t="s">
        <v>77</v>
      </c>
      <c r="B207" s="2" t="s">
        <v>1053</v>
      </c>
      <c r="C207" s="4" t="s">
        <v>33</v>
      </c>
      <c r="D207" s="30">
        <f>_xlfn.IFNA(VLOOKUP(A207,'Prior Year data'!$A$1:$V$318,13,FALSE),0)</f>
        <v>151625.74423624863</v>
      </c>
      <c r="E207">
        <f>VLOOKUP(A207,'Basic HH'!$B$1:$Y$318,23,FALSE)</f>
        <v>39782.055489594903</v>
      </c>
      <c r="F207">
        <f>VLOOKUP(A207,'Conc. HH'!$B$1:$Y$318,23,FALSE)</f>
        <v>10481.915979745158</v>
      </c>
      <c r="G207">
        <f>VLOOKUP(A207,'Targeted HH'!$B$1:$Y$318,23,FALSE)</f>
        <v>33527.845564165829</v>
      </c>
      <c r="H207">
        <f>VLOOKUP(A207,'EFIG HH'!$B$1:$Y$318,23,FALSE)</f>
        <v>46084.628795477991</v>
      </c>
      <c r="I207">
        <f t="shared" si="69"/>
        <v>129876.44582898388</v>
      </c>
      <c r="J207">
        <f t="shared" si="70"/>
        <v>0</v>
      </c>
      <c r="K207" s="43">
        <f t="shared" si="71"/>
        <v>129876.44582898388</v>
      </c>
      <c r="L207">
        <f t="shared" si="72"/>
        <v>0</v>
      </c>
      <c r="M207">
        <f t="shared" si="73"/>
        <v>0</v>
      </c>
      <c r="N207" s="43">
        <f t="shared" si="74"/>
        <v>129876.44582898388</v>
      </c>
      <c r="O207">
        <f t="shared" si="75"/>
        <v>0</v>
      </c>
      <c r="P207">
        <f t="shared" si="76"/>
        <v>0</v>
      </c>
      <c r="Q207" s="43">
        <f t="shared" si="77"/>
        <v>129876.44582898388</v>
      </c>
      <c r="R207">
        <f t="shared" si="78"/>
        <v>0</v>
      </c>
      <c r="S207">
        <f t="shared" si="79"/>
        <v>0</v>
      </c>
      <c r="T207" s="43">
        <f t="shared" si="80"/>
        <v>129876.44582898388</v>
      </c>
      <c r="U207">
        <f t="shared" si="81"/>
        <v>0</v>
      </c>
      <c r="V207">
        <f t="shared" si="82"/>
        <v>0</v>
      </c>
      <c r="W207" s="43">
        <f t="shared" si="83"/>
        <v>129876.44582898388</v>
      </c>
      <c r="X207" s="43">
        <f t="shared" si="84"/>
        <v>0</v>
      </c>
      <c r="Y207" s="27">
        <f t="shared" si="85"/>
        <v>1020.0737709572199</v>
      </c>
      <c r="Z207" s="27">
        <f t="shared" si="86"/>
        <v>128856.37205802667</v>
      </c>
      <c r="AA207">
        <f t="shared" si="87"/>
        <v>0</v>
      </c>
      <c r="AB207" s="27">
        <f t="shared" si="88"/>
        <v>128856.37205802667</v>
      </c>
      <c r="AD207" s="27">
        <f t="shared" si="89"/>
        <v>0</v>
      </c>
      <c r="AE207" s="27">
        <f t="shared" si="90"/>
        <v>128856.37205802667</v>
      </c>
      <c r="AF207" s="50"/>
      <c r="AG207" t="str">
        <f t="shared" si="91"/>
        <v>5306890</v>
      </c>
    </row>
    <row r="208" spans="1:33" x14ac:dyDescent="0.25">
      <c r="A208" s="7" t="s">
        <v>548</v>
      </c>
      <c r="B208" s="2" t="s">
        <v>1055</v>
      </c>
      <c r="C208" s="4" t="s">
        <v>1054</v>
      </c>
      <c r="D208" s="30">
        <f>_xlfn.IFNA(VLOOKUP(A208,'Prior Year data'!$A$1:$V$318,13,FALSE),0)</f>
        <v>704735.51801548467</v>
      </c>
      <c r="E208">
        <f>VLOOKUP(A208,'Basic HH'!$B$1:$Y$318,23,FALSE)</f>
        <v>264434.58980044129</v>
      </c>
      <c r="F208">
        <f>VLOOKUP(A208,'Conc. HH'!$B$1:$Y$318,23,FALSE)</f>
        <v>0</v>
      </c>
      <c r="G208">
        <f>VLOOKUP(A208,'Targeted HH'!$B$1:$Y$318,23,FALSE)</f>
        <v>127563.01381508254</v>
      </c>
      <c r="H208">
        <f>VLOOKUP(A208,'EFIG HH'!$B$1:$Y$318,23,FALSE)</f>
        <v>173035.43456962283</v>
      </c>
      <c r="I208">
        <f t="shared" si="69"/>
        <v>565033.03818514664</v>
      </c>
      <c r="J208">
        <f t="shared" si="70"/>
        <v>0</v>
      </c>
      <c r="K208" s="43">
        <f t="shared" si="71"/>
        <v>565033.03818514664</v>
      </c>
      <c r="L208">
        <f t="shared" si="72"/>
        <v>0</v>
      </c>
      <c r="M208">
        <f t="shared" si="73"/>
        <v>0</v>
      </c>
      <c r="N208" s="43">
        <f t="shared" si="74"/>
        <v>565033.03818514664</v>
      </c>
      <c r="O208">
        <f t="shared" si="75"/>
        <v>0</v>
      </c>
      <c r="P208">
        <f t="shared" si="76"/>
        <v>0</v>
      </c>
      <c r="Q208" s="43">
        <f t="shared" si="77"/>
        <v>565033.03818514664</v>
      </c>
      <c r="R208">
        <f t="shared" si="78"/>
        <v>0</v>
      </c>
      <c r="S208">
        <f t="shared" si="79"/>
        <v>0</v>
      </c>
      <c r="T208" s="43">
        <f t="shared" si="80"/>
        <v>565033.03818514664</v>
      </c>
      <c r="U208">
        <f t="shared" si="81"/>
        <v>0</v>
      </c>
      <c r="V208">
        <f t="shared" si="82"/>
        <v>0</v>
      </c>
      <c r="W208" s="43">
        <f t="shared" si="83"/>
        <v>565033.03818514664</v>
      </c>
      <c r="X208" s="43">
        <f t="shared" si="84"/>
        <v>0</v>
      </c>
      <c r="Y208" s="27">
        <f t="shared" si="85"/>
        <v>4437.8746145847381</v>
      </c>
      <c r="Z208" s="27">
        <f t="shared" si="86"/>
        <v>560595.16357056191</v>
      </c>
      <c r="AA208">
        <f t="shared" si="87"/>
        <v>0</v>
      </c>
      <c r="AB208" s="27">
        <f t="shared" si="88"/>
        <v>560595.16357056191</v>
      </c>
      <c r="AD208" s="27">
        <f t="shared" si="89"/>
        <v>0</v>
      </c>
      <c r="AE208" s="27">
        <f t="shared" si="90"/>
        <v>560595.16357056191</v>
      </c>
      <c r="AF208" s="50"/>
      <c r="AG208" t="str">
        <f t="shared" si="91"/>
        <v>5306900</v>
      </c>
    </row>
    <row r="209" spans="1:33" x14ac:dyDescent="0.25">
      <c r="A209" s="7" t="s">
        <v>58</v>
      </c>
      <c r="B209" s="2" t="s">
        <v>1056</v>
      </c>
      <c r="C209" s="4" t="s">
        <v>20</v>
      </c>
      <c r="D209" s="30">
        <f>_xlfn.IFNA(VLOOKUP(A209,'Prior Year data'!$A$1:$V$318,13,FALSE),0)</f>
        <v>679086.38575864909</v>
      </c>
      <c r="E209">
        <f>VLOOKUP(A209,'Basic HH'!$B$1:$Y$318,23,FALSE)</f>
        <v>379048.16125454882</v>
      </c>
      <c r="F209">
        <f>VLOOKUP(A209,'Conc. HH'!$B$1:$Y$318,23,FALSE)</f>
        <v>0</v>
      </c>
      <c r="G209">
        <f>VLOOKUP(A209,'Targeted HH'!$B$1:$Y$318,23,FALSE)</f>
        <v>183313.78236206339</v>
      </c>
      <c r="H209">
        <f>VLOOKUP(A209,'EFIG HH'!$B$1:$Y$318,23,FALSE)</f>
        <v>243252.76487402574</v>
      </c>
      <c r="I209">
        <f t="shared" si="69"/>
        <v>805614.70849063795</v>
      </c>
      <c r="J209">
        <f t="shared" si="70"/>
        <v>805614.70849063795</v>
      </c>
      <c r="K209" s="43">
        <f t="shared" si="71"/>
        <v>728778.75861549226</v>
      </c>
      <c r="L209">
        <f t="shared" si="72"/>
        <v>0</v>
      </c>
      <c r="M209">
        <f t="shared" si="73"/>
        <v>49692.372856843169</v>
      </c>
      <c r="N209" s="43">
        <f t="shared" si="74"/>
        <v>710860.52131938352</v>
      </c>
      <c r="O209">
        <f t="shared" si="75"/>
        <v>0</v>
      </c>
      <c r="P209">
        <f t="shared" si="76"/>
        <v>31774.13556073443</v>
      </c>
      <c r="Q209" s="43">
        <f t="shared" si="77"/>
        <v>710860.52131938352</v>
      </c>
      <c r="R209">
        <f t="shared" si="78"/>
        <v>0</v>
      </c>
      <c r="S209">
        <f t="shared" si="79"/>
        <v>31774.13556073443</v>
      </c>
      <c r="T209" s="43">
        <f t="shared" si="80"/>
        <v>710860.52131938352</v>
      </c>
      <c r="U209">
        <f t="shared" si="81"/>
        <v>0</v>
      </c>
      <c r="V209">
        <f t="shared" si="82"/>
        <v>31774.13556073443</v>
      </c>
      <c r="W209" s="43">
        <f t="shared" si="83"/>
        <v>710860.52131938352</v>
      </c>
      <c r="X209" s="43">
        <f t="shared" si="84"/>
        <v>94754.187171254423</v>
      </c>
      <c r="Y209" s="27">
        <f t="shared" si="85"/>
        <v>5583.2308004617043</v>
      </c>
      <c r="Z209" s="27">
        <f t="shared" si="86"/>
        <v>705277.2905189218</v>
      </c>
      <c r="AA209">
        <f t="shared" si="87"/>
        <v>0</v>
      </c>
      <c r="AB209" s="27">
        <f t="shared" si="88"/>
        <v>705277.2905189218</v>
      </c>
      <c r="AD209" s="27">
        <f t="shared" si="89"/>
        <v>0</v>
      </c>
      <c r="AE209" s="27">
        <f t="shared" si="90"/>
        <v>705277.2905189218</v>
      </c>
      <c r="AF209" s="50"/>
      <c r="AG209" t="str">
        <f t="shared" si="91"/>
        <v>5306930</v>
      </c>
    </row>
    <row r="210" spans="1:33" x14ac:dyDescent="0.25">
      <c r="A210" s="7" t="s">
        <v>194</v>
      </c>
      <c r="B210" s="2" t="s">
        <v>1058</v>
      </c>
      <c r="C210" s="4" t="s">
        <v>1057</v>
      </c>
      <c r="D210" s="30">
        <f>_xlfn.IFNA(VLOOKUP(A210,'Prior Year data'!$A$1:$V$318,13,FALSE),0)</f>
        <v>4038611.3159185485</v>
      </c>
      <c r="E210">
        <f>VLOOKUP(A210,'Basic HH'!$B$1:$Y$318,23,FALSE)</f>
        <v>2059700.2173042998</v>
      </c>
      <c r="F210">
        <f>VLOOKUP(A210,'Conc. HH'!$B$1:$Y$318,23,FALSE)</f>
        <v>0</v>
      </c>
      <c r="G210">
        <f>VLOOKUP(A210,'Targeted HH'!$B$1:$Y$318,23,FALSE)</f>
        <v>1364220.317694474</v>
      </c>
      <c r="H210">
        <f>VLOOKUP(A210,'EFIG HH'!$B$1:$Y$318,23,FALSE)</f>
        <v>1810285.9474093681</v>
      </c>
      <c r="I210">
        <f t="shared" si="69"/>
        <v>5234206.4824081417</v>
      </c>
      <c r="J210">
        <f t="shared" si="70"/>
        <v>5234206.4824081417</v>
      </c>
      <c r="K210" s="43">
        <f t="shared" si="71"/>
        <v>4734991.1345752161</v>
      </c>
      <c r="L210">
        <f t="shared" si="72"/>
        <v>0</v>
      </c>
      <c r="M210">
        <f t="shared" si="73"/>
        <v>696379.8186566676</v>
      </c>
      <c r="N210" s="43">
        <f t="shared" si="74"/>
        <v>4483888.2364532361</v>
      </c>
      <c r="O210">
        <f t="shared" si="75"/>
        <v>0</v>
      </c>
      <c r="P210">
        <f t="shared" si="76"/>
        <v>445276.92053468758</v>
      </c>
      <c r="Q210" s="43">
        <f t="shared" si="77"/>
        <v>4483888.2364532361</v>
      </c>
      <c r="R210">
        <f t="shared" si="78"/>
        <v>0</v>
      </c>
      <c r="S210">
        <f t="shared" si="79"/>
        <v>445276.92053468758</v>
      </c>
      <c r="T210" s="43">
        <f t="shared" si="80"/>
        <v>4483888.2364532361</v>
      </c>
      <c r="U210">
        <f t="shared" si="81"/>
        <v>0</v>
      </c>
      <c r="V210">
        <f t="shared" si="82"/>
        <v>445276.92053468758</v>
      </c>
      <c r="W210" s="43">
        <f t="shared" si="83"/>
        <v>4483888.2364532361</v>
      </c>
      <c r="X210" s="43">
        <f t="shared" si="84"/>
        <v>750318.24595490564</v>
      </c>
      <c r="Y210" s="27">
        <f t="shared" si="85"/>
        <v>35217.29250223167</v>
      </c>
      <c r="Z210" s="27">
        <f t="shared" si="86"/>
        <v>4448670.9439510042</v>
      </c>
      <c r="AA210">
        <f t="shared" si="87"/>
        <v>0</v>
      </c>
      <c r="AB210" s="27">
        <f t="shared" si="88"/>
        <v>4448670.9439510042</v>
      </c>
      <c r="AD210" s="27">
        <f t="shared" si="89"/>
        <v>0</v>
      </c>
      <c r="AE210" s="27">
        <f t="shared" si="90"/>
        <v>4448670.9439510042</v>
      </c>
      <c r="AF210" s="50"/>
      <c r="AG210" t="str">
        <f t="shared" si="91"/>
        <v>5306960</v>
      </c>
    </row>
    <row r="211" spans="1:33" x14ac:dyDescent="0.25">
      <c r="A211" s="7" t="s">
        <v>550</v>
      </c>
      <c r="B211" s="2" t="s">
        <v>1060</v>
      </c>
      <c r="C211" s="4" t="s">
        <v>1059</v>
      </c>
      <c r="D211" s="30">
        <f>_xlfn.IFNA(VLOOKUP(A211,'Prior Year data'!$A$1:$V$318,13,FALSE),0)</f>
        <v>2340.7553118494889</v>
      </c>
      <c r="E211">
        <f>VLOOKUP(A211,'Basic HH'!$B$1:$Y$318,23,FALSE)</f>
        <v>12312.469275089752</v>
      </c>
      <c r="F211">
        <f>VLOOKUP(A211,'Conc. HH'!$B$1:$Y$318,23,FALSE)</f>
        <v>3319.1200631313923</v>
      </c>
      <c r="G211">
        <f>VLOOKUP(A211,'Targeted HH'!$B$1:$Y$318,23,FALSE)</f>
        <v>13327.071473472315</v>
      </c>
      <c r="H211">
        <f>VLOOKUP(A211,'EFIG HH'!$B$1:$Y$318,23,FALSE)</f>
        <v>17684.687653178858</v>
      </c>
      <c r="I211">
        <f t="shared" si="69"/>
        <v>46643.348464872317</v>
      </c>
      <c r="J211">
        <f t="shared" si="70"/>
        <v>46643.348464872317</v>
      </c>
      <c r="K211" s="43">
        <f t="shared" si="71"/>
        <v>42194.713221642356</v>
      </c>
      <c r="L211">
        <f t="shared" si="72"/>
        <v>0</v>
      </c>
      <c r="M211">
        <f t="shared" si="73"/>
        <v>39853.957909792865</v>
      </c>
      <c r="N211" s="43">
        <f t="shared" si="74"/>
        <v>27824.04356024263</v>
      </c>
      <c r="O211">
        <f t="shared" si="75"/>
        <v>0</v>
      </c>
      <c r="P211">
        <f t="shared" si="76"/>
        <v>25483.288248393139</v>
      </c>
      <c r="Q211" s="43">
        <f t="shared" si="77"/>
        <v>27824.04356024263</v>
      </c>
      <c r="R211">
        <f t="shared" si="78"/>
        <v>0</v>
      </c>
      <c r="S211">
        <f t="shared" si="79"/>
        <v>25483.288248393139</v>
      </c>
      <c r="T211" s="43">
        <f t="shared" si="80"/>
        <v>27824.04356024263</v>
      </c>
      <c r="U211">
        <f t="shared" si="81"/>
        <v>0</v>
      </c>
      <c r="V211">
        <f t="shared" si="82"/>
        <v>25483.288248393139</v>
      </c>
      <c r="W211" s="43">
        <f t="shared" si="83"/>
        <v>27824.04356024263</v>
      </c>
      <c r="X211" s="43">
        <f t="shared" si="84"/>
        <v>18819.304904629687</v>
      </c>
      <c r="Y211" s="27">
        <f t="shared" si="85"/>
        <v>218.5352151932745</v>
      </c>
      <c r="Z211" s="27">
        <f t="shared" si="86"/>
        <v>27605.508345049355</v>
      </c>
      <c r="AA211">
        <f t="shared" si="87"/>
        <v>0</v>
      </c>
      <c r="AB211" s="27">
        <f t="shared" si="88"/>
        <v>27605.508345049355</v>
      </c>
      <c r="AC211" s="28"/>
      <c r="AD211" s="27">
        <f t="shared" si="89"/>
        <v>0</v>
      </c>
      <c r="AE211" s="27">
        <f t="shared" si="90"/>
        <v>27605.508345049355</v>
      </c>
      <c r="AF211" s="50"/>
      <c r="AG211" t="str">
        <f t="shared" si="91"/>
        <v>5301380</v>
      </c>
    </row>
    <row r="212" spans="1:33" x14ac:dyDescent="0.25">
      <c r="A212" s="7" t="s">
        <v>552</v>
      </c>
      <c r="B212" s="2" t="s">
        <v>1062</v>
      </c>
      <c r="C212" s="4" t="s">
        <v>1061</v>
      </c>
      <c r="D212" s="30">
        <f>_xlfn.IFNA(VLOOKUP(A212,'Prior Year data'!$A$1:$V$318,13,FALSE),0)</f>
        <v>58374.386275236175</v>
      </c>
      <c r="E212">
        <f>VLOOKUP(A212,'Basic HH'!$B$1:$Y$318,23,FALSE)</f>
        <v>22897.967273222566</v>
      </c>
      <c r="F212">
        <f>VLOOKUP(A212,'Conc. HH'!$B$1:$Y$318,23,FALSE)</f>
        <v>6160.4442796267276</v>
      </c>
      <c r="G212">
        <f>VLOOKUP(A212,'Targeted HH'!$B$1:$Y$318,23,FALSE)</f>
        <v>11294.653725586022</v>
      </c>
      <c r="H212">
        <f>VLOOKUP(A212,'EFIG HH'!$B$1:$Y$318,23,FALSE)</f>
        <v>15320.861880492115</v>
      </c>
      <c r="I212">
        <f t="shared" si="69"/>
        <v>55673.927158927429</v>
      </c>
      <c r="J212">
        <f t="shared" si="70"/>
        <v>0</v>
      </c>
      <c r="K212" s="43">
        <f t="shared" si="71"/>
        <v>55673.927158927429</v>
      </c>
      <c r="L212">
        <f t="shared" si="72"/>
        <v>0</v>
      </c>
      <c r="M212">
        <f t="shared" si="73"/>
        <v>0</v>
      </c>
      <c r="N212" s="43">
        <f t="shared" si="74"/>
        <v>55673.927158927429</v>
      </c>
      <c r="O212">
        <f t="shared" si="75"/>
        <v>0</v>
      </c>
      <c r="P212">
        <f t="shared" si="76"/>
        <v>0</v>
      </c>
      <c r="Q212" s="43">
        <f t="shared" si="77"/>
        <v>55673.927158927429</v>
      </c>
      <c r="R212">
        <f t="shared" si="78"/>
        <v>0</v>
      </c>
      <c r="S212">
        <f t="shared" si="79"/>
        <v>0</v>
      </c>
      <c r="T212" s="43">
        <f t="shared" si="80"/>
        <v>55673.927158927429</v>
      </c>
      <c r="U212">
        <f t="shared" si="81"/>
        <v>0</v>
      </c>
      <c r="V212">
        <f t="shared" si="82"/>
        <v>0</v>
      </c>
      <c r="W212" s="43">
        <f t="shared" si="83"/>
        <v>55673.927158927429</v>
      </c>
      <c r="X212" s="43">
        <f t="shared" si="84"/>
        <v>0</v>
      </c>
      <c r="Y212" s="27">
        <f t="shared" si="85"/>
        <v>437.27338285639172</v>
      </c>
      <c r="Z212" s="27">
        <f t="shared" si="86"/>
        <v>55236.653776071034</v>
      </c>
      <c r="AA212">
        <f t="shared" si="87"/>
        <v>0</v>
      </c>
      <c r="AB212" s="27">
        <f t="shared" si="88"/>
        <v>55236.653776071034</v>
      </c>
      <c r="AD212" s="27">
        <f t="shared" si="89"/>
        <v>0</v>
      </c>
      <c r="AE212" s="27">
        <f t="shared" si="90"/>
        <v>55236.653776071034</v>
      </c>
      <c r="AF212" s="50"/>
      <c r="AG212" t="str">
        <f t="shared" si="91"/>
        <v>5306990</v>
      </c>
    </row>
    <row r="213" spans="1:33" x14ac:dyDescent="0.25">
      <c r="A213" s="7" t="s">
        <v>554</v>
      </c>
      <c r="B213" s="2" t="s">
        <v>1064</v>
      </c>
      <c r="C213" s="4" t="s">
        <v>1063</v>
      </c>
      <c r="D213" s="30">
        <f>_xlfn.IFNA(VLOOKUP(A213,'Prior Year data'!$A$1:$V$318,13,FALSE),0)</f>
        <v>613715.67950923264</v>
      </c>
      <c r="E213">
        <f>VLOOKUP(A213,'Basic HH'!$B$1:$Y$318,23,FALSE)</f>
        <v>188665.54451691615</v>
      </c>
      <c r="F213">
        <f>VLOOKUP(A213,'Conc. HH'!$B$1:$Y$318,23,FALSE)</f>
        <v>49054.554158423249</v>
      </c>
      <c r="G213">
        <f>VLOOKUP(A213,'Targeted HH'!$B$1:$Y$318,23,FALSE)</f>
        <v>122311.54126419722</v>
      </c>
      <c r="H213">
        <f>VLOOKUP(A213,'EFIG HH'!$B$1:$Y$318,23,FALSE)</f>
        <v>165652.25104923095</v>
      </c>
      <c r="I213">
        <f t="shared" si="69"/>
        <v>525683.89098876761</v>
      </c>
      <c r="J213">
        <f t="shared" si="70"/>
        <v>0</v>
      </c>
      <c r="K213" s="43">
        <f t="shared" si="71"/>
        <v>525683.89098876761</v>
      </c>
      <c r="L213">
        <f t="shared" si="72"/>
        <v>0</v>
      </c>
      <c r="M213">
        <f t="shared" si="73"/>
        <v>0</v>
      </c>
      <c r="N213" s="43">
        <f t="shared" si="74"/>
        <v>525683.89098876761</v>
      </c>
      <c r="O213">
        <f t="shared" si="75"/>
        <v>0</v>
      </c>
      <c r="P213">
        <f t="shared" si="76"/>
        <v>0</v>
      </c>
      <c r="Q213" s="43">
        <f t="shared" si="77"/>
        <v>525683.89098876761</v>
      </c>
      <c r="R213">
        <f t="shared" si="78"/>
        <v>0</v>
      </c>
      <c r="S213">
        <f t="shared" si="79"/>
        <v>0</v>
      </c>
      <c r="T213" s="43">
        <f t="shared" si="80"/>
        <v>525683.89098876761</v>
      </c>
      <c r="U213">
        <f t="shared" si="81"/>
        <v>0</v>
      </c>
      <c r="V213">
        <f t="shared" si="82"/>
        <v>0</v>
      </c>
      <c r="W213" s="43">
        <f t="shared" si="83"/>
        <v>525683.89098876761</v>
      </c>
      <c r="X213" s="43">
        <f t="shared" si="84"/>
        <v>0</v>
      </c>
      <c r="Y213" s="27">
        <f t="shared" si="85"/>
        <v>4128.8190910187895</v>
      </c>
      <c r="Z213" s="27">
        <f t="shared" si="86"/>
        <v>521555.0718977488</v>
      </c>
      <c r="AA213">
        <f t="shared" si="87"/>
        <v>0</v>
      </c>
      <c r="AB213" s="27">
        <f t="shared" si="88"/>
        <v>521555.0718977488</v>
      </c>
      <c r="AD213" s="27">
        <f t="shared" si="89"/>
        <v>0</v>
      </c>
      <c r="AE213" s="27">
        <f t="shared" si="90"/>
        <v>521555.0718977488</v>
      </c>
      <c r="AF213" s="50"/>
      <c r="AG213" t="str">
        <f t="shared" si="91"/>
        <v>5307020</v>
      </c>
    </row>
    <row r="214" spans="1:33" x14ac:dyDescent="0.25">
      <c r="A214" s="7" t="s">
        <v>444</v>
      </c>
      <c r="B214" s="2" t="s">
        <v>1066</v>
      </c>
      <c r="C214" s="4" t="s">
        <v>1065</v>
      </c>
      <c r="D214" s="30">
        <f>_xlfn.IFNA(VLOOKUP(A214,'Prior Year data'!$A$1:$V$318,13,FALSE),0)</f>
        <v>82112.928380934944</v>
      </c>
      <c r="E214">
        <f>VLOOKUP(A214,'Basic HH'!$B$1:$Y$318,23,FALSE)</f>
        <v>26326.726326532804</v>
      </c>
      <c r="F214">
        <f>VLOOKUP(A214,'Conc. HH'!$B$1:$Y$318,23,FALSE)</f>
        <v>6936.6585004296285</v>
      </c>
      <c r="G214">
        <f>VLOOKUP(A214,'Targeted HH'!$B$1:$Y$318,23,FALSE)</f>
        <v>15998.6274825938</v>
      </c>
      <c r="H214">
        <f>VLOOKUP(A214,'EFIG HH'!$B$1:$Y$318,23,FALSE)</f>
        <v>21990.40219752369</v>
      </c>
      <c r="I214">
        <f t="shared" si="69"/>
        <v>71252.414507079928</v>
      </c>
      <c r="J214">
        <f t="shared" si="70"/>
        <v>0</v>
      </c>
      <c r="K214" s="43">
        <f t="shared" si="71"/>
        <v>71252.414507079928</v>
      </c>
      <c r="L214">
        <f t="shared" si="72"/>
        <v>0</v>
      </c>
      <c r="M214">
        <f t="shared" si="73"/>
        <v>0</v>
      </c>
      <c r="N214" s="43">
        <f t="shared" si="74"/>
        <v>71252.414507079928</v>
      </c>
      <c r="O214">
        <f t="shared" si="75"/>
        <v>0</v>
      </c>
      <c r="P214">
        <f t="shared" si="76"/>
        <v>0</v>
      </c>
      <c r="Q214" s="43">
        <f t="shared" si="77"/>
        <v>71252.414507079928</v>
      </c>
      <c r="R214">
        <f t="shared" si="78"/>
        <v>0</v>
      </c>
      <c r="S214">
        <f t="shared" si="79"/>
        <v>0</v>
      </c>
      <c r="T214" s="43">
        <f t="shared" si="80"/>
        <v>71252.414507079928</v>
      </c>
      <c r="U214">
        <f t="shared" si="81"/>
        <v>0</v>
      </c>
      <c r="V214">
        <f t="shared" si="82"/>
        <v>0</v>
      </c>
      <c r="W214" s="43">
        <f t="shared" si="83"/>
        <v>71252.414507079928</v>
      </c>
      <c r="X214" s="43">
        <f t="shared" si="84"/>
        <v>0</v>
      </c>
      <c r="Y214" s="27">
        <f t="shared" si="85"/>
        <v>559.62972109469069</v>
      </c>
      <c r="Z214" s="27">
        <f t="shared" si="86"/>
        <v>70692.784785985234</v>
      </c>
      <c r="AA214">
        <f t="shared" si="87"/>
        <v>0</v>
      </c>
      <c r="AB214" s="27">
        <f t="shared" si="88"/>
        <v>70692.784785985234</v>
      </c>
      <c r="AD214" s="27">
        <f t="shared" si="89"/>
        <v>0</v>
      </c>
      <c r="AE214" s="27">
        <f t="shared" si="90"/>
        <v>70692.784785985234</v>
      </c>
      <c r="AF214" s="50"/>
      <c r="AG214" t="str">
        <f t="shared" si="91"/>
        <v>5307050</v>
      </c>
    </row>
    <row r="215" spans="1:33" x14ac:dyDescent="0.25">
      <c r="A215" s="7" t="s">
        <v>556</v>
      </c>
      <c r="B215" s="2" t="s">
        <v>1068</v>
      </c>
      <c r="C215" s="4" t="s">
        <v>1067</v>
      </c>
      <c r="D215" s="30">
        <f>_xlfn.IFNA(VLOOKUP(A215,'Prior Year data'!$A$1:$V$318,13,FALSE),0)</f>
        <v>894001.49250464607</v>
      </c>
      <c r="E215">
        <f>VLOOKUP(A215,'Basic HH'!$B$1:$Y$318,23,FALSE)</f>
        <v>524159.40628239198</v>
      </c>
      <c r="F215">
        <f>VLOOKUP(A215,'Conc. HH'!$B$1:$Y$318,23,FALSE)</f>
        <v>141299.68268759354</v>
      </c>
      <c r="G215">
        <f>VLOOKUP(A215,'Targeted HH'!$B$1:$Y$318,23,FALSE)</f>
        <v>288252.16113112727</v>
      </c>
      <c r="H215">
        <f>VLOOKUP(A215,'EFIG HH'!$B$1:$Y$318,23,FALSE)</f>
        <v>382503.34629814926</v>
      </c>
      <c r="I215">
        <f t="shared" si="69"/>
        <v>1336214.5963992621</v>
      </c>
      <c r="J215">
        <f t="shared" si="70"/>
        <v>1336214.5963992621</v>
      </c>
      <c r="K215" s="43">
        <f t="shared" si="71"/>
        <v>1208772.3877735927</v>
      </c>
      <c r="L215">
        <f t="shared" si="72"/>
        <v>0</v>
      </c>
      <c r="M215">
        <f t="shared" si="73"/>
        <v>314770.89526894665</v>
      </c>
      <c r="N215" s="43">
        <f t="shared" si="74"/>
        <v>1095271.2754079981</v>
      </c>
      <c r="O215">
        <f t="shared" si="75"/>
        <v>0</v>
      </c>
      <c r="P215">
        <f t="shared" si="76"/>
        <v>201269.78290335205</v>
      </c>
      <c r="Q215" s="43">
        <f t="shared" si="77"/>
        <v>1095271.2754079981</v>
      </c>
      <c r="R215">
        <f t="shared" si="78"/>
        <v>0</v>
      </c>
      <c r="S215">
        <f t="shared" si="79"/>
        <v>201269.78290335205</v>
      </c>
      <c r="T215" s="43">
        <f t="shared" si="80"/>
        <v>1095271.2754079981</v>
      </c>
      <c r="U215">
        <f t="shared" si="81"/>
        <v>0</v>
      </c>
      <c r="V215">
        <f t="shared" si="82"/>
        <v>201269.78290335205</v>
      </c>
      <c r="W215" s="43">
        <f t="shared" si="83"/>
        <v>1095271.2754079981</v>
      </c>
      <c r="X215" s="43">
        <f t="shared" si="84"/>
        <v>240943.32099126396</v>
      </c>
      <c r="Y215" s="27">
        <f t="shared" si="85"/>
        <v>8602.4643883288936</v>
      </c>
      <c r="Z215" s="27">
        <f t="shared" si="86"/>
        <v>1086668.8110196693</v>
      </c>
      <c r="AA215">
        <f t="shared" si="87"/>
        <v>0</v>
      </c>
      <c r="AB215" s="27">
        <f t="shared" si="88"/>
        <v>1086668.8110196693</v>
      </c>
      <c r="AD215" s="27">
        <f t="shared" si="89"/>
        <v>0</v>
      </c>
      <c r="AE215" s="27">
        <f t="shared" si="90"/>
        <v>1086668.8110196693</v>
      </c>
      <c r="AF215" s="50"/>
      <c r="AG215" t="str">
        <f t="shared" si="91"/>
        <v>5307080</v>
      </c>
    </row>
    <row r="216" spans="1:33" x14ac:dyDescent="0.25">
      <c r="A216" s="7" t="s">
        <v>196</v>
      </c>
      <c r="B216" s="2" t="s">
        <v>1070</v>
      </c>
      <c r="C216" s="4" t="s">
        <v>1069</v>
      </c>
      <c r="D216" s="30">
        <f>_xlfn.IFNA(VLOOKUP(A216,'Prior Year data'!$A$1:$V$318,13,FALSE),0)</f>
        <v>225528.40121853774</v>
      </c>
      <c r="E216">
        <f>VLOOKUP(A216,'Basic HH'!$B$1:$Y$318,23,FALSE)</f>
        <v>79882.192468257432</v>
      </c>
      <c r="F216">
        <f>VLOOKUP(A216,'Conc. HH'!$B$1:$Y$318,23,FALSE)</f>
        <v>20921.588297040347</v>
      </c>
      <c r="G216">
        <f>VLOOKUP(A216,'Targeted HH'!$B$1:$Y$318,23,FALSE)</f>
        <v>38830.286370743248</v>
      </c>
      <c r="H216">
        <f>VLOOKUP(A216,'EFIG HH'!$B$1:$Y$318,23,FALSE)</f>
        <v>53544.389011343883</v>
      </c>
      <c r="I216">
        <f t="shared" si="69"/>
        <v>193178.45614738492</v>
      </c>
      <c r="J216">
        <f t="shared" si="70"/>
        <v>0</v>
      </c>
      <c r="K216" s="43">
        <f t="shared" si="71"/>
        <v>193178.45614738492</v>
      </c>
      <c r="L216">
        <f t="shared" si="72"/>
        <v>0</v>
      </c>
      <c r="M216">
        <f t="shared" si="73"/>
        <v>0</v>
      </c>
      <c r="N216" s="43">
        <f t="shared" si="74"/>
        <v>193178.45614738492</v>
      </c>
      <c r="O216">
        <f t="shared" si="75"/>
        <v>0</v>
      </c>
      <c r="P216">
        <f t="shared" si="76"/>
        <v>0</v>
      </c>
      <c r="Q216" s="43">
        <f t="shared" si="77"/>
        <v>193178.45614738492</v>
      </c>
      <c r="R216">
        <f t="shared" si="78"/>
        <v>0</v>
      </c>
      <c r="S216">
        <f t="shared" si="79"/>
        <v>0</v>
      </c>
      <c r="T216" s="43">
        <f t="shared" si="80"/>
        <v>193178.45614738492</v>
      </c>
      <c r="U216">
        <f t="shared" si="81"/>
        <v>0</v>
      </c>
      <c r="V216">
        <f t="shared" si="82"/>
        <v>0</v>
      </c>
      <c r="W216" s="43">
        <f t="shared" si="83"/>
        <v>193178.45614738492</v>
      </c>
      <c r="X216" s="43">
        <f t="shared" si="84"/>
        <v>0</v>
      </c>
      <c r="Y216" s="27">
        <f t="shared" si="85"/>
        <v>1517.2595382647962</v>
      </c>
      <c r="Z216" s="27">
        <f t="shared" si="86"/>
        <v>191661.19660912012</v>
      </c>
      <c r="AA216">
        <f t="shared" si="87"/>
        <v>0</v>
      </c>
      <c r="AB216" s="27">
        <f t="shared" si="88"/>
        <v>191661.19660912012</v>
      </c>
      <c r="AD216" s="27">
        <f t="shared" si="89"/>
        <v>0</v>
      </c>
      <c r="AE216" s="27">
        <f t="shared" si="90"/>
        <v>191661.19660912012</v>
      </c>
      <c r="AF216" s="50"/>
      <c r="AG216" t="str">
        <f t="shared" si="91"/>
        <v>5307110</v>
      </c>
    </row>
    <row r="217" spans="1:33" x14ac:dyDescent="0.25">
      <c r="A217" s="7" t="s">
        <v>69</v>
      </c>
      <c r="B217" s="2" t="s">
        <v>1071</v>
      </c>
      <c r="C217" s="4" t="s">
        <v>15</v>
      </c>
      <c r="D217" s="30">
        <f>_xlfn.IFNA(VLOOKUP(A217,'Prior Year data'!$A$1:$V$318,13,FALSE),0)</f>
        <v>159823.81246984738</v>
      </c>
      <c r="E217">
        <f>VLOOKUP(A217,'Basic HH'!$B$1:$Y$318,23,FALSE)</f>
        <v>60317.701508432867</v>
      </c>
      <c r="F217">
        <f>VLOOKUP(A217,'Conc. HH'!$B$1:$Y$318,23,FALSE)</f>
        <v>16260.076574863231</v>
      </c>
      <c r="G217">
        <f>VLOOKUP(A217,'Targeted HH'!$B$1:$Y$318,23,FALSE)</f>
        <v>45921.840887073638</v>
      </c>
      <c r="H217">
        <f>VLOOKUP(A217,'EFIG HH'!$B$1:$Y$318,23,FALSE)</f>
        <v>60937.124421024993</v>
      </c>
      <c r="I217">
        <f t="shared" si="69"/>
        <v>183436.74339139473</v>
      </c>
      <c r="J217">
        <f t="shared" si="70"/>
        <v>183436.74339139473</v>
      </c>
      <c r="K217" s="43">
        <f t="shared" si="71"/>
        <v>165941.36219746392</v>
      </c>
      <c r="L217">
        <f t="shared" si="72"/>
        <v>0</v>
      </c>
      <c r="M217">
        <f t="shared" si="73"/>
        <v>6117.5497276165406</v>
      </c>
      <c r="N217" s="43">
        <f t="shared" si="74"/>
        <v>163735.47623572958</v>
      </c>
      <c r="O217">
        <f t="shared" si="75"/>
        <v>0</v>
      </c>
      <c r="P217">
        <f t="shared" si="76"/>
        <v>3911.6637658822001</v>
      </c>
      <c r="Q217" s="43">
        <f t="shared" si="77"/>
        <v>163735.47623572958</v>
      </c>
      <c r="R217">
        <f t="shared" si="78"/>
        <v>0</v>
      </c>
      <c r="S217">
        <f t="shared" si="79"/>
        <v>3911.6637658822001</v>
      </c>
      <c r="T217" s="43">
        <f t="shared" si="80"/>
        <v>163735.47623572958</v>
      </c>
      <c r="U217">
        <f t="shared" si="81"/>
        <v>0</v>
      </c>
      <c r="V217">
        <f t="shared" si="82"/>
        <v>3911.6637658822001</v>
      </c>
      <c r="W217" s="43">
        <f t="shared" si="83"/>
        <v>163735.47623572958</v>
      </c>
      <c r="X217" s="43">
        <f t="shared" si="84"/>
        <v>19701.267155665148</v>
      </c>
      <c r="Y217" s="27">
        <f t="shared" si="85"/>
        <v>1286.008895740689</v>
      </c>
      <c r="Z217" s="27">
        <f t="shared" si="86"/>
        <v>162449.46733998889</v>
      </c>
      <c r="AA217">
        <f t="shared" si="87"/>
        <v>0</v>
      </c>
      <c r="AB217" s="27">
        <f t="shared" si="88"/>
        <v>162449.46733998889</v>
      </c>
      <c r="AD217" s="27">
        <f t="shared" si="89"/>
        <v>0</v>
      </c>
      <c r="AE217" s="27">
        <f t="shared" si="90"/>
        <v>162449.46733998889</v>
      </c>
      <c r="AF217" s="50"/>
      <c r="AG217" t="str">
        <f t="shared" si="91"/>
        <v>5307120</v>
      </c>
    </row>
    <row r="218" spans="1:33" x14ac:dyDescent="0.25">
      <c r="A218" s="7" t="s">
        <v>71</v>
      </c>
      <c r="B218" s="2" t="s">
        <v>1072</v>
      </c>
      <c r="C218" s="4" t="s">
        <v>21</v>
      </c>
      <c r="D218" s="30">
        <f>_xlfn.IFNA(VLOOKUP(A218,'Prior Year data'!$A$1:$V$318,13,FALSE),0)</f>
        <v>131052.0870684026</v>
      </c>
      <c r="E218">
        <f>VLOOKUP(A218,'Basic HH'!$B$1:$Y$318,23,FALSE)</f>
        <v>42898.659520750341</v>
      </c>
      <c r="F218">
        <f>VLOOKUP(A218,'Conc. HH'!$B$1:$Y$318,23,FALSE)</f>
        <v>10305.508353293104</v>
      </c>
      <c r="G218">
        <f>VLOOKUP(A218,'Targeted HH'!$B$1:$Y$318,23,FALSE)</f>
        <v>36130.713071737577</v>
      </c>
      <c r="H218">
        <f>VLOOKUP(A218,'EFIG HH'!$B$1:$Y$318,23,FALSE)</f>
        <v>49662.317157847989</v>
      </c>
      <c r="I218">
        <f t="shared" si="69"/>
        <v>138997.19810362899</v>
      </c>
      <c r="J218">
        <f t="shared" si="70"/>
        <v>138997.19810362899</v>
      </c>
      <c r="K218" s="43">
        <f t="shared" si="71"/>
        <v>125740.26320197403</v>
      </c>
      <c r="L218">
        <f t="shared" si="72"/>
        <v>5311.8238664285745</v>
      </c>
      <c r="M218">
        <f t="shared" si="73"/>
        <v>0</v>
      </c>
      <c r="N218" s="43">
        <f t="shared" si="74"/>
        <v>131052.0870684026</v>
      </c>
      <c r="O218">
        <f t="shared" si="75"/>
        <v>0</v>
      </c>
      <c r="P218">
        <f t="shared" si="76"/>
        <v>0</v>
      </c>
      <c r="Q218" s="43">
        <f t="shared" si="77"/>
        <v>131052.0870684026</v>
      </c>
      <c r="R218">
        <f t="shared" si="78"/>
        <v>0</v>
      </c>
      <c r="S218">
        <f t="shared" si="79"/>
        <v>0</v>
      </c>
      <c r="T218" s="43">
        <f t="shared" si="80"/>
        <v>131052.0870684026</v>
      </c>
      <c r="U218">
        <f t="shared" si="81"/>
        <v>0</v>
      </c>
      <c r="V218">
        <f t="shared" si="82"/>
        <v>0</v>
      </c>
      <c r="W218" s="43">
        <f t="shared" si="83"/>
        <v>131052.0870684026</v>
      </c>
      <c r="X218" s="43">
        <f t="shared" si="84"/>
        <v>7945.1110352263931</v>
      </c>
      <c r="Y218" s="27">
        <f t="shared" si="85"/>
        <v>1029.307475996899</v>
      </c>
      <c r="Z218" s="27">
        <f t="shared" si="86"/>
        <v>130022.7795924057</v>
      </c>
      <c r="AA218">
        <f t="shared" si="87"/>
        <v>0</v>
      </c>
      <c r="AB218" s="27">
        <f t="shared" si="88"/>
        <v>130022.7795924057</v>
      </c>
      <c r="AD218" s="27">
        <f t="shared" si="89"/>
        <v>0</v>
      </c>
      <c r="AE218" s="27">
        <f t="shared" si="90"/>
        <v>130022.7795924057</v>
      </c>
      <c r="AF218" s="50"/>
      <c r="AG218" t="str">
        <f t="shared" si="91"/>
        <v>5303280</v>
      </c>
    </row>
    <row r="219" spans="1:33" x14ac:dyDescent="0.25">
      <c r="A219" s="7" t="s">
        <v>558</v>
      </c>
      <c r="B219" s="2" t="s">
        <v>1074</v>
      </c>
      <c r="C219" s="4" t="s">
        <v>1073</v>
      </c>
      <c r="D219" s="30">
        <f>_xlfn.IFNA(VLOOKUP(A219,'Prior Year data'!$A$1:$V$318,13,FALSE),0)</f>
        <v>237612.39124325654</v>
      </c>
      <c r="E219">
        <f>VLOOKUP(A219,'Basic HH'!$B$1:$Y$318,23,FALSE)</f>
        <v>115209.53393119696</v>
      </c>
      <c r="F219">
        <f>VLOOKUP(A219,'Conc. HH'!$B$1:$Y$318,23,FALSE)</f>
        <v>31057.480590729458</v>
      </c>
      <c r="G219">
        <f>VLOOKUP(A219,'Targeted HH'!$B$1:$Y$318,23,FALSE)</f>
        <v>68719.17997827736</v>
      </c>
      <c r="H219">
        <f>VLOOKUP(A219,'EFIG HH'!$B$1:$Y$318,23,FALSE)</f>
        <v>91188.618303536525</v>
      </c>
      <c r="I219">
        <f t="shared" si="69"/>
        <v>306174.81280374026</v>
      </c>
      <c r="J219">
        <f t="shared" si="70"/>
        <v>306174.81280374026</v>
      </c>
      <c r="K219" s="43">
        <f t="shared" si="71"/>
        <v>276973.2201296243</v>
      </c>
      <c r="L219">
        <f t="shared" si="72"/>
        <v>0</v>
      </c>
      <c r="M219">
        <f t="shared" si="73"/>
        <v>39360.828886367759</v>
      </c>
      <c r="N219" s="43">
        <f t="shared" si="74"/>
        <v>262780.36453407299</v>
      </c>
      <c r="O219">
        <f t="shared" si="75"/>
        <v>0</v>
      </c>
      <c r="P219">
        <f t="shared" si="76"/>
        <v>25167.973290816444</v>
      </c>
      <c r="Q219" s="43">
        <f t="shared" si="77"/>
        <v>262780.36453407299</v>
      </c>
      <c r="R219">
        <f t="shared" si="78"/>
        <v>0</v>
      </c>
      <c r="S219">
        <f t="shared" si="79"/>
        <v>25167.973290816444</v>
      </c>
      <c r="T219" s="43">
        <f t="shared" si="80"/>
        <v>262780.36453407299</v>
      </c>
      <c r="U219">
        <f t="shared" si="81"/>
        <v>0</v>
      </c>
      <c r="V219">
        <f t="shared" si="82"/>
        <v>25167.973290816444</v>
      </c>
      <c r="W219" s="43">
        <f t="shared" si="83"/>
        <v>262780.36453407299</v>
      </c>
      <c r="X219" s="43">
        <f t="shared" si="84"/>
        <v>43394.448269667279</v>
      </c>
      <c r="Y219" s="27">
        <f t="shared" si="85"/>
        <v>2063.9258771890736</v>
      </c>
      <c r="Z219" s="27">
        <f t="shared" si="86"/>
        <v>260716.43865688393</v>
      </c>
      <c r="AA219">
        <f t="shared" si="87"/>
        <v>0</v>
      </c>
      <c r="AB219" s="27">
        <f t="shared" si="88"/>
        <v>260716.43865688393</v>
      </c>
      <c r="AD219" s="27">
        <f t="shared" si="89"/>
        <v>0</v>
      </c>
      <c r="AE219" s="27">
        <f t="shared" si="90"/>
        <v>260716.43865688393</v>
      </c>
      <c r="AF219" s="50"/>
      <c r="AG219" t="str">
        <f t="shared" si="91"/>
        <v>5307140</v>
      </c>
    </row>
    <row r="220" spans="1:33" x14ac:dyDescent="0.25">
      <c r="A220" s="7" t="s">
        <v>560</v>
      </c>
      <c r="B220" s="2" t="s">
        <v>1076</v>
      </c>
      <c r="C220" s="4" t="s">
        <v>1075</v>
      </c>
      <c r="D220" s="30">
        <f>_xlfn.IFNA(VLOOKUP(A220,'Prior Year data'!$A$1:$V$318,13,FALSE),0)</f>
        <v>217297.74356849599</v>
      </c>
      <c r="E220">
        <f>VLOOKUP(A220,'Basic HH'!$B$1:$Y$318,23,FALSE)</f>
        <v>79778.750421245612</v>
      </c>
      <c r="F220">
        <f>VLOOKUP(A220,'Conc. HH'!$B$1:$Y$318,23,FALSE)</f>
        <v>16186.487345274012</v>
      </c>
      <c r="G220">
        <f>VLOOKUP(A220,'Targeted HH'!$B$1:$Y$318,23,FALSE)</f>
        <v>38155.312865095002</v>
      </c>
      <c r="H220">
        <f>VLOOKUP(A220,'EFIG HH'!$B$1:$Y$318,23,FALSE)</f>
        <v>52441.611008305583</v>
      </c>
      <c r="I220">
        <f t="shared" si="69"/>
        <v>186562.1616399202</v>
      </c>
      <c r="J220">
        <f t="shared" si="70"/>
        <v>0</v>
      </c>
      <c r="K220" s="43">
        <f t="shared" si="71"/>
        <v>186562.1616399202</v>
      </c>
      <c r="L220">
        <f t="shared" si="72"/>
        <v>0</v>
      </c>
      <c r="M220">
        <f t="shared" si="73"/>
        <v>0</v>
      </c>
      <c r="N220" s="43">
        <f t="shared" si="74"/>
        <v>186562.1616399202</v>
      </c>
      <c r="O220">
        <f t="shared" si="75"/>
        <v>0</v>
      </c>
      <c r="P220">
        <f t="shared" si="76"/>
        <v>0</v>
      </c>
      <c r="Q220" s="43">
        <f t="shared" si="77"/>
        <v>186562.1616399202</v>
      </c>
      <c r="R220">
        <f t="shared" si="78"/>
        <v>0</v>
      </c>
      <c r="S220">
        <f t="shared" si="79"/>
        <v>0</v>
      </c>
      <c r="T220" s="43">
        <f t="shared" si="80"/>
        <v>186562.1616399202</v>
      </c>
      <c r="U220">
        <f t="shared" si="81"/>
        <v>0</v>
      </c>
      <c r="V220">
        <f t="shared" si="82"/>
        <v>0</v>
      </c>
      <c r="W220" s="43">
        <f t="shared" si="83"/>
        <v>186562.1616399202</v>
      </c>
      <c r="X220" s="43">
        <f t="shared" si="84"/>
        <v>0</v>
      </c>
      <c r="Y220" s="27">
        <f t="shared" si="85"/>
        <v>1465.2939301445986</v>
      </c>
      <c r="Z220" s="27">
        <f t="shared" si="86"/>
        <v>185096.8677097756</v>
      </c>
      <c r="AA220">
        <f t="shared" si="87"/>
        <v>0</v>
      </c>
      <c r="AB220" s="27">
        <f t="shared" si="88"/>
        <v>185096.8677097756</v>
      </c>
      <c r="AD220" s="27">
        <f t="shared" si="89"/>
        <v>0</v>
      </c>
      <c r="AE220" s="27">
        <f t="shared" si="90"/>
        <v>185096.8677097756</v>
      </c>
      <c r="AF220" s="50"/>
      <c r="AG220" t="str">
        <f t="shared" si="91"/>
        <v>5307210</v>
      </c>
    </row>
    <row r="221" spans="1:33" x14ac:dyDescent="0.25">
      <c r="A221" s="7" t="s">
        <v>562</v>
      </c>
      <c r="B221" s="2" t="s">
        <v>1078</v>
      </c>
      <c r="C221" s="4" t="s">
        <v>1077</v>
      </c>
      <c r="D221" s="30">
        <f>_xlfn.IFNA(VLOOKUP(A221,'Prior Year data'!$A$1:$V$318,13,FALSE),0)</f>
        <v>4699964.155745822</v>
      </c>
      <c r="E221">
        <f>VLOOKUP(A221,'Basic HH'!$B$1:$Y$318,23,FALSE)</f>
        <v>1956948.2394537826</v>
      </c>
      <c r="F221">
        <f>VLOOKUP(A221,'Conc. HH'!$B$1:$Y$318,23,FALSE)</f>
        <v>0</v>
      </c>
      <c r="G221">
        <f>VLOOKUP(A221,'Targeted HH'!$B$1:$Y$318,23,FALSE)</f>
        <v>1285003.856524023</v>
      </c>
      <c r="H221">
        <f>VLOOKUP(A221,'EFIG HH'!$B$1:$Y$318,23,FALSE)</f>
        <v>1705167.7017709205</v>
      </c>
      <c r="I221">
        <f t="shared" si="69"/>
        <v>4947119.7977487259</v>
      </c>
      <c r="J221">
        <f t="shared" si="70"/>
        <v>4947119.7977487259</v>
      </c>
      <c r="K221" s="43">
        <f t="shared" si="71"/>
        <v>4475285.5017757406</v>
      </c>
      <c r="L221">
        <f t="shared" si="72"/>
        <v>224678.65397008136</v>
      </c>
      <c r="M221">
        <f t="shared" si="73"/>
        <v>0</v>
      </c>
      <c r="N221" s="43">
        <f t="shared" si="74"/>
        <v>4699964.155745822</v>
      </c>
      <c r="O221">
        <f t="shared" si="75"/>
        <v>0</v>
      </c>
      <c r="P221">
        <f t="shared" si="76"/>
        <v>0</v>
      </c>
      <c r="Q221" s="43">
        <f t="shared" si="77"/>
        <v>4699964.155745822</v>
      </c>
      <c r="R221">
        <f t="shared" si="78"/>
        <v>0</v>
      </c>
      <c r="S221">
        <f t="shared" si="79"/>
        <v>0</v>
      </c>
      <c r="T221" s="43">
        <f t="shared" si="80"/>
        <v>4699964.155745822</v>
      </c>
      <c r="U221">
        <f t="shared" si="81"/>
        <v>0</v>
      </c>
      <c r="V221">
        <f t="shared" si="82"/>
        <v>0</v>
      </c>
      <c r="W221" s="43">
        <f t="shared" si="83"/>
        <v>4699964.155745822</v>
      </c>
      <c r="X221" s="43">
        <f t="shared" si="84"/>
        <v>247155.64200290386</v>
      </c>
      <c r="Y221" s="27">
        <f t="shared" si="85"/>
        <v>36914.392976447511</v>
      </c>
      <c r="Z221" s="27">
        <f t="shared" si="86"/>
        <v>4663049.7627693741</v>
      </c>
      <c r="AA221">
        <f t="shared" si="87"/>
        <v>0</v>
      </c>
      <c r="AB221" s="27">
        <f t="shared" si="88"/>
        <v>4663049.7627693741</v>
      </c>
      <c r="AD221" s="27">
        <f t="shared" si="89"/>
        <v>0</v>
      </c>
      <c r="AE221" s="27">
        <f t="shared" si="90"/>
        <v>4663049.7627693741</v>
      </c>
      <c r="AF221" s="50"/>
      <c r="AG221" t="str">
        <f t="shared" si="91"/>
        <v>5307230</v>
      </c>
    </row>
    <row r="222" spans="1:33" x14ac:dyDescent="0.25">
      <c r="A222" s="7" t="s">
        <v>563</v>
      </c>
      <c r="B222" s="2" t="s">
        <v>1080</v>
      </c>
      <c r="C222" s="4" t="s">
        <v>1079</v>
      </c>
      <c r="D222" s="30">
        <f>_xlfn.IFNA(VLOOKUP(A222,'Prior Year data'!$A$1:$V$318,13,FALSE),0)</f>
        <v>208788.06812530963</v>
      </c>
      <c r="E222">
        <f>VLOOKUP(A222,'Basic HH'!$B$1:$Y$318,23,FALSE)</f>
        <v>74298.907091481247</v>
      </c>
      <c r="F222">
        <f>VLOOKUP(A222,'Conc. HH'!$B$1:$Y$318,23,FALSE)</f>
        <v>19989.297377915947</v>
      </c>
      <c r="G222">
        <f>VLOOKUP(A222,'Targeted HH'!$B$1:$Y$318,23,FALSE)</f>
        <v>49611.317496019277</v>
      </c>
      <c r="H222">
        <f>VLOOKUP(A222,'EFIG HH'!$B$1:$Y$318,23,FALSE)</f>
        <v>67296.27676357259</v>
      </c>
      <c r="I222">
        <f t="shared" si="69"/>
        <v>211195.79872898906</v>
      </c>
      <c r="J222">
        <f t="shared" si="70"/>
        <v>211195.79872898906</v>
      </c>
      <c r="K222" s="43">
        <f t="shared" si="71"/>
        <v>191052.88222814101</v>
      </c>
      <c r="L222">
        <f t="shared" si="72"/>
        <v>17735.185897168616</v>
      </c>
      <c r="M222">
        <f t="shared" si="73"/>
        <v>0</v>
      </c>
      <c r="N222" s="43">
        <f t="shared" si="74"/>
        <v>208788.06812530963</v>
      </c>
      <c r="O222">
        <f t="shared" si="75"/>
        <v>0</v>
      </c>
      <c r="P222">
        <f t="shared" si="76"/>
        <v>0</v>
      </c>
      <c r="Q222" s="43">
        <f t="shared" si="77"/>
        <v>208788.06812530963</v>
      </c>
      <c r="R222">
        <f t="shared" si="78"/>
        <v>0</v>
      </c>
      <c r="S222">
        <f t="shared" si="79"/>
        <v>0</v>
      </c>
      <c r="T222" s="43">
        <f t="shared" si="80"/>
        <v>208788.06812530963</v>
      </c>
      <c r="U222">
        <f t="shared" si="81"/>
        <v>0</v>
      </c>
      <c r="V222">
        <f t="shared" si="82"/>
        <v>0</v>
      </c>
      <c r="W222" s="43">
        <f t="shared" si="83"/>
        <v>208788.06812530963</v>
      </c>
      <c r="X222" s="43">
        <f t="shared" si="84"/>
        <v>2407.7306036794325</v>
      </c>
      <c r="Y222" s="27">
        <f t="shared" si="85"/>
        <v>1639.8603351365196</v>
      </c>
      <c r="Z222" s="27">
        <f t="shared" si="86"/>
        <v>207148.2077901731</v>
      </c>
      <c r="AA222">
        <f t="shared" si="87"/>
        <v>0</v>
      </c>
      <c r="AB222" s="27">
        <f t="shared" si="88"/>
        <v>207148.2077901731</v>
      </c>
      <c r="AD222" s="27">
        <f t="shared" si="89"/>
        <v>0</v>
      </c>
      <c r="AE222" s="27">
        <f t="shared" si="90"/>
        <v>207148.2077901731</v>
      </c>
      <c r="AF222" s="50"/>
      <c r="AG222" t="str">
        <f t="shared" si="91"/>
        <v>5307260</v>
      </c>
    </row>
    <row r="223" spans="1:33" x14ac:dyDescent="0.25">
      <c r="A223" s="7" t="s">
        <v>198</v>
      </c>
      <c r="B223" s="2" t="s">
        <v>1082</v>
      </c>
      <c r="C223" s="4" t="s">
        <v>1081</v>
      </c>
      <c r="D223" s="30">
        <f>_xlfn.IFNA(VLOOKUP(A223,'Prior Year data'!$A$1:$V$318,13,FALSE),0)</f>
        <v>2870746.6869741604</v>
      </c>
      <c r="E223">
        <f>VLOOKUP(A223,'Basic HH'!$B$1:$Y$318,23,FALSE)</f>
        <v>1120529.5251861841</v>
      </c>
      <c r="F223">
        <f>VLOOKUP(A223,'Conc. HH'!$B$1:$Y$318,23,FALSE)</f>
        <v>0</v>
      </c>
      <c r="G223">
        <f>VLOOKUP(A223,'Targeted HH'!$B$1:$Y$318,23,FALSE)</f>
        <v>687700.04654499784</v>
      </c>
      <c r="H223">
        <f>VLOOKUP(A223,'EFIG HH'!$B$1:$Y$318,23,FALSE)</f>
        <v>932844.66122729622</v>
      </c>
      <c r="I223">
        <f t="shared" si="69"/>
        <v>2741074.2329584779</v>
      </c>
      <c r="J223">
        <f t="shared" si="70"/>
        <v>0</v>
      </c>
      <c r="K223" s="43">
        <f t="shared" si="71"/>
        <v>2741074.2329584779</v>
      </c>
      <c r="L223">
        <f t="shared" si="72"/>
        <v>0</v>
      </c>
      <c r="M223">
        <f t="shared" si="73"/>
        <v>0</v>
      </c>
      <c r="N223" s="43">
        <f t="shared" si="74"/>
        <v>2741074.2329584779</v>
      </c>
      <c r="O223">
        <f t="shared" si="75"/>
        <v>0</v>
      </c>
      <c r="P223">
        <f t="shared" si="76"/>
        <v>0</v>
      </c>
      <c r="Q223" s="43">
        <f t="shared" si="77"/>
        <v>2741074.2329584779</v>
      </c>
      <c r="R223">
        <f t="shared" si="78"/>
        <v>0</v>
      </c>
      <c r="S223">
        <f t="shared" si="79"/>
        <v>0</v>
      </c>
      <c r="T223" s="43">
        <f t="shared" si="80"/>
        <v>2741074.2329584779</v>
      </c>
      <c r="U223">
        <f t="shared" si="81"/>
        <v>0</v>
      </c>
      <c r="V223">
        <f t="shared" si="82"/>
        <v>0</v>
      </c>
      <c r="W223" s="43">
        <f t="shared" si="83"/>
        <v>2741074.2329584779</v>
      </c>
      <c r="X223" s="43">
        <f t="shared" si="84"/>
        <v>0</v>
      </c>
      <c r="Y223" s="27">
        <f t="shared" si="85"/>
        <v>21528.907042693594</v>
      </c>
      <c r="Z223" s="27">
        <f t="shared" si="86"/>
        <v>2719545.3259157841</v>
      </c>
      <c r="AA223">
        <f t="shared" si="87"/>
        <v>0</v>
      </c>
      <c r="AB223" s="27">
        <f t="shared" si="88"/>
        <v>2719545.3259157841</v>
      </c>
      <c r="AD223" s="27">
        <f t="shared" si="89"/>
        <v>0</v>
      </c>
      <c r="AE223" s="27">
        <f t="shared" si="90"/>
        <v>2719545.3259157841</v>
      </c>
      <c r="AF223" s="50"/>
      <c r="AG223" t="str">
        <f t="shared" si="91"/>
        <v>5307320</v>
      </c>
    </row>
    <row r="224" spans="1:33" x14ac:dyDescent="0.25">
      <c r="A224" s="7" t="s">
        <v>200</v>
      </c>
      <c r="B224" s="2" t="s">
        <v>1084</v>
      </c>
      <c r="C224" s="4" t="s">
        <v>1083</v>
      </c>
      <c r="D224" s="30">
        <f>_xlfn.IFNA(VLOOKUP(A224,'Prior Year data'!$A$1:$V$318,13,FALSE),0)</f>
        <v>153501.46485732024</v>
      </c>
      <c r="E224">
        <f>VLOOKUP(A224,'Basic HH'!$B$1:$Y$318,23,FALSE)</f>
        <v>142472.85875460997</v>
      </c>
      <c r="F224">
        <f>VLOOKUP(A224,'Conc. HH'!$B$1:$Y$318,23,FALSE)</f>
        <v>0</v>
      </c>
      <c r="G224">
        <f>VLOOKUP(A224,'Targeted HH'!$B$1:$Y$318,23,FALSE)</f>
        <v>0</v>
      </c>
      <c r="H224">
        <f>VLOOKUP(A224,'EFIG HH'!$B$1:$Y$318,23,FALSE)</f>
        <v>0</v>
      </c>
      <c r="I224">
        <f t="shared" si="69"/>
        <v>142472.85875460997</v>
      </c>
      <c r="J224">
        <f t="shared" si="70"/>
        <v>0</v>
      </c>
      <c r="K224" s="43">
        <f t="shared" si="71"/>
        <v>142472.85875460997</v>
      </c>
      <c r="L224">
        <f t="shared" si="72"/>
        <v>0</v>
      </c>
      <c r="M224">
        <f t="shared" si="73"/>
        <v>0</v>
      </c>
      <c r="N224" s="43">
        <f t="shared" si="74"/>
        <v>142472.85875460997</v>
      </c>
      <c r="O224">
        <f t="shared" si="75"/>
        <v>0</v>
      </c>
      <c r="P224">
        <f t="shared" si="76"/>
        <v>0</v>
      </c>
      <c r="Q224" s="43">
        <f t="shared" si="77"/>
        <v>142472.85875460997</v>
      </c>
      <c r="R224">
        <f t="shared" si="78"/>
        <v>0</v>
      </c>
      <c r="S224">
        <f t="shared" si="79"/>
        <v>0</v>
      </c>
      <c r="T224" s="43">
        <f t="shared" si="80"/>
        <v>142472.85875460997</v>
      </c>
      <c r="U224">
        <f t="shared" si="81"/>
        <v>0</v>
      </c>
      <c r="V224">
        <f t="shared" si="82"/>
        <v>0</v>
      </c>
      <c r="W224" s="43">
        <f t="shared" si="83"/>
        <v>142472.85875460997</v>
      </c>
      <c r="X224" s="43">
        <f t="shared" si="84"/>
        <v>0</v>
      </c>
      <c r="Y224" s="27">
        <f t="shared" si="85"/>
        <v>1119.0083418223412</v>
      </c>
      <c r="Z224" s="27">
        <f t="shared" si="86"/>
        <v>141353.85041278764</v>
      </c>
      <c r="AA224">
        <f t="shared" si="87"/>
        <v>0</v>
      </c>
      <c r="AB224" s="27">
        <f t="shared" si="88"/>
        <v>141353.85041278764</v>
      </c>
      <c r="AD224" s="27">
        <f t="shared" si="89"/>
        <v>0</v>
      </c>
      <c r="AE224" s="27">
        <f t="shared" si="90"/>
        <v>141353.85041278764</v>
      </c>
      <c r="AF224" s="50"/>
      <c r="AG224" t="str">
        <f t="shared" si="91"/>
        <v>5307350</v>
      </c>
    </row>
    <row r="225" spans="1:33" x14ac:dyDescent="0.25">
      <c r="A225" s="7" t="s">
        <v>202</v>
      </c>
      <c r="B225" s="2" t="s">
        <v>1086</v>
      </c>
      <c r="C225" s="4" t="s">
        <v>1085</v>
      </c>
      <c r="D225" s="30">
        <f>_xlfn.IFNA(VLOOKUP(A225,'Prior Year data'!$A$1:$V$318,13,FALSE),0)</f>
        <v>91450.296624187889</v>
      </c>
      <c r="E225">
        <f>VLOOKUP(A225,'Basic HH'!$B$1:$Y$318,23,FALSE)</f>
        <v>47490.952918203322</v>
      </c>
      <c r="F225">
        <f>VLOOKUP(A225,'Conc. HH'!$B$1:$Y$318,23,FALSE)</f>
        <v>0</v>
      </c>
      <c r="G225">
        <f>VLOOKUP(A225,'Targeted HH'!$B$1:$Y$318,23,FALSE)</f>
        <v>22967.388045362921</v>
      </c>
      <c r="H225">
        <f>VLOOKUP(A225,'EFIG HH'!$B$1:$Y$318,23,FALSE)</f>
        <v>30477.144554982351</v>
      </c>
      <c r="I225">
        <f t="shared" si="69"/>
        <v>100935.48551854859</v>
      </c>
      <c r="J225">
        <f t="shared" si="70"/>
        <v>100935.48551854859</v>
      </c>
      <c r="K225" s="43">
        <f t="shared" si="71"/>
        <v>91308.707575954933</v>
      </c>
      <c r="L225">
        <f t="shared" si="72"/>
        <v>141.58904823295597</v>
      </c>
      <c r="M225">
        <f t="shared" si="73"/>
        <v>0</v>
      </c>
      <c r="N225" s="43">
        <f t="shared" si="74"/>
        <v>91450.296624187889</v>
      </c>
      <c r="O225">
        <f t="shared" si="75"/>
        <v>0</v>
      </c>
      <c r="P225">
        <f t="shared" si="76"/>
        <v>0</v>
      </c>
      <c r="Q225" s="43">
        <f t="shared" si="77"/>
        <v>91450.296624187889</v>
      </c>
      <c r="R225">
        <f t="shared" si="78"/>
        <v>0</v>
      </c>
      <c r="S225">
        <f t="shared" si="79"/>
        <v>0</v>
      </c>
      <c r="T225" s="43">
        <f t="shared" si="80"/>
        <v>91450.296624187889</v>
      </c>
      <c r="U225">
        <f t="shared" si="81"/>
        <v>0</v>
      </c>
      <c r="V225">
        <f t="shared" si="82"/>
        <v>0</v>
      </c>
      <c r="W225" s="43">
        <f t="shared" si="83"/>
        <v>91450.296624187889</v>
      </c>
      <c r="X225" s="43">
        <f t="shared" si="84"/>
        <v>9485.1888943607046</v>
      </c>
      <c r="Y225" s="27">
        <f t="shared" si="85"/>
        <v>718.26764535447035</v>
      </c>
      <c r="Z225" s="27">
        <f t="shared" si="86"/>
        <v>90732.028978833419</v>
      </c>
      <c r="AA225">
        <f t="shared" si="87"/>
        <v>0</v>
      </c>
      <c r="AB225" s="27">
        <f t="shared" si="88"/>
        <v>90732.028978833419</v>
      </c>
      <c r="AD225" s="27">
        <f t="shared" si="89"/>
        <v>0</v>
      </c>
      <c r="AE225" s="27">
        <f t="shared" si="90"/>
        <v>90732.028978833419</v>
      </c>
      <c r="AF225" s="50"/>
      <c r="AG225" t="str">
        <f t="shared" si="91"/>
        <v>5307380</v>
      </c>
    </row>
    <row r="226" spans="1:33" x14ac:dyDescent="0.25">
      <c r="A226" s="7" t="s">
        <v>295</v>
      </c>
      <c r="B226" s="2" t="s">
        <v>1088</v>
      </c>
      <c r="C226" s="4" t="s">
        <v>1087</v>
      </c>
      <c r="D226" s="30">
        <f>_xlfn.IFNA(VLOOKUP(A226,'Prior Year data'!$A$1:$V$318,13,FALSE),0)</f>
        <v>445911.56057692773</v>
      </c>
      <c r="E226">
        <f>VLOOKUP(A226,'Basic HH'!$B$1:$Y$318,23,FALSE)</f>
        <v>187325.42539957981</v>
      </c>
      <c r="F226">
        <f>VLOOKUP(A226,'Conc. HH'!$B$1:$Y$318,23,FALSE)</f>
        <v>0</v>
      </c>
      <c r="G226">
        <f>VLOOKUP(A226,'Targeted HH'!$B$1:$Y$318,23,FALSE)</f>
        <v>90593.586178931553</v>
      </c>
      <c r="H226">
        <f>VLOOKUP(A226,'EFIG HH'!$B$1:$Y$318,23,FALSE)</f>
        <v>120215.40352243038</v>
      </c>
      <c r="I226">
        <f t="shared" si="69"/>
        <v>398134.41510094173</v>
      </c>
      <c r="J226">
        <f t="shared" si="70"/>
        <v>0</v>
      </c>
      <c r="K226" s="43">
        <f t="shared" si="71"/>
        <v>398134.41510094173</v>
      </c>
      <c r="L226">
        <f t="shared" si="72"/>
        <v>0</v>
      </c>
      <c r="M226">
        <f t="shared" si="73"/>
        <v>0</v>
      </c>
      <c r="N226" s="43">
        <f t="shared" si="74"/>
        <v>398134.41510094173</v>
      </c>
      <c r="O226">
        <f t="shared" si="75"/>
        <v>0</v>
      </c>
      <c r="P226">
        <f t="shared" si="76"/>
        <v>0</v>
      </c>
      <c r="Q226" s="43">
        <f t="shared" si="77"/>
        <v>398134.41510094173</v>
      </c>
      <c r="R226">
        <f t="shared" si="78"/>
        <v>0</v>
      </c>
      <c r="S226">
        <f t="shared" si="79"/>
        <v>0</v>
      </c>
      <c r="T226" s="43">
        <f t="shared" si="80"/>
        <v>398134.41510094173</v>
      </c>
      <c r="U226">
        <f t="shared" si="81"/>
        <v>0</v>
      </c>
      <c r="V226">
        <f t="shared" si="82"/>
        <v>0</v>
      </c>
      <c r="W226" s="43">
        <f t="shared" si="83"/>
        <v>398134.41510094173</v>
      </c>
      <c r="X226" s="43">
        <f t="shared" si="84"/>
        <v>0</v>
      </c>
      <c r="Y226" s="27">
        <f t="shared" si="85"/>
        <v>3127.0217749462895</v>
      </c>
      <c r="Z226" s="27">
        <f t="shared" si="86"/>
        <v>395007.39332599542</v>
      </c>
      <c r="AA226">
        <f t="shared" si="87"/>
        <v>0</v>
      </c>
      <c r="AB226" s="27">
        <f t="shared" si="88"/>
        <v>395007.39332599542</v>
      </c>
      <c r="AD226" s="27">
        <f t="shared" si="89"/>
        <v>0</v>
      </c>
      <c r="AE226" s="27">
        <f t="shared" si="90"/>
        <v>395007.39332599542</v>
      </c>
      <c r="AF226" s="50"/>
      <c r="AG226" t="str">
        <f t="shared" si="91"/>
        <v>5307440</v>
      </c>
    </row>
    <row r="227" spans="1:33" x14ac:dyDescent="0.25">
      <c r="A227" s="7" t="s">
        <v>204</v>
      </c>
      <c r="B227" s="2" t="s">
        <v>1090</v>
      </c>
      <c r="C227" s="4" t="s">
        <v>1089</v>
      </c>
      <c r="D227" s="30">
        <f>_xlfn.IFNA(VLOOKUP(A227,'Prior Year data'!$A$1:$V$318,13,FALSE),0)</f>
        <v>121063.41945350918</v>
      </c>
      <c r="E227">
        <f>VLOOKUP(A227,'Basic HH'!$B$1:$Y$318,23,FALSE)</f>
        <v>115209.53393119696</v>
      </c>
      <c r="F227">
        <f>VLOOKUP(A227,'Conc. HH'!$B$1:$Y$318,23,FALSE)</f>
        <v>0</v>
      </c>
      <c r="G227">
        <f>VLOOKUP(A227,'Targeted HH'!$B$1:$Y$318,23,FALSE)</f>
        <v>0</v>
      </c>
      <c r="H227">
        <f>VLOOKUP(A227,'EFIG HH'!$B$1:$Y$318,23,FALSE)</f>
        <v>0</v>
      </c>
      <c r="I227">
        <f t="shared" si="69"/>
        <v>115209.53393119696</v>
      </c>
      <c r="J227">
        <f t="shared" si="70"/>
        <v>0</v>
      </c>
      <c r="K227" s="43">
        <f t="shared" si="71"/>
        <v>115209.53393119696</v>
      </c>
      <c r="L227">
        <f t="shared" si="72"/>
        <v>0</v>
      </c>
      <c r="M227">
        <f t="shared" si="73"/>
        <v>0</v>
      </c>
      <c r="N227" s="43">
        <f t="shared" si="74"/>
        <v>115209.53393119696</v>
      </c>
      <c r="O227">
        <f t="shared" si="75"/>
        <v>0</v>
      </c>
      <c r="P227">
        <f t="shared" si="76"/>
        <v>0</v>
      </c>
      <c r="Q227" s="43">
        <f t="shared" si="77"/>
        <v>115209.53393119696</v>
      </c>
      <c r="R227">
        <f t="shared" si="78"/>
        <v>0</v>
      </c>
      <c r="S227">
        <f t="shared" si="79"/>
        <v>0</v>
      </c>
      <c r="T227" s="43">
        <f t="shared" si="80"/>
        <v>115209.53393119696</v>
      </c>
      <c r="U227">
        <f t="shared" si="81"/>
        <v>0</v>
      </c>
      <c r="V227">
        <f t="shared" si="82"/>
        <v>0</v>
      </c>
      <c r="W227" s="43">
        <f t="shared" si="83"/>
        <v>115209.53393119696</v>
      </c>
      <c r="X227" s="43">
        <f t="shared" si="84"/>
        <v>0</v>
      </c>
      <c r="Y227" s="27">
        <f t="shared" si="85"/>
        <v>904.87711591806612</v>
      </c>
      <c r="Z227" s="27">
        <f t="shared" si="86"/>
        <v>114304.6568152789</v>
      </c>
      <c r="AA227">
        <f t="shared" si="87"/>
        <v>0</v>
      </c>
      <c r="AB227" s="27">
        <f t="shared" si="88"/>
        <v>114304.6568152789</v>
      </c>
      <c r="AD227" s="27">
        <f t="shared" si="89"/>
        <v>0</v>
      </c>
      <c r="AE227" s="27">
        <f t="shared" si="90"/>
        <v>114304.6568152789</v>
      </c>
      <c r="AF227" s="50"/>
      <c r="AG227" t="str">
        <f t="shared" si="91"/>
        <v>5304560</v>
      </c>
    </row>
    <row r="228" spans="1:33" x14ac:dyDescent="0.25">
      <c r="A228" s="7" t="s">
        <v>565</v>
      </c>
      <c r="B228" s="2" t="s">
        <v>1092</v>
      </c>
      <c r="C228" s="4" t="s">
        <v>1091</v>
      </c>
      <c r="D228" s="30">
        <f>_xlfn.IFNA(VLOOKUP(A228,'Prior Year data'!$A$1:$V$318,13,FALSE),0)</f>
        <v>522914.89040862687</v>
      </c>
      <c r="E228">
        <f>VLOOKUP(A228,'Basic HH'!$B$1:$Y$318,23,FALSE)</f>
        <v>231298.52995347176</v>
      </c>
      <c r="F228">
        <f>VLOOKUP(A228,'Conc. HH'!$B$1:$Y$318,23,FALSE)</f>
        <v>0</v>
      </c>
      <c r="G228">
        <f>VLOOKUP(A228,'Targeted HH'!$B$1:$Y$318,23,FALSE)</f>
        <v>111859.68622093425</v>
      </c>
      <c r="H228">
        <f>VLOOKUP(A228,'EFIG HH'!$B$1:$Y$318,23,FALSE)</f>
        <v>148434.98181408067</v>
      </c>
      <c r="I228">
        <f t="shared" si="69"/>
        <v>491593.19798848667</v>
      </c>
      <c r="J228">
        <f t="shared" si="70"/>
        <v>0</v>
      </c>
      <c r="K228" s="43">
        <f t="shared" si="71"/>
        <v>491593.19798848667</v>
      </c>
      <c r="L228">
        <f t="shared" si="72"/>
        <v>0</v>
      </c>
      <c r="M228">
        <f t="shared" si="73"/>
        <v>0</v>
      </c>
      <c r="N228" s="43">
        <f t="shared" si="74"/>
        <v>491593.19798848667</v>
      </c>
      <c r="O228">
        <f t="shared" si="75"/>
        <v>0</v>
      </c>
      <c r="P228">
        <f t="shared" si="76"/>
        <v>0</v>
      </c>
      <c r="Q228" s="43">
        <f t="shared" si="77"/>
        <v>491593.19798848667</v>
      </c>
      <c r="R228">
        <f t="shared" si="78"/>
        <v>0</v>
      </c>
      <c r="S228">
        <f t="shared" si="79"/>
        <v>0</v>
      </c>
      <c r="T228" s="43">
        <f t="shared" si="80"/>
        <v>491593.19798848667</v>
      </c>
      <c r="U228">
        <f t="shared" si="81"/>
        <v>0</v>
      </c>
      <c r="V228">
        <f t="shared" si="82"/>
        <v>0</v>
      </c>
      <c r="W228" s="43">
        <f t="shared" si="83"/>
        <v>491593.19798848667</v>
      </c>
      <c r="X228" s="43">
        <f t="shared" si="84"/>
        <v>0</v>
      </c>
      <c r="Y228" s="27">
        <f t="shared" si="85"/>
        <v>3861.0644451214748</v>
      </c>
      <c r="Z228" s="27">
        <f t="shared" si="86"/>
        <v>487732.13354336523</v>
      </c>
      <c r="AA228">
        <f t="shared" si="87"/>
        <v>0</v>
      </c>
      <c r="AB228" s="27">
        <f t="shared" si="88"/>
        <v>487732.13354336523</v>
      </c>
      <c r="AD228" s="27">
        <f t="shared" si="89"/>
        <v>0</v>
      </c>
      <c r="AE228" s="27">
        <f t="shared" si="90"/>
        <v>487732.13354336523</v>
      </c>
      <c r="AF228" s="50"/>
      <c r="AG228" t="str">
        <f t="shared" si="91"/>
        <v>5307470</v>
      </c>
    </row>
    <row r="229" spans="1:33" x14ac:dyDescent="0.25">
      <c r="A229" s="7" t="s">
        <v>297</v>
      </c>
      <c r="B229" s="2" t="s">
        <v>1094</v>
      </c>
      <c r="C229" s="4" t="s">
        <v>1093</v>
      </c>
      <c r="D229" s="30">
        <f>_xlfn.IFNA(VLOOKUP(A229,'Prior Year data'!$A$1:$V$318,13,FALSE),0)</f>
        <v>1517.08993074152</v>
      </c>
      <c r="E229">
        <f>VLOOKUP(A229,'Basic HH'!$B$1:$Y$318,23,FALSE)</f>
        <v>0</v>
      </c>
      <c r="F229">
        <f>VLOOKUP(A229,'Conc. HH'!$B$1:$Y$318,23,FALSE)</f>
        <v>1299.4775339776611</v>
      </c>
      <c r="G229">
        <f>VLOOKUP(A229,'Targeted HH'!$B$1:$Y$318,23,FALSE)</f>
        <v>0</v>
      </c>
      <c r="H229">
        <f>VLOOKUP(A229,'EFIG HH'!$B$1:$Y$318,23,FALSE)</f>
        <v>0</v>
      </c>
      <c r="I229">
        <f t="shared" si="69"/>
        <v>1299.4775339776611</v>
      </c>
      <c r="J229">
        <f t="shared" si="70"/>
        <v>0</v>
      </c>
      <c r="K229" s="43">
        <f t="shared" si="71"/>
        <v>1299.4775339776611</v>
      </c>
      <c r="L229">
        <f t="shared" si="72"/>
        <v>0</v>
      </c>
      <c r="M229">
        <f t="shared" si="73"/>
        <v>0</v>
      </c>
      <c r="N229" s="43">
        <f t="shared" si="74"/>
        <v>1299.4775339776611</v>
      </c>
      <c r="O229">
        <f t="shared" si="75"/>
        <v>0</v>
      </c>
      <c r="P229">
        <f t="shared" si="76"/>
        <v>0</v>
      </c>
      <c r="Q229" s="43">
        <f t="shared" si="77"/>
        <v>1299.4775339776611</v>
      </c>
      <c r="R229">
        <f t="shared" si="78"/>
        <v>0</v>
      </c>
      <c r="S229">
        <f t="shared" si="79"/>
        <v>0</v>
      </c>
      <c r="T229" s="43">
        <f t="shared" si="80"/>
        <v>1299.4775339776611</v>
      </c>
      <c r="U229">
        <f t="shared" si="81"/>
        <v>0</v>
      </c>
      <c r="V229">
        <f t="shared" si="82"/>
        <v>0</v>
      </c>
      <c r="W229" s="43">
        <f t="shared" si="83"/>
        <v>1299.4775339776611</v>
      </c>
      <c r="X229" s="43">
        <f t="shared" si="84"/>
        <v>0</v>
      </c>
      <c r="Y229" s="27">
        <f t="shared" si="85"/>
        <v>10.20633833870254</v>
      </c>
      <c r="Z229" s="27">
        <f t="shared" si="86"/>
        <v>1289.2711956389585</v>
      </c>
      <c r="AA229">
        <f t="shared" si="87"/>
        <v>0</v>
      </c>
      <c r="AB229" s="27">
        <f t="shared" si="88"/>
        <v>1289.2711956389585</v>
      </c>
      <c r="AD229" s="27">
        <f t="shared" si="89"/>
        <v>0</v>
      </c>
      <c r="AE229" s="27">
        <f t="shared" si="90"/>
        <v>1289.2711956389585</v>
      </c>
      <c r="AF229" s="50"/>
      <c r="AG229" t="str">
        <f t="shared" si="91"/>
        <v>5307530</v>
      </c>
    </row>
    <row r="230" spans="1:33" x14ac:dyDescent="0.25">
      <c r="A230" t="s">
        <v>1420</v>
      </c>
      <c r="B230" t="s">
        <v>1421</v>
      </c>
      <c r="C230" t="s">
        <v>1426</v>
      </c>
      <c r="D230" s="30">
        <f>_xlfn.IFNA(VLOOKUP(A230,'Prior Year data'!$A$1:$V$318,13,FALSE),0)</f>
        <v>0</v>
      </c>
      <c r="E230">
        <f>VLOOKUP(A230,'Basic HH'!$B$1:$Y$318,23,FALSE)</f>
        <v>11142.518903059479</v>
      </c>
      <c r="F230">
        <f>VLOOKUP(A230,'Conc. HH'!$B$1:$Y$318,23,FALSE)</f>
        <v>0</v>
      </c>
      <c r="G230">
        <f>VLOOKUP(A230,'Targeted HH'!$B$1:$Y$318,23,FALSE)</f>
        <v>7932.7769866786057</v>
      </c>
      <c r="H230">
        <f>VLOOKUP(A230,'EFIG HH'!$B$1:$Y$318,23,FALSE)</f>
        <v>10526.594947058151</v>
      </c>
      <c r="I230">
        <f t="shared" si="69"/>
        <v>29601.890836796236</v>
      </c>
      <c r="J230">
        <f t="shared" si="70"/>
        <v>29601.890836796236</v>
      </c>
      <c r="K230" s="43">
        <f t="shared" si="71"/>
        <v>26778.594071513751</v>
      </c>
      <c r="L230">
        <f t="shared" si="72"/>
        <v>0</v>
      </c>
      <c r="M230">
        <f t="shared" si="73"/>
        <v>26778.594071513751</v>
      </c>
      <c r="N230" s="43">
        <f t="shared" si="74"/>
        <v>17122.681595531481</v>
      </c>
      <c r="O230">
        <f t="shared" si="75"/>
        <v>0</v>
      </c>
      <c r="P230">
        <f t="shared" si="76"/>
        <v>17122.681595531481</v>
      </c>
      <c r="Q230" s="43">
        <f t="shared" si="77"/>
        <v>17122.681595531481</v>
      </c>
      <c r="R230">
        <f t="shared" si="78"/>
        <v>0</v>
      </c>
      <c r="S230">
        <f t="shared" si="79"/>
        <v>17122.681595531481</v>
      </c>
      <c r="T230" s="43">
        <f t="shared" si="80"/>
        <v>17122.681595531481</v>
      </c>
      <c r="U230">
        <f t="shared" si="81"/>
        <v>0</v>
      </c>
      <c r="V230">
        <f t="shared" si="82"/>
        <v>17122.681595531481</v>
      </c>
      <c r="W230" s="43">
        <f t="shared" si="83"/>
        <v>17122.681595531481</v>
      </c>
      <c r="X230" s="43">
        <f t="shared" si="84"/>
        <v>12479.209241264754</v>
      </c>
      <c r="Y230" s="27">
        <f t="shared" si="85"/>
        <v>134.48472717718687</v>
      </c>
      <c r="Z230" s="27">
        <f t="shared" si="86"/>
        <v>16988.196868354295</v>
      </c>
      <c r="AA230">
        <f t="shared" si="87"/>
        <v>0</v>
      </c>
      <c r="AB230" s="27">
        <f t="shared" si="88"/>
        <v>16988.196868354295</v>
      </c>
      <c r="AD230" s="27">
        <f t="shared" si="89"/>
        <v>0</v>
      </c>
      <c r="AE230" s="27">
        <f t="shared" si="90"/>
        <v>16988.196868354295</v>
      </c>
      <c r="AF230" s="50"/>
      <c r="AG230" t="str">
        <f t="shared" si="91"/>
        <v>5307795</v>
      </c>
    </row>
    <row r="231" spans="1:33" x14ac:dyDescent="0.25">
      <c r="A231" s="7" t="s">
        <v>567</v>
      </c>
      <c r="B231" s="2" t="s">
        <v>1096</v>
      </c>
      <c r="C231" s="4" t="s">
        <v>1095</v>
      </c>
      <c r="D231" s="30">
        <f>_xlfn.IFNA(VLOOKUP(A231,'Prior Year data'!$A$1:$V$318,13,FALSE),0)</f>
        <v>90213.919701736086</v>
      </c>
      <c r="E231">
        <f>VLOOKUP(A231,'Basic HH'!$B$1:$Y$318,23,FALSE)</f>
        <v>34716.272962627758</v>
      </c>
      <c r="F231">
        <f>VLOOKUP(A231,'Conc. HH'!$B$1:$Y$318,23,FALSE)</f>
        <v>9340.0284239501998</v>
      </c>
      <c r="G231">
        <f>VLOOKUP(A231,'Targeted HH'!$B$1:$Y$318,23,FALSE)</f>
        <v>19023.297652822115</v>
      </c>
      <c r="H231">
        <f>VLOOKUP(A231,'EFIG HH'!$B$1:$Y$318,23,FALSE)</f>
        <v>25804.537521158527</v>
      </c>
      <c r="I231">
        <f t="shared" si="69"/>
        <v>88884.136560558603</v>
      </c>
      <c r="J231">
        <f t="shared" si="70"/>
        <v>0</v>
      </c>
      <c r="K231" s="43">
        <f t="shared" si="71"/>
        <v>88884.136560558603</v>
      </c>
      <c r="L231">
        <f t="shared" si="72"/>
        <v>0</v>
      </c>
      <c r="M231">
        <f t="shared" si="73"/>
        <v>0</v>
      </c>
      <c r="N231" s="43">
        <f t="shared" si="74"/>
        <v>88884.136560558603</v>
      </c>
      <c r="O231">
        <f t="shared" si="75"/>
        <v>0</v>
      </c>
      <c r="P231">
        <f t="shared" si="76"/>
        <v>0</v>
      </c>
      <c r="Q231" s="43">
        <f t="shared" si="77"/>
        <v>88884.136560558603</v>
      </c>
      <c r="R231">
        <f t="shared" si="78"/>
        <v>0</v>
      </c>
      <c r="S231">
        <f t="shared" si="79"/>
        <v>0</v>
      </c>
      <c r="T231" s="43">
        <f t="shared" si="80"/>
        <v>88884.136560558603</v>
      </c>
      <c r="U231">
        <f t="shared" si="81"/>
        <v>0</v>
      </c>
      <c r="V231">
        <f t="shared" si="82"/>
        <v>0</v>
      </c>
      <c r="W231" s="43">
        <f t="shared" si="83"/>
        <v>88884.136560558603</v>
      </c>
      <c r="X231" s="43">
        <f t="shared" si="84"/>
        <v>0</v>
      </c>
      <c r="Y231" s="27">
        <f t="shared" si="85"/>
        <v>698.11254674303314</v>
      </c>
      <c r="Z231" s="27">
        <f t="shared" si="86"/>
        <v>88186.024013815564</v>
      </c>
      <c r="AA231">
        <f t="shared" si="87"/>
        <v>0</v>
      </c>
      <c r="AB231" s="27">
        <f t="shared" si="88"/>
        <v>88186.024013815564</v>
      </c>
      <c r="AD231" s="27">
        <f t="shared" si="89"/>
        <v>0</v>
      </c>
      <c r="AE231" s="27">
        <f t="shared" si="90"/>
        <v>88186.024013815564</v>
      </c>
      <c r="AF231" s="50"/>
      <c r="AG231" t="str">
        <f t="shared" si="91"/>
        <v>5307560</v>
      </c>
    </row>
    <row r="232" spans="1:33" x14ac:dyDescent="0.25">
      <c r="A232" s="7" t="s">
        <v>569</v>
      </c>
      <c r="B232" s="2" t="s">
        <v>1098</v>
      </c>
      <c r="C232" s="4" t="s">
        <v>1097</v>
      </c>
      <c r="D232" s="30">
        <f>_xlfn.IFNA(VLOOKUP(A232,'Prior Year data'!$A$1:$V$318,13,FALSE),0)</f>
        <v>497677.27209627023</v>
      </c>
      <c r="E232">
        <f>VLOOKUP(A232,'Basic HH'!$B$1:$Y$318,23,FALSE)</f>
        <v>211950.36394975931</v>
      </c>
      <c r="F232">
        <f>VLOOKUP(A232,'Conc. HH'!$B$1:$Y$318,23,FALSE)</f>
        <v>44514.979710574393</v>
      </c>
      <c r="G232">
        <f>VLOOKUP(A232,'Targeted HH'!$B$1:$Y$318,23,FALSE)</f>
        <v>102502.60220245308</v>
      </c>
      <c r="H232">
        <f>VLOOKUP(A232,'EFIG HH'!$B$1:$Y$318,23,FALSE)</f>
        <v>136018.3673657545</v>
      </c>
      <c r="I232">
        <f t="shared" si="69"/>
        <v>494986.31322854129</v>
      </c>
      <c r="J232">
        <f t="shared" si="70"/>
        <v>0</v>
      </c>
      <c r="K232" s="43">
        <f t="shared" si="71"/>
        <v>494986.31322854129</v>
      </c>
      <c r="L232">
        <f t="shared" si="72"/>
        <v>0</v>
      </c>
      <c r="M232">
        <f t="shared" si="73"/>
        <v>0</v>
      </c>
      <c r="N232" s="43">
        <f t="shared" si="74"/>
        <v>494986.31322854129</v>
      </c>
      <c r="O232">
        <f t="shared" si="75"/>
        <v>0</v>
      </c>
      <c r="P232">
        <f t="shared" si="76"/>
        <v>0</v>
      </c>
      <c r="Q232" s="43">
        <f t="shared" si="77"/>
        <v>494986.31322854129</v>
      </c>
      <c r="R232">
        <f t="shared" si="78"/>
        <v>0</v>
      </c>
      <c r="S232">
        <f t="shared" si="79"/>
        <v>0</v>
      </c>
      <c r="T232" s="43">
        <f t="shared" si="80"/>
        <v>494986.31322854129</v>
      </c>
      <c r="U232">
        <f t="shared" si="81"/>
        <v>0</v>
      </c>
      <c r="V232">
        <f t="shared" si="82"/>
        <v>0</v>
      </c>
      <c r="W232" s="43">
        <f t="shared" si="83"/>
        <v>494986.31322854129</v>
      </c>
      <c r="X232" s="43">
        <f t="shared" si="84"/>
        <v>0</v>
      </c>
      <c r="Y232" s="27">
        <f t="shared" si="85"/>
        <v>3887.714603555688</v>
      </c>
      <c r="Z232" s="27">
        <f t="shared" si="86"/>
        <v>491098.59862498561</v>
      </c>
      <c r="AA232">
        <f t="shared" si="87"/>
        <v>0</v>
      </c>
      <c r="AB232" s="27">
        <f t="shared" si="88"/>
        <v>491098.59862498561</v>
      </c>
      <c r="AD232" s="27">
        <f t="shared" si="89"/>
        <v>0</v>
      </c>
      <c r="AE232" s="27">
        <f t="shared" si="90"/>
        <v>491098.59862498561</v>
      </c>
      <c r="AF232" s="50"/>
      <c r="AG232" t="str">
        <f t="shared" si="91"/>
        <v>5307620</v>
      </c>
    </row>
    <row r="233" spans="1:33" x14ac:dyDescent="0.25">
      <c r="A233" s="7" t="s">
        <v>206</v>
      </c>
      <c r="B233" s="2" t="s">
        <v>1100</v>
      </c>
      <c r="C233" s="4" t="s">
        <v>1099</v>
      </c>
      <c r="D233" s="30">
        <f>_xlfn.IFNA(VLOOKUP(A233,'Prior Year data'!$A$1:$V$318,13,FALSE),0)</f>
        <v>158464.43888270992</v>
      </c>
      <c r="E233">
        <f>VLOOKUP(A233,'Basic HH'!$B$1:$Y$318,23,FALSE)</f>
        <v>65959.656830837921</v>
      </c>
      <c r="F233">
        <f>VLOOKUP(A233,'Conc. HH'!$B$1:$Y$318,23,FALSE)</f>
        <v>0</v>
      </c>
      <c r="G233">
        <f>VLOOKUP(A233,'Targeted HH'!$B$1:$Y$318,23,FALSE)</f>
        <v>31899.150063004054</v>
      </c>
      <c r="H233">
        <f>VLOOKUP(A233,'EFIG HH'!$B$1:$Y$318,23,FALSE)</f>
        <v>42329.367437475477</v>
      </c>
      <c r="I233">
        <f t="shared" si="69"/>
        <v>140188.17433131745</v>
      </c>
      <c r="J233">
        <f t="shared" si="70"/>
        <v>0</v>
      </c>
      <c r="K233" s="43">
        <f t="shared" si="71"/>
        <v>140188.17433131745</v>
      </c>
      <c r="L233">
        <f t="shared" si="72"/>
        <v>0</v>
      </c>
      <c r="M233">
        <f t="shared" si="73"/>
        <v>0</v>
      </c>
      <c r="N233" s="43">
        <f t="shared" si="74"/>
        <v>140188.17433131745</v>
      </c>
      <c r="O233">
        <f t="shared" si="75"/>
        <v>0</v>
      </c>
      <c r="P233">
        <f t="shared" si="76"/>
        <v>0</v>
      </c>
      <c r="Q233" s="43">
        <f t="shared" si="77"/>
        <v>140188.17433131745</v>
      </c>
      <c r="R233">
        <f t="shared" si="78"/>
        <v>0</v>
      </c>
      <c r="S233">
        <f t="shared" si="79"/>
        <v>0</v>
      </c>
      <c r="T233" s="43">
        <f t="shared" si="80"/>
        <v>140188.17433131745</v>
      </c>
      <c r="U233">
        <f t="shared" si="81"/>
        <v>0</v>
      </c>
      <c r="V233">
        <f t="shared" si="82"/>
        <v>0</v>
      </c>
      <c r="W233" s="43">
        <f t="shared" si="83"/>
        <v>140188.17433131745</v>
      </c>
      <c r="X233" s="43">
        <f t="shared" si="84"/>
        <v>0</v>
      </c>
      <c r="Y233" s="27">
        <f t="shared" si="85"/>
        <v>1101.0640052627775</v>
      </c>
      <c r="Z233" s="27">
        <f t="shared" si="86"/>
        <v>139087.11032605468</v>
      </c>
      <c r="AA233">
        <f t="shared" si="87"/>
        <v>0</v>
      </c>
      <c r="AB233" s="27">
        <f t="shared" si="88"/>
        <v>139087.11032605468</v>
      </c>
      <c r="AD233" s="27">
        <f t="shared" si="89"/>
        <v>0</v>
      </c>
      <c r="AE233" s="27">
        <f t="shared" si="90"/>
        <v>139087.11032605468</v>
      </c>
      <c r="AF233" s="50"/>
      <c r="AG233" t="str">
        <f t="shared" si="91"/>
        <v>5307650</v>
      </c>
    </row>
    <row r="234" spans="1:33" x14ac:dyDescent="0.25">
      <c r="A234" s="7" t="s">
        <v>571</v>
      </c>
      <c r="B234" s="2" t="s">
        <v>1102</v>
      </c>
      <c r="C234" s="4" t="s">
        <v>1101</v>
      </c>
      <c r="D234" s="30">
        <f>_xlfn.IFNA(VLOOKUP(A234,'Prior Year data'!$A$1:$V$318,13,FALSE),0)</f>
        <v>35050.836363189359</v>
      </c>
      <c r="E234">
        <f>VLOOKUP(A234,'Basic HH'!$B$1:$Y$318,23,FALSE)</f>
        <v>14950.855548323267</v>
      </c>
      <c r="F234">
        <f>VLOOKUP(A234,'Conc. HH'!$B$1:$Y$318,23,FALSE)</f>
        <v>4030.3600766595478</v>
      </c>
      <c r="G234">
        <f>VLOOKUP(A234,'Targeted HH'!$B$1:$Y$318,23,FALSE)</f>
        <v>7236.1520629921388</v>
      </c>
      <c r="H234">
        <f>VLOOKUP(A234,'EFIG HH'!$B$1:$Y$318,23,FALSE)</f>
        <v>9602.1912465649784</v>
      </c>
      <c r="I234">
        <f t="shared" si="69"/>
        <v>35819.558934539935</v>
      </c>
      <c r="J234">
        <f t="shared" si="70"/>
        <v>35819.558934539935</v>
      </c>
      <c r="K234" s="43">
        <f t="shared" si="71"/>
        <v>32403.24862411799</v>
      </c>
      <c r="L234">
        <f t="shared" si="72"/>
        <v>2647.5877390713686</v>
      </c>
      <c r="M234">
        <f t="shared" si="73"/>
        <v>0</v>
      </c>
      <c r="N234" s="43">
        <f t="shared" si="74"/>
        <v>35050.836363189359</v>
      </c>
      <c r="O234">
        <f t="shared" si="75"/>
        <v>0</v>
      </c>
      <c r="P234">
        <f t="shared" si="76"/>
        <v>0</v>
      </c>
      <c r="Q234" s="43">
        <f t="shared" si="77"/>
        <v>35050.836363189359</v>
      </c>
      <c r="R234">
        <f t="shared" si="78"/>
        <v>0</v>
      </c>
      <c r="S234">
        <f t="shared" si="79"/>
        <v>0</v>
      </c>
      <c r="T234" s="43">
        <f t="shared" si="80"/>
        <v>35050.836363189359</v>
      </c>
      <c r="U234">
        <f t="shared" si="81"/>
        <v>0</v>
      </c>
      <c r="V234">
        <f t="shared" si="82"/>
        <v>0</v>
      </c>
      <c r="W234" s="43">
        <f t="shared" si="83"/>
        <v>35050.836363189359</v>
      </c>
      <c r="X234" s="43">
        <f t="shared" si="84"/>
        <v>768.72257135057589</v>
      </c>
      <c r="Y234" s="27">
        <f t="shared" si="85"/>
        <v>275.29579051834418</v>
      </c>
      <c r="Z234" s="27">
        <f t="shared" si="86"/>
        <v>34775.540572671016</v>
      </c>
      <c r="AA234">
        <f t="shared" si="87"/>
        <v>0</v>
      </c>
      <c r="AB234" s="27">
        <f t="shared" si="88"/>
        <v>34775.540572671016</v>
      </c>
      <c r="AD234" s="27">
        <f t="shared" si="89"/>
        <v>0</v>
      </c>
      <c r="AE234" s="27">
        <f t="shared" si="90"/>
        <v>34775.540572671016</v>
      </c>
      <c r="AF234" s="50"/>
      <c r="AG234" t="str">
        <f t="shared" si="91"/>
        <v>5307680</v>
      </c>
    </row>
    <row r="235" spans="1:33" x14ac:dyDescent="0.25">
      <c r="A235" s="7" t="s">
        <v>81</v>
      </c>
      <c r="B235" s="2" t="s">
        <v>1103</v>
      </c>
      <c r="C235" s="8" t="s">
        <v>50</v>
      </c>
      <c r="D235" s="30">
        <f>_xlfn.IFNA(VLOOKUP(A235,'Prior Year data'!$A$1:$V$318,13,FALSE),0)</f>
        <v>43828.061117768382</v>
      </c>
      <c r="E235">
        <f>VLOOKUP(A235,'Basic HH'!$B$1:$Y$318,23,FALSE)</f>
        <v>15856.661515892338</v>
      </c>
      <c r="F235">
        <f>VLOOKUP(A235,'Conc. HH'!$B$1:$Y$318,23,FALSE)</f>
        <v>0</v>
      </c>
      <c r="G235">
        <f>VLOOKUP(A235,'Targeted HH'!$B$1:$Y$318,23,FALSE)</f>
        <v>11288.951865658019</v>
      </c>
      <c r="H235">
        <f>VLOOKUP(A235,'EFIG HH'!$B$1:$Y$318,23,FALSE)</f>
        <v>14980.154347736601</v>
      </c>
      <c r="I235">
        <f t="shared" si="69"/>
        <v>42125.767729286956</v>
      </c>
      <c r="J235">
        <f t="shared" si="70"/>
        <v>0</v>
      </c>
      <c r="K235" s="43">
        <f t="shared" si="71"/>
        <v>42125.767729286956</v>
      </c>
      <c r="L235">
        <f t="shared" si="72"/>
        <v>0</v>
      </c>
      <c r="M235">
        <f t="shared" si="73"/>
        <v>0</v>
      </c>
      <c r="N235" s="43">
        <f t="shared" si="74"/>
        <v>42125.767729286956</v>
      </c>
      <c r="O235">
        <f t="shared" si="75"/>
        <v>0</v>
      </c>
      <c r="P235">
        <f t="shared" si="76"/>
        <v>0</v>
      </c>
      <c r="Q235" s="43">
        <f t="shared" si="77"/>
        <v>42125.767729286956</v>
      </c>
      <c r="R235">
        <f t="shared" si="78"/>
        <v>0</v>
      </c>
      <c r="S235">
        <f t="shared" si="79"/>
        <v>0</v>
      </c>
      <c r="T235" s="43">
        <f t="shared" si="80"/>
        <v>42125.767729286956</v>
      </c>
      <c r="U235">
        <f t="shared" si="81"/>
        <v>0</v>
      </c>
      <c r="V235">
        <f t="shared" si="82"/>
        <v>0</v>
      </c>
      <c r="W235" s="43">
        <f t="shared" si="83"/>
        <v>42125.767729286956</v>
      </c>
      <c r="X235" s="43">
        <f t="shared" si="84"/>
        <v>0</v>
      </c>
      <c r="Y235" s="27">
        <f t="shared" si="85"/>
        <v>330.86361786235454</v>
      </c>
      <c r="Z235" s="27">
        <f t="shared" si="86"/>
        <v>41794.904111424599</v>
      </c>
      <c r="AA235">
        <f t="shared" si="87"/>
        <v>0</v>
      </c>
      <c r="AB235" s="27">
        <f t="shared" si="88"/>
        <v>41794.904111424599</v>
      </c>
      <c r="AD235" s="27">
        <f t="shared" si="89"/>
        <v>0</v>
      </c>
      <c r="AE235" s="27">
        <f t="shared" si="90"/>
        <v>41794.904111424599</v>
      </c>
      <c r="AF235" s="50"/>
      <c r="AG235" t="str">
        <f t="shared" si="91"/>
        <v>5307700</v>
      </c>
    </row>
    <row r="236" spans="1:33" x14ac:dyDescent="0.25">
      <c r="A236" s="7" t="s">
        <v>80</v>
      </c>
      <c r="B236" s="2" t="s">
        <v>1104</v>
      </c>
      <c r="C236" s="4" t="s">
        <v>46</v>
      </c>
      <c r="D236" s="30">
        <f>_xlfn.IFNA(VLOOKUP(A236,'Prior Year data'!$A$1:$V$318,13,FALSE),0)</f>
        <v>0</v>
      </c>
      <c r="E236">
        <f>VLOOKUP(A236,'Basic HH'!$B$1:$Y$318,23,FALSE)</f>
        <v>0</v>
      </c>
      <c r="F236">
        <f>VLOOKUP(A236,'Conc. HH'!$B$1:$Y$318,23,FALSE)</f>
        <v>0</v>
      </c>
      <c r="G236">
        <f>VLOOKUP(A236,'Targeted HH'!$B$1:$Y$318,23,FALSE)</f>
        <v>0</v>
      </c>
      <c r="H236">
        <f>VLOOKUP(A236,'EFIG HH'!$B$1:$Y$318,23,FALSE)</f>
        <v>0</v>
      </c>
      <c r="I236">
        <f t="shared" si="69"/>
        <v>0</v>
      </c>
      <c r="J236">
        <f t="shared" si="70"/>
        <v>0</v>
      </c>
      <c r="K236" s="43">
        <f t="shared" si="71"/>
        <v>0</v>
      </c>
      <c r="L236">
        <f t="shared" si="72"/>
        <v>0</v>
      </c>
      <c r="M236">
        <f t="shared" si="73"/>
        <v>0</v>
      </c>
      <c r="N236" s="43">
        <f t="shared" si="74"/>
        <v>0</v>
      </c>
      <c r="O236">
        <f t="shared" si="75"/>
        <v>0</v>
      </c>
      <c r="P236">
        <f t="shared" si="76"/>
        <v>0</v>
      </c>
      <c r="Q236" s="43">
        <f t="shared" si="77"/>
        <v>0</v>
      </c>
      <c r="R236">
        <f t="shared" si="78"/>
        <v>0</v>
      </c>
      <c r="S236">
        <f t="shared" si="79"/>
        <v>0</v>
      </c>
      <c r="T236" s="43">
        <f t="shared" si="80"/>
        <v>0</v>
      </c>
      <c r="U236">
        <f t="shared" si="81"/>
        <v>0</v>
      </c>
      <c r="V236">
        <f t="shared" si="82"/>
        <v>0</v>
      </c>
      <c r="W236" s="43">
        <f t="shared" si="83"/>
        <v>0</v>
      </c>
      <c r="X236" s="43">
        <f t="shared" si="84"/>
        <v>0</v>
      </c>
      <c r="Y236" s="27">
        <f t="shared" si="85"/>
        <v>0</v>
      </c>
      <c r="Z236" s="27">
        <f t="shared" si="86"/>
        <v>0</v>
      </c>
      <c r="AA236">
        <f t="shared" si="87"/>
        <v>0</v>
      </c>
      <c r="AB236" s="27">
        <f t="shared" si="88"/>
        <v>0</v>
      </c>
      <c r="AD236" s="27">
        <f t="shared" si="89"/>
        <v>0</v>
      </c>
      <c r="AE236" s="27">
        <f t="shared" si="90"/>
        <v>0</v>
      </c>
      <c r="AF236" s="50"/>
      <c r="AG236" t="str">
        <f t="shared" si="91"/>
        <v>5307690</v>
      </c>
    </row>
    <row r="237" spans="1:33" x14ac:dyDescent="0.25">
      <c r="A237" s="7" t="s">
        <v>59</v>
      </c>
      <c r="B237" s="2" t="s">
        <v>1105</v>
      </c>
      <c r="C237" s="4" t="s">
        <v>24</v>
      </c>
      <c r="D237" s="30">
        <f>_xlfn.IFNA(VLOOKUP(A237,'Prior Year data'!$A$1:$V$318,13,FALSE),0)</f>
        <v>16700808.63357538</v>
      </c>
      <c r="E237">
        <f>VLOOKUP(A237,'Basic HH'!$B$1:$Y$318,23,FALSE)</f>
        <v>5225182.9232541621</v>
      </c>
      <c r="F237">
        <f>VLOOKUP(A237,'Conc. HH'!$B$1:$Y$318,23,FALSE)</f>
        <v>1292400.0076069802</v>
      </c>
      <c r="G237">
        <f>VLOOKUP(A237,'Targeted HH'!$B$1:$Y$318,23,FALSE)</f>
        <v>4441708.62219097</v>
      </c>
      <c r="H237">
        <f>VLOOKUP(A237,'EFIG HH'!$B$1:$Y$318,23,FALSE)</f>
        <v>5894035.2939679055</v>
      </c>
      <c r="I237">
        <f t="shared" si="69"/>
        <v>16853326.847020019</v>
      </c>
      <c r="J237">
        <f t="shared" si="70"/>
        <v>16853326.847020019</v>
      </c>
      <c r="K237" s="43">
        <f t="shared" si="71"/>
        <v>15245931.446713563</v>
      </c>
      <c r="L237">
        <f t="shared" si="72"/>
        <v>1454877.1868618168</v>
      </c>
      <c r="M237">
        <f t="shared" si="73"/>
        <v>0</v>
      </c>
      <c r="N237" s="43">
        <f t="shared" si="74"/>
        <v>16700808.63357538</v>
      </c>
      <c r="O237">
        <f t="shared" si="75"/>
        <v>0</v>
      </c>
      <c r="P237">
        <f t="shared" si="76"/>
        <v>0</v>
      </c>
      <c r="Q237" s="43">
        <f t="shared" si="77"/>
        <v>16700808.63357538</v>
      </c>
      <c r="R237">
        <f t="shared" si="78"/>
        <v>0</v>
      </c>
      <c r="S237">
        <f t="shared" si="79"/>
        <v>0</v>
      </c>
      <c r="T237" s="43">
        <f t="shared" si="80"/>
        <v>16700808.63357538</v>
      </c>
      <c r="U237">
        <f t="shared" si="81"/>
        <v>0</v>
      </c>
      <c r="V237">
        <f t="shared" si="82"/>
        <v>0</v>
      </c>
      <c r="W237" s="43">
        <f t="shared" si="83"/>
        <v>16700808.63357538</v>
      </c>
      <c r="X237" s="43">
        <f t="shared" si="84"/>
        <v>152518.213444639</v>
      </c>
      <c r="Y237" s="27">
        <f t="shared" si="85"/>
        <v>131171.25843833559</v>
      </c>
      <c r="Z237" s="27">
        <f t="shared" si="86"/>
        <v>16569637.375137044</v>
      </c>
      <c r="AA237">
        <f t="shared" si="87"/>
        <v>0</v>
      </c>
      <c r="AB237" s="27">
        <f t="shared" si="88"/>
        <v>16569637.375137044</v>
      </c>
      <c r="AD237" s="27">
        <f t="shared" si="89"/>
        <v>0</v>
      </c>
      <c r="AE237" s="27">
        <f t="shared" si="90"/>
        <v>16569637.375137044</v>
      </c>
      <c r="AF237" s="50"/>
      <c r="AG237" t="str">
        <f t="shared" si="91"/>
        <v>5307710</v>
      </c>
    </row>
    <row r="238" spans="1:33" x14ac:dyDescent="0.25">
      <c r="A238" s="7" t="s">
        <v>299</v>
      </c>
      <c r="B238" s="2" t="s">
        <v>1107</v>
      </c>
      <c r="C238" s="4" t="s">
        <v>1106</v>
      </c>
      <c r="D238" s="30">
        <f>_xlfn.IFNA(VLOOKUP(A238,'Prior Year data'!$A$1:$V$318,13,FALSE),0)</f>
        <v>1003653.6054975099</v>
      </c>
      <c r="E238">
        <f>VLOOKUP(A238,'Basic HH'!$B$1:$Y$318,23,FALSE)</f>
        <v>422504.42839623598</v>
      </c>
      <c r="F238">
        <f>VLOOKUP(A238,'Conc. HH'!$B$1:$Y$318,23,FALSE)</f>
        <v>0</v>
      </c>
      <c r="G238">
        <f>VLOOKUP(A238,'Targeted HH'!$B$1:$Y$318,23,FALSE)</f>
        <v>203815.76509002011</v>
      </c>
      <c r="H238">
        <f>VLOOKUP(A238,'EFIG HH'!$B$1:$Y$318,23,FALSE)</f>
        <v>276470.0239492298</v>
      </c>
      <c r="I238">
        <f t="shared" si="69"/>
        <v>902790.21743548592</v>
      </c>
      <c r="J238">
        <f t="shared" si="70"/>
        <v>0</v>
      </c>
      <c r="K238" s="43">
        <f t="shared" si="71"/>
        <v>902790.21743548592</v>
      </c>
      <c r="L238">
        <f t="shared" si="72"/>
        <v>0</v>
      </c>
      <c r="M238">
        <f t="shared" si="73"/>
        <v>0</v>
      </c>
      <c r="N238" s="43">
        <f t="shared" si="74"/>
        <v>902790.21743548592</v>
      </c>
      <c r="O238">
        <f t="shared" si="75"/>
        <v>0</v>
      </c>
      <c r="P238">
        <f t="shared" si="76"/>
        <v>0</v>
      </c>
      <c r="Q238" s="43">
        <f t="shared" si="77"/>
        <v>902790.21743548592</v>
      </c>
      <c r="R238">
        <f t="shared" si="78"/>
        <v>0</v>
      </c>
      <c r="S238">
        <f t="shared" si="79"/>
        <v>0</v>
      </c>
      <c r="T238" s="43">
        <f t="shared" si="80"/>
        <v>902790.21743548592</v>
      </c>
      <c r="U238">
        <f t="shared" si="81"/>
        <v>0</v>
      </c>
      <c r="V238">
        <f t="shared" si="82"/>
        <v>0</v>
      </c>
      <c r="W238" s="43">
        <f t="shared" si="83"/>
        <v>902790.21743548592</v>
      </c>
      <c r="X238" s="43">
        <f t="shared" si="84"/>
        <v>0</v>
      </c>
      <c r="Y238" s="27">
        <f t="shared" si="85"/>
        <v>7090.6823450907004</v>
      </c>
      <c r="Z238" s="27">
        <f t="shared" si="86"/>
        <v>895699.53509039525</v>
      </c>
      <c r="AA238">
        <f t="shared" si="87"/>
        <v>0</v>
      </c>
      <c r="AB238" s="27">
        <f t="shared" si="88"/>
        <v>895699.53509039525</v>
      </c>
      <c r="AD238" s="27">
        <f t="shared" si="89"/>
        <v>0</v>
      </c>
      <c r="AE238" s="27">
        <f t="shared" si="90"/>
        <v>895699.53509039525</v>
      </c>
      <c r="AF238" s="50"/>
      <c r="AG238" t="str">
        <f t="shared" si="91"/>
        <v>5307740</v>
      </c>
    </row>
    <row r="239" spans="1:33" x14ac:dyDescent="0.25">
      <c r="A239" s="7" t="s">
        <v>573</v>
      </c>
      <c r="B239" s="2" t="s">
        <v>1109</v>
      </c>
      <c r="C239" s="4" t="s">
        <v>1108</v>
      </c>
      <c r="D239" s="30">
        <f>_xlfn.IFNA(VLOOKUP(A239,'Prior Year data'!$A$1:$V$318,13,FALSE),0)</f>
        <v>835935.52110737551</v>
      </c>
      <c r="E239">
        <f>VLOOKUP(A239,'Basic HH'!$B$1:$Y$318,23,FALSE)</f>
        <v>476668.4533641889</v>
      </c>
      <c r="F239">
        <f>VLOOKUP(A239,'Conc. HH'!$B$1:$Y$318,23,FALSE)</f>
        <v>0</v>
      </c>
      <c r="G239">
        <f>VLOOKUP(A239,'Targeted HH'!$B$1:$Y$318,23,FALSE)</f>
        <v>230524.52445530941</v>
      </c>
      <c r="H239">
        <f>VLOOKUP(A239,'EFIG HH'!$B$1:$Y$318,23,FALSE)</f>
        <v>305900.22868148936</v>
      </c>
      <c r="I239">
        <f t="shared" si="69"/>
        <v>1013093.2065009876</v>
      </c>
      <c r="J239">
        <f t="shared" si="70"/>
        <v>1013093.2065009876</v>
      </c>
      <c r="K239" s="43">
        <f t="shared" si="71"/>
        <v>916468.87974384392</v>
      </c>
      <c r="L239">
        <f t="shared" si="72"/>
        <v>0</v>
      </c>
      <c r="M239">
        <f t="shared" si="73"/>
        <v>80533.358636468416</v>
      </c>
      <c r="N239" s="43">
        <f t="shared" si="74"/>
        <v>887429.89956759033</v>
      </c>
      <c r="O239">
        <f t="shared" si="75"/>
        <v>0</v>
      </c>
      <c r="P239">
        <f t="shared" si="76"/>
        <v>51494.378460214823</v>
      </c>
      <c r="Q239" s="43">
        <f t="shared" si="77"/>
        <v>887429.89956759033</v>
      </c>
      <c r="R239">
        <f t="shared" si="78"/>
        <v>0</v>
      </c>
      <c r="S239">
        <f t="shared" si="79"/>
        <v>51494.378460214823</v>
      </c>
      <c r="T239" s="43">
        <f t="shared" si="80"/>
        <v>887429.89956759033</v>
      </c>
      <c r="U239">
        <f t="shared" si="81"/>
        <v>0</v>
      </c>
      <c r="V239">
        <f t="shared" si="82"/>
        <v>51494.378460214823</v>
      </c>
      <c r="W239" s="43">
        <f t="shared" si="83"/>
        <v>887429.89956759033</v>
      </c>
      <c r="X239" s="43">
        <f t="shared" si="84"/>
        <v>125663.30693339731</v>
      </c>
      <c r="Y239" s="27">
        <f t="shared" si="85"/>
        <v>6970.0395505439692</v>
      </c>
      <c r="Z239" s="27">
        <f t="shared" si="86"/>
        <v>880459.86001704633</v>
      </c>
      <c r="AA239">
        <f t="shared" si="87"/>
        <v>0</v>
      </c>
      <c r="AB239" s="27">
        <f t="shared" si="88"/>
        <v>880459.86001704633</v>
      </c>
      <c r="AD239" s="27">
        <f t="shared" si="89"/>
        <v>0</v>
      </c>
      <c r="AE239" s="27">
        <f t="shared" si="90"/>
        <v>880459.86001704633</v>
      </c>
      <c r="AF239" s="50"/>
      <c r="AG239" t="str">
        <f t="shared" si="91"/>
        <v>5307770</v>
      </c>
    </row>
    <row r="240" spans="1:33" x14ac:dyDescent="0.25">
      <c r="A240" s="7" t="s">
        <v>575</v>
      </c>
      <c r="B240" s="2" t="s">
        <v>1111</v>
      </c>
      <c r="C240" s="4" t="s">
        <v>1110</v>
      </c>
      <c r="D240" s="30">
        <f>_xlfn.IFNA(VLOOKUP(A240,'Prior Year data'!$A$1:$V$318,13,FALSE),0)</f>
        <v>186542.77096974454</v>
      </c>
      <c r="E240">
        <f>VLOOKUP(A240,'Basic HH'!$B$1:$Y$318,23,FALSE)</f>
        <v>96740.830018562367</v>
      </c>
      <c r="F240">
        <f>VLOOKUP(A240,'Conc. HH'!$B$1:$Y$318,23,FALSE)</f>
        <v>26078.800496032367</v>
      </c>
      <c r="G240">
        <f>VLOOKUP(A240,'Targeted HH'!$B$1:$Y$318,23,FALSE)</f>
        <v>82360.309217170012</v>
      </c>
      <c r="H240">
        <f>VLOOKUP(A240,'EFIG HH'!$B$1:$Y$318,23,FALSE)</f>
        <v>109290.05268892647</v>
      </c>
      <c r="I240">
        <f t="shared" si="69"/>
        <v>314469.99242069118</v>
      </c>
      <c r="J240">
        <f t="shared" si="70"/>
        <v>314469.99242069118</v>
      </c>
      <c r="K240" s="43">
        <f t="shared" si="71"/>
        <v>284477.24238743575</v>
      </c>
      <c r="L240">
        <f t="shared" si="72"/>
        <v>0</v>
      </c>
      <c r="M240">
        <f t="shared" si="73"/>
        <v>97934.471417691209</v>
      </c>
      <c r="N240" s="43">
        <f t="shared" si="74"/>
        <v>249163.7124140021</v>
      </c>
      <c r="O240">
        <f t="shared" si="75"/>
        <v>0</v>
      </c>
      <c r="P240">
        <f t="shared" si="76"/>
        <v>62620.941444257565</v>
      </c>
      <c r="Q240" s="43">
        <f t="shared" si="77"/>
        <v>249163.7124140021</v>
      </c>
      <c r="R240">
        <f t="shared" si="78"/>
        <v>0</v>
      </c>
      <c r="S240">
        <f t="shared" si="79"/>
        <v>62620.941444257565</v>
      </c>
      <c r="T240" s="43">
        <f t="shared" si="80"/>
        <v>249163.7124140021</v>
      </c>
      <c r="U240">
        <f t="shared" si="81"/>
        <v>0</v>
      </c>
      <c r="V240">
        <f t="shared" si="82"/>
        <v>62620.941444257565</v>
      </c>
      <c r="W240" s="43">
        <f t="shared" si="83"/>
        <v>249163.7124140021</v>
      </c>
      <c r="X240" s="43">
        <f t="shared" si="84"/>
        <v>65306.280006689078</v>
      </c>
      <c r="Y240" s="27">
        <f t="shared" si="85"/>
        <v>1956.978157860327</v>
      </c>
      <c r="Z240" s="27">
        <f t="shared" si="86"/>
        <v>247206.73425614179</v>
      </c>
      <c r="AA240">
        <f t="shared" si="87"/>
        <v>0</v>
      </c>
      <c r="AB240" s="27">
        <f t="shared" si="88"/>
        <v>247206.73425614179</v>
      </c>
      <c r="AD240" s="27">
        <f t="shared" si="89"/>
        <v>0</v>
      </c>
      <c r="AE240" s="27">
        <f t="shared" si="90"/>
        <v>247206.73425614179</v>
      </c>
      <c r="AF240" s="50"/>
      <c r="AG240" t="str">
        <f t="shared" si="91"/>
        <v>5307800</v>
      </c>
    </row>
    <row r="241" spans="1:33" x14ac:dyDescent="0.25">
      <c r="A241" s="7" t="s">
        <v>577</v>
      </c>
      <c r="B241" s="2" t="s">
        <v>1113</v>
      </c>
      <c r="C241" s="4" t="s">
        <v>1112</v>
      </c>
      <c r="D241" s="30">
        <f>_xlfn.IFNA(VLOOKUP(A241,'Prior Year data'!$A$1:$V$318,13,FALSE),0)</f>
        <v>855381.13445695501</v>
      </c>
      <c r="E241">
        <f>VLOOKUP(A241,'Basic HH'!$B$1:$Y$318,23,FALSE)</f>
        <v>347387.52597574657</v>
      </c>
      <c r="F241">
        <f>VLOOKUP(A241,'Conc. HH'!$B$1:$Y$318,23,FALSE)</f>
        <v>64843.928945485299</v>
      </c>
      <c r="G241">
        <f>VLOOKUP(A241,'Targeted HH'!$B$1:$Y$318,23,FALSE)</f>
        <v>168002.19033182148</v>
      </c>
      <c r="H241">
        <f>VLOOKUP(A241,'EFIG HH'!$B$1:$Y$318,23,FALSE)</f>
        <v>222934.66850403749</v>
      </c>
      <c r="I241">
        <f t="shared" si="69"/>
        <v>803168.31375709083</v>
      </c>
      <c r="J241">
        <f t="shared" si="70"/>
        <v>0</v>
      </c>
      <c r="K241" s="43">
        <f t="shared" si="71"/>
        <v>803168.31375709083</v>
      </c>
      <c r="L241">
        <f t="shared" si="72"/>
        <v>0</v>
      </c>
      <c r="M241">
        <f t="shared" si="73"/>
        <v>0</v>
      </c>
      <c r="N241" s="43">
        <f t="shared" si="74"/>
        <v>803168.31375709083</v>
      </c>
      <c r="O241">
        <f t="shared" si="75"/>
        <v>0</v>
      </c>
      <c r="P241">
        <f t="shared" si="76"/>
        <v>0</v>
      </c>
      <c r="Q241" s="43">
        <f t="shared" si="77"/>
        <v>803168.31375709083</v>
      </c>
      <c r="R241">
        <f t="shared" si="78"/>
        <v>0</v>
      </c>
      <c r="S241">
        <f t="shared" si="79"/>
        <v>0</v>
      </c>
      <c r="T241" s="43">
        <f t="shared" si="80"/>
        <v>803168.31375709083</v>
      </c>
      <c r="U241">
        <f t="shared" si="81"/>
        <v>0</v>
      </c>
      <c r="V241">
        <f t="shared" si="82"/>
        <v>0</v>
      </c>
      <c r="W241" s="43">
        <f t="shared" si="83"/>
        <v>803168.31375709083</v>
      </c>
      <c r="X241" s="43">
        <f t="shared" si="84"/>
        <v>0</v>
      </c>
      <c r="Y241" s="27">
        <f t="shared" si="85"/>
        <v>6308.2333774852204</v>
      </c>
      <c r="Z241" s="27">
        <f t="shared" si="86"/>
        <v>796860.08037960564</v>
      </c>
      <c r="AA241">
        <f t="shared" si="87"/>
        <v>0</v>
      </c>
      <c r="AB241" s="27">
        <f t="shared" si="88"/>
        <v>796860.08037960564</v>
      </c>
      <c r="AD241" s="27">
        <f t="shared" si="89"/>
        <v>0</v>
      </c>
      <c r="AE241" s="27">
        <f t="shared" si="90"/>
        <v>796860.08037960564</v>
      </c>
      <c r="AF241" s="50"/>
      <c r="AG241" t="str">
        <f t="shared" si="91"/>
        <v>5307830</v>
      </c>
    </row>
    <row r="242" spans="1:33" x14ac:dyDescent="0.25">
      <c r="A242" s="7" t="s">
        <v>208</v>
      </c>
      <c r="B242" s="2" t="s">
        <v>1115</v>
      </c>
      <c r="C242" s="4" t="s">
        <v>1114</v>
      </c>
      <c r="D242" s="30">
        <f>_xlfn.IFNA(VLOOKUP(A242,'Prior Year data'!$A$1:$V$318,13,FALSE),0)</f>
        <v>0</v>
      </c>
      <c r="E242">
        <f>VLOOKUP(A242,'Basic HH'!$B$1:$Y$318,23,FALSE)</f>
        <v>0</v>
      </c>
      <c r="F242">
        <f>VLOOKUP(A242,'Conc. HH'!$B$1:$Y$318,23,FALSE)</f>
        <v>0</v>
      </c>
      <c r="G242">
        <f>VLOOKUP(A242,'Targeted HH'!$B$1:$Y$318,23,FALSE)</f>
        <v>0</v>
      </c>
      <c r="H242">
        <f>VLOOKUP(A242,'EFIG HH'!$B$1:$Y$318,23,FALSE)</f>
        <v>0</v>
      </c>
      <c r="I242">
        <f t="shared" si="69"/>
        <v>0</v>
      </c>
      <c r="J242">
        <f t="shared" si="70"/>
        <v>0</v>
      </c>
      <c r="K242" s="43">
        <f t="shared" si="71"/>
        <v>0</v>
      </c>
      <c r="L242">
        <f t="shared" si="72"/>
        <v>0</v>
      </c>
      <c r="M242">
        <f t="shared" si="73"/>
        <v>0</v>
      </c>
      <c r="N242" s="43">
        <f t="shared" si="74"/>
        <v>0</v>
      </c>
      <c r="O242">
        <f t="shared" si="75"/>
        <v>0</v>
      </c>
      <c r="P242">
        <f t="shared" si="76"/>
        <v>0</v>
      </c>
      <c r="Q242" s="43">
        <f t="shared" si="77"/>
        <v>0</v>
      </c>
      <c r="R242">
        <f t="shared" si="78"/>
        <v>0</v>
      </c>
      <c r="S242">
        <f t="shared" si="79"/>
        <v>0</v>
      </c>
      <c r="T242" s="43">
        <f t="shared" si="80"/>
        <v>0</v>
      </c>
      <c r="U242">
        <f t="shared" si="81"/>
        <v>0</v>
      </c>
      <c r="V242">
        <f t="shared" si="82"/>
        <v>0</v>
      </c>
      <c r="W242" s="43">
        <f t="shared" si="83"/>
        <v>0</v>
      </c>
      <c r="X242" s="43">
        <f t="shared" si="84"/>
        <v>0</v>
      </c>
      <c r="Y242" s="27">
        <f t="shared" si="85"/>
        <v>0</v>
      </c>
      <c r="Z242" s="27">
        <f t="shared" si="86"/>
        <v>0</v>
      </c>
      <c r="AA242">
        <f t="shared" si="87"/>
        <v>0</v>
      </c>
      <c r="AB242" s="27">
        <f t="shared" si="88"/>
        <v>0</v>
      </c>
      <c r="AD242" s="27">
        <f t="shared" si="89"/>
        <v>0</v>
      </c>
      <c r="AE242" s="27">
        <f t="shared" si="90"/>
        <v>0</v>
      </c>
      <c r="AF242" s="50"/>
      <c r="AG242" t="str">
        <f t="shared" si="91"/>
        <v>5307860</v>
      </c>
    </row>
    <row r="243" spans="1:33" x14ac:dyDescent="0.25">
      <c r="A243" s="7" t="s">
        <v>579</v>
      </c>
      <c r="B243" s="2" t="s">
        <v>1117</v>
      </c>
      <c r="C243" s="4" t="s">
        <v>1116</v>
      </c>
      <c r="D243" s="30">
        <f>_xlfn.IFNA(VLOOKUP(A243,'Prior Year data'!$A$1:$V$318,13,FALSE),0)</f>
        <v>1604928.1880461946</v>
      </c>
      <c r="E243">
        <f>VLOOKUP(A243,'Basic HH'!$B$1:$Y$318,23,FALSE)</f>
        <v>790636.41987897712</v>
      </c>
      <c r="F243">
        <f>VLOOKUP(A243,'Conc. HH'!$B$1:$Y$318,23,FALSE)</f>
        <v>213134.92405393723</v>
      </c>
      <c r="G243">
        <f>VLOOKUP(A243,'Targeted HH'!$B$1:$Y$318,23,FALSE)</f>
        <v>458364.90556161728</v>
      </c>
      <c r="H243">
        <f>VLOOKUP(A243,'EFIG HH'!$B$1:$Y$318,23,FALSE)</f>
        <v>608238.66684974136</v>
      </c>
      <c r="I243">
        <f t="shared" si="69"/>
        <v>2070374.9163442729</v>
      </c>
      <c r="J243">
        <f t="shared" si="70"/>
        <v>2070374.9163442729</v>
      </c>
      <c r="K243" s="43">
        <f t="shared" si="71"/>
        <v>1872911.7598025671</v>
      </c>
      <c r="L243">
        <f t="shared" si="72"/>
        <v>0</v>
      </c>
      <c r="M243">
        <f t="shared" si="73"/>
        <v>267983.57175637246</v>
      </c>
      <c r="N243" s="43">
        <f t="shared" si="74"/>
        <v>1776281.3725996302</v>
      </c>
      <c r="O243">
        <f t="shared" si="75"/>
        <v>0</v>
      </c>
      <c r="P243">
        <f t="shared" si="76"/>
        <v>171353.18455343554</v>
      </c>
      <c r="Q243" s="43">
        <f t="shared" si="77"/>
        <v>1776281.3725996302</v>
      </c>
      <c r="R243">
        <f t="shared" si="78"/>
        <v>0</v>
      </c>
      <c r="S243">
        <f t="shared" si="79"/>
        <v>171353.18455343554</v>
      </c>
      <c r="T243" s="43">
        <f t="shared" si="80"/>
        <v>1776281.3725996302</v>
      </c>
      <c r="U243">
        <f t="shared" si="81"/>
        <v>0</v>
      </c>
      <c r="V243">
        <f t="shared" si="82"/>
        <v>171353.18455343554</v>
      </c>
      <c r="W243" s="43">
        <f t="shared" si="83"/>
        <v>1776281.3725996302</v>
      </c>
      <c r="X243" s="43">
        <f t="shared" si="84"/>
        <v>294093.54374464275</v>
      </c>
      <c r="Y243" s="27">
        <f t="shared" si="85"/>
        <v>13951.244403582305</v>
      </c>
      <c r="Z243" s="27">
        <f t="shared" si="86"/>
        <v>1762330.1281960479</v>
      </c>
      <c r="AA243">
        <f t="shared" si="87"/>
        <v>0</v>
      </c>
      <c r="AB243" s="27">
        <f t="shared" si="88"/>
        <v>1762330.1281960479</v>
      </c>
      <c r="AD243" s="27">
        <f t="shared" si="89"/>
        <v>0</v>
      </c>
      <c r="AE243" s="27">
        <f t="shared" si="90"/>
        <v>1762330.1281960479</v>
      </c>
      <c r="AF243" s="50"/>
      <c r="AG243" t="str">
        <f t="shared" si="91"/>
        <v>5307900</v>
      </c>
    </row>
    <row r="244" spans="1:33" x14ac:dyDescent="0.25">
      <c r="A244" s="7" t="s">
        <v>210</v>
      </c>
      <c r="B244" s="2" t="s">
        <v>1119</v>
      </c>
      <c r="C244" s="4" t="s">
        <v>1118</v>
      </c>
      <c r="D244" s="30">
        <f>_xlfn.IFNA(VLOOKUP(A244,'Prior Year data'!$A$1:$V$318,13,FALSE),0)</f>
        <v>1227649.8094495081</v>
      </c>
      <c r="E244">
        <f>VLOOKUP(A244,'Basic HH'!$B$1:$Y$318,23,FALSE)</f>
        <v>606828.84284370905</v>
      </c>
      <c r="F244">
        <f>VLOOKUP(A244,'Conc. HH'!$B$1:$Y$318,23,FALSE)</f>
        <v>0</v>
      </c>
      <c r="G244">
        <f>VLOOKUP(A244,'Targeted HH'!$B$1:$Y$318,23,FALSE)</f>
        <v>293472.18057963764</v>
      </c>
      <c r="H244">
        <f>VLOOKUP(A244,'EFIG HH'!$B$1:$Y$318,23,FALSE)</f>
        <v>389430.1804247743</v>
      </c>
      <c r="I244">
        <f t="shared" si="69"/>
        <v>1289731.203848121</v>
      </c>
      <c r="J244">
        <f t="shared" si="70"/>
        <v>1289731.203848121</v>
      </c>
      <c r="K244" s="43">
        <f t="shared" si="71"/>
        <v>1166722.3745816464</v>
      </c>
      <c r="L244">
        <f t="shared" si="72"/>
        <v>60927.434867861681</v>
      </c>
      <c r="M244">
        <f t="shared" si="73"/>
        <v>0</v>
      </c>
      <c r="N244" s="43">
        <f t="shared" si="74"/>
        <v>1227649.8094495081</v>
      </c>
      <c r="O244">
        <f t="shared" si="75"/>
        <v>0</v>
      </c>
      <c r="P244">
        <f t="shared" si="76"/>
        <v>0</v>
      </c>
      <c r="Q244" s="43">
        <f t="shared" si="77"/>
        <v>1227649.8094495081</v>
      </c>
      <c r="R244">
        <f t="shared" si="78"/>
        <v>0</v>
      </c>
      <c r="S244">
        <f t="shared" si="79"/>
        <v>0</v>
      </c>
      <c r="T244" s="43">
        <f t="shared" si="80"/>
        <v>1227649.8094495081</v>
      </c>
      <c r="U244">
        <f t="shared" si="81"/>
        <v>0</v>
      </c>
      <c r="V244">
        <f t="shared" si="82"/>
        <v>0</v>
      </c>
      <c r="W244" s="43">
        <f t="shared" si="83"/>
        <v>1227649.8094495081</v>
      </c>
      <c r="X244" s="43">
        <f t="shared" si="84"/>
        <v>62081.394398612902</v>
      </c>
      <c r="Y244" s="27">
        <f t="shared" si="85"/>
        <v>9642.1900256574809</v>
      </c>
      <c r="Z244" s="27">
        <f t="shared" si="86"/>
        <v>1218007.6194238507</v>
      </c>
      <c r="AA244">
        <f t="shared" si="87"/>
        <v>0</v>
      </c>
      <c r="AB244" s="27">
        <f t="shared" si="88"/>
        <v>1218007.6194238507</v>
      </c>
      <c r="AD244" s="27">
        <f t="shared" si="89"/>
        <v>0</v>
      </c>
      <c r="AE244" s="27">
        <f t="shared" si="90"/>
        <v>1218007.6194238507</v>
      </c>
      <c r="AF244" s="50"/>
      <c r="AG244" t="str">
        <f t="shared" si="91"/>
        <v>5307920</v>
      </c>
    </row>
    <row r="245" spans="1:33" x14ac:dyDescent="0.25">
      <c r="A245" s="7" t="s">
        <v>301</v>
      </c>
      <c r="B245" s="2" t="s">
        <v>1121</v>
      </c>
      <c r="C245" s="4" t="s">
        <v>1120</v>
      </c>
      <c r="D245" s="30">
        <f>_xlfn.IFNA(VLOOKUP(A245,'Prior Year data'!$A$1:$V$318,13,FALSE),0)</f>
        <v>26034.100827105151</v>
      </c>
      <c r="E245">
        <f>VLOOKUP(A245,'Basic HH'!$B$1:$Y$318,23,FALSE)</f>
        <v>14950.855548323267</v>
      </c>
      <c r="F245">
        <f>VLOOKUP(A245,'Conc. HH'!$B$1:$Y$318,23,FALSE)</f>
        <v>0</v>
      </c>
      <c r="G245">
        <f>VLOOKUP(A245,'Targeted HH'!$B$1:$Y$318,23,FALSE)</f>
        <v>7230.4740142809214</v>
      </c>
      <c r="H245">
        <f>VLOOKUP(A245,'EFIG HH'!$B$1:$Y$318,23,FALSE)</f>
        <v>9594.6566191611073</v>
      </c>
      <c r="I245">
        <f t="shared" si="69"/>
        <v>31775.986181765293</v>
      </c>
      <c r="J245">
        <f t="shared" si="70"/>
        <v>31775.986181765293</v>
      </c>
      <c r="K245" s="43">
        <f t="shared" si="71"/>
        <v>28745.333866504327</v>
      </c>
      <c r="L245">
        <f t="shared" si="72"/>
        <v>0</v>
      </c>
      <c r="M245">
        <f t="shared" si="73"/>
        <v>2711.2330393991761</v>
      </c>
      <c r="N245" s="43">
        <f t="shared" si="74"/>
        <v>27767.70864613181</v>
      </c>
      <c r="O245">
        <f t="shared" si="75"/>
        <v>0</v>
      </c>
      <c r="P245">
        <f t="shared" si="76"/>
        <v>1733.6078190266599</v>
      </c>
      <c r="Q245" s="43">
        <f t="shared" si="77"/>
        <v>27767.70864613181</v>
      </c>
      <c r="R245">
        <f t="shared" si="78"/>
        <v>0</v>
      </c>
      <c r="S245">
        <f t="shared" si="79"/>
        <v>1733.6078190266599</v>
      </c>
      <c r="T245" s="43">
        <f t="shared" si="80"/>
        <v>27767.70864613181</v>
      </c>
      <c r="U245">
        <f t="shared" si="81"/>
        <v>0</v>
      </c>
      <c r="V245">
        <f t="shared" si="82"/>
        <v>1733.6078190266599</v>
      </c>
      <c r="W245" s="43">
        <f t="shared" si="83"/>
        <v>27767.70864613181</v>
      </c>
      <c r="X245" s="43">
        <f t="shared" si="84"/>
        <v>4008.2775356334823</v>
      </c>
      <c r="Y245" s="27">
        <f t="shared" si="85"/>
        <v>218.09275029591166</v>
      </c>
      <c r="Z245" s="27">
        <f t="shared" si="86"/>
        <v>27549.615895835897</v>
      </c>
      <c r="AA245">
        <f t="shared" si="87"/>
        <v>0</v>
      </c>
      <c r="AB245" s="27">
        <f t="shared" si="88"/>
        <v>27549.615895835897</v>
      </c>
      <c r="AD245" s="27">
        <f t="shared" si="89"/>
        <v>0</v>
      </c>
      <c r="AE245" s="27">
        <f t="shared" si="90"/>
        <v>27549.615895835897</v>
      </c>
      <c r="AF245" s="50"/>
      <c r="AG245" t="str">
        <f t="shared" si="91"/>
        <v>5307950</v>
      </c>
    </row>
    <row r="246" spans="1:33" x14ac:dyDescent="0.25">
      <c r="A246" s="7" t="s">
        <v>212</v>
      </c>
      <c r="B246" s="2" t="s">
        <v>1123</v>
      </c>
      <c r="C246" s="4" t="s">
        <v>1122</v>
      </c>
      <c r="D246" s="30">
        <f>_xlfn.IFNA(VLOOKUP(A246,'Prior Year data'!$A$1:$V$318,13,FALSE),0)</f>
        <v>0</v>
      </c>
      <c r="E246">
        <f>VLOOKUP(A246,'Basic HH'!$B$1:$Y$318,23,FALSE)</f>
        <v>0</v>
      </c>
      <c r="F246">
        <f>VLOOKUP(A246,'Conc. HH'!$B$1:$Y$318,23,FALSE)</f>
        <v>0</v>
      </c>
      <c r="G246">
        <f>VLOOKUP(A246,'Targeted HH'!$B$1:$Y$318,23,FALSE)</f>
        <v>0</v>
      </c>
      <c r="H246">
        <f>VLOOKUP(A246,'EFIG HH'!$B$1:$Y$318,23,FALSE)</f>
        <v>0</v>
      </c>
      <c r="I246">
        <f t="shared" si="69"/>
        <v>0</v>
      </c>
      <c r="J246">
        <f t="shared" si="70"/>
        <v>0</v>
      </c>
      <c r="K246" s="43">
        <f t="shared" si="71"/>
        <v>0</v>
      </c>
      <c r="L246">
        <f t="shared" si="72"/>
        <v>0</v>
      </c>
      <c r="M246">
        <f t="shared" si="73"/>
        <v>0</v>
      </c>
      <c r="N246" s="43">
        <f t="shared" si="74"/>
        <v>0</v>
      </c>
      <c r="O246">
        <f t="shared" si="75"/>
        <v>0</v>
      </c>
      <c r="P246">
        <f t="shared" si="76"/>
        <v>0</v>
      </c>
      <c r="Q246" s="43">
        <f t="shared" si="77"/>
        <v>0</v>
      </c>
      <c r="R246">
        <f t="shared" si="78"/>
        <v>0</v>
      </c>
      <c r="S246">
        <f t="shared" si="79"/>
        <v>0</v>
      </c>
      <c r="T246" s="43">
        <f t="shared" si="80"/>
        <v>0</v>
      </c>
      <c r="U246">
        <f t="shared" si="81"/>
        <v>0</v>
      </c>
      <c r="V246">
        <f t="shared" si="82"/>
        <v>0</v>
      </c>
      <c r="W246" s="43">
        <f t="shared" si="83"/>
        <v>0</v>
      </c>
      <c r="X246" s="43">
        <f t="shared" si="84"/>
        <v>0</v>
      </c>
      <c r="Y246" s="27">
        <f t="shared" si="85"/>
        <v>0</v>
      </c>
      <c r="Z246" s="27">
        <f t="shared" si="86"/>
        <v>0</v>
      </c>
      <c r="AA246">
        <f t="shared" si="87"/>
        <v>0</v>
      </c>
      <c r="AB246" s="27">
        <f t="shared" si="88"/>
        <v>0</v>
      </c>
      <c r="AD246" s="27">
        <f t="shared" si="89"/>
        <v>0</v>
      </c>
      <c r="AE246" s="27">
        <f t="shared" si="90"/>
        <v>0</v>
      </c>
      <c r="AF246" s="50"/>
      <c r="AG246" t="str">
        <f t="shared" si="91"/>
        <v>5307980</v>
      </c>
    </row>
    <row r="247" spans="1:33" x14ac:dyDescent="0.25">
      <c r="A247" s="7" t="s">
        <v>214</v>
      </c>
      <c r="B247" s="2" t="s">
        <v>1125</v>
      </c>
      <c r="C247" s="4" t="s">
        <v>1124</v>
      </c>
      <c r="D247" s="30">
        <f>_xlfn.IFNA(VLOOKUP(A247,'Prior Year data'!$A$1:$V$318,13,FALSE),0)</f>
        <v>935719.23640518694</v>
      </c>
      <c r="E247">
        <f>VLOOKUP(A247,'Basic HH'!$B$1:$Y$318,23,FALSE)</f>
        <v>490739.84682143421</v>
      </c>
      <c r="F247">
        <f>VLOOKUP(A247,'Conc. HH'!$B$1:$Y$318,23,FALSE)</f>
        <v>0</v>
      </c>
      <c r="G247">
        <f>VLOOKUP(A247,'Targeted HH'!$B$1:$Y$318,23,FALSE)</f>
        <v>237329.6764687502</v>
      </c>
      <c r="H247">
        <f>VLOOKUP(A247,'EFIG HH'!$B$1:$Y$318,23,FALSE)</f>
        <v>314930.49373481754</v>
      </c>
      <c r="I247">
        <f t="shared" si="69"/>
        <v>1043000.017025002</v>
      </c>
      <c r="J247">
        <f t="shared" si="70"/>
        <v>1043000.017025002</v>
      </c>
      <c r="K247" s="43">
        <f t="shared" si="71"/>
        <v>943523.31161820097</v>
      </c>
      <c r="L247">
        <f t="shared" si="72"/>
        <v>0</v>
      </c>
      <c r="M247">
        <f t="shared" si="73"/>
        <v>7804.0752130140318</v>
      </c>
      <c r="N247" s="43">
        <f t="shared" si="74"/>
        <v>940709.29281603359</v>
      </c>
      <c r="O247">
        <f t="shared" si="75"/>
        <v>0</v>
      </c>
      <c r="P247">
        <f t="shared" si="76"/>
        <v>4990.0564108466497</v>
      </c>
      <c r="Q247" s="43">
        <f t="shared" si="77"/>
        <v>940709.29281603359</v>
      </c>
      <c r="R247">
        <f t="shared" si="78"/>
        <v>0</v>
      </c>
      <c r="S247">
        <f t="shared" si="79"/>
        <v>4990.0564108466497</v>
      </c>
      <c r="T247" s="43">
        <f t="shared" si="80"/>
        <v>940709.29281603359</v>
      </c>
      <c r="U247">
        <f t="shared" si="81"/>
        <v>0</v>
      </c>
      <c r="V247">
        <f t="shared" si="82"/>
        <v>4990.0564108466497</v>
      </c>
      <c r="W247" s="43">
        <f t="shared" si="83"/>
        <v>940709.29281603359</v>
      </c>
      <c r="X247" s="43">
        <f t="shared" si="84"/>
        <v>102290.72420896846</v>
      </c>
      <c r="Y247" s="27">
        <f t="shared" si="85"/>
        <v>7388.5058185292864</v>
      </c>
      <c r="Z247" s="27">
        <f t="shared" si="86"/>
        <v>933320.7869975043</v>
      </c>
      <c r="AA247">
        <f t="shared" si="87"/>
        <v>0</v>
      </c>
      <c r="AB247" s="27">
        <f t="shared" si="88"/>
        <v>933320.7869975043</v>
      </c>
      <c r="AD247" s="27">
        <f t="shared" si="89"/>
        <v>0</v>
      </c>
      <c r="AE247" s="27">
        <f t="shared" si="90"/>
        <v>933320.7869975043</v>
      </c>
      <c r="AF247" s="50"/>
      <c r="AG247" t="str">
        <f t="shared" si="91"/>
        <v>5308020</v>
      </c>
    </row>
    <row r="248" spans="1:33" x14ac:dyDescent="0.25">
      <c r="A248" s="7" t="s">
        <v>216</v>
      </c>
      <c r="B248" s="2" t="s">
        <v>1127</v>
      </c>
      <c r="C248" s="8" t="s">
        <v>1126</v>
      </c>
      <c r="D248" s="30">
        <f>_xlfn.IFNA(VLOOKUP(A248,'Prior Year data'!$A$1:$V$318,13,FALSE),0)</f>
        <v>229383.32106980699</v>
      </c>
      <c r="E248">
        <f>VLOOKUP(A248,'Basic HH'!$B$1:$Y$318,23,FALSE)</f>
        <v>196480.42371074512</v>
      </c>
      <c r="F248">
        <f>VLOOKUP(A248,'Conc. HH'!$B$1:$Y$318,23,FALSE)</f>
        <v>0</v>
      </c>
      <c r="G248">
        <f>VLOOKUP(A248,'Targeted HH'!$B$1:$Y$318,23,FALSE)</f>
        <v>0</v>
      </c>
      <c r="H248">
        <f>VLOOKUP(A248,'EFIG HH'!$B$1:$Y$318,23,FALSE)</f>
        <v>0</v>
      </c>
      <c r="I248">
        <f t="shared" si="69"/>
        <v>196480.42371074512</v>
      </c>
      <c r="J248">
        <f t="shared" si="70"/>
        <v>0</v>
      </c>
      <c r="K248" s="43">
        <f t="shared" si="71"/>
        <v>196480.42371074512</v>
      </c>
      <c r="L248">
        <f t="shared" si="72"/>
        <v>0</v>
      </c>
      <c r="M248">
        <f t="shared" si="73"/>
        <v>0</v>
      </c>
      <c r="N248" s="43">
        <f t="shared" si="74"/>
        <v>196480.42371074512</v>
      </c>
      <c r="O248">
        <f t="shared" si="75"/>
        <v>0</v>
      </c>
      <c r="P248">
        <f t="shared" si="76"/>
        <v>0</v>
      </c>
      <c r="Q248" s="43">
        <f t="shared" si="77"/>
        <v>196480.42371074512</v>
      </c>
      <c r="R248">
        <f t="shared" si="78"/>
        <v>0</v>
      </c>
      <c r="S248">
        <f t="shared" si="79"/>
        <v>0</v>
      </c>
      <c r="T248" s="43">
        <f t="shared" si="80"/>
        <v>196480.42371074512</v>
      </c>
      <c r="U248">
        <f t="shared" si="81"/>
        <v>0</v>
      </c>
      <c r="V248">
        <f t="shared" si="82"/>
        <v>0</v>
      </c>
      <c r="W248" s="43">
        <f t="shared" si="83"/>
        <v>196480.42371074512</v>
      </c>
      <c r="X248" s="43">
        <f t="shared" si="84"/>
        <v>0</v>
      </c>
      <c r="Y248" s="27">
        <f t="shared" si="85"/>
        <v>1543.19380588689</v>
      </c>
      <c r="Z248" s="27">
        <f t="shared" si="86"/>
        <v>194937.22990485822</v>
      </c>
      <c r="AA248">
        <f t="shared" si="87"/>
        <v>0</v>
      </c>
      <c r="AB248" s="27">
        <f t="shared" si="88"/>
        <v>194937.22990485822</v>
      </c>
      <c r="AD248" s="27">
        <f t="shared" si="89"/>
        <v>0</v>
      </c>
      <c r="AE248" s="27">
        <f t="shared" si="90"/>
        <v>194937.22990485822</v>
      </c>
      <c r="AF248" s="50"/>
      <c r="AG248" t="str">
        <f t="shared" si="91"/>
        <v>5308040</v>
      </c>
    </row>
    <row r="249" spans="1:33" x14ac:dyDescent="0.25">
      <c r="A249" s="7" t="s">
        <v>581</v>
      </c>
      <c r="B249" s="2" t="s">
        <v>1129</v>
      </c>
      <c r="C249" s="4" t="s">
        <v>1128</v>
      </c>
      <c r="D249" s="30">
        <f>_xlfn.IFNA(VLOOKUP(A249,'Prior Year data'!$A$1:$V$318,13,FALSE),0)</f>
        <v>495053.71148906497</v>
      </c>
      <c r="E249">
        <f>VLOOKUP(A249,'Basic HH'!$B$1:$Y$318,23,FALSE)</f>
        <v>160329.22056582788</v>
      </c>
      <c r="F249">
        <f>VLOOKUP(A249,'Conc. HH'!$B$1:$Y$318,23,FALSE)</f>
        <v>43134.799604976513</v>
      </c>
      <c r="G249">
        <f>VLOOKUP(A249,'Targeted HH'!$B$1:$Y$318,23,FALSE)</f>
        <v>134250.37800588721</v>
      </c>
      <c r="H249">
        <f>VLOOKUP(A249,'EFIG HH'!$B$1:$Y$318,23,FALSE)</f>
        <v>182106.64521504266</v>
      </c>
      <c r="I249">
        <f t="shared" si="69"/>
        <v>519821.04339173425</v>
      </c>
      <c r="J249">
        <f t="shared" si="70"/>
        <v>519821.04339173425</v>
      </c>
      <c r="K249" s="43">
        <f t="shared" si="71"/>
        <v>470242.82291842054</v>
      </c>
      <c r="L249">
        <f t="shared" si="72"/>
        <v>24810.888570644427</v>
      </c>
      <c r="M249">
        <f t="shared" si="73"/>
        <v>0</v>
      </c>
      <c r="N249" s="43">
        <f t="shared" si="74"/>
        <v>495053.71148906497</v>
      </c>
      <c r="O249">
        <f t="shared" si="75"/>
        <v>0</v>
      </c>
      <c r="P249">
        <f t="shared" si="76"/>
        <v>0</v>
      </c>
      <c r="Q249" s="43">
        <f t="shared" si="77"/>
        <v>495053.71148906497</v>
      </c>
      <c r="R249">
        <f t="shared" si="78"/>
        <v>0</v>
      </c>
      <c r="S249">
        <f t="shared" si="79"/>
        <v>0</v>
      </c>
      <c r="T249" s="43">
        <f t="shared" si="80"/>
        <v>495053.71148906497</v>
      </c>
      <c r="U249">
        <f t="shared" si="81"/>
        <v>0</v>
      </c>
      <c r="V249">
        <f t="shared" si="82"/>
        <v>0</v>
      </c>
      <c r="W249" s="43">
        <f t="shared" si="83"/>
        <v>495053.71148906497</v>
      </c>
      <c r="X249" s="43">
        <f t="shared" si="84"/>
        <v>24767.331902669277</v>
      </c>
      <c r="Y249" s="27">
        <f t="shared" si="85"/>
        <v>3888.2439620342748</v>
      </c>
      <c r="Z249" s="27">
        <f t="shared" si="86"/>
        <v>491165.46752703068</v>
      </c>
      <c r="AA249">
        <f t="shared" si="87"/>
        <v>0</v>
      </c>
      <c r="AB249" s="27">
        <f t="shared" si="88"/>
        <v>491165.46752703068</v>
      </c>
      <c r="AD249" s="27">
        <f t="shared" si="89"/>
        <v>0</v>
      </c>
      <c r="AE249" s="27">
        <f t="shared" si="90"/>
        <v>491165.46752703068</v>
      </c>
      <c r="AF249" s="50"/>
      <c r="AG249" t="str">
        <f t="shared" si="91"/>
        <v>5308070</v>
      </c>
    </row>
    <row r="250" spans="1:33" x14ac:dyDescent="0.25">
      <c r="A250" s="7" t="s">
        <v>583</v>
      </c>
      <c r="B250" s="2" t="s">
        <v>1131</v>
      </c>
      <c r="C250" s="4" t="s">
        <v>1130</v>
      </c>
      <c r="D250" s="30">
        <f>_xlfn.IFNA(VLOOKUP(A250,'Prior Year data'!$A$1:$V$318,13,FALSE),0)</f>
        <v>187234.79026388348</v>
      </c>
      <c r="E250">
        <f>VLOOKUP(A250,'Basic HH'!$B$1:$Y$318,23,FALSE)</f>
        <v>64113.321759909297</v>
      </c>
      <c r="F250">
        <f>VLOOKUP(A250,'Conc. HH'!$B$1:$Y$318,23,FALSE)</f>
        <v>16892.803642222745</v>
      </c>
      <c r="G250">
        <f>VLOOKUP(A250,'Targeted HH'!$B$1:$Y$318,23,FALSE)</f>
        <v>40487.947170901687</v>
      </c>
      <c r="H250">
        <f>VLOOKUP(A250,'EFIG HH'!$B$1:$Y$318,23,FALSE)</f>
        <v>55651.414060918665</v>
      </c>
      <c r="I250">
        <f t="shared" si="69"/>
        <v>177145.48663395242</v>
      </c>
      <c r="J250">
        <f t="shared" si="70"/>
        <v>0</v>
      </c>
      <c r="K250" s="43">
        <f t="shared" si="71"/>
        <v>177145.48663395242</v>
      </c>
      <c r="L250">
        <f t="shared" si="72"/>
        <v>0</v>
      </c>
      <c r="M250">
        <f t="shared" si="73"/>
        <v>0</v>
      </c>
      <c r="N250" s="43">
        <f t="shared" si="74"/>
        <v>177145.48663395242</v>
      </c>
      <c r="O250">
        <f t="shared" si="75"/>
        <v>0</v>
      </c>
      <c r="P250">
        <f t="shared" si="76"/>
        <v>0</v>
      </c>
      <c r="Q250" s="43">
        <f t="shared" si="77"/>
        <v>177145.48663395242</v>
      </c>
      <c r="R250">
        <f t="shared" si="78"/>
        <v>0</v>
      </c>
      <c r="S250">
        <f t="shared" si="79"/>
        <v>0</v>
      </c>
      <c r="T250" s="43">
        <f t="shared" si="80"/>
        <v>177145.48663395242</v>
      </c>
      <c r="U250">
        <f t="shared" si="81"/>
        <v>0</v>
      </c>
      <c r="V250">
        <f t="shared" si="82"/>
        <v>0</v>
      </c>
      <c r="W250" s="43">
        <f t="shared" si="83"/>
        <v>177145.48663395242</v>
      </c>
      <c r="X250" s="43">
        <f t="shared" si="84"/>
        <v>0</v>
      </c>
      <c r="Y250" s="27">
        <f t="shared" si="85"/>
        <v>1391.3336125373198</v>
      </c>
      <c r="Z250" s="27">
        <f t="shared" si="86"/>
        <v>175754.15302141508</v>
      </c>
      <c r="AA250">
        <f t="shared" si="87"/>
        <v>0</v>
      </c>
      <c r="AB250" s="27">
        <f t="shared" si="88"/>
        <v>175754.15302141508</v>
      </c>
      <c r="AD250" s="27">
        <f t="shared" si="89"/>
        <v>0</v>
      </c>
      <c r="AE250" s="27">
        <f t="shared" si="90"/>
        <v>175754.15302141508</v>
      </c>
      <c r="AF250" s="50"/>
      <c r="AG250" t="str">
        <f t="shared" si="91"/>
        <v>5308100</v>
      </c>
    </row>
    <row r="251" spans="1:33" x14ac:dyDescent="0.25">
      <c r="A251" s="7" t="s">
        <v>218</v>
      </c>
      <c r="B251" s="2" t="s">
        <v>1133</v>
      </c>
      <c r="C251" s="4" t="s">
        <v>1132</v>
      </c>
      <c r="D251" s="30">
        <f>_xlfn.IFNA(VLOOKUP(A251,'Prior Year data'!$A$1:$V$318,13,FALSE),0)</f>
        <v>1992945.6921315989</v>
      </c>
      <c r="E251">
        <f>VLOOKUP(A251,'Basic HH'!$B$1:$Y$318,23,FALSE)</f>
        <v>855716.61461873772</v>
      </c>
      <c r="F251">
        <f>VLOOKUP(A251,'Conc. HH'!$B$1:$Y$318,23,FALSE)</f>
        <v>0</v>
      </c>
      <c r="G251">
        <f>VLOOKUP(A251,'Targeted HH'!$B$1:$Y$318,23,FALSE)</f>
        <v>473808.70893582032</v>
      </c>
      <c r="H251">
        <f>VLOOKUP(A251,'EFIG HH'!$B$1:$Y$318,23,FALSE)</f>
        <v>628732.20433796907</v>
      </c>
      <c r="I251">
        <f t="shared" si="69"/>
        <v>1958257.5278925272</v>
      </c>
      <c r="J251">
        <f t="shared" si="70"/>
        <v>0</v>
      </c>
      <c r="K251" s="43">
        <f t="shared" si="71"/>
        <v>1958257.5278925272</v>
      </c>
      <c r="L251">
        <f t="shared" si="72"/>
        <v>0</v>
      </c>
      <c r="M251">
        <f t="shared" si="73"/>
        <v>0</v>
      </c>
      <c r="N251" s="43">
        <f t="shared" si="74"/>
        <v>1958257.5278925272</v>
      </c>
      <c r="O251">
        <f t="shared" si="75"/>
        <v>0</v>
      </c>
      <c r="P251">
        <f t="shared" si="76"/>
        <v>0</v>
      </c>
      <c r="Q251" s="43">
        <f t="shared" si="77"/>
        <v>1958257.5278925272</v>
      </c>
      <c r="R251">
        <f t="shared" si="78"/>
        <v>0</v>
      </c>
      <c r="S251">
        <f t="shared" si="79"/>
        <v>0</v>
      </c>
      <c r="T251" s="43">
        <f t="shared" si="80"/>
        <v>1958257.5278925272</v>
      </c>
      <c r="U251">
        <f t="shared" si="81"/>
        <v>0</v>
      </c>
      <c r="V251">
        <f t="shared" si="82"/>
        <v>0</v>
      </c>
      <c r="W251" s="43">
        <f t="shared" si="83"/>
        <v>1958257.5278925272</v>
      </c>
      <c r="X251" s="43">
        <f t="shared" si="84"/>
        <v>0</v>
      </c>
      <c r="Y251" s="27">
        <f t="shared" si="85"/>
        <v>15380.518986583684</v>
      </c>
      <c r="Z251" s="27">
        <f t="shared" si="86"/>
        <v>1942877.0089059435</v>
      </c>
      <c r="AA251">
        <f t="shared" si="87"/>
        <v>0</v>
      </c>
      <c r="AB251" s="27">
        <f t="shared" si="88"/>
        <v>1942877.0089059435</v>
      </c>
      <c r="AD251" s="27">
        <f t="shared" si="89"/>
        <v>0</v>
      </c>
      <c r="AE251" s="27">
        <f t="shared" si="90"/>
        <v>1942877.0089059435</v>
      </c>
      <c r="AF251" s="50"/>
      <c r="AG251" t="str">
        <f t="shared" si="91"/>
        <v>5308160</v>
      </c>
    </row>
    <row r="252" spans="1:33" x14ac:dyDescent="0.25">
      <c r="A252" s="7" t="s">
        <v>220</v>
      </c>
      <c r="B252" s="2" t="s">
        <v>1135</v>
      </c>
      <c r="C252" s="4" t="s">
        <v>1134</v>
      </c>
      <c r="D252" s="30">
        <f>_xlfn.IFNA(VLOOKUP(A252,'Prior Year data'!$A$1:$V$318,13,FALSE),0)</f>
        <v>261013.59712384973</v>
      </c>
      <c r="E252">
        <f>VLOOKUP(A252,'Basic HH'!$B$1:$Y$318,23,FALSE)</f>
        <v>124883.61693305318</v>
      </c>
      <c r="F252">
        <f>VLOOKUP(A252,'Conc. HH'!$B$1:$Y$318,23,FALSE)</f>
        <v>0</v>
      </c>
      <c r="G252">
        <f>VLOOKUP(A252,'Targeted HH'!$B$1:$Y$318,23,FALSE)</f>
        <v>60395.72411928769</v>
      </c>
      <c r="H252">
        <f>VLOOKUP(A252,'EFIG HH'!$B$1:$Y$318,23,FALSE)</f>
        <v>80143.602348286906</v>
      </c>
      <c r="I252">
        <f t="shared" si="69"/>
        <v>265422.94340062776</v>
      </c>
      <c r="J252">
        <f t="shared" si="70"/>
        <v>265422.94340062776</v>
      </c>
      <c r="K252" s="43">
        <f t="shared" si="71"/>
        <v>240108.08288491852</v>
      </c>
      <c r="L252">
        <f t="shared" si="72"/>
        <v>20905.51423893121</v>
      </c>
      <c r="M252">
        <f t="shared" si="73"/>
        <v>0</v>
      </c>
      <c r="N252" s="43">
        <f t="shared" si="74"/>
        <v>261013.59712384973</v>
      </c>
      <c r="O252">
        <f t="shared" si="75"/>
        <v>0</v>
      </c>
      <c r="P252">
        <f t="shared" si="76"/>
        <v>0</v>
      </c>
      <c r="Q252" s="43">
        <f t="shared" si="77"/>
        <v>261013.59712384973</v>
      </c>
      <c r="R252">
        <f t="shared" si="78"/>
        <v>0</v>
      </c>
      <c r="S252">
        <f t="shared" si="79"/>
        <v>0</v>
      </c>
      <c r="T252" s="43">
        <f t="shared" si="80"/>
        <v>261013.59712384973</v>
      </c>
      <c r="U252">
        <f t="shared" si="81"/>
        <v>0</v>
      </c>
      <c r="V252">
        <f t="shared" si="82"/>
        <v>0</v>
      </c>
      <c r="W252" s="43">
        <f t="shared" si="83"/>
        <v>261013.59712384973</v>
      </c>
      <c r="X252" s="43">
        <f t="shared" si="84"/>
        <v>4409.3462767780293</v>
      </c>
      <c r="Y252" s="27">
        <f t="shared" si="85"/>
        <v>2050.0493572162077</v>
      </c>
      <c r="Z252" s="27">
        <f t="shared" si="86"/>
        <v>258963.54776663354</v>
      </c>
      <c r="AA252">
        <f t="shared" si="87"/>
        <v>0</v>
      </c>
      <c r="AB252" s="27">
        <f t="shared" si="88"/>
        <v>258963.54776663354</v>
      </c>
      <c r="AD252" s="27">
        <f t="shared" si="89"/>
        <v>0</v>
      </c>
      <c r="AE252" s="27">
        <f t="shared" si="90"/>
        <v>258963.54776663354</v>
      </c>
      <c r="AF252" s="50"/>
      <c r="AG252" t="str">
        <f t="shared" si="91"/>
        <v>5308190</v>
      </c>
    </row>
    <row r="253" spans="1:33" x14ac:dyDescent="0.25">
      <c r="A253" s="7" t="s">
        <v>585</v>
      </c>
      <c r="B253" s="2" t="s">
        <v>1137</v>
      </c>
      <c r="C253" s="4" t="s">
        <v>1136</v>
      </c>
      <c r="D253" s="30">
        <f>_xlfn.IFNA(VLOOKUP(A253,'Prior Year data'!$A$1:$V$318,13,FALSE),0)</f>
        <v>135167.1503888678</v>
      </c>
      <c r="E253">
        <f>VLOOKUP(A253,'Basic HH'!$B$1:$Y$318,23,FALSE)</f>
        <v>65959.656830837921</v>
      </c>
      <c r="F253">
        <f>VLOOKUP(A253,'Conc. HH'!$B$1:$Y$318,23,FALSE)</f>
        <v>17781.000338203889</v>
      </c>
      <c r="G253">
        <f>VLOOKUP(A253,'Targeted HH'!$B$1:$Y$318,23,FALSE)</f>
        <v>37832.519571323086</v>
      </c>
      <c r="H253">
        <f>VLOOKUP(A253,'EFIG HH'!$B$1:$Y$318,23,FALSE)</f>
        <v>50202.799098315671</v>
      </c>
      <c r="I253">
        <f t="shared" si="69"/>
        <v>171775.97583868058</v>
      </c>
      <c r="J253">
        <f t="shared" si="70"/>
        <v>171775.97583868058</v>
      </c>
      <c r="K253" s="43">
        <f t="shared" si="71"/>
        <v>155392.74682089945</v>
      </c>
      <c r="L253">
        <f t="shared" si="72"/>
        <v>0</v>
      </c>
      <c r="M253">
        <f t="shared" si="73"/>
        <v>20225.596432031656</v>
      </c>
      <c r="N253" s="43">
        <f t="shared" si="74"/>
        <v>148099.7355298404</v>
      </c>
      <c r="O253">
        <f t="shared" si="75"/>
        <v>0</v>
      </c>
      <c r="P253">
        <f t="shared" si="76"/>
        <v>12932.585140972602</v>
      </c>
      <c r="Q253" s="43">
        <f t="shared" si="77"/>
        <v>148099.7355298404</v>
      </c>
      <c r="R253">
        <f t="shared" si="78"/>
        <v>0</v>
      </c>
      <c r="S253">
        <f t="shared" si="79"/>
        <v>12932.585140972602</v>
      </c>
      <c r="T253" s="43">
        <f t="shared" si="80"/>
        <v>148099.7355298404</v>
      </c>
      <c r="U253">
        <f t="shared" si="81"/>
        <v>0</v>
      </c>
      <c r="V253">
        <f t="shared" si="82"/>
        <v>12932.585140972602</v>
      </c>
      <c r="W253" s="43">
        <f t="shared" si="83"/>
        <v>148099.7355298404</v>
      </c>
      <c r="X253" s="43">
        <f t="shared" si="84"/>
        <v>23676.240308840177</v>
      </c>
      <c r="Y253" s="27">
        <f t="shared" si="85"/>
        <v>1163.2028789778997</v>
      </c>
      <c r="Z253" s="27">
        <f t="shared" si="86"/>
        <v>146936.5326508625</v>
      </c>
      <c r="AA253">
        <f t="shared" si="87"/>
        <v>0</v>
      </c>
      <c r="AB253" s="27">
        <f t="shared" si="88"/>
        <v>146936.5326508625</v>
      </c>
      <c r="AD253" s="27">
        <f t="shared" si="89"/>
        <v>0</v>
      </c>
      <c r="AE253" s="27">
        <f t="shared" si="90"/>
        <v>146936.5326508625</v>
      </c>
      <c r="AF253" s="50"/>
      <c r="AG253" t="str">
        <f t="shared" si="91"/>
        <v>5308220</v>
      </c>
    </row>
    <row r="254" spans="1:33" x14ac:dyDescent="0.25">
      <c r="A254" s="7" t="s">
        <v>61</v>
      </c>
      <c r="B254" s="2" t="s">
        <v>1138</v>
      </c>
      <c r="C254" s="4" t="s">
        <v>32</v>
      </c>
      <c r="D254" s="30">
        <f>_xlfn.IFNA(VLOOKUP(A254,'Prior Year data'!$A$1:$V$318,13,FALSE),0)</f>
        <v>14298448.09104443</v>
      </c>
      <c r="E254">
        <f>VLOOKUP(A254,'Basic HH'!$B$1:$Y$318,23,FALSE)</f>
        <v>3752027.0343602463</v>
      </c>
      <c r="F254">
        <f>VLOOKUP(A254,'Conc. HH'!$B$1:$Y$318,23,FALSE)</f>
        <v>987961.23293807229</v>
      </c>
      <c r="G254">
        <f>VLOOKUP(A254,'Targeted HH'!$B$1:$Y$318,23,FALSE)</f>
        <v>3161725.5963413091</v>
      </c>
      <c r="H254">
        <f>VLOOKUP(A254,'EFIG HH'!$B$1:$Y$318,23,FALSE)</f>
        <v>4345755.2471574275</v>
      </c>
      <c r="I254">
        <f t="shared" si="69"/>
        <v>12247469.110797055</v>
      </c>
      <c r="J254">
        <f t="shared" si="70"/>
        <v>0</v>
      </c>
      <c r="K254" s="43">
        <f t="shared" si="71"/>
        <v>12247469.110797055</v>
      </c>
      <c r="L254">
        <f t="shared" si="72"/>
        <v>0</v>
      </c>
      <c r="M254">
        <f t="shared" si="73"/>
        <v>0</v>
      </c>
      <c r="N254" s="43">
        <f t="shared" si="74"/>
        <v>12247469.110797055</v>
      </c>
      <c r="O254">
        <f t="shared" si="75"/>
        <v>0</v>
      </c>
      <c r="P254">
        <f t="shared" si="76"/>
        <v>0</v>
      </c>
      <c r="Q254" s="43">
        <f t="shared" si="77"/>
        <v>12247469.110797055</v>
      </c>
      <c r="R254">
        <f t="shared" si="78"/>
        <v>0</v>
      </c>
      <c r="S254">
        <f t="shared" si="79"/>
        <v>0</v>
      </c>
      <c r="T254" s="43">
        <f t="shared" si="80"/>
        <v>12247469.110797055</v>
      </c>
      <c r="U254">
        <f t="shared" si="81"/>
        <v>0</v>
      </c>
      <c r="V254">
        <f t="shared" si="82"/>
        <v>0</v>
      </c>
      <c r="W254" s="43">
        <f t="shared" si="83"/>
        <v>12247469.110797055</v>
      </c>
      <c r="X254" s="43">
        <f t="shared" si="84"/>
        <v>0</v>
      </c>
      <c r="Y254" s="27">
        <f t="shared" si="85"/>
        <v>96193.901217342602</v>
      </c>
      <c r="Z254" s="27">
        <f t="shared" si="86"/>
        <v>12151275.209579712</v>
      </c>
      <c r="AA254">
        <f t="shared" si="87"/>
        <v>0</v>
      </c>
      <c r="AB254" s="27">
        <f t="shared" si="88"/>
        <v>12151275.209579712</v>
      </c>
      <c r="AD254" s="27">
        <f t="shared" si="89"/>
        <v>0</v>
      </c>
      <c r="AE254" s="27">
        <f t="shared" si="90"/>
        <v>12151275.209579712</v>
      </c>
      <c r="AF254" s="50"/>
      <c r="AG254" t="str">
        <f t="shared" si="91"/>
        <v>5308250</v>
      </c>
    </row>
    <row r="255" spans="1:33" x14ac:dyDescent="0.25">
      <c r="A255" s="7" t="s">
        <v>78</v>
      </c>
      <c r="B255" s="2" t="s">
        <v>1139</v>
      </c>
      <c r="C255" s="4" t="s">
        <v>35</v>
      </c>
      <c r="D255" s="30">
        <f>_xlfn.IFNA(VLOOKUP(A255,'Prior Year data'!$A$1:$V$318,13,FALSE),0)</f>
        <v>258827.14986875519</v>
      </c>
      <c r="E255">
        <f>VLOOKUP(A255,'Basic HH'!$B$1:$Y$318,23,FALSE)</f>
        <v>94816.857002686826</v>
      </c>
      <c r="F255">
        <f>VLOOKUP(A255,'Conc. HH'!$B$1:$Y$318,23,FALSE)</f>
        <v>0</v>
      </c>
      <c r="G255">
        <f>VLOOKUP(A255,'Targeted HH'!$B$1:$Y$318,23,FALSE)</f>
        <v>79888.948124508184</v>
      </c>
      <c r="H255">
        <f>VLOOKUP(A255,'EFIG HH'!$B$1:$Y$318,23,FALSE)</f>
        <v>109801.35731610731</v>
      </c>
      <c r="I255">
        <f t="shared" si="69"/>
        <v>284507.16244330234</v>
      </c>
      <c r="J255">
        <f t="shared" si="70"/>
        <v>284507.16244330234</v>
      </c>
      <c r="K255" s="43">
        <f t="shared" si="71"/>
        <v>257372.13394615625</v>
      </c>
      <c r="L255">
        <f t="shared" si="72"/>
        <v>1455.0159225989482</v>
      </c>
      <c r="M255">
        <f t="shared" si="73"/>
        <v>0</v>
      </c>
      <c r="N255" s="43">
        <f t="shared" si="74"/>
        <v>258827.14986875519</v>
      </c>
      <c r="O255">
        <f t="shared" si="75"/>
        <v>0</v>
      </c>
      <c r="P255">
        <f t="shared" si="76"/>
        <v>0</v>
      </c>
      <c r="Q255" s="43">
        <f t="shared" si="77"/>
        <v>258827.14986875519</v>
      </c>
      <c r="R255">
        <f t="shared" si="78"/>
        <v>0</v>
      </c>
      <c r="S255">
        <f t="shared" si="79"/>
        <v>0</v>
      </c>
      <c r="T255" s="43">
        <f t="shared" si="80"/>
        <v>258827.14986875519</v>
      </c>
      <c r="U255">
        <f t="shared" si="81"/>
        <v>0</v>
      </c>
      <c r="V255">
        <f t="shared" si="82"/>
        <v>0</v>
      </c>
      <c r="W255" s="43">
        <f t="shared" si="83"/>
        <v>258827.14986875519</v>
      </c>
      <c r="X255" s="43">
        <f t="shared" si="84"/>
        <v>25680.012574547145</v>
      </c>
      <c r="Y255" s="27">
        <f t="shared" si="85"/>
        <v>2032.8765936541358</v>
      </c>
      <c r="Z255" s="27">
        <f t="shared" si="86"/>
        <v>256794.27327510106</v>
      </c>
      <c r="AA255">
        <f t="shared" si="87"/>
        <v>0</v>
      </c>
      <c r="AB255" s="27">
        <f t="shared" si="88"/>
        <v>256794.27327510106</v>
      </c>
      <c r="AD255" s="27">
        <f t="shared" si="89"/>
        <v>0</v>
      </c>
      <c r="AE255" s="27">
        <f t="shared" si="90"/>
        <v>256794.27327510106</v>
      </c>
      <c r="AF255" s="50"/>
      <c r="AG255" t="str">
        <f t="shared" si="91"/>
        <v>5308260</v>
      </c>
    </row>
    <row r="256" spans="1:33" x14ac:dyDescent="0.25">
      <c r="A256" s="7" t="s">
        <v>587</v>
      </c>
      <c r="B256" s="2" t="s">
        <v>1141</v>
      </c>
      <c r="C256" s="4" t="s">
        <v>1140</v>
      </c>
      <c r="D256" s="30">
        <f>_xlfn.IFNA(VLOOKUP(A256,'Prior Year data'!$A$1:$V$318,13,FALSE),0)</f>
        <v>41642.674454752858</v>
      </c>
      <c r="E256">
        <f>VLOOKUP(A256,'Basic HH'!$B$1:$Y$318,23,FALSE)</f>
        <v>31660.63527880222</v>
      </c>
      <c r="F256">
        <f>VLOOKUP(A256,'Conc. HH'!$B$1:$Y$318,23,FALSE)</f>
        <v>8534.8801623378695</v>
      </c>
      <c r="G256">
        <f>VLOOKUP(A256,'Targeted HH'!$B$1:$Y$318,23,FALSE)</f>
        <v>22769.581415822227</v>
      </c>
      <c r="H256">
        <f>VLOOKUP(A256,'EFIG HH'!$B$1:$Y$318,23,FALSE)</f>
        <v>30214.660147502556</v>
      </c>
      <c r="I256">
        <f t="shared" si="69"/>
        <v>93179.757004464875</v>
      </c>
      <c r="J256">
        <f t="shared" si="70"/>
        <v>93179.757004464875</v>
      </c>
      <c r="K256" s="43">
        <f t="shared" si="71"/>
        <v>84292.685972721767</v>
      </c>
      <c r="L256">
        <f t="shared" si="72"/>
        <v>0</v>
      </c>
      <c r="M256">
        <f t="shared" si="73"/>
        <v>42650.011517968909</v>
      </c>
      <c r="N256" s="43">
        <f t="shared" si="74"/>
        <v>68913.806214608179</v>
      </c>
      <c r="O256">
        <f t="shared" si="75"/>
        <v>0</v>
      </c>
      <c r="P256">
        <f t="shared" si="76"/>
        <v>27271.131759855321</v>
      </c>
      <c r="Q256" s="43">
        <f t="shared" si="77"/>
        <v>68913.806214608179</v>
      </c>
      <c r="R256">
        <f t="shared" si="78"/>
        <v>0</v>
      </c>
      <c r="S256">
        <f t="shared" si="79"/>
        <v>27271.131759855321</v>
      </c>
      <c r="T256" s="43">
        <f t="shared" si="80"/>
        <v>68913.806214608179</v>
      </c>
      <c r="U256">
        <f t="shared" si="81"/>
        <v>0</v>
      </c>
      <c r="V256">
        <f t="shared" si="82"/>
        <v>27271.131759855321</v>
      </c>
      <c r="W256" s="43">
        <f t="shared" si="83"/>
        <v>68913.806214608179</v>
      </c>
      <c r="X256" s="43">
        <f t="shared" si="84"/>
        <v>24265.950789856695</v>
      </c>
      <c r="Y256" s="27">
        <f t="shared" si="85"/>
        <v>541.26185643326721</v>
      </c>
      <c r="Z256" s="27">
        <f t="shared" si="86"/>
        <v>68372.544358174913</v>
      </c>
      <c r="AA256">
        <f t="shared" si="87"/>
        <v>0</v>
      </c>
      <c r="AB256" s="27">
        <f t="shared" si="88"/>
        <v>68372.544358174913</v>
      </c>
      <c r="AD256" s="27">
        <f t="shared" si="89"/>
        <v>0</v>
      </c>
      <c r="AE256" s="27">
        <f t="shared" si="90"/>
        <v>68372.544358174913</v>
      </c>
      <c r="AF256" s="50"/>
      <c r="AG256" t="str">
        <f t="shared" si="91"/>
        <v>5308280</v>
      </c>
    </row>
    <row r="257" spans="1:33" x14ac:dyDescent="0.25">
      <c r="A257" s="7" t="s">
        <v>589</v>
      </c>
      <c r="B257" s="2" t="s">
        <v>1143</v>
      </c>
      <c r="C257" s="4" t="s">
        <v>1142</v>
      </c>
      <c r="D257" s="30">
        <f>_xlfn.IFNA(VLOOKUP(A257,'Prior Year data'!$A$1:$V$318,13,FALSE),0)</f>
        <v>39133.352837130289</v>
      </c>
      <c r="E257">
        <f>VLOOKUP(A257,'Basic HH'!$B$1:$Y$318,23,FALSE)</f>
        <v>17727.458534107795</v>
      </c>
      <c r="F257">
        <f>VLOOKUP(A257,'Conc. HH'!$B$1:$Y$318,23,FALSE)</f>
        <v>0</v>
      </c>
      <c r="G257">
        <f>VLOOKUP(A257,'Targeted HH'!$B$1:$Y$318,23,FALSE)</f>
        <v>8551.7104233574919</v>
      </c>
      <c r="H257">
        <f>VLOOKUP(A257,'EFIG HH'!$B$1:$Y$318,23,FALSE)</f>
        <v>11600.140865002646</v>
      </c>
      <c r="I257">
        <f t="shared" si="69"/>
        <v>37879.309822467927</v>
      </c>
      <c r="J257">
        <f t="shared" si="70"/>
        <v>0</v>
      </c>
      <c r="K257" s="43">
        <f t="shared" si="71"/>
        <v>37879.309822467927</v>
      </c>
      <c r="L257">
        <f t="shared" si="72"/>
        <v>0</v>
      </c>
      <c r="M257">
        <f t="shared" si="73"/>
        <v>0</v>
      </c>
      <c r="N257" s="43">
        <f t="shared" si="74"/>
        <v>37879.309822467927</v>
      </c>
      <c r="O257">
        <f t="shared" si="75"/>
        <v>0</v>
      </c>
      <c r="P257">
        <f t="shared" si="76"/>
        <v>0</v>
      </c>
      <c r="Q257" s="43">
        <f t="shared" si="77"/>
        <v>37879.309822467927</v>
      </c>
      <c r="R257">
        <f t="shared" si="78"/>
        <v>0</v>
      </c>
      <c r="S257">
        <f t="shared" si="79"/>
        <v>0</v>
      </c>
      <c r="T257" s="43">
        <f t="shared" si="80"/>
        <v>37879.309822467927</v>
      </c>
      <c r="U257">
        <f t="shared" si="81"/>
        <v>0</v>
      </c>
      <c r="V257">
        <f t="shared" si="82"/>
        <v>0</v>
      </c>
      <c r="W257" s="43">
        <f t="shared" si="83"/>
        <v>37879.309822467927</v>
      </c>
      <c r="X257" s="43">
        <f t="shared" si="84"/>
        <v>0</v>
      </c>
      <c r="Y257" s="27">
        <f t="shared" si="85"/>
        <v>297.51114734646285</v>
      </c>
      <c r="Z257" s="27">
        <f t="shared" si="86"/>
        <v>37581.798675121463</v>
      </c>
      <c r="AA257">
        <f t="shared" si="87"/>
        <v>0</v>
      </c>
      <c r="AB257" s="27">
        <f t="shared" si="88"/>
        <v>37581.798675121463</v>
      </c>
      <c r="AD257" s="27">
        <f t="shared" si="89"/>
        <v>0</v>
      </c>
      <c r="AE257" s="27">
        <f t="shared" si="90"/>
        <v>37581.798675121463</v>
      </c>
      <c r="AF257" s="50"/>
      <c r="AG257" t="str">
        <f t="shared" si="91"/>
        <v>5308310</v>
      </c>
    </row>
    <row r="258" spans="1:33" x14ac:dyDescent="0.25">
      <c r="A258" s="7" t="s">
        <v>222</v>
      </c>
      <c r="B258" s="2" t="s">
        <v>1145</v>
      </c>
      <c r="C258" s="4" t="s">
        <v>1144</v>
      </c>
      <c r="D258" s="30">
        <f>_xlfn.IFNA(VLOOKUP(A258,'Prior Year data'!$A$1:$V$318,13,FALSE),0)</f>
        <v>708339.70322688192</v>
      </c>
      <c r="E258">
        <f>VLOOKUP(A258,'Basic HH'!$B$1:$Y$318,23,FALSE)</f>
        <v>356182.14688652498</v>
      </c>
      <c r="F258">
        <f>VLOOKUP(A258,'Conc. HH'!$B$1:$Y$318,23,FALSE)</f>
        <v>0</v>
      </c>
      <c r="G258">
        <f>VLOOKUP(A258,'Targeted HH'!$B$1:$Y$318,23,FALSE)</f>
        <v>172255.41034022201</v>
      </c>
      <c r="H258">
        <f>VLOOKUP(A258,'EFIG HH'!$B$1:$Y$318,23,FALSE)</f>
        <v>228578.58416236754</v>
      </c>
      <c r="I258">
        <f t="shared" si="69"/>
        <v>757016.14138911455</v>
      </c>
      <c r="J258">
        <f t="shared" si="70"/>
        <v>757016.14138911455</v>
      </c>
      <c r="K258" s="43">
        <f t="shared" si="71"/>
        <v>684815.3068196621</v>
      </c>
      <c r="L258">
        <f t="shared" si="72"/>
        <v>23524.396407219814</v>
      </c>
      <c r="M258">
        <f t="shared" si="73"/>
        <v>0</v>
      </c>
      <c r="N258" s="43">
        <f t="shared" si="74"/>
        <v>708339.70322688192</v>
      </c>
      <c r="O258">
        <f t="shared" si="75"/>
        <v>0</v>
      </c>
      <c r="P258">
        <f t="shared" si="76"/>
        <v>0</v>
      </c>
      <c r="Q258" s="43">
        <f t="shared" si="77"/>
        <v>708339.70322688192</v>
      </c>
      <c r="R258">
        <f t="shared" si="78"/>
        <v>0</v>
      </c>
      <c r="S258">
        <f t="shared" si="79"/>
        <v>0</v>
      </c>
      <c r="T258" s="43">
        <f t="shared" si="80"/>
        <v>708339.70322688192</v>
      </c>
      <c r="U258">
        <f t="shared" si="81"/>
        <v>0</v>
      </c>
      <c r="V258">
        <f t="shared" si="82"/>
        <v>0</v>
      </c>
      <c r="W258" s="43">
        <f t="shared" si="83"/>
        <v>708339.70322688192</v>
      </c>
      <c r="X258" s="43">
        <f t="shared" si="84"/>
        <v>48676.438162232633</v>
      </c>
      <c r="Y258" s="27">
        <f t="shared" si="85"/>
        <v>5563.4318261280423</v>
      </c>
      <c r="Z258" s="27">
        <f t="shared" si="86"/>
        <v>702776.27140075387</v>
      </c>
      <c r="AA258">
        <f t="shared" si="87"/>
        <v>0</v>
      </c>
      <c r="AB258" s="27">
        <f t="shared" si="88"/>
        <v>702776.27140075387</v>
      </c>
      <c r="AD258" s="27">
        <f t="shared" si="89"/>
        <v>0</v>
      </c>
      <c r="AE258" s="27">
        <f t="shared" si="90"/>
        <v>702776.27140075387</v>
      </c>
      <c r="AF258" s="50"/>
      <c r="AG258" t="str">
        <f t="shared" si="91"/>
        <v>5308340</v>
      </c>
    </row>
    <row r="259" spans="1:33" x14ac:dyDescent="0.25">
      <c r="A259" s="7" t="s">
        <v>224</v>
      </c>
      <c r="B259" s="2" t="s">
        <v>1147</v>
      </c>
      <c r="C259" s="4" t="s">
        <v>1146</v>
      </c>
      <c r="D259" s="30">
        <f>_xlfn.IFNA(VLOOKUP(A259,'Prior Year data'!$A$1:$V$318,13,FALSE),0)</f>
        <v>0</v>
      </c>
      <c r="E259">
        <f>VLOOKUP(A259,'Basic HH'!$B$1:$Y$318,23,FALSE)</f>
        <v>0</v>
      </c>
      <c r="F259">
        <f>VLOOKUP(A259,'Conc. HH'!$B$1:$Y$318,23,FALSE)</f>
        <v>0</v>
      </c>
      <c r="G259">
        <f>VLOOKUP(A259,'Targeted HH'!$B$1:$Y$318,23,FALSE)</f>
        <v>0</v>
      </c>
      <c r="H259">
        <f>VLOOKUP(A259,'EFIG HH'!$B$1:$Y$318,23,FALSE)</f>
        <v>0</v>
      </c>
      <c r="I259">
        <f t="shared" si="69"/>
        <v>0</v>
      </c>
      <c r="J259">
        <f t="shared" si="70"/>
        <v>0</v>
      </c>
      <c r="K259" s="43">
        <f t="shared" si="71"/>
        <v>0</v>
      </c>
      <c r="L259">
        <f t="shared" si="72"/>
        <v>0</v>
      </c>
      <c r="M259">
        <f t="shared" si="73"/>
        <v>0</v>
      </c>
      <c r="N259" s="43">
        <f t="shared" si="74"/>
        <v>0</v>
      </c>
      <c r="O259">
        <f t="shared" si="75"/>
        <v>0</v>
      </c>
      <c r="P259">
        <f t="shared" si="76"/>
        <v>0</v>
      </c>
      <c r="Q259" s="43">
        <f t="shared" si="77"/>
        <v>0</v>
      </c>
      <c r="R259">
        <f t="shared" si="78"/>
        <v>0</v>
      </c>
      <c r="S259">
        <f t="shared" si="79"/>
        <v>0</v>
      </c>
      <c r="T259" s="43">
        <f t="shared" si="80"/>
        <v>0</v>
      </c>
      <c r="U259">
        <f t="shared" si="81"/>
        <v>0</v>
      </c>
      <c r="V259">
        <f t="shared" si="82"/>
        <v>0</v>
      </c>
      <c r="W259" s="43">
        <f t="shared" si="83"/>
        <v>0</v>
      </c>
      <c r="X259" s="43">
        <f t="shared" si="84"/>
        <v>0</v>
      </c>
      <c r="Y259" s="27">
        <f t="shared" si="85"/>
        <v>0</v>
      </c>
      <c r="Z259" s="27">
        <f t="shared" si="86"/>
        <v>0</v>
      </c>
      <c r="AA259">
        <f t="shared" si="87"/>
        <v>0</v>
      </c>
      <c r="AB259" s="27">
        <f t="shared" si="88"/>
        <v>0</v>
      </c>
      <c r="AD259" s="27">
        <f t="shared" si="89"/>
        <v>0</v>
      </c>
      <c r="AE259" s="27">
        <f t="shared" si="90"/>
        <v>0</v>
      </c>
      <c r="AF259" s="50"/>
      <c r="AG259" t="str">
        <f t="shared" si="91"/>
        <v>5308370</v>
      </c>
    </row>
    <row r="260" spans="1:33" x14ac:dyDescent="0.25">
      <c r="A260" s="7" t="s">
        <v>591</v>
      </c>
      <c r="B260" s="2" t="s">
        <v>1149</v>
      </c>
      <c r="C260" s="4" t="s">
        <v>1148</v>
      </c>
      <c r="D260" s="30">
        <f>_xlfn.IFNA(VLOOKUP(A260,'Prior Year data'!$A$1:$V$318,13,FALSE),0)</f>
        <v>3205.5697271890749</v>
      </c>
      <c r="E260">
        <f>VLOOKUP(A260,'Basic HH'!$B$1:$Y$318,23,FALSE)</f>
        <v>0</v>
      </c>
      <c r="F260">
        <f>VLOOKUP(A260,'Conc. HH'!$B$1:$Y$318,23,FALSE)</f>
        <v>3068.7913218812459</v>
      </c>
      <c r="G260">
        <f>VLOOKUP(A260,'Targeted HH'!$B$1:$Y$318,23,FALSE)</f>
        <v>0</v>
      </c>
      <c r="H260">
        <f>VLOOKUP(A260,'EFIG HH'!$B$1:$Y$318,23,FALSE)</f>
        <v>0</v>
      </c>
      <c r="I260">
        <f t="shared" ref="I260:I317" si="92">SUM(E260:H260)</f>
        <v>3068.7913218812459</v>
      </c>
      <c r="J260">
        <f t="shared" ref="J260:J317" si="93">IF(I260&lt;D260,0,I260)</f>
        <v>0</v>
      </c>
      <c r="K260" s="43">
        <f t="shared" ref="K260:K317" si="94">IF(J260=0,I260,I260-$K$1*J260/$J$3)</f>
        <v>3068.7913218812459</v>
      </c>
      <c r="L260">
        <f t="shared" ref="L260:L317" si="95">IF($J260=0,0,IF(K260&lt;$D260,$D260-K260,0))</f>
        <v>0</v>
      </c>
      <c r="M260">
        <f t="shared" ref="M260:M317" si="96">IF($J260=0,0,IF(L260&gt;0,0,K260-$D260))</f>
        <v>0</v>
      </c>
      <c r="N260" s="43">
        <f t="shared" ref="N260:N317" si="97">IF(L260&gt;0,L260+K260,K260-$L$3*M260/$M$3)</f>
        <v>3068.7913218812459</v>
      </c>
      <c r="O260">
        <f t="shared" ref="O260:O317" si="98">IF($J260=0,0,IF(N260&lt;$D260,$D260-N260,0))</f>
        <v>0</v>
      </c>
      <c r="P260">
        <f t="shared" ref="P260:P317" si="99">IF($J260=0,0,IF(O260&gt;0,0,N260-$D260))</f>
        <v>0</v>
      </c>
      <c r="Q260" s="43">
        <f t="shared" ref="Q260:Q317" si="100">IF(O260&gt;0,O260+N260,N260-$O$3*P260/$P$3)</f>
        <v>3068.7913218812459</v>
      </c>
      <c r="R260">
        <f t="shared" ref="R260:R317" si="101">IF($J260=0,0,IF(Q260&lt;$D260,$D260-Q260,0))</f>
        <v>0</v>
      </c>
      <c r="S260">
        <f t="shared" ref="S260:S317" si="102">IF($J260=0,0,IF(R260&gt;0,0,Q260-$D260))</f>
        <v>0</v>
      </c>
      <c r="T260" s="43">
        <f t="shared" ref="T260:T317" si="103">IF(R260&gt;0,R260+Q260,Q260-$R$3*S260/$S$3)</f>
        <v>3068.7913218812459</v>
      </c>
      <c r="U260">
        <f t="shared" ref="U260:U317" si="104">IF($J260=0,0,IF(T260&lt;$D260,$D260-T260,0))</f>
        <v>0</v>
      </c>
      <c r="V260">
        <f t="shared" ref="V260:V317" si="105">IF($J260=0,0,IF(U260&gt;0,0,T260-$D260))</f>
        <v>0</v>
      </c>
      <c r="W260" s="43">
        <f t="shared" ref="W260:W317" si="106">IF(U260&gt;0,U260+T260,T260-$U$3*V260/$V$3)</f>
        <v>3068.7913218812459</v>
      </c>
      <c r="X260" s="43">
        <f t="shared" ref="X260:X317" si="107">I260-W260</f>
        <v>0</v>
      </c>
      <c r="Y260" s="27">
        <f t="shared" ref="Y260:Y317" si="108">W260/$W$3*$Y$1</f>
        <v>24.102858035660848</v>
      </c>
      <c r="Z260" s="27">
        <f t="shared" ref="Z260:Z317" si="109">W260-Y260</f>
        <v>3044.6884638455849</v>
      </c>
      <c r="AA260">
        <f t="shared" ref="AA260:AA317" si="110">Z260/$Z$3*$AA$1</f>
        <v>0</v>
      </c>
      <c r="AB260" s="27">
        <f t="shared" ref="AB260:AB317" si="111">Z260-AA260</f>
        <v>3044.6884638455849</v>
      </c>
      <c r="AD260" s="27">
        <f t="shared" ref="AD260:AD317" si="112">IF(AC260&gt;0,AC260*AB260,0)</f>
        <v>0</v>
      </c>
      <c r="AE260" s="27">
        <f t="shared" ref="AE260:AE317" si="113">AB260-AD260</f>
        <v>3044.6884638455849</v>
      </c>
      <c r="AF260" s="50"/>
      <c r="AG260" t="str">
        <f t="shared" ref="AG260:AG315" si="114">A260</f>
        <v>5308400</v>
      </c>
    </row>
    <row r="261" spans="1:33" x14ac:dyDescent="0.25">
      <c r="A261" s="7" t="s">
        <v>226</v>
      </c>
      <c r="B261" s="2" t="s">
        <v>1151</v>
      </c>
      <c r="C261" s="4" t="s">
        <v>1150</v>
      </c>
      <c r="D261" s="30">
        <f>_xlfn.IFNA(VLOOKUP(A261,'Prior Year data'!$A$1:$V$318,13,FALSE),0)</f>
        <v>0</v>
      </c>
      <c r="E261">
        <f>VLOOKUP(A261,'Basic HH'!$B$1:$Y$318,23,FALSE)</f>
        <v>0</v>
      </c>
      <c r="F261">
        <f>VLOOKUP(A261,'Conc. HH'!$B$1:$Y$318,23,FALSE)</f>
        <v>0</v>
      </c>
      <c r="G261">
        <f>VLOOKUP(A261,'Targeted HH'!$B$1:$Y$318,23,FALSE)</f>
        <v>0</v>
      </c>
      <c r="H261">
        <f>VLOOKUP(A261,'EFIG HH'!$B$1:$Y$318,23,FALSE)</f>
        <v>0</v>
      </c>
      <c r="I261">
        <f t="shared" si="92"/>
        <v>0</v>
      </c>
      <c r="J261">
        <f t="shared" si="93"/>
        <v>0</v>
      </c>
      <c r="K261" s="43">
        <f t="shared" si="94"/>
        <v>0</v>
      </c>
      <c r="L261">
        <f t="shared" si="95"/>
        <v>0</v>
      </c>
      <c r="M261">
        <f t="shared" si="96"/>
        <v>0</v>
      </c>
      <c r="N261" s="43">
        <f t="shared" si="97"/>
        <v>0</v>
      </c>
      <c r="O261">
        <f t="shared" si="98"/>
        <v>0</v>
      </c>
      <c r="P261">
        <f t="shared" si="99"/>
        <v>0</v>
      </c>
      <c r="Q261" s="43">
        <f t="shared" si="100"/>
        <v>0</v>
      </c>
      <c r="R261">
        <f t="shared" si="101"/>
        <v>0</v>
      </c>
      <c r="S261">
        <f t="shared" si="102"/>
        <v>0</v>
      </c>
      <c r="T261" s="43">
        <f t="shared" si="103"/>
        <v>0</v>
      </c>
      <c r="U261">
        <f t="shared" si="104"/>
        <v>0</v>
      </c>
      <c r="V261">
        <f t="shared" si="105"/>
        <v>0</v>
      </c>
      <c r="W261" s="43">
        <f t="shared" si="106"/>
        <v>0</v>
      </c>
      <c r="X261" s="43">
        <f t="shared" si="107"/>
        <v>0</v>
      </c>
      <c r="Y261" s="27">
        <f t="shared" si="108"/>
        <v>0</v>
      </c>
      <c r="Z261" s="27">
        <f t="shared" si="109"/>
        <v>0</v>
      </c>
      <c r="AA261">
        <f t="shared" si="110"/>
        <v>0</v>
      </c>
      <c r="AB261" s="27">
        <f t="shared" si="111"/>
        <v>0</v>
      </c>
      <c r="AD261" s="27">
        <f t="shared" si="112"/>
        <v>0</v>
      </c>
      <c r="AE261" s="27">
        <f t="shared" si="113"/>
        <v>0</v>
      </c>
      <c r="AF261" s="50"/>
      <c r="AG261" t="str">
        <f t="shared" si="114"/>
        <v>5308430</v>
      </c>
    </row>
    <row r="262" spans="1:33" x14ac:dyDescent="0.25">
      <c r="A262" s="7" t="s">
        <v>228</v>
      </c>
      <c r="B262" s="2" t="s">
        <v>1153</v>
      </c>
      <c r="C262" s="4" t="s">
        <v>1152</v>
      </c>
      <c r="D262" s="30">
        <f>_xlfn.IFNA(VLOOKUP(A262,'Prior Year data'!$A$1:$V$318,13,FALSE),0)</f>
        <v>438793.82049041486</v>
      </c>
      <c r="E262">
        <f>VLOOKUP(A262,'Basic HH'!$B$1:$Y$318,23,FALSE)</f>
        <v>233936.9162267053</v>
      </c>
      <c r="F262">
        <f>VLOOKUP(A262,'Conc. HH'!$B$1:$Y$318,23,FALSE)</f>
        <v>0</v>
      </c>
      <c r="G262">
        <f>VLOOKUP(A262,'Targeted HH'!$B$1:$Y$318,23,FALSE)</f>
        <v>113135.65222345441</v>
      </c>
      <c r="H262">
        <f>VLOOKUP(A262,'EFIG HH'!$B$1:$Y$318,23,FALSE)</f>
        <v>150128.1565115797</v>
      </c>
      <c r="I262">
        <f t="shared" si="92"/>
        <v>497200.72496173944</v>
      </c>
      <c r="J262">
        <f t="shared" si="93"/>
        <v>497200.72496173944</v>
      </c>
      <c r="K262" s="43">
        <f t="shared" si="94"/>
        <v>449779.92991118552</v>
      </c>
      <c r="L262">
        <f t="shared" si="95"/>
        <v>0</v>
      </c>
      <c r="M262">
        <f t="shared" si="96"/>
        <v>10986.109420770663</v>
      </c>
      <c r="N262" s="43">
        <f t="shared" si="97"/>
        <v>445818.52287333913</v>
      </c>
      <c r="O262">
        <f t="shared" si="98"/>
        <v>0</v>
      </c>
      <c r="P262">
        <f t="shared" si="99"/>
        <v>7024.702382924268</v>
      </c>
      <c r="Q262" s="43">
        <f t="shared" si="100"/>
        <v>445818.52287333913</v>
      </c>
      <c r="R262">
        <f t="shared" si="101"/>
        <v>0</v>
      </c>
      <c r="S262">
        <f t="shared" si="102"/>
        <v>7024.702382924268</v>
      </c>
      <c r="T262" s="43">
        <f t="shared" si="103"/>
        <v>445818.52287333913</v>
      </c>
      <c r="U262">
        <f t="shared" si="104"/>
        <v>0</v>
      </c>
      <c r="V262">
        <f t="shared" si="105"/>
        <v>7024.702382924268</v>
      </c>
      <c r="W262" s="43">
        <f t="shared" si="106"/>
        <v>445818.52287333913</v>
      </c>
      <c r="X262" s="43">
        <f t="shared" si="107"/>
        <v>51382.202088400314</v>
      </c>
      <c r="Y262" s="27">
        <f t="shared" si="108"/>
        <v>3501.5416297178685</v>
      </c>
      <c r="Z262" s="27">
        <f t="shared" si="109"/>
        <v>442316.98124362127</v>
      </c>
      <c r="AA262">
        <f t="shared" si="110"/>
        <v>0</v>
      </c>
      <c r="AB262" s="27">
        <f t="shared" si="111"/>
        <v>442316.98124362127</v>
      </c>
      <c r="AD262" s="27">
        <f t="shared" si="112"/>
        <v>0</v>
      </c>
      <c r="AE262" s="27">
        <f t="shared" si="113"/>
        <v>442316.98124362127</v>
      </c>
      <c r="AF262" s="50"/>
      <c r="AG262" t="str">
        <f t="shared" si="114"/>
        <v>5308460</v>
      </c>
    </row>
    <row r="263" spans="1:33" x14ac:dyDescent="0.25">
      <c r="A263" s="7" t="s">
        <v>593</v>
      </c>
      <c r="B263" s="2" t="s">
        <v>1155</v>
      </c>
      <c r="C263" s="4" t="s">
        <v>1154</v>
      </c>
      <c r="D263" s="30">
        <f>_xlfn.IFNA(VLOOKUP(A263,'Prior Year data'!$A$1:$V$318,13,FALSE),0)</f>
        <v>1604.9754677902554</v>
      </c>
      <c r="E263">
        <f>VLOOKUP(A263,'Basic HH'!$B$1:$Y$318,23,FALSE)</f>
        <v>0</v>
      </c>
      <c r="F263">
        <f>VLOOKUP(A263,'Conc. HH'!$B$1:$Y$318,23,FALSE)</f>
        <v>1374.7567106712745</v>
      </c>
      <c r="G263">
        <f>VLOOKUP(A263,'Targeted HH'!$B$1:$Y$318,23,FALSE)</f>
        <v>0</v>
      </c>
      <c r="H263">
        <f>VLOOKUP(A263,'EFIG HH'!$B$1:$Y$318,23,FALSE)</f>
        <v>0</v>
      </c>
      <c r="I263">
        <f t="shared" si="92"/>
        <v>1374.7567106712745</v>
      </c>
      <c r="J263">
        <f t="shared" si="93"/>
        <v>0</v>
      </c>
      <c r="K263" s="43">
        <f t="shared" si="94"/>
        <v>1374.7567106712745</v>
      </c>
      <c r="L263">
        <f t="shared" si="95"/>
        <v>0</v>
      </c>
      <c r="M263">
        <f t="shared" si="96"/>
        <v>0</v>
      </c>
      <c r="N263" s="43">
        <f t="shared" si="97"/>
        <v>1374.7567106712745</v>
      </c>
      <c r="O263">
        <f t="shared" si="98"/>
        <v>0</v>
      </c>
      <c r="P263">
        <f t="shared" si="99"/>
        <v>0</v>
      </c>
      <c r="Q263" s="43">
        <f t="shared" si="100"/>
        <v>1374.7567106712745</v>
      </c>
      <c r="R263">
        <f t="shared" si="101"/>
        <v>0</v>
      </c>
      <c r="S263">
        <f t="shared" si="102"/>
        <v>0</v>
      </c>
      <c r="T263" s="43">
        <f t="shared" si="103"/>
        <v>1374.7567106712745</v>
      </c>
      <c r="U263">
        <f t="shared" si="104"/>
        <v>0</v>
      </c>
      <c r="V263">
        <f t="shared" si="105"/>
        <v>0</v>
      </c>
      <c r="W263" s="43">
        <f t="shared" si="106"/>
        <v>1374.7567106712745</v>
      </c>
      <c r="X263" s="43">
        <f t="shared" si="107"/>
        <v>0</v>
      </c>
      <c r="Y263" s="27">
        <f t="shared" si="108"/>
        <v>10.797594999248391</v>
      </c>
      <c r="Z263" s="27">
        <f t="shared" si="109"/>
        <v>1363.9591156720262</v>
      </c>
      <c r="AA263">
        <f t="shared" si="110"/>
        <v>0</v>
      </c>
      <c r="AB263" s="27">
        <f t="shared" si="111"/>
        <v>1363.9591156720262</v>
      </c>
      <c r="AD263" s="27">
        <f t="shared" si="112"/>
        <v>0</v>
      </c>
      <c r="AE263" s="27">
        <f t="shared" si="113"/>
        <v>1363.9591156720262</v>
      </c>
      <c r="AF263" s="50"/>
      <c r="AG263" t="str">
        <f t="shared" si="114"/>
        <v>5308490</v>
      </c>
    </row>
    <row r="264" spans="1:33" x14ac:dyDescent="0.25">
      <c r="A264" s="7" t="s">
        <v>595</v>
      </c>
      <c r="B264" s="2" t="s">
        <v>1157</v>
      </c>
      <c r="C264" s="4" t="s">
        <v>1156</v>
      </c>
      <c r="D264" s="30">
        <f>_xlfn.IFNA(VLOOKUP(A264,'Prior Year data'!$A$1:$V$318,13,FALSE),0)</f>
        <v>265151.16179482633</v>
      </c>
      <c r="E264">
        <f>VLOOKUP(A264,'Basic HH'!$B$1:$Y$318,23,FALSE)</f>
        <v>104887.46299347116</v>
      </c>
      <c r="F264">
        <f>VLOOKUP(A264,'Conc. HH'!$B$1:$Y$318,23,FALSE)</f>
        <v>28218.809280870824</v>
      </c>
      <c r="G264">
        <f>VLOOKUP(A264,'Targeted HH'!$B$1:$Y$318,23,FALSE)</f>
        <v>50656.947495927176</v>
      </c>
      <c r="H264">
        <f>VLOOKUP(A264,'EFIG HH'!$B$1:$Y$318,23,FALSE)</f>
        <v>68714.642761849944</v>
      </c>
      <c r="I264">
        <f t="shared" si="92"/>
        <v>252477.86253211912</v>
      </c>
      <c r="J264">
        <f t="shared" si="93"/>
        <v>0</v>
      </c>
      <c r="K264" s="43">
        <f t="shared" si="94"/>
        <v>252477.86253211912</v>
      </c>
      <c r="L264">
        <f t="shared" si="95"/>
        <v>0</v>
      </c>
      <c r="M264">
        <f t="shared" si="96"/>
        <v>0</v>
      </c>
      <c r="N264" s="43">
        <f t="shared" si="97"/>
        <v>252477.86253211912</v>
      </c>
      <c r="O264">
        <f t="shared" si="98"/>
        <v>0</v>
      </c>
      <c r="P264">
        <f t="shared" si="99"/>
        <v>0</v>
      </c>
      <c r="Q264" s="43">
        <f t="shared" si="100"/>
        <v>252477.86253211912</v>
      </c>
      <c r="R264">
        <f t="shared" si="101"/>
        <v>0</v>
      </c>
      <c r="S264">
        <f t="shared" si="102"/>
        <v>0</v>
      </c>
      <c r="T264" s="43">
        <f t="shared" si="103"/>
        <v>252477.86253211912</v>
      </c>
      <c r="U264">
        <f t="shared" si="104"/>
        <v>0</v>
      </c>
      <c r="V264">
        <f t="shared" si="105"/>
        <v>0</v>
      </c>
      <c r="W264" s="43">
        <f t="shared" si="106"/>
        <v>252477.86253211912</v>
      </c>
      <c r="X264" s="43">
        <f t="shared" si="107"/>
        <v>0</v>
      </c>
      <c r="Y264" s="27">
        <f t="shared" si="108"/>
        <v>1983.0081095342239</v>
      </c>
      <c r="Z264" s="27">
        <f t="shared" si="109"/>
        <v>250494.8544225849</v>
      </c>
      <c r="AA264">
        <f t="shared" si="110"/>
        <v>0</v>
      </c>
      <c r="AB264" s="27">
        <f t="shared" si="111"/>
        <v>250494.8544225849</v>
      </c>
      <c r="AD264" s="27">
        <f t="shared" si="112"/>
        <v>0</v>
      </c>
      <c r="AE264" s="27">
        <f t="shared" si="113"/>
        <v>250494.8544225849</v>
      </c>
      <c r="AF264" s="50"/>
      <c r="AG264" t="str">
        <f t="shared" si="114"/>
        <v>5308520</v>
      </c>
    </row>
    <row r="265" spans="1:33" x14ac:dyDescent="0.25">
      <c r="A265" s="7" t="s">
        <v>230</v>
      </c>
      <c r="B265" s="2" t="s">
        <v>1159</v>
      </c>
      <c r="C265" s="4" t="s">
        <v>1158</v>
      </c>
      <c r="D265" s="30">
        <f>_xlfn.IFNA(VLOOKUP(A265,'Prior Year data'!$A$1:$V$318,13,FALSE),0)</f>
        <v>383435.35682828072</v>
      </c>
      <c r="E265">
        <f>VLOOKUP(A265,'Basic HH'!$B$1:$Y$318,23,FALSE)</f>
        <v>182048.65285311281</v>
      </c>
      <c r="F265">
        <f>VLOOKUP(A265,'Conc. HH'!$B$1:$Y$318,23,FALSE)</f>
        <v>0</v>
      </c>
      <c r="G265">
        <f>VLOOKUP(A265,'Targeted HH'!$B$1:$Y$318,23,FALSE)</f>
        <v>88041.654173891278</v>
      </c>
      <c r="H265">
        <f>VLOOKUP(A265,'EFIG HH'!$B$1:$Y$318,23,FALSE)</f>
        <v>116829.05412743232</v>
      </c>
      <c r="I265">
        <f t="shared" si="92"/>
        <v>386919.36115443637</v>
      </c>
      <c r="J265">
        <f t="shared" si="93"/>
        <v>386919.36115443637</v>
      </c>
      <c r="K265" s="43">
        <f t="shared" si="94"/>
        <v>350016.712374494</v>
      </c>
      <c r="L265">
        <f t="shared" si="95"/>
        <v>33418.644453786721</v>
      </c>
      <c r="M265">
        <f t="shared" si="96"/>
        <v>0</v>
      </c>
      <c r="N265" s="43">
        <f t="shared" si="97"/>
        <v>383435.35682828072</v>
      </c>
      <c r="O265">
        <f t="shared" si="98"/>
        <v>0</v>
      </c>
      <c r="P265">
        <f t="shared" si="99"/>
        <v>0</v>
      </c>
      <c r="Q265" s="43">
        <f t="shared" si="100"/>
        <v>383435.35682828072</v>
      </c>
      <c r="R265">
        <f t="shared" si="101"/>
        <v>0</v>
      </c>
      <c r="S265">
        <f t="shared" si="102"/>
        <v>0</v>
      </c>
      <c r="T265" s="43">
        <f t="shared" si="103"/>
        <v>383435.35682828072</v>
      </c>
      <c r="U265">
        <f t="shared" si="104"/>
        <v>0</v>
      </c>
      <c r="V265">
        <f t="shared" si="105"/>
        <v>0</v>
      </c>
      <c r="W265" s="43">
        <f t="shared" si="106"/>
        <v>383435.35682828072</v>
      </c>
      <c r="X265" s="43">
        <f t="shared" si="107"/>
        <v>3484.004326155642</v>
      </c>
      <c r="Y265" s="27">
        <f t="shared" si="108"/>
        <v>3011.5726362975702</v>
      </c>
      <c r="Z265" s="27">
        <f t="shared" si="109"/>
        <v>380423.78419198317</v>
      </c>
      <c r="AA265">
        <f t="shared" si="110"/>
        <v>0</v>
      </c>
      <c r="AB265" s="27">
        <f t="shared" si="111"/>
        <v>380423.78419198317</v>
      </c>
      <c r="AD265" s="27">
        <f t="shared" si="112"/>
        <v>0</v>
      </c>
      <c r="AE265" s="27">
        <f t="shared" si="113"/>
        <v>380423.78419198317</v>
      </c>
      <c r="AF265" s="50"/>
      <c r="AG265" t="str">
        <f t="shared" si="114"/>
        <v>5308550</v>
      </c>
    </row>
    <row r="266" spans="1:33" x14ac:dyDescent="0.25">
      <c r="A266" s="7" t="s">
        <v>72</v>
      </c>
      <c r="B266" s="2" t="s">
        <v>1160</v>
      </c>
      <c r="C266" s="4" t="s">
        <v>25</v>
      </c>
      <c r="D266" s="30">
        <f>_xlfn.IFNA(VLOOKUP(A266,'Prior Year data'!$A$1:$V$318,13,FALSE),0)</f>
        <v>260233.22255776764</v>
      </c>
      <c r="E266">
        <f>VLOOKUP(A266,'Basic HH'!$B$1:$Y$318,23,FALSE)</f>
        <v>88227.382137325054</v>
      </c>
      <c r="F266">
        <f>VLOOKUP(A266,'Conc. HH'!$B$1:$Y$318,23,FALSE)</f>
        <v>21792.541083575699</v>
      </c>
      <c r="G266">
        <f>VLOOKUP(A266,'Targeted HH'!$B$1:$Y$318,23,FALSE)</f>
        <v>74998.393301920485</v>
      </c>
      <c r="H266">
        <f>VLOOKUP(A266,'EFIG HH'!$B$1:$Y$318,23,FALSE)</f>
        <v>99520.975982967124</v>
      </c>
      <c r="I266">
        <f t="shared" si="92"/>
        <v>284539.29250578838</v>
      </c>
      <c r="J266">
        <f t="shared" si="93"/>
        <v>284539.29250578838</v>
      </c>
      <c r="K266" s="43">
        <f t="shared" si="94"/>
        <v>257401.19958610303</v>
      </c>
      <c r="L266">
        <f t="shared" si="95"/>
        <v>2832.0229716646136</v>
      </c>
      <c r="M266">
        <f t="shared" si="96"/>
        <v>0</v>
      </c>
      <c r="N266" s="43">
        <f t="shared" si="97"/>
        <v>260233.22255776764</v>
      </c>
      <c r="O266">
        <f t="shared" si="98"/>
        <v>0</v>
      </c>
      <c r="P266">
        <f t="shared" si="99"/>
        <v>0</v>
      </c>
      <c r="Q266" s="43">
        <f t="shared" si="100"/>
        <v>260233.22255776764</v>
      </c>
      <c r="R266">
        <f t="shared" si="101"/>
        <v>0</v>
      </c>
      <c r="S266">
        <f t="shared" si="102"/>
        <v>0</v>
      </c>
      <c r="T266" s="43">
        <f t="shared" si="103"/>
        <v>260233.22255776764</v>
      </c>
      <c r="U266">
        <f t="shared" si="104"/>
        <v>0</v>
      </c>
      <c r="V266">
        <f t="shared" si="105"/>
        <v>0</v>
      </c>
      <c r="W266" s="43">
        <f t="shared" si="106"/>
        <v>260233.22255776764</v>
      </c>
      <c r="X266" s="43">
        <f t="shared" si="107"/>
        <v>24306.06994802074</v>
      </c>
      <c r="Y266" s="27">
        <f t="shared" si="108"/>
        <v>2043.9201501740727</v>
      </c>
      <c r="Z266" s="27">
        <f t="shared" si="109"/>
        <v>258189.30240759358</v>
      </c>
      <c r="AA266">
        <f t="shared" si="110"/>
        <v>0</v>
      </c>
      <c r="AB266" s="27">
        <f t="shared" si="111"/>
        <v>258189.30240759358</v>
      </c>
      <c r="AD266" s="27">
        <f t="shared" si="112"/>
        <v>0</v>
      </c>
      <c r="AE266" s="27">
        <f t="shared" si="113"/>
        <v>258189.30240759358</v>
      </c>
      <c r="AF266" s="50"/>
      <c r="AG266" t="str">
        <f t="shared" si="114"/>
        <v>5308290</v>
      </c>
    </row>
    <row r="267" spans="1:33" x14ac:dyDescent="0.25">
      <c r="A267" s="7" t="s">
        <v>73</v>
      </c>
      <c r="B267" s="2" t="s">
        <v>1161</v>
      </c>
      <c r="C267" s="4" t="s">
        <v>27</v>
      </c>
      <c r="D267" s="30">
        <f>_xlfn.IFNA(VLOOKUP(A267,'Prior Year data'!$A$1:$V$318,13,FALSE),0)</f>
        <v>91676.8790174733</v>
      </c>
      <c r="E267">
        <f>VLOOKUP(A267,'Basic HH'!$B$1:$Y$318,23,FALSE)</f>
        <v>26771.044001192484</v>
      </c>
      <c r="F267">
        <f>VLOOKUP(A267,'Conc. HH'!$B$1:$Y$318,23,FALSE)</f>
        <v>0</v>
      </c>
      <c r="G267">
        <f>VLOOKUP(A267,'Targeted HH'!$B$1:$Y$318,23,FALSE)</f>
        <v>22609.434008730132</v>
      </c>
      <c r="H267">
        <f>VLOOKUP(A267,'EFIG HH'!$B$1:$Y$318,23,FALSE)</f>
        <v>30991.925917657914</v>
      </c>
      <c r="I267">
        <f t="shared" si="92"/>
        <v>80372.403927580541</v>
      </c>
      <c r="J267">
        <f t="shared" si="93"/>
        <v>0</v>
      </c>
      <c r="K267" s="43">
        <f t="shared" si="94"/>
        <v>80372.403927580541</v>
      </c>
      <c r="L267">
        <f t="shared" si="95"/>
        <v>0</v>
      </c>
      <c r="M267">
        <f t="shared" si="96"/>
        <v>0</v>
      </c>
      <c r="N267" s="43">
        <f t="shared" si="97"/>
        <v>80372.403927580541</v>
      </c>
      <c r="O267">
        <f t="shared" si="98"/>
        <v>0</v>
      </c>
      <c r="P267">
        <f t="shared" si="99"/>
        <v>0</v>
      </c>
      <c r="Q267" s="43">
        <f t="shared" si="100"/>
        <v>80372.403927580541</v>
      </c>
      <c r="R267">
        <f t="shared" si="101"/>
        <v>0</v>
      </c>
      <c r="S267">
        <f t="shared" si="102"/>
        <v>0</v>
      </c>
      <c r="T267" s="43">
        <f t="shared" si="103"/>
        <v>80372.403927580541</v>
      </c>
      <c r="U267">
        <f t="shared" si="104"/>
        <v>0</v>
      </c>
      <c r="V267">
        <f t="shared" si="105"/>
        <v>0</v>
      </c>
      <c r="W267" s="43">
        <f t="shared" si="106"/>
        <v>80372.403927580541</v>
      </c>
      <c r="X267" s="43">
        <f t="shared" si="107"/>
        <v>0</v>
      </c>
      <c r="Y267" s="27">
        <f t="shared" si="108"/>
        <v>631.25981491100833</v>
      </c>
      <c r="Z267" s="27">
        <f t="shared" si="109"/>
        <v>79741.144112669528</v>
      </c>
      <c r="AA267">
        <f t="shared" si="110"/>
        <v>0</v>
      </c>
      <c r="AB267" s="27">
        <f t="shared" si="111"/>
        <v>79741.144112669528</v>
      </c>
      <c r="AD267" s="27">
        <f t="shared" si="112"/>
        <v>0</v>
      </c>
      <c r="AE267" s="27">
        <f t="shared" si="113"/>
        <v>79741.144112669528</v>
      </c>
      <c r="AF267" s="50"/>
      <c r="AG267" t="str">
        <f t="shared" si="114"/>
        <v>5308240</v>
      </c>
    </row>
    <row r="268" spans="1:33" x14ac:dyDescent="0.25">
      <c r="A268" s="7" t="s">
        <v>597</v>
      </c>
      <c r="B268" s="2" t="s">
        <v>1163</v>
      </c>
      <c r="C268" s="4" t="s">
        <v>1162</v>
      </c>
      <c r="D268" s="30">
        <f>_xlfn.IFNA(VLOOKUP(A268,'Prior Year data'!$A$1:$V$318,13,FALSE),0)</f>
        <v>54703.562898749682</v>
      </c>
      <c r="E268">
        <f>VLOOKUP(A268,'Basic HH'!$B$1:$Y$318,23,FALSE)</f>
        <v>22866.014368023833</v>
      </c>
      <c r="F268">
        <f>VLOOKUP(A268,'Conc. HH'!$B$1:$Y$318,23,FALSE)</f>
        <v>6164.0801172440124</v>
      </c>
      <c r="G268">
        <f>VLOOKUP(A268,'Targeted HH'!$B$1:$Y$318,23,FALSE)</f>
        <v>14060.177740220277</v>
      </c>
      <c r="H268">
        <f>VLOOKUP(A268,'EFIG HH'!$B$1:$Y$318,23,FALSE)</f>
        <v>18657.50117562692</v>
      </c>
      <c r="I268">
        <f t="shared" si="92"/>
        <v>61747.773401115046</v>
      </c>
      <c r="J268">
        <f t="shared" si="93"/>
        <v>61747.773401115046</v>
      </c>
      <c r="K268" s="43">
        <f t="shared" si="94"/>
        <v>55858.545247822134</v>
      </c>
      <c r="L268">
        <f t="shared" si="95"/>
        <v>0</v>
      </c>
      <c r="M268">
        <f t="shared" si="96"/>
        <v>1154.9823490724521</v>
      </c>
      <c r="N268" s="43">
        <f t="shared" si="97"/>
        <v>55442.07795890604</v>
      </c>
      <c r="O268">
        <f t="shared" si="98"/>
        <v>0</v>
      </c>
      <c r="P268">
        <f t="shared" si="99"/>
        <v>738.51506015635823</v>
      </c>
      <c r="Q268" s="43">
        <f t="shared" si="100"/>
        <v>55442.07795890604</v>
      </c>
      <c r="R268">
        <f t="shared" si="101"/>
        <v>0</v>
      </c>
      <c r="S268">
        <f t="shared" si="102"/>
        <v>738.51506015635823</v>
      </c>
      <c r="T268" s="43">
        <f t="shared" si="103"/>
        <v>55442.07795890604</v>
      </c>
      <c r="U268">
        <f t="shared" si="104"/>
        <v>0</v>
      </c>
      <c r="V268">
        <f t="shared" si="105"/>
        <v>738.51506015635823</v>
      </c>
      <c r="W268" s="43">
        <f t="shared" si="106"/>
        <v>55442.07795890604</v>
      </c>
      <c r="X268" s="43">
        <f t="shared" si="107"/>
        <v>6305.6954422090057</v>
      </c>
      <c r="Y268" s="27">
        <f t="shared" si="108"/>
        <v>435.45239610048179</v>
      </c>
      <c r="Z268" s="27">
        <f t="shared" si="109"/>
        <v>55006.625562805559</v>
      </c>
      <c r="AA268">
        <f t="shared" si="110"/>
        <v>0</v>
      </c>
      <c r="AB268" s="27">
        <f t="shared" si="111"/>
        <v>55006.625562805559</v>
      </c>
      <c r="AD268" s="27">
        <f t="shared" si="112"/>
        <v>0</v>
      </c>
      <c r="AE268" s="27">
        <f t="shared" si="113"/>
        <v>55006.625562805559</v>
      </c>
      <c r="AF268" s="50"/>
      <c r="AG268" t="str">
        <f t="shared" si="114"/>
        <v>5308580</v>
      </c>
    </row>
    <row r="269" spans="1:33" x14ac:dyDescent="0.25">
      <c r="A269" s="7" t="s">
        <v>232</v>
      </c>
      <c r="B269" s="2" t="s">
        <v>1165</v>
      </c>
      <c r="C269" s="4" t="s">
        <v>1164</v>
      </c>
      <c r="D269" s="30">
        <f>_xlfn.IFNA(VLOOKUP(A269,'Prior Year data'!$A$1:$V$318,13,FALSE),0)</f>
        <v>985892.49556455319</v>
      </c>
      <c r="E269">
        <f>VLOOKUP(A269,'Basic HH'!$B$1:$Y$318,23,FALSE)</f>
        <v>570770.89710951783</v>
      </c>
      <c r="F269">
        <f>VLOOKUP(A269,'Conc. HH'!$B$1:$Y$318,23,FALSE)</f>
        <v>0</v>
      </c>
      <c r="G269">
        <f>VLOOKUP(A269,'Targeted HH'!$B$1:$Y$318,23,FALSE)</f>
        <v>276033.97854519513</v>
      </c>
      <c r="H269">
        <f>VLOOKUP(A269,'EFIG HH'!$B$1:$Y$318,23,FALSE)</f>
        <v>366290.12622562109</v>
      </c>
      <c r="I269">
        <f t="shared" si="92"/>
        <v>1213095.0018803342</v>
      </c>
      <c r="J269">
        <f t="shared" si="93"/>
        <v>1213095.0018803342</v>
      </c>
      <c r="K269" s="43">
        <f t="shared" si="94"/>
        <v>1097395.3929036069</v>
      </c>
      <c r="L269">
        <f t="shared" si="95"/>
        <v>0</v>
      </c>
      <c r="M269">
        <f t="shared" si="96"/>
        <v>111502.89733905368</v>
      </c>
      <c r="N269" s="43">
        <f t="shared" si="97"/>
        <v>1057189.3158164734</v>
      </c>
      <c r="O269">
        <f t="shared" si="98"/>
        <v>0</v>
      </c>
      <c r="P269">
        <f t="shared" si="99"/>
        <v>71296.82025192026</v>
      </c>
      <c r="Q269" s="43">
        <f t="shared" si="100"/>
        <v>1057189.3158164734</v>
      </c>
      <c r="R269">
        <f t="shared" si="101"/>
        <v>0</v>
      </c>
      <c r="S269">
        <f t="shared" si="102"/>
        <v>71296.82025192026</v>
      </c>
      <c r="T269" s="43">
        <f t="shared" si="103"/>
        <v>1057189.3158164734</v>
      </c>
      <c r="U269">
        <f t="shared" si="104"/>
        <v>0</v>
      </c>
      <c r="V269">
        <f t="shared" si="105"/>
        <v>71296.82025192026</v>
      </c>
      <c r="W269" s="43">
        <f t="shared" si="106"/>
        <v>1057189.3158164734</v>
      </c>
      <c r="X269" s="43">
        <f t="shared" si="107"/>
        <v>155905.68606386078</v>
      </c>
      <c r="Y269" s="27">
        <f t="shared" si="108"/>
        <v>8303.3615919903004</v>
      </c>
      <c r="Z269" s="27">
        <f t="shared" si="109"/>
        <v>1048885.9542244831</v>
      </c>
      <c r="AA269">
        <f t="shared" si="110"/>
        <v>0</v>
      </c>
      <c r="AB269" s="27">
        <f t="shared" si="111"/>
        <v>1048885.9542244831</v>
      </c>
      <c r="AD269" s="27">
        <f t="shared" si="112"/>
        <v>0</v>
      </c>
      <c r="AE269" s="27">
        <f t="shared" si="113"/>
        <v>1048885.9542244831</v>
      </c>
      <c r="AF269" s="50"/>
      <c r="AG269" t="str">
        <f t="shared" si="114"/>
        <v>5308610</v>
      </c>
    </row>
    <row r="270" spans="1:33" x14ac:dyDescent="0.25">
      <c r="A270" s="7" t="s">
        <v>599</v>
      </c>
      <c r="B270" s="2" t="s">
        <v>1167</v>
      </c>
      <c r="C270" s="4" t="s">
        <v>1166</v>
      </c>
      <c r="D270" s="30">
        <f>_xlfn.IFNA(VLOOKUP(A270,'Prior Year data'!$A$1:$V$318,13,FALSE),0)</f>
        <v>2710148.4031595737</v>
      </c>
      <c r="E270">
        <f>VLOOKUP(A270,'Basic HH'!$B$1:$Y$318,23,FALSE)</f>
        <v>1225090.69287143</v>
      </c>
      <c r="F270">
        <f>VLOOKUP(A270,'Conc. HH'!$B$1:$Y$318,23,FALSE)</f>
        <v>330252.4462815735</v>
      </c>
      <c r="G270">
        <f>VLOOKUP(A270,'Targeted HH'!$B$1:$Y$318,23,FALSE)</f>
        <v>741761.56946505443</v>
      </c>
      <c r="H270">
        <f>VLOOKUP(A270,'EFIG HH'!$B$1:$Y$318,23,FALSE)</f>
        <v>984298.89081276325</v>
      </c>
      <c r="I270">
        <f t="shared" si="92"/>
        <v>3281403.5994308209</v>
      </c>
      <c r="J270">
        <f t="shared" si="93"/>
        <v>3281403.5994308209</v>
      </c>
      <c r="K270" s="43">
        <f t="shared" si="94"/>
        <v>2968437.9102139897</v>
      </c>
      <c r="L270">
        <f t="shared" si="95"/>
        <v>0</v>
      </c>
      <c r="M270">
        <f t="shared" si="96"/>
        <v>258289.507054416</v>
      </c>
      <c r="N270" s="43">
        <f t="shared" si="97"/>
        <v>2875303.0403652731</v>
      </c>
      <c r="O270">
        <f t="shared" si="98"/>
        <v>0</v>
      </c>
      <c r="P270">
        <f t="shared" si="99"/>
        <v>165154.63720569946</v>
      </c>
      <c r="Q270" s="43">
        <f t="shared" si="100"/>
        <v>2875303.0403652731</v>
      </c>
      <c r="R270">
        <f t="shared" si="101"/>
        <v>0</v>
      </c>
      <c r="S270">
        <f t="shared" si="102"/>
        <v>165154.63720569946</v>
      </c>
      <c r="T270" s="43">
        <f t="shared" si="103"/>
        <v>2875303.0403652731</v>
      </c>
      <c r="U270">
        <f t="shared" si="104"/>
        <v>0</v>
      </c>
      <c r="V270">
        <f t="shared" si="105"/>
        <v>165154.63720569946</v>
      </c>
      <c r="W270" s="43">
        <f t="shared" si="106"/>
        <v>2875303.0403652731</v>
      </c>
      <c r="X270" s="43">
        <f t="shared" si="107"/>
        <v>406100.55906554777</v>
      </c>
      <c r="Y270" s="27">
        <f t="shared" si="108"/>
        <v>22583.165071303607</v>
      </c>
      <c r="Z270" s="27">
        <f t="shared" si="109"/>
        <v>2852719.8752939696</v>
      </c>
      <c r="AA270">
        <f t="shared" si="110"/>
        <v>0</v>
      </c>
      <c r="AB270" s="27">
        <f t="shared" si="111"/>
        <v>2852719.8752939696</v>
      </c>
      <c r="AD270" s="27">
        <f t="shared" si="112"/>
        <v>0</v>
      </c>
      <c r="AE270" s="27">
        <f t="shared" si="113"/>
        <v>2852719.8752939696</v>
      </c>
      <c r="AF270" s="50"/>
      <c r="AG270" t="str">
        <f t="shared" si="114"/>
        <v>5308670</v>
      </c>
    </row>
    <row r="271" spans="1:33" x14ac:dyDescent="0.25">
      <c r="A271" s="7" t="s">
        <v>67</v>
      </c>
      <c r="B271" s="2" t="s">
        <v>1168</v>
      </c>
      <c r="C271" s="4" t="s">
        <v>11</v>
      </c>
      <c r="D271" s="30">
        <f>_xlfn.IFNA(VLOOKUP(A271,'Prior Year data'!$A$1:$V$318,13,FALSE),0)</f>
        <v>34983.339596321784</v>
      </c>
      <c r="E271">
        <f>VLOOKUP(A271,'Basic HH'!$B$1:$Y$318,23,FALSE)</f>
        <v>16219.480432959588</v>
      </c>
      <c r="F271">
        <f>VLOOKUP(A271,'Conc. HH'!$B$1:$Y$318,23,FALSE)</f>
        <v>4372.3482037449203</v>
      </c>
      <c r="G271">
        <f>VLOOKUP(A271,'Targeted HH'!$B$1:$Y$318,23,FALSE)</f>
        <v>8810.6013501648304</v>
      </c>
      <c r="H271">
        <f>VLOOKUP(A271,'EFIG HH'!$B$1:$Y$318,23,FALSE)</f>
        <v>11691.44573318211</v>
      </c>
      <c r="I271">
        <f t="shared" si="92"/>
        <v>41093.875720051452</v>
      </c>
      <c r="J271">
        <f t="shared" si="93"/>
        <v>41093.875720051452</v>
      </c>
      <c r="K271" s="43">
        <f t="shared" si="94"/>
        <v>37174.524519380029</v>
      </c>
      <c r="L271">
        <f t="shared" si="95"/>
        <v>0</v>
      </c>
      <c r="M271">
        <f t="shared" si="96"/>
        <v>2191.1849230582447</v>
      </c>
      <c r="N271" s="43">
        <f t="shared" si="97"/>
        <v>36384.419938861764</v>
      </c>
      <c r="O271">
        <f t="shared" si="98"/>
        <v>0</v>
      </c>
      <c r="P271">
        <f t="shared" si="99"/>
        <v>1401.080342539979</v>
      </c>
      <c r="Q271" s="43">
        <f t="shared" si="100"/>
        <v>36384.419938861764</v>
      </c>
      <c r="R271">
        <f t="shared" si="101"/>
        <v>0</v>
      </c>
      <c r="S271">
        <f t="shared" si="102"/>
        <v>1401.080342539979</v>
      </c>
      <c r="T271" s="43">
        <f t="shared" si="103"/>
        <v>36384.419938861764</v>
      </c>
      <c r="U271">
        <f t="shared" si="104"/>
        <v>0</v>
      </c>
      <c r="V271">
        <f t="shared" si="105"/>
        <v>1401.080342539979</v>
      </c>
      <c r="W271" s="43">
        <f t="shared" si="106"/>
        <v>36384.419938861764</v>
      </c>
      <c r="X271" s="43">
        <f t="shared" si="107"/>
        <v>4709.4557811896884</v>
      </c>
      <c r="Y271" s="27">
        <f t="shared" si="108"/>
        <v>285.77000405444619</v>
      </c>
      <c r="Z271" s="27">
        <f t="shared" si="109"/>
        <v>36098.649934807319</v>
      </c>
      <c r="AA271">
        <f t="shared" si="110"/>
        <v>0</v>
      </c>
      <c r="AB271" s="27">
        <f t="shared" si="111"/>
        <v>36098.649934807319</v>
      </c>
      <c r="AD271" s="27">
        <f t="shared" si="112"/>
        <v>0</v>
      </c>
      <c r="AE271" s="27">
        <f t="shared" si="113"/>
        <v>36098.649934807319</v>
      </c>
      <c r="AF271" s="50"/>
      <c r="AG271" t="str">
        <f t="shared" si="114"/>
        <v>5308690</v>
      </c>
    </row>
    <row r="272" spans="1:33" x14ac:dyDescent="0.25">
      <c r="A272" s="7" t="s">
        <v>62</v>
      </c>
      <c r="B272" s="2" t="s">
        <v>1169</v>
      </c>
      <c r="C272" s="4" t="s">
        <v>39</v>
      </c>
      <c r="D272" s="30">
        <f>_xlfn.IFNA(VLOOKUP(A272,'Prior Year data'!$A$1:$V$318,13,FALSE),0)</f>
        <v>10158423.146895459</v>
      </c>
      <c r="E272">
        <f>VLOOKUP(A272,'Basic HH'!$B$1:$Y$318,23,FALSE)</f>
        <v>4312807.7578719892</v>
      </c>
      <c r="F272">
        <f>VLOOKUP(A272,'Conc. HH'!$B$1:$Y$318,23,FALSE)</f>
        <v>0</v>
      </c>
      <c r="G272">
        <f>VLOOKUP(A272,'Targeted HH'!$B$1:$Y$318,23,FALSE)</f>
        <v>3550724.3908283985</v>
      </c>
      <c r="H272">
        <f>VLOOKUP(A272,'EFIG HH'!$B$1:$Y$318,23,FALSE)</f>
        <v>4711721.6951462338</v>
      </c>
      <c r="I272">
        <f t="shared" si="92"/>
        <v>12575253.843846623</v>
      </c>
      <c r="J272">
        <f t="shared" si="93"/>
        <v>12575253.843846623</v>
      </c>
      <c r="K272" s="43">
        <f t="shared" si="94"/>
        <v>11375882.03021214</v>
      </c>
      <c r="L272">
        <f t="shared" si="95"/>
        <v>0</v>
      </c>
      <c r="M272">
        <f t="shared" si="96"/>
        <v>1217458.8833166808</v>
      </c>
      <c r="N272" s="43">
        <f t="shared" si="97"/>
        <v>10936886.749540616</v>
      </c>
      <c r="O272">
        <f t="shared" si="98"/>
        <v>0</v>
      </c>
      <c r="P272">
        <f t="shared" si="99"/>
        <v>778463.60264515691</v>
      </c>
      <c r="Q272" s="43">
        <f t="shared" si="100"/>
        <v>10936886.749540616</v>
      </c>
      <c r="R272">
        <f t="shared" si="101"/>
        <v>0</v>
      </c>
      <c r="S272">
        <f t="shared" si="102"/>
        <v>778463.60264515691</v>
      </c>
      <c r="T272" s="43">
        <f t="shared" si="103"/>
        <v>10936886.749540616</v>
      </c>
      <c r="U272">
        <f t="shared" si="104"/>
        <v>0</v>
      </c>
      <c r="V272">
        <f t="shared" si="105"/>
        <v>778463.60264515691</v>
      </c>
      <c r="W272" s="43">
        <f t="shared" si="106"/>
        <v>10936886.749540616</v>
      </c>
      <c r="X272" s="43">
        <f t="shared" si="107"/>
        <v>1638367.094306007</v>
      </c>
      <c r="Y272" s="27">
        <f t="shared" si="108"/>
        <v>85900.343498976654</v>
      </c>
      <c r="Z272" s="27">
        <f t="shared" si="109"/>
        <v>10850986.406041639</v>
      </c>
      <c r="AA272">
        <f t="shared" si="110"/>
        <v>0</v>
      </c>
      <c r="AB272" s="27">
        <f t="shared" si="111"/>
        <v>10850986.406041639</v>
      </c>
      <c r="AD272" s="27">
        <f t="shared" si="112"/>
        <v>0</v>
      </c>
      <c r="AE272" s="27">
        <f t="shared" si="113"/>
        <v>10850986.406041639</v>
      </c>
      <c r="AF272" s="50"/>
      <c r="AG272" t="str">
        <f t="shared" si="114"/>
        <v>5308700</v>
      </c>
    </row>
    <row r="273" spans="1:33" x14ac:dyDescent="0.25">
      <c r="A273" s="7" t="s">
        <v>601</v>
      </c>
      <c r="B273" s="2" t="s">
        <v>1171</v>
      </c>
      <c r="C273" s="4" t="s">
        <v>1170</v>
      </c>
      <c r="D273" s="30">
        <f>_xlfn.IFNA(VLOOKUP(A273,'Prior Year data'!$A$1:$V$318,13,FALSE),0)</f>
        <v>174445.81370587696</v>
      </c>
      <c r="E273">
        <f>VLOOKUP(A273,'Basic HH'!$B$1:$Y$318,23,FALSE)</f>
        <v>57260.629760208853</v>
      </c>
      <c r="F273">
        <f>VLOOKUP(A273,'Conc. HH'!$B$1:$Y$318,23,FALSE)</f>
        <v>15087.232238434437</v>
      </c>
      <c r="G273">
        <f>VLOOKUP(A273,'Targeted HH'!$B$1:$Y$318,23,FALSE)</f>
        <v>37685.011818149505</v>
      </c>
      <c r="H273">
        <f>VLOOKUP(A273,'EFIG HH'!$B$1:$Y$318,23,FALSE)</f>
        <v>51798.728834780406</v>
      </c>
      <c r="I273">
        <f t="shared" si="92"/>
        <v>161831.60265157319</v>
      </c>
      <c r="J273">
        <f t="shared" si="93"/>
        <v>0</v>
      </c>
      <c r="K273" s="43">
        <f t="shared" si="94"/>
        <v>161831.60265157319</v>
      </c>
      <c r="L273">
        <f t="shared" si="95"/>
        <v>0</v>
      </c>
      <c r="M273">
        <f t="shared" si="96"/>
        <v>0</v>
      </c>
      <c r="N273" s="43">
        <f t="shared" si="97"/>
        <v>161831.60265157319</v>
      </c>
      <c r="O273">
        <f t="shared" si="98"/>
        <v>0</v>
      </c>
      <c r="P273">
        <f t="shared" si="99"/>
        <v>0</v>
      </c>
      <c r="Q273" s="43">
        <f t="shared" si="100"/>
        <v>161831.60265157319</v>
      </c>
      <c r="R273">
        <f t="shared" si="101"/>
        <v>0</v>
      </c>
      <c r="S273">
        <f t="shared" si="102"/>
        <v>0</v>
      </c>
      <c r="T273" s="43">
        <f t="shared" si="103"/>
        <v>161831.60265157319</v>
      </c>
      <c r="U273">
        <f t="shared" si="104"/>
        <v>0</v>
      </c>
      <c r="V273">
        <f t="shared" si="105"/>
        <v>0</v>
      </c>
      <c r="W273" s="43">
        <f t="shared" si="106"/>
        <v>161831.60265157319</v>
      </c>
      <c r="X273" s="43">
        <f t="shared" si="107"/>
        <v>0</v>
      </c>
      <c r="Y273" s="27">
        <f t="shared" si="108"/>
        <v>1271.0555183671388</v>
      </c>
      <c r="Z273" s="27">
        <f t="shared" si="109"/>
        <v>160560.54713320604</v>
      </c>
      <c r="AA273">
        <f t="shared" si="110"/>
        <v>0</v>
      </c>
      <c r="AB273" s="27">
        <f t="shared" si="111"/>
        <v>160560.54713320604</v>
      </c>
      <c r="AD273" s="27">
        <f t="shared" si="112"/>
        <v>0</v>
      </c>
      <c r="AE273" s="27">
        <f t="shared" si="113"/>
        <v>160560.54713320604</v>
      </c>
      <c r="AF273" s="50"/>
      <c r="AG273" t="str">
        <f t="shared" si="114"/>
        <v>5308730</v>
      </c>
    </row>
    <row r="274" spans="1:33" x14ac:dyDescent="0.25">
      <c r="A274" s="7" t="s">
        <v>234</v>
      </c>
      <c r="B274" s="2" t="s">
        <v>1173</v>
      </c>
      <c r="C274" s="4" t="s">
        <v>1172</v>
      </c>
      <c r="D274" s="30">
        <f>_xlfn.IFNA(VLOOKUP(A274,'Prior Year data'!$A$1:$V$318,13,FALSE),0)</f>
        <v>324784.30068609078</v>
      </c>
      <c r="E274">
        <f>VLOOKUP(A274,'Basic HH'!$B$1:$Y$318,23,FALSE)</f>
        <v>353543.76061329164</v>
      </c>
      <c r="F274">
        <f>VLOOKUP(A274,'Conc. HH'!$B$1:$Y$318,23,FALSE)</f>
        <v>0</v>
      </c>
      <c r="G274">
        <f>VLOOKUP(A274,'Targeted HH'!$B$1:$Y$318,23,FALSE)</f>
        <v>0</v>
      </c>
      <c r="H274">
        <f>VLOOKUP(A274,'EFIG HH'!$B$1:$Y$318,23,FALSE)</f>
        <v>0</v>
      </c>
      <c r="I274">
        <f t="shared" si="92"/>
        <v>353543.76061329164</v>
      </c>
      <c r="J274">
        <f t="shared" si="93"/>
        <v>353543.76061329164</v>
      </c>
      <c r="K274" s="43">
        <f t="shared" si="94"/>
        <v>319824.32825579634</v>
      </c>
      <c r="L274">
        <f t="shared" si="95"/>
        <v>4959.9724302944378</v>
      </c>
      <c r="M274">
        <f t="shared" si="96"/>
        <v>0</v>
      </c>
      <c r="N274" s="43">
        <f t="shared" si="97"/>
        <v>324784.30068609078</v>
      </c>
      <c r="O274">
        <f t="shared" si="98"/>
        <v>0</v>
      </c>
      <c r="P274">
        <f t="shared" si="99"/>
        <v>0</v>
      </c>
      <c r="Q274" s="43">
        <f t="shared" si="100"/>
        <v>324784.30068609078</v>
      </c>
      <c r="R274">
        <f t="shared" si="101"/>
        <v>0</v>
      </c>
      <c r="S274">
        <f t="shared" si="102"/>
        <v>0</v>
      </c>
      <c r="T274" s="43">
        <f t="shared" si="103"/>
        <v>324784.30068609078</v>
      </c>
      <c r="U274">
        <f t="shared" si="104"/>
        <v>0</v>
      </c>
      <c r="V274">
        <f t="shared" si="105"/>
        <v>0</v>
      </c>
      <c r="W274" s="43">
        <f t="shared" si="106"/>
        <v>324784.30068609078</v>
      </c>
      <c r="X274" s="43">
        <f t="shared" si="107"/>
        <v>28759.459927200864</v>
      </c>
      <c r="Y274" s="27">
        <f t="shared" si="108"/>
        <v>2550.9163284681508</v>
      </c>
      <c r="Z274" s="27">
        <f t="shared" si="109"/>
        <v>322233.38435762265</v>
      </c>
      <c r="AA274">
        <f t="shared" si="110"/>
        <v>0</v>
      </c>
      <c r="AB274" s="27">
        <f t="shared" si="111"/>
        <v>322233.38435762265</v>
      </c>
      <c r="AD274" s="27">
        <f t="shared" si="112"/>
        <v>0</v>
      </c>
      <c r="AE274" s="27">
        <f t="shared" si="113"/>
        <v>322233.38435762265</v>
      </c>
      <c r="AF274" s="50"/>
      <c r="AG274" t="str">
        <f t="shared" si="114"/>
        <v>5308760</v>
      </c>
    </row>
    <row r="275" spans="1:33" x14ac:dyDescent="0.25">
      <c r="A275" s="7" t="s">
        <v>236</v>
      </c>
      <c r="B275" s="2" t="s">
        <v>1175</v>
      </c>
      <c r="C275" s="4" t="s">
        <v>1174</v>
      </c>
      <c r="D275" s="30">
        <f>_xlfn.IFNA(VLOOKUP(A275,'Prior Year data'!$A$1:$V$318,13,FALSE),0)</f>
        <v>50364.24745951427</v>
      </c>
      <c r="E275">
        <f>VLOOKUP(A275,'Basic HH'!$B$1:$Y$318,23,FALSE)</f>
        <v>17404.891293652236</v>
      </c>
      <c r="F275">
        <f>VLOOKUP(A275,'Conc. HH'!$B$1:$Y$318,23,FALSE)</f>
        <v>4585.9020086173678</v>
      </c>
      <c r="G275">
        <f>VLOOKUP(A275,'Targeted HH'!$B$1:$Y$318,23,FALSE)</f>
        <v>8906.7222568956731</v>
      </c>
      <c r="H275">
        <f>VLOOKUP(A275,'EFIG HH'!$B$1:$Y$318,23,FALSE)</f>
        <v>12242.450479196825</v>
      </c>
      <c r="I275">
        <f t="shared" si="92"/>
        <v>43139.966038362094</v>
      </c>
      <c r="J275">
        <f t="shared" si="93"/>
        <v>0</v>
      </c>
      <c r="K275" s="43">
        <f t="shared" si="94"/>
        <v>43139.966038362094</v>
      </c>
      <c r="L275">
        <f t="shared" si="95"/>
        <v>0</v>
      </c>
      <c r="M275">
        <f t="shared" si="96"/>
        <v>0</v>
      </c>
      <c r="N275" s="43">
        <f t="shared" si="97"/>
        <v>43139.966038362094</v>
      </c>
      <c r="O275">
        <f t="shared" si="98"/>
        <v>0</v>
      </c>
      <c r="P275">
        <f t="shared" si="99"/>
        <v>0</v>
      </c>
      <c r="Q275" s="43">
        <f t="shared" si="100"/>
        <v>43139.966038362094</v>
      </c>
      <c r="R275">
        <f t="shared" si="101"/>
        <v>0</v>
      </c>
      <c r="S275">
        <f t="shared" si="102"/>
        <v>0</v>
      </c>
      <c r="T275" s="43">
        <f t="shared" si="103"/>
        <v>43139.966038362094</v>
      </c>
      <c r="U275">
        <f t="shared" si="104"/>
        <v>0</v>
      </c>
      <c r="V275">
        <f t="shared" si="105"/>
        <v>0</v>
      </c>
      <c r="W275" s="43">
        <f t="shared" si="106"/>
        <v>43139.966038362094</v>
      </c>
      <c r="X275" s="43">
        <f t="shared" si="107"/>
        <v>0</v>
      </c>
      <c r="Y275" s="27">
        <f t="shared" si="108"/>
        <v>338.82932008829141</v>
      </c>
      <c r="Z275" s="27">
        <f t="shared" si="109"/>
        <v>42801.136718273803</v>
      </c>
      <c r="AA275">
        <f t="shared" si="110"/>
        <v>0</v>
      </c>
      <c r="AB275" s="27">
        <f t="shared" si="111"/>
        <v>42801.136718273803</v>
      </c>
      <c r="AD275" s="27">
        <f t="shared" si="112"/>
        <v>0</v>
      </c>
      <c r="AE275" s="27">
        <f t="shared" si="113"/>
        <v>42801.136718273803</v>
      </c>
      <c r="AF275" s="50"/>
      <c r="AG275" t="str">
        <f t="shared" si="114"/>
        <v>5308790</v>
      </c>
    </row>
    <row r="276" spans="1:33" x14ac:dyDescent="0.25">
      <c r="A276" s="7" t="s">
        <v>303</v>
      </c>
      <c r="B276" s="2" t="s">
        <v>1177</v>
      </c>
      <c r="C276" s="4" t="s">
        <v>1176</v>
      </c>
      <c r="D276" s="30">
        <f>_xlfn.IFNA(VLOOKUP(A276,'Prior Year data'!$A$1:$V$318,13,FALSE),0)</f>
        <v>302250.98036807857</v>
      </c>
      <c r="E276">
        <f>VLOOKUP(A276,'Basic HH'!$B$1:$Y$318,23,FALSE)</f>
        <v>121212.63579507807</v>
      </c>
      <c r="F276">
        <f>VLOOKUP(A276,'Conc. HH'!$B$1:$Y$318,23,FALSE)</f>
        <v>0</v>
      </c>
      <c r="G276">
        <f>VLOOKUP(A276,'Targeted HH'!$B$1:$Y$318,23,FALSE)</f>
        <v>58269.11411508741</v>
      </c>
      <c r="H276">
        <f>VLOOKUP(A276,'EFIG HH'!$B$1:$Y$318,23,FALSE)</f>
        <v>79699.595320184497</v>
      </c>
      <c r="I276">
        <f t="shared" si="92"/>
        <v>259181.34523034998</v>
      </c>
      <c r="J276">
        <f t="shared" si="93"/>
        <v>0</v>
      </c>
      <c r="K276" s="43">
        <f t="shared" si="94"/>
        <v>259181.34523034998</v>
      </c>
      <c r="L276">
        <f t="shared" si="95"/>
        <v>0</v>
      </c>
      <c r="M276">
        <f t="shared" si="96"/>
        <v>0</v>
      </c>
      <c r="N276" s="43">
        <f t="shared" si="97"/>
        <v>259181.34523034998</v>
      </c>
      <c r="O276">
        <f t="shared" si="98"/>
        <v>0</v>
      </c>
      <c r="P276">
        <f t="shared" si="99"/>
        <v>0</v>
      </c>
      <c r="Q276" s="43">
        <f t="shared" si="100"/>
        <v>259181.34523034998</v>
      </c>
      <c r="R276">
        <f t="shared" si="101"/>
        <v>0</v>
      </c>
      <c r="S276">
        <f t="shared" si="102"/>
        <v>0</v>
      </c>
      <c r="T276" s="43">
        <f t="shared" si="103"/>
        <v>259181.34523034998</v>
      </c>
      <c r="U276">
        <f t="shared" si="104"/>
        <v>0</v>
      </c>
      <c r="V276">
        <f t="shared" si="105"/>
        <v>0</v>
      </c>
      <c r="W276" s="43">
        <f t="shared" si="106"/>
        <v>259181.34523034998</v>
      </c>
      <c r="X276" s="43">
        <f t="shared" si="107"/>
        <v>0</v>
      </c>
      <c r="Y276" s="27">
        <f t="shared" si="108"/>
        <v>2035.65850992734</v>
      </c>
      <c r="Z276" s="27">
        <f t="shared" si="109"/>
        <v>257145.68672042264</v>
      </c>
      <c r="AA276">
        <f t="shared" si="110"/>
        <v>0</v>
      </c>
      <c r="AB276" s="27">
        <f t="shared" si="111"/>
        <v>257145.68672042264</v>
      </c>
      <c r="AD276" s="27">
        <f t="shared" si="112"/>
        <v>0</v>
      </c>
      <c r="AE276" s="27">
        <f t="shared" si="113"/>
        <v>257145.68672042264</v>
      </c>
      <c r="AF276" s="50"/>
      <c r="AG276" t="str">
        <f t="shared" si="114"/>
        <v>5308820</v>
      </c>
    </row>
    <row r="277" spans="1:33" x14ac:dyDescent="0.25">
      <c r="A277" s="7" t="s">
        <v>238</v>
      </c>
      <c r="B277" s="2" t="s">
        <v>1179</v>
      </c>
      <c r="C277" s="4" t="s">
        <v>1178</v>
      </c>
      <c r="D277" s="30">
        <f>_xlfn.IFNA(VLOOKUP(A277,'Prior Year data'!$A$1:$V$318,13,FALSE),0)</f>
        <v>55466.868723478568</v>
      </c>
      <c r="E277">
        <f>VLOOKUP(A277,'Basic HH'!$B$1:$Y$318,23,FALSE)</f>
        <v>25504.400641257336</v>
      </c>
      <c r="F277">
        <f>VLOOKUP(A277,'Conc. HH'!$B$1:$Y$318,23,FALSE)</f>
        <v>4028.3803553307512</v>
      </c>
      <c r="G277">
        <f>VLOOKUP(A277,'Targeted HH'!$B$1:$Y$318,23,FALSE)</f>
        <v>12334.338024361572</v>
      </c>
      <c r="H277">
        <f>VLOOKUP(A277,'EFIG HH'!$B$1:$Y$318,23,FALSE)</f>
        <v>16367.355409157184</v>
      </c>
      <c r="I277">
        <f t="shared" si="92"/>
        <v>58234.474430106842</v>
      </c>
      <c r="J277">
        <f t="shared" si="93"/>
        <v>58234.474430106842</v>
      </c>
      <c r="K277" s="43">
        <f t="shared" si="94"/>
        <v>52680.329115778659</v>
      </c>
      <c r="L277">
        <f t="shared" si="95"/>
        <v>2786.5396076999095</v>
      </c>
      <c r="M277">
        <f t="shared" si="96"/>
        <v>0</v>
      </c>
      <c r="N277" s="43">
        <f t="shared" si="97"/>
        <v>55466.868723478568</v>
      </c>
      <c r="O277">
        <f t="shared" si="98"/>
        <v>0</v>
      </c>
      <c r="P277">
        <f t="shared" si="99"/>
        <v>0</v>
      </c>
      <c r="Q277" s="43">
        <f t="shared" si="100"/>
        <v>55466.868723478568</v>
      </c>
      <c r="R277">
        <f t="shared" si="101"/>
        <v>0</v>
      </c>
      <c r="S277">
        <f t="shared" si="102"/>
        <v>0</v>
      </c>
      <c r="T277" s="43">
        <f t="shared" si="103"/>
        <v>55466.868723478568</v>
      </c>
      <c r="U277">
        <f t="shared" si="104"/>
        <v>0</v>
      </c>
      <c r="V277">
        <f t="shared" si="105"/>
        <v>0</v>
      </c>
      <c r="W277" s="43">
        <f t="shared" si="106"/>
        <v>55466.868723478568</v>
      </c>
      <c r="X277" s="43">
        <f t="shared" si="107"/>
        <v>2767.6057066282738</v>
      </c>
      <c r="Y277" s="27">
        <f t="shared" si="108"/>
        <v>435.64710737811953</v>
      </c>
      <c r="Z277" s="27">
        <f t="shared" si="109"/>
        <v>55031.221616100447</v>
      </c>
      <c r="AA277">
        <f t="shared" si="110"/>
        <v>0</v>
      </c>
      <c r="AB277" s="27">
        <f t="shared" si="111"/>
        <v>55031.221616100447</v>
      </c>
      <c r="AD277" s="27">
        <f t="shared" si="112"/>
        <v>0</v>
      </c>
      <c r="AE277" s="27">
        <f t="shared" si="113"/>
        <v>55031.221616100447</v>
      </c>
      <c r="AF277" s="50"/>
      <c r="AG277" t="str">
        <f t="shared" si="114"/>
        <v>5308850</v>
      </c>
    </row>
    <row r="278" spans="1:33" x14ac:dyDescent="0.25">
      <c r="A278" s="7" t="s">
        <v>240</v>
      </c>
      <c r="B278" s="2" t="s">
        <v>1181</v>
      </c>
      <c r="C278" s="4" t="s">
        <v>1180</v>
      </c>
      <c r="D278" s="30">
        <f>_xlfn.IFNA(VLOOKUP(A278,'Prior Year data'!$A$1:$V$318,13,FALSE),0)</f>
        <v>140038.34133820873</v>
      </c>
      <c r="E278">
        <f>VLOOKUP(A278,'Basic HH'!$B$1:$Y$318,23,FALSE)</f>
        <v>64200.732648682264</v>
      </c>
      <c r="F278">
        <f>VLOOKUP(A278,'Conc. HH'!$B$1:$Y$318,23,FALSE)</f>
        <v>0</v>
      </c>
      <c r="G278">
        <f>VLOOKUP(A278,'Targeted HH'!$B$1:$Y$318,23,FALSE)</f>
        <v>31048.506061323966</v>
      </c>
      <c r="H278">
        <f>VLOOKUP(A278,'EFIG HH'!$B$1:$Y$318,23,FALSE)</f>
        <v>41200.584305809476</v>
      </c>
      <c r="I278">
        <f t="shared" si="92"/>
        <v>136449.82301581569</v>
      </c>
      <c r="J278">
        <f t="shared" si="93"/>
        <v>0</v>
      </c>
      <c r="K278" s="43">
        <f t="shared" si="94"/>
        <v>136449.82301581569</v>
      </c>
      <c r="L278">
        <f t="shared" si="95"/>
        <v>0</v>
      </c>
      <c r="M278">
        <f t="shared" si="96"/>
        <v>0</v>
      </c>
      <c r="N278" s="43">
        <f t="shared" si="97"/>
        <v>136449.82301581569</v>
      </c>
      <c r="O278">
        <f t="shared" si="98"/>
        <v>0</v>
      </c>
      <c r="P278">
        <f t="shared" si="99"/>
        <v>0</v>
      </c>
      <c r="Q278" s="43">
        <f t="shared" si="100"/>
        <v>136449.82301581569</v>
      </c>
      <c r="R278">
        <f t="shared" si="101"/>
        <v>0</v>
      </c>
      <c r="S278">
        <f t="shared" si="102"/>
        <v>0</v>
      </c>
      <c r="T278" s="43">
        <f t="shared" si="103"/>
        <v>136449.82301581569</v>
      </c>
      <c r="U278">
        <f t="shared" si="104"/>
        <v>0</v>
      </c>
      <c r="V278">
        <f t="shared" si="105"/>
        <v>0</v>
      </c>
      <c r="W278" s="43">
        <f t="shared" si="106"/>
        <v>136449.82301581569</v>
      </c>
      <c r="X278" s="43">
        <f t="shared" si="107"/>
        <v>0</v>
      </c>
      <c r="Y278" s="27">
        <f t="shared" si="108"/>
        <v>1071.7022984557705</v>
      </c>
      <c r="Z278" s="27">
        <f t="shared" si="109"/>
        <v>135378.12071735991</v>
      </c>
      <c r="AA278">
        <f t="shared" si="110"/>
        <v>0</v>
      </c>
      <c r="AB278" s="27">
        <f t="shared" si="111"/>
        <v>135378.12071735991</v>
      </c>
      <c r="AD278" s="27">
        <f t="shared" si="112"/>
        <v>0</v>
      </c>
      <c r="AE278" s="27">
        <f t="shared" si="113"/>
        <v>135378.12071735991</v>
      </c>
      <c r="AF278" s="50"/>
      <c r="AG278" t="str">
        <f t="shared" si="114"/>
        <v>5308910</v>
      </c>
    </row>
    <row r="279" spans="1:33" x14ac:dyDescent="0.25">
      <c r="A279" s="7" t="s">
        <v>603</v>
      </c>
      <c r="B279" s="2" t="s">
        <v>1183</v>
      </c>
      <c r="C279" s="8" t="s">
        <v>1182</v>
      </c>
      <c r="D279" s="30">
        <f>_xlfn.IFNA(VLOOKUP(A279,'Prior Year data'!$A$1:$V$318,13,FALSE),0)</f>
        <v>695270.17561342602</v>
      </c>
      <c r="E279">
        <f>VLOOKUP(A279,'Basic HH'!$B$1:$Y$318,23,FALSE)</f>
        <v>243610.99922856147</v>
      </c>
      <c r="F279">
        <f>VLOOKUP(A279,'Conc. HH'!$B$1:$Y$318,23,FALSE)</f>
        <v>65671.161249099663</v>
      </c>
      <c r="G279">
        <f>VLOOKUP(A279,'Targeted HH'!$B$1:$Y$318,23,FALSE)</f>
        <v>162885.93881846627</v>
      </c>
      <c r="H279">
        <f>VLOOKUP(A279,'EFIG HH'!$B$1:$Y$318,23,FALSE)</f>
        <v>216145.53180968657</v>
      </c>
      <c r="I279">
        <f t="shared" si="92"/>
        <v>688313.6311058139</v>
      </c>
      <c r="J279">
        <f t="shared" si="93"/>
        <v>0</v>
      </c>
      <c r="K279" s="43">
        <f t="shared" si="94"/>
        <v>688313.6311058139</v>
      </c>
      <c r="L279">
        <f t="shared" si="95"/>
        <v>0</v>
      </c>
      <c r="M279">
        <f t="shared" si="96"/>
        <v>0</v>
      </c>
      <c r="N279" s="43">
        <f t="shared" si="97"/>
        <v>688313.6311058139</v>
      </c>
      <c r="O279">
        <f t="shared" si="98"/>
        <v>0</v>
      </c>
      <c r="P279">
        <f t="shared" si="99"/>
        <v>0</v>
      </c>
      <c r="Q279" s="43">
        <f t="shared" si="100"/>
        <v>688313.6311058139</v>
      </c>
      <c r="R279">
        <f t="shared" si="101"/>
        <v>0</v>
      </c>
      <c r="S279">
        <f t="shared" si="102"/>
        <v>0</v>
      </c>
      <c r="T279" s="43">
        <f t="shared" si="103"/>
        <v>688313.6311058139</v>
      </c>
      <c r="U279">
        <f t="shared" si="104"/>
        <v>0</v>
      </c>
      <c r="V279">
        <f t="shared" si="105"/>
        <v>0</v>
      </c>
      <c r="W279" s="43">
        <f t="shared" si="106"/>
        <v>688313.6311058139</v>
      </c>
      <c r="X279" s="43">
        <f t="shared" si="107"/>
        <v>0</v>
      </c>
      <c r="Y279" s="27">
        <f t="shared" si="108"/>
        <v>5406.1433295449278</v>
      </c>
      <c r="Z279" s="27">
        <f t="shared" si="109"/>
        <v>682907.48777626897</v>
      </c>
      <c r="AA279">
        <f t="shared" si="110"/>
        <v>0</v>
      </c>
      <c r="AB279" s="27">
        <f t="shared" si="111"/>
        <v>682907.48777626897</v>
      </c>
      <c r="AD279" s="27">
        <f t="shared" si="112"/>
        <v>0</v>
      </c>
      <c r="AE279" s="27">
        <f t="shared" si="113"/>
        <v>682907.48777626897</v>
      </c>
      <c r="AF279" s="50"/>
      <c r="AG279" t="str">
        <f t="shared" si="114"/>
        <v>5308940</v>
      </c>
    </row>
    <row r="280" spans="1:33" x14ac:dyDescent="0.25">
      <c r="A280" s="7" t="s">
        <v>605</v>
      </c>
      <c r="B280" s="2" t="s">
        <v>1185</v>
      </c>
      <c r="C280" s="4" t="s">
        <v>1184</v>
      </c>
      <c r="D280" s="30">
        <f>_xlfn.IFNA(VLOOKUP(A280,'Prior Year data'!$A$1:$V$318,13,FALSE),0)</f>
        <v>1496116.6728835264</v>
      </c>
      <c r="E280">
        <f>VLOOKUP(A280,'Basic HH'!$B$1:$Y$318,23,FALSE)</f>
        <v>635851.09184927796</v>
      </c>
      <c r="F280">
        <f>VLOOKUP(A280,'Conc. HH'!$B$1:$Y$318,23,FALSE)</f>
        <v>171408.84326028544</v>
      </c>
      <c r="G280">
        <f>VLOOKUP(A280,'Targeted HH'!$B$1:$Y$318,23,FALSE)</f>
        <v>366677.5400592254</v>
      </c>
      <c r="H280">
        <f>VLOOKUP(A280,'EFIG HH'!$B$1:$Y$318,23,FALSE)</f>
        <v>486571.84575703688</v>
      </c>
      <c r="I280">
        <f t="shared" si="92"/>
        <v>1660509.3209258257</v>
      </c>
      <c r="J280">
        <f t="shared" si="93"/>
        <v>1660509.3209258257</v>
      </c>
      <c r="K280" s="43">
        <f t="shared" si="94"/>
        <v>1502137.322990349</v>
      </c>
      <c r="L280">
        <f t="shared" si="95"/>
        <v>0</v>
      </c>
      <c r="M280">
        <f t="shared" si="96"/>
        <v>6020.6501068226062</v>
      </c>
      <c r="N280" s="43">
        <f t="shared" si="97"/>
        <v>1499966.3774087871</v>
      </c>
      <c r="O280">
        <f t="shared" si="98"/>
        <v>0</v>
      </c>
      <c r="P280">
        <f t="shared" si="99"/>
        <v>3849.7045252607204</v>
      </c>
      <c r="Q280" s="43">
        <f t="shared" si="100"/>
        <v>1499966.3774087871</v>
      </c>
      <c r="R280">
        <f t="shared" si="101"/>
        <v>0</v>
      </c>
      <c r="S280">
        <f t="shared" si="102"/>
        <v>3849.7045252607204</v>
      </c>
      <c r="T280" s="43">
        <f t="shared" si="103"/>
        <v>1499966.3774087871</v>
      </c>
      <c r="U280">
        <f t="shared" si="104"/>
        <v>0</v>
      </c>
      <c r="V280">
        <f t="shared" si="105"/>
        <v>3849.7045252607204</v>
      </c>
      <c r="W280" s="43">
        <f t="shared" si="106"/>
        <v>1499966.3774087871</v>
      </c>
      <c r="X280" s="43">
        <f t="shared" si="107"/>
        <v>160542.9435170386</v>
      </c>
      <c r="Y280" s="27">
        <f t="shared" si="108"/>
        <v>11781.015018898544</v>
      </c>
      <c r="Z280" s="27">
        <f t="shared" si="109"/>
        <v>1488185.3623898886</v>
      </c>
      <c r="AA280">
        <f t="shared" si="110"/>
        <v>0</v>
      </c>
      <c r="AB280" s="27">
        <f t="shared" si="111"/>
        <v>1488185.3623898886</v>
      </c>
      <c r="AD280" s="27">
        <f t="shared" si="112"/>
        <v>0</v>
      </c>
      <c r="AE280" s="27">
        <f t="shared" si="113"/>
        <v>1488185.3623898886</v>
      </c>
      <c r="AF280" s="50"/>
      <c r="AG280" t="str">
        <f t="shared" si="114"/>
        <v>5308970</v>
      </c>
    </row>
    <row r="281" spans="1:33" x14ac:dyDescent="0.25">
      <c r="A281" s="7" t="s">
        <v>242</v>
      </c>
      <c r="B281" s="2" t="s">
        <v>1187</v>
      </c>
      <c r="C281" s="4" t="s">
        <v>1186</v>
      </c>
      <c r="D281" s="30">
        <f>_xlfn.IFNA(VLOOKUP(A281,'Prior Year data'!$A$1:$V$318,13,FALSE),0)</f>
        <v>41542.879454006383</v>
      </c>
      <c r="E281">
        <f>VLOOKUP(A281,'Basic HH'!$B$1:$Y$318,23,FALSE)</f>
        <v>18468.703912634628</v>
      </c>
      <c r="F281">
        <f>VLOOKUP(A281,'Conc. HH'!$B$1:$Y$318,23,FALSE)</f>
        <v>0</v>
      </c>
      <c r="G281">
        <f>VLOOKUP(A281,'Targeted HH'!$B$1:$Y$318,23,FALSE)</f>
        <v>8931.7620176411365</v>
      </c>
      <c r="H281">
        <f>VLOOKUP(A281,'EFIG HH'!$B$1:$Y$318,23,FALSE)</f>
        <v>11852.222882493134</v>
      </c>
      <c r="I281">
        <f t="shared" si="92"/>
        <v>39252.688812768902</v>
      </c>
      <c r="J281">
        <f t="shared" si="93"/>
        <v>0</v>
      </c>
      <c r="K281" s="43">
        <f t="shared" si="94"/>
        <v>39252.688812768902</v>
      </c>
      <c r="L281">
        <f t="shared" si="95"/>
        <v>0</v>
      </c>
      <c r="M281">
        <f t="shared" si="96"/>
        <v>0</v>
      </c>
      <c r="N281" s="43">
        <f t="shared" si="97"/>
        <v>39252.688812768902</v>
      </c>
      <c r="O281">
        <f t="shared" si="98"/>
        <v>0</v>
      </c>
      <c r="P281">
        <f t="shared" si="99"/>
        <v>0</v>
      </c>
      <c r="Q281" s="43">
        <f t="shared" si="100"/>
        <v>39252.688812768902</v>
      </c>
      <c r="R281">
        <f t="shared" si="101"/>
        <v>0</v>
      </c>
      <c r="S281">
        <f t="shared" si="102"/>
        <v>0</v>
      </c>
      <c r="T281" s="43">
        <f t="shared" si="103"/>
        <v>39252.688812768902</v>
      </c>
      <c r="U281">
        <f t="shared" si="104"/>
        <v>0</v>
      </c>
      <c r="V281">
        <f t="shared" si="105"/>
        <v>0</v>
      </c>
      <c r="W281" s="43">
        <f t="shared" si="106"/>
        <v>39252.688812768902</v>
      </c>
      <c r="X281" s="43">
        <f t="shared" si="107"/>
        <v>0</v>
      </c>
      <c r="Y281" s="27">
        <f t="shared" si="108"/>
        <v>308.29792147357784</v>
      </c>
      <c r="Z281" s="27">
        <f t="shared" si="109"/>
        <v>38944.390891295327</v>
      </c>
      <c r="AA281">
        <f t="shared" si="110"/>
        <v>0</v>
      </c>
      <c r="AB281" s="27">
        <f t="shared" si="111"/>
        <v>38944.390891295327</v>
      </c>
      <c r="AD281" s="27">
        <f t="shared" si="112"/>
        <v>0</v>
      </c>
      <c r="AE281" s="27">
        <f t="shared" si="113"/>
        <v>38944.390891295327</v>
      </c>
      <c r="AF281" s="50"/>
      <c r="AG281" t="str">
        <f t="shared" si="114"/>
        <v>5309000</v>
      </c>
    </row>
    <row r="282" spans="1:33" x14ac:dyDescent="0.25">
      <c r="A282" s="7" t="s">
        <v>244</v>
      </c>
      <c r="B282" s="2" t="s">
        <v>1189</v>
      </c>
      <c r="C282" s="4" t="s">
        <v>1188</v>
      </c>
      <c r="D282" s="30">
        <f>_xlfn.IFNA(VLOOKUP(A282,'Prior Year data'!$A$1:$V$318,13,FALSE),0)</f>
        <v>131853.26499628628</v>
      </c>
      <c r="E282">
        <f>VLOOKUP(A282,'Basic HH'!$B$1:$Y$318,23,FALSE)</f>
        <v>70356.96728622714</v>
      </c>
      <c r="F282">
        <f>VLOOKUP(A282,'Conc. HH'!$B$1:$Y$318,23,FALSE)</f>
        <v>0</v>
      </c>
      <c r="G282">
        <f>VLOOKUP(A282,'Targeted HH'!$B$1:$Y$318,23,FALSE)</f>
        <v>34025.760067204326</v>
      </c>
      <c r="H282">
        <f>VLOOKUP(A282,'EFIG HH'!$B$1:$Y$318,23,FALSE)</f>
        <v>45151.32526664051</v>
      </c>
      <c r="I282">
        <f t="shared" si="92"/>
        <v>149534.05262007198</v>
      </c>
      <c r="J282">
        <f t="shared" si="93"/>
        <v>149534.05262007198</v>
      </c>
      <c r="K282" s="43">
        <f t="shared" si="94"/>
        <v>135272.15937178509</v>
      </c>
      <c r="L282">
        <f t="shared" si="95"/>
        <v>0</v>
      </c>
      <c r="M282">
        <f t="shared" si="96"/>
        <v>3418.894375498814</v>
      </c>
      <c r="N282" s="43">
        <f t="shared" si="97"/>
        <v>134039.36332706807</v>
      </c>
      <c r="O282">
        <f t="shared" si="98"/>
        <v>0</v>
      </c>
      <c r="P282">
        <f t="shared" si="99"/>
        <v>2186.0983307817951</v>
      </c>
      <c r="Q282" s="43">
        <f t="shared" si="100"/>
        <v>134039.36332706807</v>
      </c>
      <c r="R282">
        <f t="shared" si="101"/>
        <v>0</v>
      </c>
      <c r="S282">
        <f t="shared" si="102"/>
        <v>2186.0983307817951</v>
      </c>
      <c r="T282" s="43">
        <f t="shared" si="103"/>
        <v>134039.36332706807</v>
      </c>
      <c r="U282">
        <f t="shared" si="104"/>
        <v>0</v>
      </c>
      <c r="V282">
        <f t="shared" si="105"/>
        <v>2186.0983307817951</v>
      </c>
      <c r="W282" s="43">
        <f t="shared" si="106"/>
        <v>134039.36332706807</v>
      </c>
      <c r="X282" s="43">
        <f t="shared" si="107"/>
        <v>15494.689293003903</v>
      </c>
      <c r="Y282" s="27">
        <f t="shared" si="108"/>
        <v>1052.7700995589908</v>
      </c>
      <c r="Z282" s="27">
        <f t="shared" si="109"/>
        <v>132986.59322750909</v>
      </c>
      <c r="AA282">
        <f t="shared" si="110"/>
        <v>0</v>
      </c>
      <c r="AB282" s="27">
        <f t="shared" si="111"/>
        <v>132986.59322750909</v>
      </c>
      <c r="AD282" s="27">
        <f t="shared" si="112"/>
        <v>0</v>
      </c>
      <c r="AE282" s="27">
        <f t="shared" si="113"/>
        <v>132986.59322750909</v>
      </c>
      <c r="AF282" s="50"/>
      <c r="AG282" t="str">
        <f t="shared" si="114"/>
        <v>5309030</v>
      </c>
    </row>
    <row r="283" spans="1:33" x14ac:dyDescent="0.25">
      <c r="A283" s="7" t="s">
        <v>607</v>
      </c>
      <c r="B283" s="2" t="s">
        <v>1191</v>
      </c>
      <c r="C283" s="4" t="s">
        <v>1190</v>
      </c>
      <c r="D283" s="30">
        <f>_xlfn.IFNA(VLOOKUP(A283,'Prior Year data'!$A$1:$V$318,13,FALSE),0)</f>
        <v>94089.05002767095</v>
      </c>
      <c r="E283">
        <f>VLOOKUP(A283,'Basic HH'!$B$1:$Y$318,23,FALSE)</f>
        <v>35194.219148596385</v>
      </c>
      <c r="F283">
        <f>VLOOKUP(A283,'Conc. HH'!$B$1:$Y$318,23,FALSE)</f>
        <v>9468.6145474338773</v>
      </c>
      <c r="G283">
        <f>VLOOKUP(A283,'Targeted HH'!$B$1:$Y$318,23,FALSE)</f>
        <v>20901.254309795146</v>
      </c>
      <c r="H283">
        <f>VLOOKUP(A283,'EFIG HH'!$B$1:$Y$318,23,FALSE)</f>
        <v>28351.929876698996</v>
      </c>
      <c r="I283">
        <f t="shared" si="92"/>
        <v>93916.017882524407</v>
      </c>
      <c r="J283">
        <f t="shared" si="93"/>
        <v>0</v>
      </c>
      <c r="K283" s="43">
        <f t="shared" si="94"/>
        <v>93916.017882524407</v>
      </c>
      <c r="L283">
        <f t="shared" si="95"/>
        <v>0</v>
      </c>
      <c r="M283">
        <f t="shared" si="96"/>
        <v>0</v>
      </c>
      <c r="N283" s="43">
        <f t="shared" si="97"/>
        <v>93916.017882524407</v>
      </c>
      <c r="O283">
        <f t="shared" si="98"/>
        <v>0</v>
      </c>
      <c r="P283">
        <f t="shared" si="99"/>
        <v>0</v>
      </c>
      <c r="Q283" s="43">
        <f t="shared" si="100"/>
        <v>93916.017882524407</v>
      </c>
      <c r="R283">
        <f t="shared" si="101"/>
        <v>0</v>
      </c>
      <c r="S283">
        <f t="shared" si="102"/>
        <v>0</v>
      </c>
      <c r="T283" s="43">
        <f t="shared" si="103"/>
        <v>93916.017882524407</v>
      </c>
      <c r="U283">
        <f t="shared" si="104"/>
        <v>0</v>
      </c>
      <c r="V283">
        <f t="shared" si="105"/>
        <v>0</v>
      </c>
      <c r="W283" s="43">
        <f t="shared" si="106"/>
        <v>93916.017882524407</v>
      </c>
      <c r="X283" s="43">
        <f t="shared" si="107"/>
        <v>0</v>
      </c>
      <c r="Y283" s="27">
        <f t="shared" si="108"/>
        <v>737.63387890102615</v>
      </c>
      <c r="Z283" s="27">
        <f t="shared" si="109"/>
        <v>93178.384003623374</v>
      </c>
      <c r="AA283">
        <f t="shared" si="110"/>
        <v>0</v>
      </c>
      <c r="AB283" s="27">
        <f t="shared" si="111"/>
        <v>93178.384003623374</v>
      </c>
      <c r="AD283" s="27">
        <f t="shared" si="112"/>
        <v>0</v>
      </c>
      <c r="AE283" s="27">
        <f t="shared" si="113"/>
        <v>93178.384003623374</v>
      </c>
      <c r="AF283" s="50"/>
      <c r="AG283" t="str">
        <f t="shared" si="114"/>
        <v>5309060</v>
      </c>
    </row>
    <row r="284" spans="1:33" x14ac:dyDescent="0.25">
      <c r="A284" s="7" t="s">
        <v>60</v>
      </c>
      <c r="B284" s="2" t="s">
        <v>1192</v>
      </c>
      <c r="C284" s="4" t="s">
        <v>43</v>
      </c>
      <c r="D284" s="30">
        <f>_xlfn.IFNA(VLOOKUP(A284,'Prior Year data'!$A$1:$V$318,13,FALSE),0)</f>
        <v>1061616.6645685809</v>
      </c>
      <c r="E284">
        <f>VLOOKUP(A284,'Basic HH'!$B$1:$Y$318,23,FALSE)</f>
        <v>403208.15060959721</v>
      </c>
      <c r="F284">
        <f>VLOOKUP(A284,'Conc. HH'!$B$1:$Y$318,23,FALSE)</f>
        <v>108694.38391322711</v>
      </c>
      <c r="G284">
        <f>VLOOKUP(A284,'Targeted HH'!$B$1:$Y$318,23,FALSE)</f>
        <v>234890.54199044674</v>
      </c>
      <c r="H284">
        <f>VLOOKUP(A284,'EFIG HH'!$B$1:$Y$318,23,FALSE)</f>
        <v>312927.40483419283</v>
      </c>
      <c r="I284">
        <f t="shared" si="92"/>
        <v>1059720.481347464</v>
      </c>
      <c r="J284">
        <f t="shared" si="93"/>
        <v>0</v>
      </c>
      <c r="K284" s="43">
        <f t="shared" si="94"/>
        <v>1059720.481347464</v>
      </c>
      <c r="L284">
        <f t="shared" si="95"/>
        <v>0</v>
      </c>
      <c r="M284">
        <f t="shared" si="96"/>
        <v>0</v>
      </c>
      <c r="N284" s="43">
        <f t="shared" si="97"/>
        <v>1059720.481347464</v>
      </c>
      <c r="O284">
        <f t="shared" si="98"/>
        <v>0</v>
      </c>
      <c r="P284">
        <f t="shared" si="99"/>
        <v>0</v>
      </c>
      <c r="Q284" s="43">
        <f t="shared" si="100"/>
        <v>1059720.481347464</v>
      </c>
      <c r="R284">
        <f t="shared" si="101"/>
        <v>0</v>
      </c>
      <c r="S284">
        <f t="shared" si="102"/>
        <v>0</v>
      </c>
      <c r="T284" s="43">
        <f t="shared" si="103"/>
        <v>1059720.481347464</v>
      </c>
      <c r="U284">
        <f t="shared" si="104"/>
        <v>0</v>
      </c>
      <c r="V284">
        <f t="shared" si="105"/>
        <v>0</v>
      </c>
      <c r="W284" s="43">
        <f t="shared" si="106"/>
        <v>1059720.481347464</v>
      </c>
      <c r="X284" s="43">
        <f t="shared" si="107"/>
        <v>0</v>
      </c>
      <c r="Y284" s="27">
        <f t="shared" si="108"/>
        <v>8323.2418370311461</v>
      </c>
      <c r="Z284" s="27">
        <f t="shared" si="109"/>
        <v>1051397.2395104328</v>
      </c>
      <c r="AA284">
        <f t="shared" si="110"/>
        <v>0</v>
      </c>
      <c r="AB284" s="27">
        <f t="shared" si="111"/>
        <v>1051397.2395104328</v>
      </c>
      <c r="AD284" s="27">
        <f t="shared" si="112"/>
        <v>0</v>
      </c>
      <c r="AE284" s="27">
        <f t="shared" si="113"/>
        <v>1051397.2395104328</v>
      </c>
      <c r="AF284" s="50"/>
      <c r="AG284" t="str">
        <f t="shared" si="114"/>
        <v>5308130</v>
      </c>
    </row>
    <row r="285" spans="1:33" x14ac:dyDescent="0.25">
      <c r="A285" s="7" t="s">
        <v>246</v>
      </c>
      <c r="B285" s="2" t="s">
        <v>1194</v>
      </c>
      <c r="C285" s="4" t="s">
        <v>1193</v>
      </c>
      <c r="D285" s="30">
        <f>_xlfn.IFNA(VLOOKUP(A285,'Prior Year data'!$A$1:$V$318,13,FALSE),0)</f>
        <v>1137579.5122597734</v>
      </c>
      <c r="E285">
        <f>VLOOKUP(A285,'Basic HH'!$B$1:$Y$318,23,FALSE)</f>
        <v>485463.07427496719</v>
      </c>
      <c r="F285">
        <f>VLOOKUP(A285,'Conc. HH'!$B$1:$Y$318,23,FALSE)</f>
        <v>0</v>
      </c>
      <c r="G285">
        <f>VLOOKUP(A285,'Targeted HH'!$B$1:$Y$318,23,FALSE)</f>
        <v>234777.74446370997</v>
      </c>
      <c r="H285">
        <f>VLOOKUP(A285,'EFIG HH'!$B$1:$Y$318,23,FALSE)</f>
        <v>311544.14433981956</v>
      </c>
      <c r="I285">
        <f t="shared" si="92"/>
        <v>1031784.9630784967</v>
      </c>
      <c r="J285">
        <f t="shared" si="93"/>
        <v>0</v>
      </c>
      <c r="K285" s="43">
        <f t="shared" si="94"/>
        <v>1031784.9630784967</v>
      </c>
      <c r="L285">
        <f t="shared" si="95"/>
        <v>0</v>
      </c>
      <c r="M285">
        <f t="shared" si="96"/>
        <v>0</v>
      </c>
      <c r="N285" s="43">
        <f t="shared" si="97"/>
        <v>1031784.9630784967</v>
      </c>
      <c r="O285">
        <f t="shared" si="98"/>
        <v>0</v>
      </c>
      <c r="P285">
        <f t="shared" si="99"/>
        <v>0</v>
      </c>
      <c r="Q285" s="43">
        <f t="shared" si="100"/>
        <v>1031784.9630784967</v>
      </c>
      <c r="R285">
        <f t="shared" si="101"/>
        <v>0</v>
      </c>
      <c r="S285">
        <f t="shared" si="102"/>
        <v>0</v>
      </c>
      <c r="T285" s="43">
        <f t="shared" si="103"/>
        <v>1031784.9630784967</v>
      </c>
      <c r="U285">
        <f t="shared" si="104"/>
        <v>0</v>
      </c>
      <c r="V285">
        <f t="shared" si="105"/>
        <v>0</v>
      </c>
      <c r="W285" s="43">
        <f t="shared" si="106"/>
        <v>1031784.9630784967</v>
      </c>
      <c r="X285" s="43">
        <f t="shared" si="107"/>
        <v>0</v>
      </c>
      <c r="Y285" s="27">
        <f t="shared" si="108"/>
        <v>8103.8310787340442</v>
      </c>
      <c r="Z285" s="27">
        <f t="shared" si="109"/>
        <v>1023681.1319997627</v>
      </c>
      <c r="AA285">
        <f t="shared" si="110"/>
        <v>0</v>
      </c>
      <c r="AB285" s="27">
        <f t="shared" si="111"/>
        <v>1023681.1319997627</v>
      </c>
      <c r="AD285" s="27">
        <f t="shared" si="112"/>
        <v>0</v>
      </c>
      <c r="AE285" s="27">
        <f t="shared" si="113"/>
        <v>1023681.1319997627</v>
      </c>
      <c r="AF285" s="50"/>
      <c r="AG285" t="str">
        <f t="shared" si="114"/>
        <v>5309100</v>
      </c>
    </row>
    <row r="286" spans="1:33" x14ac:dyDescent="0.25">
      <c r="A286" s="7" t="s">
        <v>609</v>
      </c>
      <c r="B286" s="2" t="s">
        <v>1196</v>
      </c>
      <c r="C286" s="4" t="s">
        <v>1195</v>
      </c>
      <c r="D286" s="30">
        <f>_xlfn.IFNA(VLOOKUP(A286,'Prior Year data'!$A$1:$V$318,13,FALSE),0)</f>
        <v>590652.77937163634</v>
      </c>
      <c r="E286">
        <f>VLOOKUP(A286,'Basic HH'!$B$1:$Y$318,23,FALSE)</f>
        <v>222503.90904269335</v>
      </c>
      <c r="F286">
        <f>VLOOKUP(A286,'Conc. HH'!$B$1:$Y$318,23,FALSE)</f>
        <v>59981.241140874452</v>
      </c>
      <c r="G286">
        <f>VLOOKUP(A286,'Targeted HH'!$B$1:$Y$318,23,FALSE)</f>
        <v>175490.24998286105</v>
      </c>
      <c r="H286">
        <f>VLOOKUP(A286,'EFIG HH'!$B$1:$Y$318,23,FALSE)</f>
        <v>232871.13476525623</v>
      </c>
      <c r="I286">
        <f t="shared" si="92"/>
        <v>690846.53493168508</v>
      </c>
      <c r="J286">
        <f t="shared" si="93"/>
        <v>690846.53493168508</v>
      </c>
      <c r="K286" s="43">
        <f t="shared" si="94"/>
        <v>624956.66329704144</v>
      </c>
      <c r="L286">
        <f t="shared" si="95"/>
        <v>0</v>
      </c>
      <c r="M286">
        <f t="shared" si="96"/>
        <v>34303.883925405098</v>
      </c>
      <c r="N286" s="43">
        <f t="shared" si="97"/>
        <v>612587.25734968716</v>
      </c>
      <c r="O286">
        <f t="shared" si="98"/>
        <v>0</v>
      </c>
      <c r="P286">
        <f t="shared" si="99"/>
        <v>21934.477978050825</v>
      </c>
      <c r="Q286" s="43">
        <f t="shared" si="100"/>
        <v>612587.25734968716</v>
      </c>
      <c r="R286">
        <f t="shared" si="101"/>
        <v>0</v>
      </c>
      <c r="S286">
        <f t="shared" si="102"/>
        <v>21934.477978050825</v>
      </c>
      <c r="T286" s="43">
        <f t="shared" si="103"/>
        <v>612587.25734968716</v>
      </c>
      <c r="U286">
        <f t="shared" si="104"/>
        <v>0</v>
      </c>
      <c r="V286">
        <f t="shared" si="105"/>
        <v>21934.477978050825</v>
      </c>
      <c r="W286" s="43">
        <f t="shared" si="106"/>
        <v>612587.25734968716</v>
      </c>
      <c r="X286" s="43">
        <f t="shared" si="107"/>
        <v>78259.277581997914</v>
      </c>
      <c r="Y286" s="27">
        <f t="shared" si="108"/>
        <v>4811.37430006253</v>
      </c>
      <c r="Z286" s="27">
        <f t="shared" si="109"/>
        <v>607775.88304962462</v>
      </c>
      <c r="AA286">
        <f t="shared" si="110"/>
        <v>0</v>
      </c>
      <c r="AB286" s="27">
        <f t="shared" si="111"/>
        <v>607775.88304962462</v>
      </c>
      <c r="AD286" s="27">
        <f t="shared" si="112"/>
        <v>0</v>
      </c>
      <c r="AE286" s="27">
        <f t="shared" si="113"/>
        <v>607775.88304962462</v>
      </c>
      <c r="AF286" s="50"/>
      <c r="AG286" t="str">
        <f t="shared" si="114"/>
        <v>5309150</v>
      </c>
    </row>
    <row r="287" spans="1:33" x14ac:dyDescent="0.25">
      <c r="A287" s="7" t="s">
        <v>248</v>
      </c>
      <c r="B287" s="2" t="s">
        <v>1198</v>
      </c>
      <c r="C287" s="4" t="s">
        <v>1197</v>
      </c>
      <c r="D287" s="30">
        <f>_xlfn.IFNA(VLOOKUP(A287,'Prior Year data'!$A$1:$V$318,13,FALSE),0)</f>
        <v>793919.07954367355</v>
      </c>
      <c r="E287">
        <f>VLOOKUP(A287,'Basic HH'!$B$1:$Y$318,23,FALSE)</f>
        <v>485463.07427496719</v>
      </c>
      <c r="F287">
        <f>VLOOKUP(A287,'Conc. HH'!$B$1:$Y$318,23,FALSE)</f>
        <v>0</v>
      </c>
      <c r="G287">
        <f>VLOOKUP(A287,'Targeted HH'!$B$1:$Y$318,23,FALSE)</f>
        <v>234777.74446370997</v>
      </c>
      <c r="H287">
        <f>VLOOKUP(A287,'EFIG HH'!$B$1:$Y$318,23,FALSE)</f>
        <v>311544.14433981956</v>
      </c>
      <c r="I287">
        <f t="shared" si="92"/>
        <v>1031784.9630784967</v>
      </c>
      <c r="J287">
        <f t="shared" si="93"/>
        <v>1031784.9630784967</v>
      </c>
      <c r="K287" s="43">
        <f t="shared" si="94"/>
        <v>933377.89966531715</v>
      </c>
      <c r="L287">
        <f t="shared" si="95"/>
        <v>0</v>
      </c>
      <c r="M287">
        <f t="shared" si="96"/>
        <v>139458.8201216436</v>
      </c>
      <c r="N287" s="43">
        <f t="shared" si="97"/>
        <v>883091.38508945226</v>
      </c>
      <c r="O287">
        <f t="shared" si="98"/>
        <v>0</v>
      </c>
      <c r="P287">
        <f t="shared" si="99"/>
        <v>89172.305545778712</v>
      </c>
      <c r="Q287" s="43">
        <f t="shared" si="100"/>
        <v>883091.38508945226</v>
      </c>
      <c r="R287">
        <f t="shared" si="101"/>
        <v>0</v>
      </c>
      <c r="S287">
        <f t="shared" si="102"/>
        <v>89172.305545778712</v>
      </c>
      <c r="T287" s="43">
        <f t="shared" si="103"/>
        <v>883091.38508945226</v>
      </c>
      <c r="U287">
        <f t="shared" si="104"/>
        <v>0</v>
      </c>
      <c r="V287">
        <f t="shared" si="105"/>
        <v>89172.305545778712</v>
      </c>
      <c r="W287" s="43">
        <f t="shared" si="106"/>
        <v>883091.38508945226</v>
      </c>
      <c r="X287" s="43">
        <f t="shared" si="107"/>
        <v>148693.57798904448</v>
      </c>
      <c r="Y287" s="27">
        <f t="shared" si="108"/>
        <v>6935.9640505884636</v>
      </c>
      <c r="Z287" s="27">
        <f t="shared" si="109"/>
        <v>876155.42103886383</v>
      </c>
      <c r="AA287">
        <f t="shared" si="110"/>
        <v>0</v>
      </c>
      <c r="AB287" s="27">
        <f t="shared" si="111"/>
        <v>876155.42103886383</v>
      </c>
      <c r="AD287" s="27">
        <f t="shared" si="112"/>
        <v>0</v>
      </c>
      <c r="AE287" s="27">
        <f t="shared" si="113"/>
        <v>876155.42103886383</v>
      </c>
      <c r="AF287" s="50"/>
      <c r="AG287" t="str">
        <f t="shared" si="114"/>
        <v>5309180</v>
      </c>
    </row>
    <row r="288" spans="1:33" x14ac:dyDescent="0.25">
      <c r="A288" s="7" t="s">
        <v>611</v>
      </c>
      <c r="B288" s="2" t="s">
        <v>1200</v>
      </c>
      <c r="C288" s="4" t="s">
        <v>1199</v>
      </c>
      <c r="D288" s="30">
        <f>_xlfn.IFNA(VLOOKUP(A288,'Prior Year data'!$A$1:$V$318,13,FALSE),0)</f>
        <v>170647.52510374176</v>
      </c>
      <c r="E288">
        <f>VLOOKUP(A288,'Basic HH'!$B$1:$Y$318,23,FALSE)</f>
        <v>61562.346375448746</v>
      </c>
      <c r="F288">
        <f>VLOOKUP(A288,'Conc. HH'!$B$1:$Y$318,23,FALSE)</f>
        <v>16595.60031565696</v>
      </c>
      <c r="G288">
        <f>VLOOKUP(A288,'Targeted HH'!$B$1:$Y$318,23,FALSE)</f>
        <v>41698.737386416287</v>
      </c>
      <c r="H288">
        <f>VLOOKUP(A288,'EFIG HH'!$B$1:$Y$318,23,FALSE)</f>
        <v>56563.097161710371</v>
      </c>
      <c r="I288">
        <f t="shared" si="92"/>
        <v>176419.78123923237</v>
      </c>
      <c r="J288">
        <f t="shared" si="93"/>
        <v>176419.78123923237</v>
      </c>
      <c r="K288" s="43">
        <f t="shared" si="94"/>
        <v>159593.64670442659</v>
      </c>
      <c r="L288">
        <f t="shared" si="95"/>
        <v>11053.878399315174</v>
      </c>
      <c r="M288">
        <f t="shared" si="96"/>
        <v>0</v>
      </c>
      <c r="N288" s="43">
        <f t="shared" si="97"/>
        <v>170647.52510374176</v>
      </c>
      <c r="O288">
        <f t="shared" si="98"/>
        <v>0</v>
      </c>
      <c r="P288">
        <f t="shared" si="99"/>
        <v>0</v>
      </c>
      <c r="Q288" s="43">
        <f t="shared" si="100"/>
        <v>170647.52510374176</v>
      </c>
      <c r="R288">
        <f t="shared" si="101"/>
        <v>0</v>
      </c>
      <c r="S288">
        <f t="shared" si="102"/>
        <v>0</v>
      </c>
      <c r="T288" s="43">
        <f t="shared" si="103"/>
        <v>170647.52510374176</v>
      </c>
      <c r="U288">
        <f t="shared" si="104"/>
        <v>0</v>
      </c>
      <c r="V288">
        <f t="shared" si="105"/>
        <v>0</v>
      </c>
      <c r="W288" s="43">
        <f t="shared" si="106"/>
        <v>170647.52510374176</v>
      </c>
      <c r="X288" s="43">
        <f t="shared" si="107"/>
        <v>5772.2561354906065</v>
      </c>
      <c r="Y288" s="27">
        <f t="shared" si="108"/>
        <v>1340.2974136380603</v>
      </c>
      <c r="Z288" s="27">
        <f t="shared" si="109"/>
        <v>169307.2276901037</v>
      </c>
      <c r="AA288">
        <f t="shared" si="110"/>
        <v>0</v>
      </c>
      <c r="AB288" s="27">
        <f t="shared" si="111"/>
        <v>169307.2276901037</v>
      </c>
      <c r="AD288" s="27">
        <f t="shared" si="112"/>
        <v>0</v>
      </c>
      <c r="AE288" s="27">
        <f t="shared" si="113"/>
        <v>169307.2276901037</v>
      </c>
      <c r="AF288" s="50"/>
      <c r="AG288" t="str">
        <f t="shared" si="114"/>
        <v>5309240</v>
      </c>
    </row>
    <row r="289" spans="1:33" x14ac:dyDescent="0.25">
      <c r="A289" s="7" t="s">
        <v>63</v>
      </c>
      <c r="B289" s="2" t="s">
        <v>1201</v>
      </c>
      <c r="C289" s="4" t="s">
        <v>49</v>
      </c>
      <c r="D289" s="30">
        <f>_xlfn.IFNA(VLOOKUP(A289,'Prior Year data'!$A$1:$V$318,13,FALSE),0)</f>
        <v>6259127.0990987411</v>
      </c>
      <c r="E289">
        <f>VLOOKUP(A289,'Basic HH'!$B$1:$Y$318,23,FALSE)</f>
        <v>2427285.0288742352</v>
      </c>
      <c r="F289">
        <f>VLOOKUP(A289,'Conc. HH'!$B$1:$Y$318,23,FALSE)</f>
        <v>0</v>
      </c>
      <c r="G289">
        <f>VLOOKUP(A289,'Targeted HH'!$B$1:$Y$318,23,FALSE)</f>
        <v>1728075.2211132478</v>
      </c>
      <c r="H289">
        <f>VLOOKUP(A289,'EFIG HH'!$B$1:$Y$318,23,FALSE)</f>
        <v>2293112.2255490799</v>
      </c>
      <c r="I289">
        <f t="shared" si="92"/>
        <v>6448472.4755365625</v>
      </c>
      <c r="J289">
        <f t="shared" si="93"/>
        <v>6448472.4755365625</v>
      </c>
      <c r="K289" s="43">
        <f t="shared" si="94"/>
        <v>5833445.8347868156</v>
      </c>
      <c r="L289">
        <f t="shared" si="95"/>
        <v>425681.26431192551</v>
      </c>
      <c r="M289">
        <f t="shared" si="96"/>
        <v>0</v>
      </c>
      <c r="N289" s="43">
        <f t="shared" si="97"/>
        <v>6259127.0990987411</v>
      </c>
      <c r="O289">
        <f t="shared" si="98"/>
        <v>0</v>
      </c>
      <c r="P289">
        <f t="shared" si="99"/>
        <v>0</v>
      </c>
      <c r="Q289" s="43">
        <f t="shared" si="100"/>
        <v>6259127.0990987411</v>
      </c>
      <c r="R289">
        <f t="shared" si="101"/>
        <v>0</v>
      </c>
      <c r="S289">
        <f t="shared" si="102"/>
        <v>0</v>
      </c>
      <c r="T289" s="43">
        <f t="shared" si="103"/>
        <v>6259127.0990987411</v>
      </c>
      <c r="U289">
        <f t="shared" si="104"/>
        <v>0</v>
      </c>
      <c r="V289">
        <f t="shared" si="105"/>
        <v>0</v>
      </c>
      <c r="W289" s="43">
        <f t="shared" si="106"/>
        <v>6259127.0990987411</v>
      </c>
      <c r="X289" s="43">
        <f t="shared" si="107"/>
        <v>189345.37643782143</v>
      </c>
      <c r="Y289" s="27">
        <f t="shared" si="108"/>
        <v>49160.348838660022</v>
      </c>
      <c r="Z289" s="27">
        <f t="shared" si="109"/>
        <v>6209966.7502600811</v>
      </c>
      <c r="AA289">
        <f t="shared" si="110"/>
        <v>0</v>
      </c>
      <c r="AB289" s="27">
        <f t="shared" si="111"/>
        <v>6209966.7502600811</v>
      </c>
      <c r="AD289" s="27">
        <f t="shared" si="112"/>
        <v>0</v>
      </c>
      <c r="AE289" s="27">
        <f t="shared" si="113"/>
        <v>6209966.7502600811</v>
      </c>
      <c r="AF289" s="50"/>
      <c r="AG289" t="str">
        <f t="shared" si="114"/>
        <v>5309270</v>
      </c>
    </row>
    <row r="290" spans="1:33" x14ac:dyDescent="0.25">
      <c r="A290" s="7" t="s">
        <v>250</v>
      </c>
      <c r="B290" s="2" t="s">
        <v>1203</v>
      </c>
      <c r="C290" s="4" t="s">
        <v>1202</v>
      </c>
      <c r="D290" s="30">
        <f>_xlfn.IFNA(VLOOKUP(A290,'Prior Year data'!$A$1:$V$318,13,FALSE),0)</f>
        <v>210057.51200731311</v>
      </c>
      <c r="E290">
        <f>VLOOKUP(A290,'Basic HH'!$B$1:$Y$318,23,FALSE)</f>
        <v>100258.67838287368</v>
      </c>
      <c r="F290">
        <f>VLOOKUP(A290,'Conc. HH'!$B$1:$Y$318,23,FALSE)</f>
        <v>0</v>
      </c>
      <c r="G290">
        <f>VLOOKUP(A290,'Targeted HH'!$B$1:$Y$318,23,FALSE)</f>
        <v>48486.708095766196</v>
      </c>
      <c r="H290">
        <f>VLOOKUP(A290,'EFIG HH'!$B$1:$Y$318,23,FALSE)</f>
        <v>64340.638504962721</v>
      </c>
      <c r="I290">
        <f t="shared" si="92"/>
        <v>213086.02498360261</v>
      </c>
      <c r="J290">
        <f t="shared" si="93"/>
        <v>213086.02498360261</v>
      </c>
      <c r="K290" s="43">
        <f t="shared" si="94"/>
        <v>192762.82710479377</v>
      </c>
      <c r="L290">
        <f t="shared" si="95"/>
        <v>17294.684902519337</v>
      </c>
      <c r="M290">
        <f t="shared" si="96"/>
        <v>0</v>
      </c>
      <c r="N290" s="43">
        <f t="shared" si="97"/>
        <v>210057.51200731311</v>
      </c>
      <c r="O290">
        <f t="shared" si="98"/>
        <v>0</v>
      </c>
      <c r="P290">
        <f t="shared" si="99"/>
        <v>0</v>
      </c>
      <c r="Q290" s="43">
        <f t="shared" si="100"/>
        <v>210057.51200731311</v>
      </c>
      <c r="R290">
        <f t="shared" si="101"/>
        <v>0</v>
      </c>
      <c r="S290">
        <f t="shared" si="102"/>
        <v>0</v>
      </c>
      <c r="T290" s="43">
        <f t="shared" si="103"/>
        <v>210057.51200731311</v>
      </c>
      <c r="U290">
        <f t="shared" si="104"/>
        <v>0</v>
      </c>
      <c r="V290">
        <f t="shared" si="105"/>
        <v>0</v>
      </c>
      <c r="W290" s="43">
        <f t="shared" si="106"/>
        <v>210057.51200731311</v>
      </c>
      <c r="X290" s="43">
        <f t="shared" si="107"/>
        <v>3028.512976289494</v>
      </c>
      <c r="Y290" s="27">
        <f t="shared" si="108"/>
        <v>1649.8307835844157</v>
      </c>
      <c r="Z290" s="27">
        <f t="shared" si="109"/>
        <v>208407.68122372869</v>
      </c>
      <c r="AA290">
        <f t="shared" si="110"/>
        <v>0</v>
      </c>
      <c r="AB290" s="27">
        <f t="shared" si="111"/>
        <v>208407.68122372869</v>
      </c>
      <c r="AD290" s="27">
        <f t="shared" si="112"/>
        <v>0</v>
      </c>
      <c r="AE290" s="27">
        <f t="shared" si="113"/>
        <v>208407.68122372869</v>
      </c>
      <c r="AF290" s="50"/>
      <c r="AG290" t="str">
        <f t="shared" si="114"/>
        <v>5309300</v>
      </c>
    </row>
    <row r="291" spans="1:33" x14ac:dyDescent="0.25">
      <c r="A291" s="7" t="s">
        <v>613</v>
      </c>
      <c r="B291" s="2" t="s">
        <v>1205</v>
      </c>
      <c r="C291" s="4" t="s">
        <v>1204</v>
      </c>
      <c r="D291" s="30">
        <f>_xlfn.IFNA(VLOOKUP(A291,'Prior Year data'!$A$1:$V$318,13,FALSE),0)</f>
        <v>208093.67226931802</v>
      </c>
      <c r="E291">
        <f>VLOOKUP(A291,'Basic HH'!$B$1:$Y$318,23,FALSE)</f>
        <v>76657.232539021978</v>
      </c>
      <c r="F291">
        <f>VLOOKUP(A291,'Conc. HH'!$B$1:$Y$318,23,FALSE)</f>
        <v>20197.917398309808</v>
      </c>
      <c r="G291">
        <f>VLOOKUP(A291,'Targeted HH'!$B$1:$Y$318,23,FALSE)</f>
        <v>45029.385004407617</v>
      </c>
      <c r="H291">
        <f>VLOOKUP(A291,'EFIG HH'!$B$1:$Y$318,23,FALSE)</f>
        <v>61893.702321114768</v>
      </c>
      <c r="I291">
        <f t="shared" si="92"/>
        <v>203778.23726285418</v>
      </c>
      <c r="J291">
        <f t="shared" si="93"/>
        <v>0</v>
      </c>
      <c r="K291" s="43">
        <f t="shared" si="94"/>
        <v>203778.23726285418</v>
      </c>
      <c r="L291">
        <f t="shared" si="95"/>
        <v>0</v>
      </c>
      <c r="M291">
        <f t="shared" si="96"/>
        <v>0</v>
      </c>
      <c r="N291" s="43">
        <f t="shared" si="97"/>
        <v>203778.23726285418</v>
      </c>
      <c r="O291">
        <f t="shared" si="98"/>
        <v>0</v>
      </c>
      <c r="P291">
        <f t="shared" si="99"/>
        <v>0</v>
      </c>
      <c r="Q291" s="43">
        <f t="shared" si="100"/>
        <v>203778.23726285418</v>
      </c>
      <c r="R291">
        <f t="shared" si="101"/>
        <v>0</v>
      </c>
      <c r="S291">
        <f t="shared" si="102"/>
        <v>0</v>
      </c>
      <c r="T291" s="43">
        <f t="shared" si="103"/>
        <v>203778.23726285418</v>
      </c>
      <c r="U291">
        <f t="shared" si="104"/>
        <v>0</v>
      </c>
      <c r="V291">
        <f t="shared" si="105"/>
        <v>0</v>
      </c>
      <c r="W291" s="43">
        <f t="shared" si="106"/>
        <v>203778.23726285418</v>
      </c>
      <c r="X291" s="43">
        <f t="shared" si="107"/>
        <v>0</v>
      </c>
      <c r="Y291" s="27">
        <f t="shared" si="108"/>
        <v>1600.5121913903322</v>
      </c>
      <c r="Z291" s="27">
        <f t="shared" si="109"/>
        <v>202177.72507146385</v>
      </c>
      <c r="AA291">
        <f t="shared" si="110"/>
        <v>0</v>
      </c>
      <c r="AB291" s="27">
        <f t="shared" si="111"/>
        <v>202177.72507146385</v>
      </c>
      <c r="AD291" s="27">
        <f t="shared" si="112"/>
        <v>0</v>
      </c>
      <c r="AE291" s="27">
        <f t="shared" si="113"/>
        <v>202177.72507146385</v>
      </c>
      <c r="AF291" s="50"/>
      <c r="AG291" t="str">
        <f t="shared" si="114"/>
        <v>5309330</v>
      </c>
    </row>
    <row r="292" spans="1:33" x14ac:dyDescent="0.25">
      <c r="A292" s="7" t="s">
        <v>615</v>
      </c>
      <c r="B292" s="2" t="s">
        <v>1207</v>
      </c>
      <c r="C292" s="4" t="s">
        <v>1206</v>
      </c>
      <c r="D292" s="30">
        <f>_xlfn.IFNA(VLOOKUP(A292,'Prior Year data'!$A$1:$V$318,13,FALSE),0)</f>
        <v>657130.23437321989</v>
      </c>
      <c r="E292">
        <f>VLOOKUP(A292,'Basic HH'!$B$1:$Y$318,23,FALSE)</f>
        <v>311329.58024155512</v>
      </c>
      <c r="F292">
        <f>VLOOKUP(A292,'Conc. HH'!$B$1:$Y$318,23,FALSE)</f>
        <v>83926.321596322392</v>
      </c>
      <c r="G292">
        <f>VLOOKUP(A292,'Targeted HH'!$B$1:$Y$318,23,FALSE)</f>
        <v>163840.73354510206</v>
      </c>
      <c r="H292">
        <f>VLOOKUP(A292,'EFIG HH'!$B$1:$Y$318,23,FALSE)</f>
        <v>217412.52032603594</v>
      </c>
      <c r="I292">
        <f t="shared" si="92"/>
        <v>776509.15570901555</v>
      </c>
      <c r="J292">
        <f t="shared" si="93"/>
        <v>776509.15570901555</v>
      </c>
      <c r="K292" s="43">
        <f t="shared" si="94"/>
        <v>702449.16408171155</v>
      </c>
      <c r="L292">
        <f t="shared" si="95"/>
        <v>0</v>
      </c>
      <c r="M292">
        <f t="shared" si="96"/>
        <v>45318.929708491662</v>
      </c>
      <c r="N292" s="43">
        <f t="shared" si="97"/>
        <v>686107.91712894908</v>
      </c>
      <c r="O292">
        <f t="shared" si="98"/>
        <v>0</v>
      </c>
      <c r="P292">
        <f t="shared" si="99"/>
        <v>28977.682755729184</v>
      </c>
      <c r="Q292" s="43">
        <f t="shared" si="100"/>
        <v>686107.91712894908</v>
      </c>
      <c r="R292">
        <f t="shared" si="101"/>
        <v>0</v>
      </c>
      <c r="S292">
        <f t="shared" si="102"/>
        <v>28977.682755729184</v>
      </c>
      <c r="T292" s="43">
        <f t="shared" si="103"/>
        <v>686107.91712894908</v>
      </c>
      <c r="U292">
        <f t="shared" si="104"/>
        <v>0</v>
      </c>
      <c r="V292">
        <f t="shared" si="105"/>
        <v>28977.682755729184</v>
      </c>
      <c r="W292" s="43">
        <f t="shared" si="106"/>
        <v>686107.91712894908</v>
      </c>
      <c r="X292" s="43">
        <f t="shared" si="107"/>
        <v>90401.238580066478</v>
      </c>
      <c r="Y292" s="27">
        <f t="shared" si="108"/>
        <v>5388.8192415652175</v>
      </c>
      <c r="Z292" s="27">
        <f t="shared" si="109"/>
        <v>680719.09788738389</v>
      </c>
      <c r="AA292">
        <f t="shared" si="110"/>
        <v>0</v>
      </c>
      <c r="AB292" s="27">
        <f t="shared" si="111"/>
        <v>680719.09788738389</v>
      </c>
      <c r="AD292" s="27">
        <f t="shared" si="112"/>
        <v>0</v>
      </c>
      <c r="AE292" s="27">
        <f t="shared" si="113"/>
        <v>680719.09788738389</v>
      </c>
      <c r="AF292" s="50"/>
      <c r="AG292" t="str">
        <f t="shared" si="114"/>
        <v>5309360</v>
      </c>
    </row>
    <row r="293" spans="1:33" x14ac:dyDescent="0.25">
      <c r="A293" s="7" t="s">
        <v>617</v>
      </c>
      <c r="B293" s="2" t="s">
        <v>1209</v>
      </c>
      <c r="C293" s="4" t="s">
        <v>1208</v>
      </c>
      <c r="D293" s="30">
        <f>_xlfn.IFNA(VLOOKUP(A293,'Prior Year data'!$A$1:$V$318,13,FALSE),0)</f>
        <v>61819.823647040495</v>
      </c>
      <c r="E293">
        <f>VLOOKUP(A293,'Basic HH'!$B$1:$Y$318,23,FALSE)</f>
        <v>27329.831906749518</v>
      </c>
      <c r="F293">
        <f>VLOOKUP(A293,'Conc. HH'!$B$1:$Y$318,23,FALSE)</f>
        <v>0</v>
      </c>
      <c r="G293">
        <f>VLOOKUP(A293,'Targeted HH'!$B$1:$Y$318,23,FALSE)</f>
        <v>13183.886902676126</v>
      </c>
      <c r="H293">
        <f>VLOOKUP(A293,'EFIG HH'!$B$1:$Y$318,23,FALSE)</f>
        <v>17883.550500212415</v>
      </c>
      <c r="I293">
        <f t="shared" si="92"/>
        <v>58397.269309638054</v>
      </c>
      <c r="J293">
        <f t="shared" si="93"/>
        <v>0</v>
      </c>
      <c r="K293" s="43">
        <f t="shared" si="94"/>
        <v>58397.269309638054</v>
      </c>
      <c r="L293">
        <f t="shared" si="95"/>
        <v>0</v>
      </c>
      <c r="M293">
        <f t="shared" si="96"/>
        <v>0</v>
      </c>
      <c r="N293" s="43">
        <f t="shared" si="97"/>
        <v>58397.269309638054</v>
      </c>
      <c r="O293">
        <f t="shared" si="98"/>
        <v>0</v>
      </c>
      <c r="P293">
        <f t="shared" si="99"/>
        <v>0</v>
      </c>
      <c r="Q293" s="43">
        <f t="shared" si="100"/>
        <v>58397.269309638054</v>
      </c>
      <c r="R293">
        <f t="shared" si="101"/>
        <v>0</v>
      </c>
      <c r="S293">
        <f t="shared" si="102"/>
        <v>0</v>
      </c>
      <c r="T293" s="43">
        <f t="shared" si="103"/>
        <v>58397.269309638054</v>
      </c>
      <c r="U293">
        <f t="shared" si="104"/>
        <v>0</v>
      </c>
      <c r="V293">
        <f t="shared" si="105"/>
        <v>0</v>
      </c>
      <c r="W293" s="43">
        <f t="shared" si="106"/>
        <v>58397.269309638054</v>
      </c>
      <c r="X293" s="43">
        <f t="shared" si="107"/>
        <v>0</v>
      </c>
      <c r="Y293" s="27">
        <f t="shared" si="108"/>
        <v>458.66301882579688</v>
      </c>
      <c r="Z293" s="27">
        <f t="shared" si="109"/>
        <v>57938.606290812255</v>
      </c>
      <c r="AA293">
        <f t="shared" si="110"/>
        <v>0</v>
      </c>
      <c r="AB293" s="27">
        <f t="shared" si="111"/>
        <v>57938.606290812255</v>
      </c>
      <c r="AD293" s="27">
        <f t="shared" si="112"/>
        <v>0</v>
      </c>
      <c r="AE293" s="27">
        <f t="shared" si="113"/>
        <v>57938.606290812255</v>
      </c>
      <c r="AF293" s="50"/>
      <c r="AG293" t="str">
        <f t="shared" si="114"/>
        <v>5309390</v>
      </c>
    </row>
    <row r="294" spans="1:33" x14ac:dyDescent="0.25">
      <c r="A294" s="7" t="s">
        <v>619</v>
      </c>
      <c r="B294" s="2" t="s">
        <v>1211</v>
      </c>
      <c r="C294" s="4" t="s">
        <v>1210</v>
      </c>
      <c r="D294" s="30">
        <f>_xlfn.IFNA(VLOOKUP(A294,'Prior Year data'!$A$1:$V$318,13,FALSE),0)</f>
        <v>2077472.2472090723</v>
      </c>
      <c r="E294">
        <f>VLOOKUP(A294,'Basic HH'!$B$1:$Y$318,23,FALSE)</f>
        <v>785917.32834544533</v>
      </c>
      <c r="F294">
        <f>VLOOKUP(A294,'Conc. HH'!$B$1:$Y$318,23,FALSE)</f>
        <v>211442.34559751084</v>
      </c>
      <c r="G294">
        <f>VLOOKUP(A294,'Targeted HH'!$B$1:$Y$318,23,FALSE)</f>
        <v>445579.74518368888</v>
      </c>
      <c r="H294">
        <f>VLOOKUP(A294,'EFIG HH'!$B$1:$Y$318,23,FALSE)</f>
        <v>604415.67298690858</v>
      </c>
      <c r="I294">
        <f t="shared" si="92"/>
        <v>2047355.0921135535</v>
      </c>
      <c r="J294">
        <f t="shared" si="93"/>
        <v>0</v>
      </c>
      <c r="K294" s="43">
        <f t="shared" si="94"/>
        <v>2047355.0921135535</v>
      </c>
      <c r="L294">
        <f t="shared" si="95"/>
        <v>0</v>
      </c>
      <c r="M294">
        <f t="shared" si="96"/>
        <v>0</v>
      </c>
      <c r="N294" s="43">
        <f t="shared" si="97"/>
        <v>2047355.0921135535</v>
      </c>
      <c r="O294">
        <f t="shared" si="98"/>
        <v>0</v>
      </c>
      <c r="P294">
        <f t="shared" si="99"/>
        <v>0</v>
      </c>
      <c r="Q294" s="43">
        <f t="shared" si="100"/>
        <v>2047355.0921135535</v>
      </c>
      <c r="R294">
        <f t="shared" si="101"/>
        <v>0</v>
      </c>
      <c r="S294">
        <f t="shared" si="102"/>
        <v>0</v>
      </c>
      <c r="T294" s="43">
        <f t="shared" si="103"/>
        <v>2047355.0921135535</v>
      </c>
      <c r="U294">
        <f t="shared" si="104"/>
        <v>0</v>
      </c>
      <c r="V294">
        <f t="shared" si="105"/>
        <v>0</v>
      </c>
      <c r="W294" s="43">
        <f t="shared" si="106"/>
        <v>2047355.0921135535</v>
      </c>
      <c r="X294" s="43">
        <f t="shared" si="107"/>
        <v>0</v>
      </c>
      <c r="Y294" s="27">
        <f t="shared" si="108"/>
        <v>16080.307833883373</v>
      </c>
      <c r="Z294" s="27">
        <f t="shared" si="109"/>
        <v>2031274.7842796701</v>
      </c>
      <c r="AA294">
        <f t="shared" si="110"/>
        <v>0</v>
      </c>
      <c r="AB294" s="27">
        <f t="shared" si="111"/>
        <v>2031274.7842796701</v>
      </c>
      <c r="AD294" s="27">
        <f t="shared" si="112"/>
        <v>0</v>
      </c>
      <c r="AE294" s="27">
        <f t="shared" si="113"/>
        <v>2031274.7842796701</v>
      </c>
      <c r="AF294" s="50"/>
      <c r="AG294" t="str">
        <f t="shared" si="114"/>
        <v>5309450</v>
      </c>
    </row>
    <row r="295" spans="1:33" x14ac:dyDescent="0.25">
      <c r="A295" s="7" t="s">
        <v>620</v>
      </c>
      <c r="B295" s="2" t="s">
        <v>1213</v>
      </c>
      <c r="C295" s="4" t="s">
        <v>1212</v>
      </c>
      <c r="D295" s="30">
        <f>_xlfn.IFNA(VLOOKUP(A295,'Prior Year data'!$A$1:$V$318,13,FALSE),0)</f>
        <v>1801222.6916313625</v>
      </c>
      <c r="E295">
        <f>VLOOKUP(A295,'Basic HH'!$B$1:$Y$318,23,FALSE)</f>
        <v>770408.79178418755</v>
      </c>
      <c r="F295">
        <f>VLOOKUP(A295,'Conc. HH'!$B$1:$Y$318,23,FALSE)</f>
        <v>207682.08395022145</v>
      </c>
      <c r="G295">
        <f>VLOOKUP(A295,'Targeted HH'!$B$1:$Y$318,23,FALSE)</f>
        <v>514384.60857781197</v>
      </c>
      <c r="H295">
        <f>VLOOKUP(A295,'EFIG HH'!$B$1:$Y$318,23,FALSE)</f>
        <v>682575.39958485344</v>
      </c>
      <c r="I295">
        <f t="shared" si="92"/>
        <v>2175050.8838970745</v>
      </c>
      <c r="J295">
        <f t="shared" si="93"/>
        <v>2175050.8838970745</v>
      </c>
      <c r="K295" s="43">
        <f t="shared" si="94"/>
        <v>1967604.1988630847</v>
      </c>
      <c r="L295">
        <f t="shared" si="95"/>
        <v>0</v>
      </c>
      <c r="M295">
        <f t="shared" si="96"/>
        <v>166381.50723172212</v>
      </c>
      <c r="N295" s="43">
        <f t="shared" si="97"/>
        <v>1907609.814275115</v>
      </c>
      <c r="O295">
        <f t="shared" si="98"/>
        <v>0</v>
      </c>
      <c r="P295">
        <f t="shared" si="99"/>
        <v>106387.12264375249</v>
      </c>
      <c r="Q295" s="43">
        <f t="shared" si="100"/>
        <v>1907609.814275115</v>
      </c>
      <c r="R295">
        <f t="shared" si="101"/>
        <v>0</v>
      </c>
      <c r="S295">
        <f t="shared" si="102"/>
        <v>106387.12264375249</v>
      </c>
      <c r="T295" s="43">
        <f t="shared" si="103"/>
        <v>1907609.814275115</v>
      </c>
      <c r="U295">
        <f t="shared" si="104"/>
        <v>0</v>
      </c>
      <c r="V295">
        <f t="shared" si="105"/>
        <v>106387.12264375249</v>
      </c>
      <c r="W295" s="43">
        <f t="shared" si="106"/>
        <v>1907609.814275115</v>
      </c>
      <c r="X295" s="43">
        <f t="shared" si="107"/>
        <v>267441.06962195947</v>
      </c>
      <c r="Y295" s="27">
        <f t="shared" si="108"/>
        <v>14982.722420083051</v>
      </c>
      <c r="Z295" s="27">
        <f t="shared" si="109"/>
        <v>1892627.0918550319</v>
      </c>
      <c r="AA295">
        <f t="shared" si="110"/>
        <v>0</v>
      </c>
      <c r="AB295" s="27">
        <f t="shared" si="111"/>
        <v>1892627.0918550319</v>
      </c>
      <c r="AD295" s="27">
        <f t="shared" si="112"/>
        <v>0</v>
      </c>
      <c r="AE295" s="27">
        <f t="shared" si="113"/>
        <v>1892627.0918550319</v>
      </c>
      <c r="AF295" s="50"/>
      <c r="AG295" t="str">
        <f t="shared" si="114"/>
        <v>5309480</v>
      </c>
    </row>
    <row r="296" spans="1:33" x14ac:dyDescent="0.25">
      <c r="A296" s="7" t="s">
        <v>622</v>
      </c>
      <c r="B296" s="2" t="s">
        <v>1215</v>
      </c>
      <c r="C296" s="4" t="s">
        <v>1214</v>
      </c>
      <c r="D296" s="30">
        <f>_xlfn.IFNA(VLOOKUP(A296,'Prior Year data'!$A$1:$V$318,13,FALSE),0)</f>
        <v>421601.78610280057</v>
      </c>
      <c r="E296">
        <f>VLOOKUP(A296,'Basic HH'!$B$1:$Y$318,23,FALSE)</f>
        <v>157982.93928925481</v>
      </c>
      <c r="F296">
        <f>VLOOKUP(A296,'Conc. HH'!$B$1:$Y$318,23,FALSE)</f>
        <v>42503.558635147601</v>
      </c>
      <c r="G296">
        <f>VLOOKUP(A296,'Targeted HH'!$B$1:$Y$318,23,FALSE)</f>
        <v>98063.258859470123</v>
      </c>
      <c r="H296">
        <f>VLOOKUP(A296,'EFIG HH'!$B$1:$Y$318,23,FALSE)</f>
        <v>133019.8942826761</v>
      </c>
      <c r="I296">
        <f t="shared" si="92"/>
        <v>431569.65106654866</v>
      </c>
      <c r="J296">
        <f t="shared" si="93"/>
        <v>431569.65106654866</v>
      </c>
      <c r="K296" s="43">
        <f t="shared" si="94"/>
        <v>390408.45610883669</v>
      </c>
      <c r="L296">
        <f t="shared" si="95"/>
        <v>31193.329993963882</v>
      </c>
      <c r="M296">
        <f t="shared" si="96"/>
        <v>0</v>
      </c>
      <c r="N296" s="43">
        <f t="shared" si="97"/>
        <v>421601.78610280057</v>
      </c>
      <c r="O296">
        <f t="shared" si="98"/>
        <v>0</v>
      </c>
      <c r="P296">
        <f t="shared" si="99"/>
        <v>0</v>
      </c>
      <c r="Q296" s="43">
        <f t="shared" si="100"/>
        <v>421601.78610280057</v>
      </c>
      <c r="R296">
        <f t="shared" si="101"/>
        <v>0</v>
      </c>
      <c r="S296">
        <f t="shared" si="102"/>
        <v>0</v>
      </c>
      <c r="T296" s="43">
        <f t="shared" si="103"/>
        <v>421601.78610280057</v>
      </c>
      <c r="U296">
        <f t="shared" si="104"/>
        <v>0</v>
      </c>
      <c r="V296">
        <f t="shared" si="105"/>
        <v>0</v>
      </c>
      <c r="W296" s="43">
        <f t="shared" si="106"/>
        <v>421601.78610280057</v>
      </c>
      <c r="X296" s="43">
        <f t="shared" si="107"/>
        <v>9967.8649637480848</v>
      </c>
      <c r="Y296" s="27">
        <f t="shared" si="108"/>
        <v>3311.3388732432313</v>
      </c>
      <c r="Z296" s="27">
        <f t="shared" si="109"/>
        <v>418290.44722955732</v>
      </c>
      <c r="AA296">
        <f t="shared" si="110"/>
        <v>0</v>
      </c>
      <c r="AB296" s="27">
        <f t="shared" si="111"/>
        <v>418290.44722955732</v>
      </c>
      <c r="AD296" s="27">
        <f t="shared" si="112"/>
        <v>0</v>
      </c>
      <c r="AE296" s="27">
        <f t="shared" si="113"/>
        <v>418290.44722955732</v>
      </c>
      <c r="AF296" s="50"/>
      <c r="AG296" t="str">
        <f t="shared" si="114"/>
        <v>5309510</v>
      </c>
    </row>
    <row r="297" spans="1:33" x14ac:dyDescent="0.25">
      <c r="A297" s="7" t="s">
        <v>252</v>
      </c>
      <c r="B297" s="2" t="s">
        <v>1217</v>
      </c>
      <c r="C297" s="4" t="s">
        <v>1216</v>
      </c>
      <c r="D297" s="30">
        <f>_xlfn.IFNA(VLOOKUP(A297,'Prior Year data'!$A$1:$V$318,13,FALSE),0)</f>
        <v>469865.48738477938</v>
      </c>
      <c r="E297">
        <f>VLOOKUP(A297,'Basic HH'!$B$1:$Y$318,23,FALSE)</f>
        <v>240972.6129553279</v>
      </c>
      <c r="F297">
        <f>VLOOKUP(A297,'Conc. HH'!$B$1:$Y$318,23,FALSE)</f>
        <v>0</v>
      </c>
      <c r="G297">
        <f>VLOOKUP(A297,'Targeted HH'!$B$1:$Y$318,23,FALSE)</f>
        <v>116538.22823017482</v>
      </c>
      <c r="H297">
        <f>VLOOKUP(A297,'EFIG HH'!$B$1:$Y$318,23,FALSE)</f>
        <v>154643.28903824373</v>
      </c>
      <c r="I297">
        <f t="shared" si="92"/>
        <v>512154.13022374641</v>
      </c>
      <c r="J297">
        <f t="shared" si="93"/>
        <v>512154.13022374641</v>
      </c>
      <c r="K297" s="43">
        <f t="shared" si="94"/>
        <v>463307.14584836381</v>
      </c>
      <c r="L297">
        <f t="shared" si="95"/>
        <v>6558.3415364155662</v>
      </c>
      <c r="M297">
        <f t="shared" si="96"/>
        <v>0</v>
      </c>
      <c r="N297" s="43">
        <f t="shared" si="97"/>
        <v>469865.48738477938</v>
      </c>
      <c r="O297">
        <f t="shared" si="98"/>
        <v>0</v>
      </c>
      <c r="P297">
        <f t="shared" si="99"/>
        <v>0</v>
      </c>
      <c r="Q297" s="43">
        <f t="shared" si="100"/>
        <v>469865.48738477938</v>
      </c>
      <c r="R297">
        <f t="shared" si="101"/>
        <v>0</v>
      </c>
      <c r="S297">
        <f t="shared" si="102"/>
        <v>0</v>
      </c>
      <c r="T297" s="43">
        <f t="shared" si="103"/>
        <v>469865.48738477938</v>
      </c>
      <c r="U297">
        <f t="shared" si="104"/>
        <v>0</v>
      </c>
      <c r="V297">
        <f t="shared" si="105"/>
        <v>0</v>
      </c>
      <c r="W297" s="43">
        <f t="shared" si="106"/>
        <v>469865.48738477938</v>
      </c>
      <c r="X297" s="43">
        <f t="shared" si="107"/>
        <v>42288.642838967033</v>
      </c>
      <c r="Y297" s="27">
        <f t="shared" si="108"/>
        <v>3690.4109632809304</v>
      </c>
      <c r="Z297" s="27">
        <f t="shared" si="109"/>
        <v>466175.07642149844</v>
      </c>
      <c r="AA297">
        <f t="shared" si="110"/>
        <v>0</v>
      </c>
      <c r="AB297" s="27">
        <f t="shared" si="111"/>
        <v>466175.07642149844</v>
      </c>
      <c r="AD297" s="27">
        <f t="shared" si="112"/>
        <v>0</v>
      </c>
      <c r="AE297" s="27">
        <f t="shared" si="113"/>
        <v>466175.07642149844</v>
      </c>
      <c r="AF297" s="50"/>
      <c r="AG297" t="str">
        <f t="shared" si="114"/>
        <v>5309540</v>
      </c>
    </row>
    <row r="298" spans="1:33" x14ac:dyDescent="0.25">
      <c r="A298" s="7" t="s">
        <v>624</v>
      </c>
      <c r="B298" s="2" t="s">
        <v>1219</v>
      </c>
      <c r="C298" s="4" t="s">
        <v>1218</v>
      </c>
      <c r="D298" s="30">
        <f>_xlfn.IFNA(VLOOKUP(A298,'Prior Year data'!$A$1:$V$318,13,FALSE),0)</f>
        <v>1533.8227250694065</v>
      </c>
      <c r="E298">
        <f>VLOOKUP(A298,'Basic HH'!$B$1:$Y$318,23,FALSE)</f>
        <v>0</v>
      </c>
      <c r="F298">
        <f>VLOOKUP(A298,'Conc. HH'!$B$1:$Y$318,23,FALSE)</f>
        <v>0</v>
      </c>
      <c r="G298">
        <f>VLOOKUP(A298,'Targeted HH'!$B$1:$Y$318,23,FALSE)</f>
        <v>0</v>
      </c>
      <c r="H298">
        <f>VLOOKUP(A298,'EFIG HH'!$B$1:$Y$318,23,FALSE)</f>
        <v>0</v>
      </c>
      <c r="I298">
        <f t="shared" si="92"/>
        <v>0</v>
      </c>
      <c r="J298">
        <f t="shared" si="93"/>
        <v>0</v>
      </c>
      <c r="K298" s="43">
        <f t="shared" si="94"/>
        <v>0</v>
      </c>
      <c r="L298">
        <f t="shared" si="95"/>
        <v>0</v>
      </c>
      <c r="M298">
        <f t="shared" si="96"/>
        <v>0</v>
      </c>
      <c r="N298" s="43">
        <f t="shared" si="97"/>
        <v>0</v>
      </c>
      <c r="O298">
        <f t="shared" si="98"/>
        <v>0</v>
      </c>
      <c r="P298">
        <f t="shared" si="99"/>
        <v>0</v>
      </c>
      <c r="Q298" s="43">
        <f t="shared" si="100"/>
        <v>0</v>
      </c>
      <c r="R298">
        <f t="shared" si="101"/>
        <v>0</v>
      </c>
      <c r="S298">
        <f t="shared" si="102"/>
        <v>0</v>
      </c>
      <c r="T298" s="43">
        <f t="shared" si="103"/>
        <v>0</v>
      </c>
      <c r="U298">
        <f t="shared" si="104"/>
        <v>0</v>
      </c>
      <c r="V298">
        <f t="shared" si="105"/>
        <v>0</v>
      </c>
      <c r="W298" s="43">
        <f t="shared" si="106"/>
        <v>0</v>
      </c>
      <c r="X298" s="43">
        <f t="shared" si="107"/>
        <v>0</v>
      </c>
      <c r="Y298" s="27">
        <f t="shared" si="108"/>
        <v>0</v>
      </c>
      <c r="Z298" s="27">
        <f t="shared" si="109"/>
        <v>0</v>
      </c>
      <c r="AA298">
        <f t="shared" si="110"/>
        <v>0</v>
      </c>
      <c r="AB298" s="27">
        <f t="shared" si="111"/>
        <v>0</v>
      </c>
      <c r="AD298" s="27">
        <f t="shared" si="112"/>
        <v>0</v>
      </c>
      <c r="AE298" s="27">
        <f t="shared" si="113"/>
        <v>0</v>
      </c>
      <c r="AF298" s="50"/>
      <c r="AG298" t="str">
        <f t="shared" si="114"/>
        <v>5309570</v>
      </c>
    </row>
    <row r="299" spans="1:33" x14ac:dyDescent="0.25">
      <c r="A299" s="7" t="s">
        <v>626</v>
      </c>
      <c r="B299" s="2" t="s">
        <v>1221</v>
      </c>
      <c r="C299" s="4" t="s">
        <v>1220</v>
      </c>
      <c r="D299" s="30">
        <f>_xlfn.IFNA(VLOOKUP(A299,'Prior Year data'!$A$1:$V$318,13,FALSE),0)</f>
        <v>79750.648063410394</v>
      </c>
      <c r="E299">
        <f>VLOOKUP(A299,'Basic HH'!$B$1:$Y$318,23,FALSE)</f>
        <v>39575.79409850276</v>
      </c>
      <c r="F299">
        <f>VLOOKUP(A299,'Conc. HH'!$B$1:$Y$318,23,FALSE)</f>
        <v>6757.2831766838408</v>
      </c>
      <c r="G299">
        <f>VLOOKUP(A299,'Targeted HH'!$B$1:$Y$318,23,FALSE)</f>
        <v>19139.490037802432</v>
      </c>
      <c r="H299">
        <f>VLOOKUP(A299,'EFIG HH'!$B$1:$Y$318,23,FALSE)</f>
        <v>25397.620462485291</v>
      </c>
      <c r="I299">
        <f t="shared" si="92"/>
        <v>90870.187775474333</v>
      </c>
      <c r="J299">
        <f t="shared" si="93"/>
        <v>90870.187775474333</v>
      </c>
      <c r="K299" s="43">
        <f t="shared" si="94"/>
        <v>82203.393190575618</v>
      </c>
      <c r="L299">
        <f t="shared" si="95"/>
        <v>0</v>
      </c>
      <c r="M299">
        <f t="shared" si="96"/>
        <v>2452.7451271652244</v>
      </c>
      <c r="N299" s="43">
        <f t="shared" si="97"/>
        <v>81318.974381636232</v>
      </c>
      <c r="O299">
        <f t="shared" si="98"/>
        <v>0</v>
      </c>
      <c r="P299">
        <f t="shared" si="99"/>
        <v>1568.3263182258379</v>
      </c>
      <c r="Q299" s="43">
        <f t="shared" si="100"/>
        <v>81318.974381636232</v>
      </c>
      <c r="R299">
        <f t="shared" si="101"/>
        <v>0</v>
      </c>
      <c r="S299">
        <f t="shared" si="102"/>
        <v>1568.3263182258379</v>
      </c>
      <c r="T299" s="43">
        <f t="shared" si="103"/>
        <v>81318.974381636232</v>
      </c>
      <c r="U299">
        <f t="shared" si="104"/>
        <v>0</v>
      </c>
      <c r="V299">
        <f t="shared" si="105"/>
        <v>1568.3263182258379</v>
      </c>
      <c r="W299" s="43">
        <f t="shared" si="106"/>
        <v>81318.974381636232</v>
      </c>
      <c r="X299" s="43">
        <f t="shared" si="107"/>
        <v>9551.2133938381012</v>
      </c>
      <c r="Y299" s="27">
        <f t="shared" si="108"/>
        <v>638.69435538046878</v>
      </c>
      <c r="Z299" s="27">
        <f t="shared" si="109"/>
        <v>80680.280026255758</v>
      </c>
      <c r="AA299">
        <f t="shared" si="110"/>
        <v>0</v>
      </c>
      <c r="AB299" s="27">
        <f t="shared" si="111"/>
        <v>80680.280026255758</v>
      </c>
      <c r="AD299" s="27">
        <f t="shared" si="112"/>
        <v>0</v>
      </c>
      <c r="AE299" s="27">
        <f t="shared" si="113"/>
        <v>80680.280026255758</v>
      </c>
      <c r="AF299" s="50"/>
      <c r="AG299" t="str">
        <f t="shared" si="114"/>
        <v>5309600</v>
      </c>
    </row>
    <row r="300" spans="1:33" x14ac:dyDescent="0.25">
      <c r="A300" s="7" t="s">
        <v>628</v>
      </c>
      <c r="B300" s="2" t="s">
        <v>1223</v>
      </c>
      <c r="C300" s="4" t="s">
        <v>1222</v>
      </c>
      <c r="D300" s="30">
        <f>_xlfn.IFNA(VLOOKUP(A300,'Prior Year data'!$A$1:$V$318,13,FALSE),0)</f>
        <v>187498.38945782866</v>
      </c>
      <c r="E300">
        <f>VLOOKUP(A300,'Basic HH'!$B$1:$Y$318,23,FALSE)</f>
        <v>65695.875744046527</v>
      </c>
      <c r="F300">
        <f>VLOOKUP(A300,'Conc. HH'!$B$1:$Y$318,23,FALSE)</f>
        <v>17674.74715520989</v>
      </c>
      <c r="G300">
        <f>VLOOKUP(A300,'Targeted HH'!$B$1:$Y$318,23,FALSE)</f>
        <v>45421.664783012457</v>
      </c>
      <c r="H300">
        <f>VLOOKUP(A300,'EFIG HH'!$B$1:$Y$318,23,FALSE)</f>
        <v>61613.137456893557</v>
      </c>
      <c r="I300">
        <f t="shared" si="92"/>
        <v>190405.42513916243</v>
      </c>
      <c r="J300">
        <f t="shared" si="93"/>
        <v>190405.42513916243</v>
      </c>
      <c r="K300" s="43">
        <f t="shared" si="94"/>
        <v>172245.40205646754</v>
      </c>
      <c r="L300">
        <f t="shared" si="95"/>
        <v>15252.987401361112</v>
      </c>
      <c r="M300">
        <f t="shared" si="96"/>
        <v>0</v>
      </c>
      <c r="N300" s="43">
        <f t="shared" si="97"/>
        <v>187498.38945782866</v>
      </c>
      <c r="O300">
        <f t="shared" si="98"/>
        <v>0</v>
      </c>
      <c r="P300">
        <f t="shared" si="99"/>
        <v>0</v>
      </c>
      <c r="Q300" s="43">
        <f t="shared" si="100"/>
        <v>187498.38945782866</v>
      </c>
      <c r="R300">
        <f t="shared" si="101"/>
        <v>0</v>
      </c>
      <c r="S300">
        <f t="shared" si="102"/>
        <v>0</v>
      </c>
      <c r="T300" s="43">
        <f t="shared" si="103"/>
        <v>187498.38945782866</v>
      </c>
      <c r="U300">
        <f t="shared" si="104"/>
        <v>0</v>
      </c>
      <c r="V300">
        <f t="shared" si="105"/>
        <v>0</v>
      </c>
      <c r="W300" s="43">
        <f t="shared" si="106"/>
        <v>187498.38945782866</v>
      </c>
      <c r="X300" s="43">
        <f t="shared" si="107"/>
        <v>2907.0356813337712</v>
      </c>
      <c r="Y300" s="27">
        <f t="shared" si="108"/>
        <v>1472.6472376253594</v>
      </c>
      <c r="Z300" s="27">
        <f t="shared" si="109"/>
        <v>186025.7422202033</v>
      </c>
      <c r="AA300">
        <f t="shared" si="110"/>
        <v>0</v>
      </c>
      <c r="AB300" s="27">
        <f t="shared" si="111"/>
        <v>186025.7422202033</v>
      </c>
      <c r="AD300" s="27">
        <f t="shared" si="112"/>
        <v>0</v>
      </c>
      <c r="AE300" s="27">
        <f t="shared" si="113"/>
        <v>186025.7422202033</v>
      </c>
      <c r="AF300" s="50"/>
      <c r="AG300" t="str">
        <f t="shared" si="114"/>
        <v>5309630</v>
      </c>
    </row>
    <row r="301" spans="1:33" x14ac:dyDescent="0.25">
      <c r="A301" s="7" t="s">
        <v>64</v>
      </c>
      <c r="B301" s="2" t="s">
        <v>1224</v>
      </c>
      <c r="C301" s="4" t="s">
        <v>53</v>
      </c>
      <c r="D301" s="30">
        <f>_xlfn.IFNA(VLOOKUP(A301,'Prior Year data'!$A$1:$V$318,13,FALSE),0)</f>
        <v>2082177.2184240427</v>
      </c>
      <c r="E301">
        <f>VLOOKUP(A301,'Basic HH'!$B$1:$Y$318,23,FALSE)</f>
        <v>885393.18342006847</v>
      </c>
      <c r="F301">
        <f>VLOOKUP(A301,'Conc. HH'!$B$1:$Y$318,23,FALSE)</f>
        <v>0</v>
      </c>
      <c r="G301">
        <f>VLOOKUP(A301,'Targeted HH'!$B$1:$Y$318,23,FALSE)</f>
        <v>499624.25325033802</v>
      </c>
      <c r="H301">
        <f>VLOOKUP(A301,'EFIG HH'!$B$1:$Y$318,23,FALSE)</f>
        <v>662988.78041380015</v>
      </c>
      <c r="I301">
        <f t="shared" si="92"/>
        <v>2048006.2170842066</v>
      </c>
      <c r="J301">
        <f t="shared" si="93"/>
        <v>0</v>
      </c>
      <c r="K301" s="43">
        <f t="shared" si="94"/>
        <v>2048006.2170842066</v>
      </c>
      <c r="L301">
        <f t="shared" si="95"/>
        <v>0</v>
      </c>
      <c r="M301">
        <f t="shared" si="96"/>
        <v>0</v>
      </c>
      <c r="N301" s="43">
        <f t="shared" si="97"/>
        <v>2048006.2170842066</v>
      </c>
      <c r="O301">
        <f t="shared" si="98"/>
        <v>0</v>
      </c>
      <c r="P301">
        <f t="shared" si="99"/>
        <v>0</v>
      </c>
      <c r="Q301" s="43">
        <f t="shared" si="100"/>
        <v>2048006.2170842066</v>
      </c>
      <c r="R301">
        <f t="shared" si="101"/>
        <v>0</v>
      </c>
      <c r="S301">
        <f t="shared" si="102"/>
        <v>0</v>
      </c>
      <c r="T301" s="43">
        <f t="shared" si="103"/>
        <v>2048006.2170842066</v>
      </c>
      <c r="U301">
        <f t="shared" si="104"/>
        <v>0</v>
      </c>
      <c r="V301">
        <f t="shared" si="105"/>
        <v>0</v>
      </c>
      <c r="W301" s="43">
        <f t="shared" si="106"/>
        <v>2048006.2170842066</v>
      </c>
      <c r="X301" s="43">
        <f t="shared" si="107"/>
        <v>0</v>
      </c>
      <c r="Y301" s="27">
        <f t="shared" si="108"/>
        <v>16085.421890554228</v>
      </c>
      <c r="Z301" s="27">
        <f t="shared" si="109"/>
        <v>2031920.7951936524</v>
      </c>
      <c r="AA301">
        <f t="shared" si="110"/>
        <v>0</v>
      </c>
      <c r="AB301" s="27">
        <f t="shared" si="111"/>
        <v>2031920.7951936524</v>
      </c>
      <c r="AD301" s="27">
        <f t="shared" si="112"/>
        <v>0</v>
      </c>
      <c r="AE301" s="27">
        <f t="shared" si="113"/>
        <v>2031920.7951936524</v>
      </c>
      <c r="AF301" s="50"/>
      <c r="AG301" t="str">
        <f t="shared" si="114"/>
        <v>5309660</v>
      </c>
    </row>
    <row r="302" spans="1:33" x14ac:dyDescent="0.25">
      <c r="A302" s="7" t="s">
        <v>305</v>
      </c>
      <c r="B302" s="2" t="s">
        <v>1226</v>
      </c>
      <c r="C302" s="4" t="s">
        <v>1225</v>
      </c>
      <c r="D302" s="30">
        <f>_xlfn.IFNA(VLOOKUP(A302,'Prior Year data'!$A$1:$V$318,13,FALSE),0)</f>
        <v>674252.18697494455</v>
      </c>
      <c r="E302">
        <f>VLOOKUP(A302,'Basic HH'!$B$1:$Y$318,23,FALSE)</f>
        <v>270571.43627628562</v>
      </c>
      <c r="F302">
        <f>VLOOKUP(A302,'Conc. HH'!$B$1:$Y$318,23,FALSE)</f>
        <v>0</v>
      </c>
      <c r="G302">
        <f>VLOOKUP(A302,'Targeted HH'!$B$1:$Y$318,23,FALSE)</f>
        <v>129528.46344518135</v>
      </c>
      <c r="H302">
        <f>VLOOKUP(A302,'EFIG HH'!$B$1:$Y$318,23,FALSE)</f>
        <v>178027.14181672366</v>
      </c>
      <c r="I302">
        <f t="shared" si="92"/>
        <v>578127.04153819056</v>
      </c>
      <c r="J302">
        <f t="shared" si="93"/>
        <v>0</v>
      </c>
      <c r="K302" s="43">
        <f t="shared" si="94"/>
        <v>578127.04153819056</v>
      </c>
      <c r="L302">
        <f t="shared" si="95"/>
        <v>0</v>
      </c>
      <c r="M302">
        <f t="shared" si="96"/>
        <v>0</v>
      </c>
      <c r="N302" s="43">
        <f t="shared" si="97"/>
        <v>578127.04153819056</v>
      </c>
      <c r="O302">
        <f t="shared" si="98"/>
        <v>0</v>
      </c>
      <c r="P302">
        <f t="shared" si="99"/>
        <v>0</v>
      </c>
      <c r="Q302" s="43">
        <f t="shared" si="100"/>
        <v>578127.04153819056</v>
      </c>
      <c r="R302">
        <f t="shared" si="101"/>
        <v>0</v>
      </c>
      <c r="S302">
        <f t="shared" si="102"/>
        <v>0</v>
      </c>
      <c r="T302" s="43">
        <f t="shared" si="103"/>
        <v>578127.04153819056</v>
      </c>
      <c r="U302">
        <f t="shared" si="104"/>
        <v>0</v>
      </c>
      <c r="V302">
        <f t="shared" si="105"/>
        <v>0</v>
      </c>
      <c r="W302" s="43">
        <f t="shared" si="106"/>
        <v>578127.04153819056</v>
      </c>
      <c r="X302" s="43">
        <f t="shared" si="107"/>
        <v>0</v>
      </c>
      <c r="Y302" s="27">
        <f t="shared" si="108"/>
        <v>4540.7173532507913</v>
      </c>
      <c r="Z302" s="27">
        <f t="shared" si="109"/>
        <v>573586.32418493973</v>
      </c>
      <c r="AA302">
        <f t="shared" si="110"/>
        <v>0</v>
      </c>
      <c r="AB302" s="27">
        <f t="shared" si="111"/>
        <v>573586.32418493973</v>
      </c>
      <c r="AD302" s="27">
        <f t="shared" si="112"/>
        <v>0</v>
      </c>
      <c r="AE302" s="27">
        <f t="shared" si="113"/>
        <v>573586.32418493973</v>
      </c>
      <c r="AF302" s="50"/>
      <c r="AG302" t="str">
        <f t="shared" si="114"/>
        <v>5309690</v>
      </c>
    </row>
    <row r="303" spans="1:33" x14ac:dyDescent="0.25">
      <c r="A303" s="7" t="s">
        <v>254</v>
      </c>
      <c r="B303" s="2" t="s">
        <v>1228</v>
      </c>
      <c r="C303" s="4" t="s">
        <v>1227</v>
      </c>
      <c r="D303" s="30">
        <f>_xlfn.IFNA(VLOOKUP(A303,'Prior Year data'!$A$1:$V$318,13,FALSE),0)</f>
        <v>1242731.1966434375</v>
      </c>
      <c r="E303">
        <f>VLOOKUP(A303,'Basic HH'!$B$1:$Y$318,23,FALSE)</f>
        <v>669270.65131023584</v>
      </c>
      <c r="F303">
        <f>VLOOKUP(A303,'Conc. HH'!$B$1:$Y$318,23,FALSE)</f>
        <v>0</v>
      </c>
      <c r="G303">
        <f>VLOOKUP(A303,'Targeted HH'!$B$1:$Y$318,23,FALSE)</f>
        <v>338556.31266868318</v>
      </c>
      <c r="H303">
        <f>VLOOKUP(A303,'EFIG HH'!$B$1:$Y$318,23,FALSE)</f>
        <v>449255.68640307302</v>
      </c>
      <c r="I303">
        <f t="shared" si="92"/>
        <v>1457082.6503819921</v>
      </c>
      <c r="J303">
        <f t="shared" si="93"/>
        <v>1457082.6503819921</v>
      </c>
      <c r="K303" s="43">
        <f t="shared" si="94"/>
        <v>1318112.5840354487</v>
      </c>
      <c r="L303">
        <f t="shared" si="95"/>
        <v>0</v>
      </c>
      <c r="M303">
        <f t="shared" si="96"/>
        <v>75381.387392011238</v>
      </c>
      <c r="N303" s="43">
        <f t="shared" si="97"/>
        <v>1290931.3183935133</v>
      </c>
      <c r="O303">
        <f t="shared" si="98"/>
        <v>0</v>
      </c>
      <c r="P303">
        <f t="shared" si="99"/>
        <v>48200.121750075836</v>
      </c>
      <c r="Q303" s="43">
        <f t="shared" si="100"/>
        <v>1290931.3183935133</v>
      </c>
      <c r="R303">
        <f t="shared" si="101"/>
        <v>0</v>
      </c>
      <c r="S303">
        <f t="shared" si="102"/>
        <v>48200.121750075836</v>
      </c>
      <c r="T303" s="43">
        <f t="shared" si="103"/>
        <v>1290931.3183935133</v>
      </c>
      <c r="U303">
        <f t="shared" si="104"/>
        <v>0</v>
      </c>
      <c r="V303">
        <f t="shared" si="105"/>
        <v>48200.121750075836</v>
      </c>
      <c r="W303" s="43">
        <f t="shared" si="106"/>
        <v>1290931.3183935133</v>
      </c>
      <c r="X303" s="43">
        <f t="shared" si="107"/>
        <v>166151.33198847878</v>
      </c>
      <c r="Y303" s="27">
        <f t="shared" si="108"/>
        <v>10139.21477135597</v>
      </c>
      <c r="Z303" s="27">
        <f t="shared" si="109"/>
        <v>1280792.1036221574</v>
      </c>
      <c r="AA303">
        <f t="shared" si="110"/>
        <v>0</v>
      </c>
      <c r="AB303" s="27">
        <f t="shared" si="111"/>
        <v>1280792.1036221574</v>
      </c>
      <c r="AD303" s="27">
        <f t="shared" si="112"/>
        <v>0</v>
      </c>
      <c r="AE303" s="27">
        <f t="shared" si="113"/>
        <v>1280792.1036221574</v>
      </c>
      <c r="AF303" s="50"/>
      <c r="AG303" t="str">
        <f t="shared" si="114"/>
        <v>5309720</v>
      </c>
    </row>
    <row r="304" spans="1:33" x14ac:dyDescent="0.25">
      <c r="A304" s="7" t="s">
        <v>68</v>
      </c>
      <c r="B304" s="2" t="s">
        <v>1229</v>
      </c>
      <c r="C304" s="4" t="s">
        <v>13</v>
      </c>
      <c r="D304" s="30">
        <f>_xlfn.IFNA(VLOOKUP(A304,'Prior Year data'!$A$1:$V$318,13,FALSE),0)</f>
        <v>0</v>
      </c>
      <c r="E304">
        <f>VLOOKUP(A304,'Basic HH'!$B$1:$Y$318,23,FALSE)</f>
        <v>0</v>
      </c>
      <c r="F304">
        <f>VLOOKUP(A304,'Conc. HH'!$B$1:$Y$318,23,FALSE)</f>
        <v>0</v>
      </c>
      <c r="G304">
        <f>VLOOKUP(A304,'Targeted HH'!$B$1:$Y$318,23,FALSE)</f>
        <v>0</v>
      </c>
      <c r="H304">
        <f>VLOOKUP(A304,'EFIG HH'!$B$1:$Y$318,23,FALSE)</f>
        <v>0</v>
      </c>
      <c r="I304">
        <f t="shared" si="92"/>
        <v>0</v>
      </c>
      <c r="J304">
        <f t="shared" si="93"/>
        <v>0</v>
      </c>
      <c r="K304" s="43">
        <f t="shared" si="94"/>
        <v>0</v>
      </c>
      <c r="L304">
        <f t="shared" si="95"/>
        <v>0</v>
      </c>
      <c r="M304">
        <f t="shared" si="96"/>
        <v>0</v>
      </c>
      <c r="N304" s="43">
        <f t="shared" si="97"/>
        <v>0</v>
      </c>
      <c r="O304">
        <f t="shared" si="98"/>
        <v>0</v>
      </c>
      <c r="P304">
        <f t="shared" si="99"/>
        <v>0</v>
      </c>
      <c r="Q304" s="43">
        <f t="shared" si="100"/>
        <v>0</v>
      </c>
      <c r="R304">
        <f t="shared" si="101"/>
        <v>0</v>
      </c>
      <c r="S304">
        <f t="shared" si="102"/>
        <v>0</v>
      </c>
      <c r="T304" s="43">
        <f t="shared" si="103"/>
        <v>0</v>
      </c>
      <c r="U304">
        <f t="shared" si="104"/>
        <v>0</v>
      </c>
      <c r="V304">
        <f t="shared" si="105"/>
        <v>0</v>
      </c>
      <c r="W304" s="43">
        <f t="shared" si="106"/>
        <v>0</v>
      </c>
      <c r="X304" s="43">
        <f t="shared" si="107"/>
        <v>0</v>
      </c>
      <c r="Y304" s="27">
        <f t="shared" si="108"/>
        <v>0</v>
      </c>
      <c r="Z304" s="27">
        <f t="shared" si="109"/>
        <v>0</v>
      </c>
      <c r="AA304">
        <f t="shared" si="110"/>
        <v>0</v>
      </c>
      <c r="AB304" s="27">
        <f t="shared" si="111"/>
        <v>0</v>
      </c>
      <c r="AD304" s="27">
        <f t="shared" si="112"/>
        <v>0</v>
      </c>
      <c r="AE304" s="27">
        <f t="shared" si="113"/>
        <v>0</v>
      </c>
      <c r="AF304" s="50"/>
      <c r="AG304" t="str">
        <f t="shared" si="114"/>
        <v>5309740</v>
      </c>
    </row>
    <row r="305" spans="1:33" x14ac:dyDescent="0.25">
      <c r="A305" s="7" t="s">
        <v>630</v>
      </c>
      <c r="B305" s="2" t="s">
        <v>1231</v>
      </c>
      <c r="C305" s="4" t="s">
        <v>1230</v>
      </c>
      <c r="D305" s="30">
        <f>_xlfn.IFNA(VLOOKUP(A305,'Prior Year data'!$A$1:$V$318,13,FALSE),0)</f>
        <v>211073.84152338843</v>
      </c>
      <c r="E305">
        <f>VLOOKUP(A305,'Basic HH'!$B$1:$Y$318,23,FALSE)</f>
        <v>75863.094609196589</v>
      </c>
      <c r="F305">
        <f>VLOOKUP(A305,'Conc. HH'!$B$1:$Y$318,23,FALSE)</f>
        <v>20410.124691135235</v>
      </c>
      <c r="G305">
        <f>VLOOKUP(A305,'Targeted HH'!$B$1:$Y$318,23,FALSE)</f>
        <v>43102.978542110548</v>
      </c>
      <c r="H305">
        <f>VLOOKUP(A305,'EFIG HH'!$B$1:$Y$318,23,FALSE)</f>
        <v>58467.908527866559</v>
      </c>
      <c r="I305">
        <f t="shared" si="92"/>
        <v>197844.10637030893</v>
      </c>
      <c r="J305">
        <f t="shared" si="93"/>
        <v>0</v>
      </c>
      <c r="K305" s="43">
        <f t="shared" si="94"/>
        <v>197844.10637030893</v>
      </c>
      <c r="L305">
        <f t="shared" si="95"/>
        <v>0</v>
      </c>
      <c r="M305">
        <f t="shared" si="96"/>
        <v>0</v>
      </c>
      <c r="N305" s="43">
        <f t="shared" si="97"/>
        <v>197844.10637030893</v>
      </c>
      <c r="O305">
        <f t="shared" si="98"/>
        <v>0</v>
      </c>
      <c r="P305">
        <f t="shared" si="99"/>
        <v>0</v>
      </c>
      <c r="Q305" s="43">
        <f t="shared" si="100"/>
        <v>197844.10637030893</v>
      </c>
      <c r="R305">
        <f t="shared" si="101"/>
        <v>0</v>
      </c>
      <c r="S305">
        <f t="shared" si="102"/>
        <v>0</v>
      </c>
      <c r="T305" s="43">
        <f t="shared" si="103"/>
        <v>197844.10637030893</v>
      </c>
      <c r="U305">
        <f t="shared" si="104"/>
        <v>0</v>
      </c>
      <c r="V305">
        <f t="shared" si="105"/>
        <v>0</v>
      </c>
      <c r="W305" s="43">
        <f t="shared" si="106"/>
        <v>197844.10637030893</v>
      </c>
      <c r="X305" s="43">
        <f t="shared" si="107"/>
        <v>0</v>
      </c>
      <c r="Y305" s="27">
        <f t="shared" si="108"/>
        <v>1553.9044232282511</v>
      </c>
      <c r="Z305" s="27">
        <f t="shared" si="109"/>
        <v>196290.20194708067</v>
      </c>
      <c r="AA305">
        <f t="shared" si="110"/>
        <v>0</v>
      </c>
      <c r="AB305" s="27">
        <f t="shared" si="111"/>
        <v>196290.20194708067</v>
      </c>
      <c r="AD305" s="27">
        <f t="shared" si="112"/>
        <v>0</v>
      </c>
      <c r="AE305" s="27">
        <f t="shared" si="113"/>
        <v>196290.20194708067</v>
      </c>
      <c r="AF305" s="50"/>
      <c r="AG305" t="str">
        <f t="shared" si="114"/>
        <v>5309750</v>
      </c>
    </row>
    <row r="306" spans="1:33" x14ac:dyDescent="0.25">
      <c r="A306" s="7" t="s">
        <v>255</v>
      </c>
      <c r="B306" s="2" t="s">
        <v>1233</v>
      </c>
      <c r="C306" s="4" t="s">
        <v>1232</v>
      </c>
      <c r="D306" s="30">
        <f>_xlfn.IFNA(VLOOKUP(A306,'Prior Year data'!$A$1:$V$318,13,FALSE),0)</f>
        <v>171605.36571971056</v>
      </c>
      <c r="E306">
        <f>VLOOKUP(A306,'Basic HH'!$B$1:$Y$318,23,FALSE)</f>
        <v>215468.2123140707</v>
      </c>
      <c r="F306">
        <f>VLOOKUP(A306,'Conc. HH'!$B$1:$Y$318,23,FALSE)</f>
        <v>0</v>
      </c>
      <c r="G306">
        <f>VLOOKUP(A306,'Targeted HH'!$B$1:$Y$318,23,FALSE)</f>
        <v>104203.89020581327</v>
      </c>
      <c r="H306">
        <f>VLOOKUP(A306,'EFIG HH'!$B$1:$Y$318,23,FALSE)</f>
        <v>138275.93362908659</v>
      </c>
      <c r="I306">
        <f t="shared" si="92"/>
        <v>457948.03614897054</v>
      </c>
      <c r="J306">
        <f t="shared" si="93"/>
        <v>457948.03614897054</v>
      </c>
      <c r="K306" s="43">
        <f t="shared" si="94"/>
        <v>414270.98807609192</v>
      </c>
      <c r="L306">
        <f t="shared" si="95"/>
        <v>0</v>
      </c>
      <c r="M306">
        <f t="shared" si="96"/>
        <v>242665.62235638135</v>
      </c>
      <c r="N306" s="43">
        <f t="shared" si="97"/>
        <v>326769.82934664376</v>
      </c>
      <c r="O306">
        <f t="shared" si="98"/>
        <v>0</v>
      </c>
      <c r="P306">
        <f t="shared" si="99"/>
        <v>155164.4636269332</v>
      </c>
      <c r="Q306" s="43">
        <f t="shared" si="100"/>
        <v>326769.82934664376</v>
      </c>
      <c r="R306">
        <f t="shared" si="101"/>
        <v>0</v>
      </c>
      <c r="S306">
        <f t="shared" si="102"/>
        <v>155164.4636269332</v>
      </c>
      <c r="T306" s="43">
        <f t="shared" si="103"/>
        <v>326769.82934664376</v>
      </c>
      <c r="U306">
        <f t="shared" si="104"/>
        <v>0</v>
      </c>
      <c r="V306">
        <f t="shared" si="105"/>
        <v>155164.4636269332</v>
      </c>
      <c r="W306" s="43">
        <f t="shared" si="106"/>
        <v>326769.82934664376</v>
      </c>
      <c r="X306" s="43">
        <f t="shared" si="107"/>
        <v>131178.20680232678</v>
      </c>
      <c r="Y306" s="27">
        <f t="shared" si="108"/>
        <v>2566.5110400048438</v>
      </c>
      <c r="Z306" s="27">
        <f t="shared" si="109"/>
        <v>324203.31830663892</v>
      </c>
      <c r="AA306">
        <f t="shared" si="110"/>
        <v>0</v>
      </c>
      <c r="AB306" s="27">
        <f t="shared" si="111"/>
        <v>324203.31830663892</v>
      </c>
      <c r="AD306" s="27">
        <f t="shared" si="112"/>
        <v>0</v>
      </c>
      <c r="AE306" s="27">
        <f t="shared" si="113"/>
        <v>324203.31830663892</v>
      </c>
      <c r="AF306" s="50"/>
      <c r="AG306" t="str">
        <f t="shared" si="114"/>
        <v>5309780</v>
      </c>
    </row>
    <row r="307" spans="1:33" x14ac:dyDescent="0.25">
      <c r="A307" s="7" t="s">
        <v>306</v>
      </c>
      <c r="B307" s="2" t="s">
        <v>1235</v>
      </c>
      <c r="C307" s="4" t="s">
        <v>1234</v>
      </c>
      <c r="D307" s="30">
        <f>_xlfn.IFNA(VLOOKUP(A307,'Prior Year data'!$A$1:$V$318,13,FALSE),0)</f>
        <v>252362.98014145289</v>
      </c>
      <c r="E307">
        <f>VLOOKUP(A307,'Basic HH'!$B$1:$Y$318,23,FALSE)</f>
        <v>123124.69275089749</v>
      </c>
      <c r="F307">
        <f>VLOOKUP(A307,'Conc. HH'!$B$1:$Y$318,23,FALSE)</f>
        <v>0</v>
      </c>
      <c r="G307">
        <f>VLOOKUP(A307,'Targeted HH'!$B$1:$Y$318,23,FALSE)</f>
        <v>59545.080117607562</v>
      </c>
      <c r="H307">
        <f>VLOOKUP(A307,'EFIG HH'!$B$1:$Y$318,23,FALSE)</f>
        <v>79014.819216620876</v>
      </c>
      <c r="I307">
        <f t="shared" si="92"/>
        <v>261684.59208512591</v>
      </c>
      <c r="J307">
        <f t="shared" si="93"/>
        <v>261684.59208512591</v>
      </c>
      <c r="K307" s="43">
        <f t="shared" si="94"/>
        <v>236726.27890062385</v>
      </c>
      <c r="L307">
        <f t="shared" si="95"/>
        <v>15636.701240829047</v>
      </c>
      <c r="M307">
        <f t="shared" si="96"/>
        <v>0</v>
      </c>
      <c r="N307" s="43">
        <f t="shared" si="97"/>
        <v>252362.98014145289</v>
      </c>
      <c r="O307">
        <f t="shared" si="98"/>
        <v>0</v>
      </c>
      <c r="P307">
        <f t="shared" si="99"/>
        <v>0</v>
      </c>
      <c r="Q307" s="43">
        <f t="shared" si="100"/>
        <v>252362.98014145289</v>
      </c>
      <c r="R307">
        <f t="shared" si="101"/>
        <v>0</v>
      </c>
      <c r="S307">
        <f t="shared" si="102"/>
        <v>0</v>
      </c>
      <c r="T307" s="43">
        <f t="shared" si="103"/>
        <v>252362.98014145289</v>
      </c>
      <c r="U307">
        <f t="shared" si="104"/>
        <v>0</v>
      </c>
      <c r="V307">
        <f t="shared" si="105"/>
        <v>0</v>
      </c>
      <c r="W307" s="43">
        <f t="shared" si="106"/>
        <v>252362.98014145289</v>
      </c>
      <c r="X307" s="43">
        <f t="shared" si="107"/>
        <v>9321.6119436730223</v>
      </c>
      <c r="Y307" s="27">
        <f t="shared" si="108"/>
        <v>1982.1058018623787</v>
      </c>
      <c r="Z307" s="27">
        <f t="shared" si="109"/>
        <v>250380.87433959052</v>
      </c>
      <c r="AA307">
        <f t="shared" si="110"/>
        <v>0</v>
      </c>
      <c r="AB307" s="27">
        <f t="shared" si="111"/>
        <v>250380.87433959052</v>
      </c>
      <c r="AD307" s="27">
        <f t="shared" si="112"/>
        <v>0</v>
      </c>
      <c r="AE307" s="27">
        <f t="shared" si="113"/>
        <v>250380.87433959052</v>
      </c>
      <c r="AF307" s="50"/>
      <c r="AG307" t="str">
        <f t="shared" si="114"/>
        <v>5309810</v>
      </c>
    </row>
    <row r="308" spans="1:33" x14ac:dyDescent="0.25">
      <c r="A308" s="7" t="s">
        <v>257</v>
      </c>
      <c r="B308" s="2" t="s">
        <v>1238</v>
      </c>
      <c r="C308" s="4" t="s">
        <v>1237</v>
      </c>
      <c r="D308" s="30">
        <f>_xlfn.IFNA(VLOOKUP(A308,'Prior Year data'!$A$1:$V$318,13,FALSE),0)</f>
        <v>51730.297296483324</v>
      </c>
      <c r="E308">
        <f>VLOOKUP(A308,'Basic HH'!$B$1:$Y$318,23,FALSE)</f>
        <v>34299.021552035738</v>
      </c>
      <c r="F308">
        <f>VLOOKUP(A308,'Conc. HH'!$B$1:$Y$318,23,FALSE)</f>
        <v>9246.1201758660245</v>
      </c>
      <c r="G308">
        <f>VLOOKUP(A308,'Targeted HH'!$B$1:$Y$318,23,FALSE)</f>
        <v>17796.280626949461</v>
      </c>
      <c r="H308">
        <f>VLOOKUP(A308,'EFIG HH'!$B$1:$Y$318,23,FALSE)</f>
        <v>23615.215458428069</v>
      </c>
      <c r="I308">
        <f t="shared" si="92"/>
        <v>84956.637813279289</v>
      </c>
      <c r="J308">
        <f t="shared" si="93"/>
        <v>84956.637813279289</v>
      </c>
      <c r="K308" s="43">
        <f t="shared" si="94"/>
        <v>76853.851337580418</v>
      </c>
      <c r="L308">
        <f t="shared" si="95"/>
        <v>0</v>
      </c>
      <c r="M308">
        <f t="shared" si="96"/>
        <v>25123.554041097093</v>
      </c>
      <c r="N308" s="43">
        <f t="shared" si="97"/>
        <v>67794.718574352009</v>
      </c>
      <c r="O308">
        <f t="shared" si="98"/>
        <v>0</v>
      </c>
      <c r="P308">
        <f t="shared" si="99"/>
        <v>16064.421277868685</v>
      </c>
      <c r="Q308" s="43">
        <f t="shared" si="100"/>
        <v>67794.718574352009</v>
      </c>
      <c r="R308">
        <f t="shared" si="101"/>
        <v>0</v>
      </c>
      <c r="S308">
        <f t="shared" si="102"/>
        <v>16064.421277868685</v>
      </c>
      <c r="T308" s="43">
        <f t="shared" si="103"/>
        <v>67794.718574352009</v>
      </c>
      <c r="U308">
        <f t="shared" si="104"/>
        <v>0</v>
      </c>
      <c r="V308">
        <f t="shared" si="105"/>
        <v>16064.421277868685</v>
      </c>
      <c r="W308" s="43">
        <f t="shared" si="106"/>
        <v>67794.718574352009</v>
      </c>
      <c r="X308" s="43">
        <f t="shared" si="107"/>
        <v>17161.919238927279</v>
      </c>
      <c r="Y308" s="27">
        <f t="shared" si="108"/>
        <v>532.47233388403697</v>
      </c>
      <c r="Z308" s="27">
        <f t="shared" si="109"/>
        <v>67262.246240467968</v>
      </c>
      <c r="AA308">
        <f t="shared" si="110"/>
        <v>0</v>
      </c>
      <c r="AB308" s="27">
        <f t="shared" si="111"/>
        <v>67262.246240467968</v>
      </c>
      <c r="AD308" s="27">
        <f t="shared" si="112"/>
        <v>0</v>
      </c>
      <c r="AE308" s="27">
        <f t="shared" si="113"/>
        <v>67262.246240467968</v>
      </c>
      <c r="AF308" s="50"/>
      <c r="AG308" t="str">
        <f t="shared" si="114"/>
        <v>5309840</v>
      </c>
    </row>
    <row r="309" spans="1:33" x14ac:dyDescent="0.25">
      <c r="A309" s="7" t="s">
        <v>632</v>
      </c>
      <c r="B309" s="2" t="s">
        <v>1240</v>
      </c>
      <c r="C309" s="4" t="s">
        <v>1239</v>
      </c>
      <c r="D309" s="30">
        <f>_xlfn.IFNA(VLOOKUP(A309,'Prior Year data'!$A$1:$V$318,13,FALSE),0)</f>
        <v>90624.652307588156</v>
      </c>
      <c r="E309">
        <f>VLOOKUP(A309,'Basic HH'!$B$1:$Y$318,23,FALSE)</f>
        <v>33419.559460957877</v>
      </c>
      <c r="F309">
        <f>VLOOKUP(A309,'Conc. HH'!$B$1:$Y$318,23,FALSE)</f>
        <v>8179.8024284940839</v>
      </c>
      <c r="G309">
        <f>VLOOKUP(A309,'Targeted HH'!$B$1:$Y$318,23,FALSE)</f>
        <v>16792.604072572503</v>
      </c>
      <c r="H309">
        <f>VLOOKUP(A309,'EFIG HH'!$B$1:$Y$318,23,FALSE)</f>
        <v>21446.879501654246</v>
      </c>
      <c r="I309">
        <f t="shared" si="92"/>
        <v>79838.845463678706</v>
      </c>
      <c r="J309">
        <f t="shared" si="93"/>
        <v>0</v>
      </c>
      <c r="K309" s="43">
        <f t="shared" si="94"/>
        <v>79838.845463678706</v>
      </c>
      <c r="L309">
        <f t="shared" si="95"/>
        <v>0</v>
      </c>
      <c r="M309">
        <f t="shared" si="96"/>
        <v>0</v>
      </c>
      <c r="N309" s="43">
        <f t="shared" si="97"/>
        <v>79838.845463678706</v>
      </c>
      <c r="O309">
        <f t="shared" si="98"/>
        <v>0</v>
      </c>
      <c r="P309">
        <f t="shared" si="99"/>
        <v>0</v>
      </c>
      <c r="Q309" s="43">
        <f t="shared" si="100"/>
        <v>79838.845463678706</v>
      </c>
      <c r="R309">
        <f t="shared" si="101"/>
        <v>0</v>
      </c>
      <c r="S309">
        <f t="shared" si="102"/>
        <v>0</v>
      </c>
      <c r="T309" s="43">
        <f t="shared" si="103"/>
        <v>79838.845463678706</v>
      </c>
      <c r="U309">
        <f t="shared" si="104"/>
        <v>0</v>
      </c>
      <c r="V309">
        <f t="shared" si="105"/>
        <v>0</v>
      </c>
      <c r="W309" s="43">
        <f t="shared" si="106"/>
        <v>79838.845463678706</v>
      </c>
      <c r="X309" s="43">
        <f t="shared" si="107"/>
        <v>0</v>
      </c>
      <c r="Y309" s="27">
        <f t="shared" si="108"/>
        <v>627.0691474591506</v>
      </c>
      <c r="Z309" s="27">
        <f t="shared" si="109"/>
        <v>79211.776316219562</v>
      </c>
      <c r="AA309">
        <f t="shared" si="110"/>
        <v>0</v>
      </c>
      <c r="AB309" s="27">
        <f t="shared" si="111"/>
        <v>79211.776316219562</v>
      </c>
      <c r="AD309" s="27">
        <f t="shared" si="112"/>
        <v>0</v>
      </c>
      <c r="AE309" s="27">
        <f t="shared" si="113"/>
        <v>79211.776316219562</v>
      </c>
      <c r="AF309" s="50"/>
      <c r="AG309" t="str">
        <f t="shared" si="114"/>
        <v>5309870</v>
      </c>
    </row>
    <row r="310" spans="1:33" x14ac:dyDescent="0.25">
      <c r="A310" s="7" t="s">
        <v>634</v>
      </c>
      <c r="B310" s="2" t="s">
        <v>1242</v>
      </c>
      <c r="C310" s="4" t="s">
        <v>1241</v>
      </c>
      <c r="D310" s="30">
        <f>_xlfn.IFNA(VLOOKUP(A310,'Prior Year data'!$A$1:$V$318,13,FALSE),0)</f>
        <v>28449.314894454281</v>
      </c>
      <c r="E310">
        <f>VLOOKUP(A310,'Basic HH'!$B$1:$Y$318,23,FALSE)</f>
        <v>21986.552276945989</v>
      </c>
      <c r="F310">
        <f>VLOOKUP(A310,'Conc. HH'!$B$1:$Y$318,23,FALSE)</f>
        <v>5927.0001127346295</v>
      </c>
      <c r="G310">
        <f>VLOOKUP(A310,'Targeted HH'!$B$1:$Y$318,23,FALSE)</f>
        <v>13237.32853129507</v>
      </c>
      <c r="H310">
        <f>VLOOKUP(A310,'EFIG HH'!$B$1:$Y$318,23,FALSE)</f>
        <v>17565.601032788098</v>
      </c>
      <c r="I310">
        <f t="shared" si="92"/>
        <v>58716.481953763781</v>
      </c>
      <c r="J310">
        <f t="shared" si="93"/>
        <v>58716.481953763781</v>
      </c>
      <c r="K310" s="43">
        <f t="shared" si="94"/>
        <v>53116.364904390524</v>
      </c>
      <c r="L310">
        <f t="shared" si="95"/>
        <v>0</v>
      </c>
      <c r="M310">
        <f t="shared" si="96"/>
        <v>24667.050009936243</v>
      </c>
      <c r="N310" s="43">
        <f t="shared" si="97"/>
        <v>44221.839848275136</v>
      </c>
      <c r="O310">
        <f t="shared" si="98"/>
        <v>0</v>
      </c>
      <c r="P310">
        <f t="shared" si="99"/>
        <v>15772.524953820855</v>
      </c>
      <c r="Q310" s="43">
        <f t="shared" si="100"/>
        <v>44221.839848275136</v>
      </c>
      <c r="R310">
        <f t="shared" si="101"/>
        <v>0</v>
      </c>
      <c r="S310">
        <f t="shared" si="102"/>
        <v>15772.524953820855</v>
      </c>
      <c r="T310" s="43">
        <f t="shared" si="103"/>
        <v>44221.839848275136</v>
      </c>
      <c r="U310">
        <f t="shared" si="104"/>
        <v>0</v>
      </c>
      <c r="V310">
        <f t="shared" si="105"/>
        <v>15772.524953820855</v>
      </c>
      <c r="W310" s="43">
        <f t="shared" si="106"/>
        <v>44221.839848275136</v>
      </c>
      <c r="X310" s="43">
        <f t="shared" si="107"/>
        <v>14494.642105488645</v>
      </c>
      <c r="Y310" s="27">
        <f t="shared" si="108"/>
        <v>347.32655828982814</v>
      </c>
      <c r="Z310" s="27">
        <f t="shared" si="109"/>
        <v>43874.513289985305</v>
      </c>
      <c r="AA310">
        <f t="shared" si="110"/>
        <v>0</v>
      </c>
      <c r="AB310" s="27">
        <f t="shared" si="111"/>
        <v>43874.513289985305</v>
      </c>
      <c r="AD310" s="27">
        <f t="shared" si="112"/>
        <v>0</v>
      </c>
      <c r="AE310" s="27">
        <f t="shared" si="113"/>
        <v>43874.513289985305</v>
      </c>
      <c r="AF310" s="50"/>
      <c r="AG310" t="str">
        <f t="shared" si="114"/>
        <v>5309900</v>
      </c>
    </row>
    <row r="311" spans="1:33" x14ac:dyDescent="0.25">
      <c r="A311" s="7" t="s">
        <v>636</v>
      </c>
      <c r="B311" s="2" t="s">
        <v>1244</v>
      </c>
      <c r="C311" s="4" t="s">
        <v>1243</v>
      </c>
      <c r="D311" s="30">
        <f>_xlfn.IFNA(VLOOKUP(A311,'Prior Year data'!$A$1:$V$318,13,FALSE),0)</f>
        <v>202871.75579219669</v>
      </c>
      <c r="E311">
        <f>VLOOKUP(A311,'Basic HH'!$B$1:$Y$318,23,FALSE)</f>
        <v>74754.277741616359</v>
      </c>
      <c r="F311">
        <f>VLOOKUP(A311,'Conc. HH'!$B$1:$Y$318,23,FALSE)</f>
        <v>15941.237537012279</v>
      </c>
      <c r="G311">
        <f>VLOOKUP(A311,'Targeted HH'!$B$1:$Y$318,23,FALSE)</f>
        <v>36152.370071404599</v>
      </c>
      <c r="H311">
        <f>VLOOKUP(A311,'EFIG HH'!$B$1:$Y$318,23,FALSE)</f>
        <v>48333.920270844363</v>
      </c>
      <c r="I311">
        <f t="shared" si="92"/>
        <v>175181.8056208776</v>
      </c>
      <c r="J311">
        <f t="shared" si="93"/>
        <v>0</v>
      </c>
      <c r="K311" s="43">
        <f t="shared" si="94"/>
        <v>175181.8056208776</v>
      </c>
      <c r="L311">
        <f t="shared" si="95"/>
        <v>0</v>
      </c>
      <c r="M311">
        <f t="shared" si="96"/>
        <v>0</v>
      </c>
      <c r="N311" s="43">
        <f t="shared" si="97"/>
        <v>175181.8056208776</v>
      </c>
      <c r="O311">
        <f t="shared" si="98"/>
        <v>0</v>
      </c>
      <c r="P311">
        <f t="shared" si="99"/>
        <v>0</v>
      </c>
      <c r="Q311" s="43">
        <f t="shared" si="100"/>
        <v>175181.8056208776</v>
      </c>
      <c r="R311">
        <f t="shared" si="101"/>
        <v>0</v>
      </c>
      <c r="S311">
        <f t="shared" si="102"/>
        <v>0</v>
      </c>
      <c r="T311" s="43">
        <f t="shared" si="103"/>
        <v>175181.8056208776</v>
      </c>
      <c r="U311">
        <f t="shared" si="104"/>
        <v>0</v>
      </c>
      <c r="V311">
        <f t="shared" si="105"/>
        <v>0</v>
      </c>
      <c r="W311" s="43">
        <f t="shared" si="106"/>
        <v>175181.8056208776</v>
      </c>
      <c r="X311" s="43">
        <f t="shared" si="107"/>
        <v>0</v>
      </c>
      <c r="Y311" s="27">
        <f t="shared" si="108"/>
        <v>1375.9104964889952</v>
      </c>
      <c r="Z311" s="27">
        <f t="shared" si="109"/>
        <v>173805.8951243886</v>
      </c>
      <c r="AA311">
        <f t="shared" si="110"/>
        <v>0</v>
      </c>
      <c r="AB311" s="27">
        <f t="shared" si="111"/>
        <v>173805.8951243886</v>
      </c>
      <c r="AD311" s="27">
        <f t="shared" si="112"/>
        <v>0</v>
      </c>
      <c r="AE311" s="27">
        <f t="shared" si="113"/>
        <v>173805.8951243886</v>
      </c>
      <c r="AF311" s="50"/>
      <c r="AG311" t="str">
        <f t="shared" si="114"/>
        <v>5309930</v>
      </c>
    </row>
    <row r="312" spans="1:33" x14ac:dyDescent="0.25">
      <c r="A312" s="7" t="s">
        <v>638</v>
      </c>
      <c r="B312" s="2" t="s">
        <v>1246</v>
      </c>
      <c r="C312" s="4" t="s">
        <v>1245</v>
      </c>
      <c r="D312" s="30">
        <f>_xlfn.IFNA(VLOOKUP(A312,'Prior Year data'!$A$1:$V$318,13,FALSE),0)</f>
        <v>53318.768992450598</v>
      </c>
      <c r="E312">
        <f>VLOOKUP(A312,'Basic HH'!$B$1:$Y$318,23,FALSE)</f>
        <v>21898.625248015509</v>
      </c>
      <c r="F312">
        <f>VLOOKUP(A312,'Conc. HH'!$B$1:$Y$318,23,FALSE)</f>
        <v>5891.5823850699626</v>
      </c>
      <c r="G312">
        <f>VLOOKUP(A312,'Targeted HH'!$B$1:$Y$318,23,FALSE)</f>
        <v>12006.243017118821</v>
      </c>
      <c r="H312">
        <f>VLOOKUP(A312,'EFIG HH'!$B$1:$Y$318,23,FALSE)</f>
        <v>16286.111592089228</v>
      </c>
      <c r="I312">
        <f t="shared" si="92"/>
        <v>56082.562242293519</v>
      </c>
      <c r="J312">
        <f t="shared" si="93"/>
        <v>56082.562242293519</v>
      </c>
      <c r="K312" s="43">
        <f t="shared" si="94"/>
        <v>50733.656747020184</v>
      </c>
      <c r="L312">
        <f t="shared" si="95"/>
        <v>2585.1122454304132</v>
      </c>
      <c r="M312">
        <f t="shared" si="96"/>
        <v>0</v>
      </c>
      <c r="N312" s="43">
        <f t="shared" si="97"/>
        <v>53318.768992450598</v>
      </c>
      <c r="O312">
        <f t="shared" si="98"/>
        <v>0</v>
      </c>
      <c r="P312">
        <f t="shared" si="99"/>
        <v>0</v>
      </c>
      <c r="Q312" s="43">
        <f t="shared" si="100"/>
        <v>53318.768992450598</v>
      </c>
      <c r="R312">
        <f t="shared" si="101"/>
        <v>0</v>
      </c>
      <c r="S312">
        <f t="shared" si="102"/>
        <v>0</v>
      </c>
      <c r="T312" s="43">
        <f t="shared" si="103"/>
        <v>53318.768992450598</v>
      </c>
      <c r="U312">
        <f t="shared" si="104"/>
        <v>0</v>
      </c>
      <c r="V312">
        <f t="shared" si="105"/>
        <v>0</v>
      </c>
      <c r="W312" s="43">
        <f t="shared" si="106"/>
        <v>53318.768992450598</v>
      </c>
      <c r="X312" s="43">
        <f t="shared" si="107"/>
        <v>2763.7932498429218</v>
      </c>
      <c r="Y312" s="27">
        <f t="shared" si="108"/>
        <v>418.77553240518569</v>
      </c>
      <c r="Z312" s="27">
        <f t="shared" si="109"/>
        <v>52899.993460045414</v>
      </c>
      <c r="AA312">
        <f t="shared" si="110"/>
        <v>0</v>
      </c>
      <c r="AB312" s="27">
        <f t="shared" si="111"/>
        <v>52899.993460045414</v>
      </c>
      <c r="AD312" s="27">
        <f t="shared" si="112"/>
        <v>0</v>
      </c>
      <c r="AE312" s="27">
        <f t="shared" si="113"/>
        <v>52899.993460045414</v>
      </c>
      <c r="AF312" s="50"/>
      <c r="AG312" t="str">
        <f t="shared" si="114"/>
        <v>5309990</v>
      </c>
    </row>
    <row r="313" spans="1:33" x14ac:dyDescent="0.25">
      <c r="A313" s="7" t="s">
        <v>640</v>
      </c>
      <c r="B313" s="2" t="s">
        <v>1248</v>
      </c>
      <c r="C313" s="4" t="s">
        <v>1247</v>
      </c>
      <c r="D313" s="30">
        <f>_xlfn.IFNA(VLOOKUP(A313,'Prior Year data'!$A$1:$V$318,13,FALSE),0)</f>
        <v>100265.23273390059</v>
      </c>
      <c r="E313">
        <f>VLOOKUP(A313,'Basic HH'!$B$1:$Y$318,23,FALSE)</f>
        <v>25591.845775954633</v>
      </c>
      <c r="F313">
        <f>VLOOKUP(A313,'Conc. HH'!$B$1:$Y$318,23,FALSE)</f>
        <v>6885.202430171048</v>
      </c>
      <c r="G313">
        <f>VLOOKUP(A313,'Targeted HH'!$B$1:$Y$318,23,FALSE)</f>
        <v>35439.623151143336</v>
      </c>
      <c r="H313">
        <f>VLOOKUP(A313,'EFIG HH'!$B$1:$Y$318,23,FALSE)</f>
        <v>48072.794844995238</v>
      </c>
      <c r="I313">
        <f t="shared" si="92"/>
        <v>115989.46620226426</v>
      </c>
      <c r="J313">
        <f t="shared" si="93"/>
        <v>115989.46620226426</v>
      </c>
      <c r="K313" s="43">
        <f t="shared" si="94"/>
        <v>104926.90649818501</v>
      </c>
      <c r="L313">
        <f t="shared" si="95"/>
        <v>0</v>
      </c>
      <c r="M313">
        <f t="shared" si="96"/>
        <v>4661.6737642844237</v>
      </c>
      <c r="N313" s="43">
        <f t="shared" si="97"/>
        <v>103245.98502264734</v>
      </c>
      <c r="O313">
        <f t="shared" si="98"/>
        <v>0</v>
      </c>
      <c r="P313">
        <f t="shared" si="99"/>
        <v>2980.7522887467494</v>
      </c>
      <c r="Q313" s="43">
        <f t="shared" si="100"/>
        <v>103245.98502264734</v>
      </c>
      <c r="R313">
        <f t="shared" si="101"/>
        <v>0</v>
      </c>
      <c r="S313">
        <f t="shared" si="102"/>
        <v>2980.7522887467494</v>
      </c>
      <c r="T313" s="43">
        <f t="shared" si="103"/>
        <v>103245.98502264734</v>
      </c>
      <c r="U313">
        <f t="shared" si="104"/>
        <v>0</v>
      </c>
      <c r="V313">
        <f t="shared" si="105"/>
        <v>2980.7522887467494</v>
      </c>
      <c r="W313" s="43">
        <f t="shared" si="106"/>
        <v>103245.98502264734</v>
      </c>
      <c r="X313" s="43">
        <f t="shared" si="107"/>
        <v>12743.481179616923</v>
      </c>
      <c r="Y313" s="27">
        <f t="shared" si="108"/>
        <v>810.91317679668987</v>
      </c>
      <c r="Z313" s="27">
        <f t="shared" si="109"/>
        <v>102435.07184585065</v>
      </c>
      <c r="AA313">
        <f t="shared" si="110"/>
        <v>0</v>
      </c>
      <c r="AB313" s="27">
        <f t="shared" si="111"/>
        <v>102435.07184585065</v>
      </c>
      <c r="AD313" s="27">
        <f t="shared" si="112"/>
        <v>0</v>
      </c>
      <c r="AE313" s="27">
        <f t="shared" si="113"/>
        <v>102435.07184585065</v>
      </c>
      <c r="AF313" s="50"/>
      <c r="AG313" t="str">
        <f t="shared" si="114"/>
        <v>5310020</v>
      </c>
    </row>
    <row r="314" spans="1:33" x14ac:dyDescent="0.25">
      <c r="A314" s="7" t="s">
        <v>642</v>
      </c>
      <c r="B314" s="2" t="s">
        <v>1250</v>
      </c>
      <c r="C314" s="4" t="s">
        <v>1249</v>
      </c>
      <c r="D314" s="30">
        <f>_xlfn.IFNA(VLOOKUP(A314,'Prior Year data'!$A$1:$V$318,13,FALSE),0)</f>
        <v>441383.31378902798</v>
      </c>
      <c r="E314">
        <f>VLOOKUP(A314,'Basic HH'!$B$1:$Y$318,23,FALSE)</f>
        <v>197217.97619194922</v>
      </c>
      <c r="F314">
        <f>VLOOKUP(A314,'Conc. HH'!$B$1:$Y$318,23,FALSE)</f>
        <v>0</v>
      </c>
      <c r="G314">
        <f>VLOOKUP(A314,'Targeted HH'!$B$1:$Y$318,23,FALSE)</f>
        <v>95137.778459852052</v>
      </c>
      <c r="H314">
        <f>VLOOKUP(A314,'EFIG HH'!$B$1:$Y$318,23,FALSE)</f>
        <v>129051.56712315447</v>
      </c>
      <c r="I314">
        <f t="shared" si="92"/>
        <v>421407.32177495572</v>
      </c>
      <c r="J314">
        <f t="shared" si="93"/>
        <v>0</v>
      </c>
      <c r="K314" s="43">
        <f t="shared" si="94"/>
        <v>421407.32177495572</v>
      </c>
      <c r="L314">
        <f t="shared" si="95"/>
        <v>0</v>
      </c>
      <c r="M314">
        <f t="shared" si="96"/>
        <v>0</v>
      </c>
      <c r="N314" s="43">
        <f t="shared" si="97"/>
        <v>421407.32177495572</v>
      </c>
      <c r="O314">
        <f t="shared" si="98"/>
        <v>0</v>
      </c>
      <c r="P314">
        <f t="shared" si="99"/>
        <v>0</v>
      </c>
      <c r="Q314" s="43">
        <f t="shared" si="100"/>
        <v>421407.32177495572</v>
      </c>
      <c r="R314">
        <f t="shared" si="101"/>
        <v>0</v>
      </c>
      <c r="S314">
        <f t="shared" si="102"/>
        <v>0</v>
      </c>
      <c r="T314" s="43">
        <f t="shared" si="103"/>
        <v>421407.32177495572</v>
      </c>
      <c r="U314">
        <f t="shared" si="104"/>
        <v>0</v>
      </c>
      <c r="V314">
        <f t="shared" si="105"/>
        <v>0</v>
      </c>
      <c r="W314" s="43">
        <f t="shared" si="106"/>
        <v>421407.32177495572</v>
      </c>
      <c r="X314" s="43">
        <f t="shared" si="107"/>
        <v>0</v>
      </c>
      <c r="Y314" s="27">
        <f t="shared" si="108"/>
        <v>3309.8115142293991</v>
      </c>
      <c r="Z314" s="27">
        <f t="shared" si="109"/>
        <v>418097.51026072633</v>
      </c>
      <c r="AA314">
        <f t="shared" si="110"/>
        <v>0</v>
      </c>
      <c r="AB314" s="27">
        <f t="shared" si="111"/>
        <v>418097.51026072633</v>
      </c>
      <c r="AD314" s="27">
        <f t="shared" si="112"/>
        <v>0</v>
      </c>
      <c r="AE314" s="27">
        <f t="shared" si="113"/>
        <v>418097.51026072633</v>
      </c>
      <c r="AF314" s="50"/>
      <c r="AG314" t="str">
        <f t="shared" si="114"/>
        <v>5310050</v>
      </c>
    </row>
    <row r="315" spans="1:33" x14ac:dyDescent="0.25">
      <c r="A315" s="7" t="s">
        <v>644</v>
      </c>
      <c r="B315" s="2" t="s">
        <v>1252</v>
      </c>
      <c r="C315" s="4" t="s">
        <v>1251</v>
      </c>
      <c r="D315" s="30">
        <f>_xlfn.IFNA(VLOOKUP(A315,'Prior Year data'!$A$1:$V$318,13,FALSE),0)</f>
        <v>10905178.996112714</v>
      </c>
      <c r="E315">
        <f>VLOOKUP(A315,'Basic HH'!$B$1:$Y$318,23,FALSE)</f>
        <v>4155458.3803427913</v>
      </c>
      <c r="F315">
        <f>VLOOKUP(A315,'Conc. HH'!$B$1:$Y$318,23,FALSE)</f>
        <v>1120203.0213068447</v>
      </c>
      <c r="G315">
        <f>VLOOKUP(A315,'Targeted HH'!$B$1:$Y$318,23,FALSE)</f>
        <v>3391304.9736981709</v>
      </c>
      <c r="H315">
        <f>VLOOKUP(A315,'EFIG HH'!$B$1:$Y$318,23,FALSE)</f>
        <v>4500176.1501694769</v>
      </c>
      <c r="I315">
        <f t="shared" si="92"/>
        <v>13167142.525517285</v>
      </c>
      <c r="J315">
        <f t="shared" si="93"/>
        <v>13167142.525517285</v>
      </c>
      <c r="K315" s="43">
        <f t="shared" si="94"/>
        <v>11911319.000416759</v>
      </c>
      <c r="L315">
        <f t="shared" si="95"/>
        <v>0</v>
      </c>
      <c r="M315">
        <f t="shared" si="96"/>
        <v>1006140.0043040458</v>
      </c>
      <c r="N315" s="43">
        <f t="shared" si="97"/>
        <v>11548521.767888445</v>
      </c>
      <c r="O315">
        <f t="shared" si="98"/>
        <v>0</v>
      </c>
      <c r="P315">
        <f t="shared" si="99"/>
        <v>643342.77177573182</v>
      </c>
      <c r="Q315" s="43">
        <f t="shared" si="100"/>
        <v>11548521.767888445</v>
      </c>
      <c r="R315">
        <f t="shared" si="101"/>
        <v>0</v>
      </c>
      <c r="S315">
        <f t="shared" si="102"/>
        <v>643342.77177573182</v>
      </c>
      <c r="T315" s="43">
        <f t="shared" si="103"/>
        <v>11548521.767888445</v>
      </c>
      <c r="U315">
        <f t="shared" si="104"/>
        <v>0</v>
      </c>
      <c r="V315">
        <f t="shared" si="105"/>
        <v>643342.77177573182</v>
      </c>
      <c r="W315" s="43">
        <f t="shared" si="106"/>
        <v>11548521.767888445</v>
      </c>
      <c r="X315" s="43">
        <f t="shared" si="107"/>
        <v>1618620.7576288395</v>
      </c>
      <c r="Y315" s="27">
        <f t="shared" si="108"/>
        <v>90704.238736740575</v>
      </c>
      <c r="Z315" s="27">
        <f t="shared" si="109"/>
        <v>11457817.529151704</v>
      </c>
      <c r="AA315">
        <f t="shared" si="110"/>
        <v>0</v>
      </c>
      <c r="AB315" s="27">
        <f t="shared" si="111"/>
        <v>11457817.529151704</v>
      </c>
      <c r="AD315" s="27">
        <f t="shared" si="112"/>
        <v>0</v>
      </c>
      <c r="AE315" s="27">
        <f t="shared" si="113"/>
        <v>11457817.529151704</v>
      </c>
      <c r="AF315" s="50"/>
      <c r="AG315" t="str">
        <f t="shared" si="114"/>
        <v>5310110</v>
      </c>
    </row>
    <row r="316" spans="1:33" x14ac:dyDescent="0.25">
      <c r="A316" s="7" t="s">
        <v>646</v>
      </c>
      <c r="B316" s="2" t="s">
        <v>1254</v>
      </c>
      <c r="C316" s="4" t="s">
        <v>1253</v>
      </c>
      <c r="D316" s="30">
        <f>_xlfn.IFNA(VLOOKUP(A316,'Prior Year data'!$A$1:$V$318,13,FALSE),0)</f>
        <v>993166.65764861205</v>
      </c>
      <c r="E316">
        <f>VLOOKUP(A316,'Basic HH'!$B$1:$Y$318,23,FALSE)</f>
        <v>488101.46054820076</v>
      </c>
      <c r="F316">
        <f>VLOOKUP(A316,'Conc. HH'!$B$1:$Y$318,23,FALSE)</f>
        <v>0</v>
      </c>
      <c r="G316">
        <f>VLOOKUP(A316,'Targeted HH'!$B$1:$Y$318,23,FALSE)</f>
        <v>236053.7104662302</v>
      </c>
      <c r="H316">
        <f>VLOOKUP(A316,'EFIG HH'!$B$1:$Y$318,23,FALSE)</f>
        <v>313237.31903731864</v>
      </c>
      <c r="I316">
        <f t="shared" si="92"/>
        <v>1037392.4900517496</v>
      </c>
      <c r="J316">
        <f t="shared" si="93"/>
        <v>1037392.4900517496</v>
      </c>
      <c r="K316" s="43">
        <f t="shared" si="94"/>
        <v>938450.60564175923</v>
      </c>
      <c r="L316">
        <f t="shared" si="95"/>
        <v>54716.052006852813</v>
      </c>
      <c r="M316">
        <f t="shared" si="96"/>
        <v>0</v>
      </c>
      <c r="N316" s="43">
        <f t="shared" si="97"/>
        <v>993166.65764861205</v>
      </c>
      <c r="O316">
        <f t="shared" si="98"/>
        <v>0</v>
      </c>
      <c r="P316">
        <f t="shared" si="99"/>
        <v>0</v>
      </c>
      <c r="Q316" s="43">
        <f t="shared" si="100"/>
        <v>993166.65764861205</v>
      </c>
      <c r="R316">
        <f t="shared" si="101"/>
        <v>0</v>
      </c>
      <c r="S316">
        <f t="shared" si="102"/>
        <v>0</v>
      </c>
      <c r="T316" s="43">
        <f t="shared" si="103"/>
        <v>993166.65764861205</v>
      </c>
      <c r="U316">
        <f t="shared" si="104"/>
        <v>0</v>
      </c>
      <c r="V316">
        <f t="shared" si="105"/>
        <v>0</v>
      </c>
      <c r="W316" s="43">
        <f t="shared" si="106"/>
        <v>993166.65764861205</v>
      </c>
      <c r="X316" s="43">
        <f t="shared" si="107"/>
        <v>44225.832403137581</v>
      </c>
      <c r="Y316" s="27">
        <f t="shared" si="108"/>
        <v>7800.5157223859669</v>
      </c>
      <c r="Z316" s="27">
        <f t="shared" si="109"/>
        <v>985366.14192622609</v>
      </c>
      <c r="AA316">
        <f t="shared" si="110"/>
        <v>0</v>
      </c>
      <c r="AB316" s="27">
        <f t="shared" si="111"/>
        <v>985366.14192622609</v>
      </c>
      <c r="AD316" s="27">
        <f t="shared" si="112"/>
        <v>0</v>
      </c>
      <c r="AE316" s="27">
        <f t="shared" si="113"/>
        <v>985366.14192622609</v>
      </c>
      <c r="AF316" s="50"/>
      <c r="AG316" t="str">
        <f t="shared" ref="AG316:AG317" si="115">A316</f>
        <v>5310140</v>
      </c>
    </row>
    <row r="317" spans="1:33" x14ac:dyDescent="0.25">
      <c r="A317" s="7" t="s">
        <v>648</v>
      </c>
      <c r="B317" s="2" t="s">
        <v>1256</v>
      </c>
      <c r="C317" s="4" t="s">
        <v>1255</v>
      </c>
      <c r="D317" s="30">
        <f>_xlfn.IFNA(VLOOKUP(A317,'Prior Year data'!$A$1:$V$318,13,FALSE),0)</f>
        <v>288582.83886471717</v>
      </c>
      <c r="E317">
        <f>VLOOKUP(A317,'Basic HH'!$B$1:$Y$318,23,FALSE)</f>
        <v>118727.38229550832</v>
      </c>
      <c r="F317">
        <f>VLOOKUP(A317,'Conc. HH'!$B$1:$Y$318,23,FALSE)</f>
        <v>0</v>
      </c>
      <c r="G317">
        <f>VLOOKUP(A317,'Targeted HH'!$B$1:$Y$318,23,FALSE)</f>
        <v>57418.470113407304</v>
      </c>
      <c r="H317">
        <f>VLOOKUP(A317,'EFIG HH'!$B$1:$Y$318,23,FALSE)</f>
        <v>77334.272433350983</v>
      </c>
      <c r="I317">
        <f t="shared" si="92"/>
        <v>253480.12484226661</v>
      </c>
      <c r="J317">
        <f t="shared" si="93"/>
        <v>0</v>
      </c>
      <c r="K317" s="43">
        <f t="shared" si="94"/>
        <v>253480.12484226661</v>
      </c>
      <c r="L317">
        <f t="shared" si="95"/>
        <v>0</v>
      </c>
      <c r="M317">
        <f t="shared" si="96"/>
        <v>0</v>
      </c>
      <c r="N317" s="43">
        <f t="shared" si="97"/>
        <v>253480.12484226661</v>
      </c>
      <c r="O317">
        <f t="shared" si="98"/>
        <v>0</v>
      </c>
      <c r="P317">
        <f t="shared" si="99"/>
        <v>0</v>
      </c>
      <c r="Q317" s="43">
        <f t="shared" si="100"/>
        <v>253480.12484226661</v>
      </c>
      <c r="R317">
        <f t="shared" si="101"/>
        <v>0</v>
      </c>
      <c r="S317">
        <f t="shared" si="102"/>
        <v>0</v>
      </c>
      <c r="T317" s="43">
        <f t="shared" si="103"/>
        <v>253480.12484226661</v>
      </c>
      <c r="U317">
        <f t="shared" si="104"/>
        <v>0</v>
      </c>
      <c r="V317">
        <f t="shared" si="105"/>
        <v>0</v>
      </c>
      <c r="W317" s="43">
        <f t="shared" si="106"/>
        <v>253480.12484226661</v>
      </c>
      <c r="X317" s="43">
        <f t="shared" si="107"/>
        <v>0</v>
      </c>
      <c r="Y317" s="27">
        <f t="shared" si="108"/>
        <v>1990.8800642037156</v>
      </c>
      <c r="Z317" s="27">
        <f t="shared" si="109"/>
        <v>251489.24477806289</v>
      </c>
      <c r="AA317">
        <f t="shared" si="110"/>
        <v>0</v>
      </c>
      <c r="AB317" s="27">
        <f t="shared" si="111"/>
        <v>251489.24477806289</v>
      </c>
      <c r="AD317" s="27">
        <f t="shared" si="112"/>
        <v>0</v>
      </c>
      <c r="AE317" s="27">
        <f t="shared" si="113"/>
        <v>251489.24477806289</v>
      </c>
      <c r="AF317" s="50"/>
      <c r="AG317" t="str">
        <f t="shared" si="115"/>
        <v>5310170</v>
      </c>
    </row>
  </sheetData>
  <sheetProtection algorithmName="SHA-512" hashValue="H8E59QAoyRp6IqdlAN6L70VZx/sdxd+I/GeB9Ti48v8GjFxuR4gJv7qw03+AZANmKJb+HJHXA3317XyS1Xtnwg==" saltValue="8opTi5JNjEolv1Q2ZB2OlA==" spinCount="100000" sheet="1" objects="1" scenarios="1"/>
  <autoFilter ref="A3:AF317" xr:uid="{014E85DC-62F1-4FC0-9717-51C5497BC9D0}"/>
  <mergeCells count="4">
    <mergeCell ref="L1:N1"/>
    <mergeCell ref="O1:Q1"/>
    <mergeCell ref="R1:T1"/>
    <mergeCell ref="U1:W1"/>
  </mergeCells>
  <conditionalFormatting sqref="A2">
    <cfRule type="duplicateValues" dxfId="7" priority="4"/>
  </conditionalFormatting>
  <conditionalFormatting sqref="A3:A313">
    <cfRule type="duplicateValues" dxfId="6" priority="15"/>
  </conditionalFormatting>
  <conditionalFormatting sqref="A316">
    <cfRule type="duplicateValues" dxfId="5" priority="3"/>
  </conditionalFormatting>
  <conditionalFormatting sqref="A317">
    <cfRule type="duplicateValues" dxfId="4" priority="1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5DE5-BB40-4AA9-8D85-C1ADA7D89C57}">
  <dimension ref="A1:Z317"/>
  <sheetViews>
    <sheetView topLeftCell="I9" workbookViewId="0">
      <selection activeCell="AB3" sqref="AB3"/>
    </sheetView>
    <sheetView workbookViewId="1"/>
  </sheetViews>
  <sheetFormatPr defaultRowHeight="15" x14ac:dyDescent="0.25"/>
  <cols>
    <col min="3" max="3" width="20.28515625" customWidth="1"/>
    <col min="4" max="4" width="19.28515625" customWidth="1"/>
    <col min="5" max="5" width="16.5703125" customWidth="1"/>
    <col min="6" max="6" width="14.7109375" customWidth="1"/>
    <col min="7" max="7" width="12.85546875" customWidth="1"/>
    <col min="8" max="8" width="16.28515625" customWidth="1"/>
    <col min="9" max="9" width="12.7109375" customWidth="1"/>
    <col min="10" max="10" width="16.140625" customWidth="1"/>
    <col min="11" max="11" width="13.28515625" customWidth="1"/>
    <col min="12" max="12" width="16.42578125" customWidth="1"/>
    <col min="13" max="13" width="11.28515625" bestFit="1" customWidth="1"/>
    <col min="14" max="14" width="13.28515625" customWidth="1"/>
    <col min="15" max="15" width="16.42578125" customWidth="1"/>
    <col min="16" max="16" width="14.28515625" customWidth="1"/>
    <col min="18" max="18" width="14.85546875" customWidth="1"/>
    <col min="19" max="19" width="13.5703125" customWidth="1"/>
    <col min="20" max="20" width="12.7109375" customWidth="1"/>
    <col min="22" max="22" width="13.85546875" customWidth="1"/>
    <col min="23" max="23" width="14.140625" customWidth="1"/>
    <col min="24" max="24" width="12" customWidth="1"/>
    <col min="25" max="25" width="11.42578125" customWidth="1"/>
  </cols>
  <sheetData>
    <row r="1" spans="1:26" x14ac:dyDescent="0.25">
      <c r="A1" s="37">
        <v>1</v>
      </c>
      <c r="B1" s="38">
        <f>A1+1</f>
        <v>2</v>
      </c>
      <c r="C1" s="38">
        <f t="shared" ref="C1:X1" si="0">B1+1</f>
        <v>3</v>
      </c>
      <c r="D1" s="38">
        <f t="shared" si="0"/>
        <v>4</v>
      </c>
      <c r="E1" s="38">
        <f t="shared" si="0"/>
        <v>5</v>
      </c>
      <c r="F1" s="80" t="str">
        <f>IF($F$3 = SUM(Model_allocations[Basic Allocation]), "Good", "Check district list")</f>
        <v>Good</v>
      </c>
      <c r="G1" s="38">
        <v>7</v>
      </c>
      <c r="H1" s="38">
        <f t="shared" si="0"/>
        <v>8</v>
      </c>
      <c r="I1" s="38">
        <f t="shared" si="0"/>
        <v>9</v>
      </c>
      <c r="J1" s="38">
        <f t="shared" si="0"/>
        <v>10</v>
      </c>
      <c r="K1" s="38">
        <f t="shared" si="0"/>
        <v>11</v>
      </c>
      <c r="L1" s="38">
        <f t="shared" si="0"/>
        <v>12</v>
      </c>
      <c r="M1" s="38">
        <f t="shared" si="0"/>
        <v>13</v>
      </c>
      <c r="N1" s="38">
        <f t="shared" si="0"/>
        <v>14</v>
      </c>
      <c r="O1" s="38">
        <f t="shared" si="0"/>
        <v>15</v>
      </c>
      <c r="P1" s="38">
        <f t="shared" si="0"/>
        <v>16</v>
      </c>
      <c r="Q1" s="38">
        <f t="shared" si="0"/>
        <v>17</v>
      </c>
      <c r="R1" s="38">
        <f t="shared" si="0"/>
        <v>18</v>
      </c>
      <c r="S1" s="38">
        <f t="shared" si="0"/>
        <v>19</v>
      </c>
      <c r="T1" s="38">
        <f t="shared" si="0"/>
        <v>20</v>
      </c>
      <c r="U1" s="38">
        <f t="shared" si="0"/>
        <v>21</v>
      </c>
      <c r="V1" s="38">
        <f t="shared" si="0"/>
        <v>22</v>
      </c>
      <c r="W1" s="38">
        <f t="shared" si="0"/>
        <v>23</v>
      </c>
      <c r="X1" s="38">
        <f t="shared" si="0"/>
        <v>24</v>
      </c>
      <c r="Y1" s="38"/>
      <c r="Z1" s="46"/>
    </row>
    <row r="2" spans="1:26" ht="63.75" x14ac:dyDescent="0.25">
      <c r="A2" s="1" t="s">
        <v>0</v>
      </c>
      <c r="B2" s="5" t="s">
        <v>4</v>
      </c>
      <c r="C2" s="3" t="s">
        <v>1277</v>
      </c>
      <c r="D2" s="33" t="s">
        <v>1363</v>
      </c>
      <c r="E2" s="36" t="s">
        <v>1294</v>
      </c>
      <c r="F2" s="33" t="s">
        <v>1296</v>
      </c>
      <c r="G2" s="35" t="s">
        <v>653</v>
      </c>
      <c r="H2" s="34" t="s">
        <v>1297</v>
      </c>
      <c r="I2" s="34" t="s">
        <v>1366</v>
      </c>
      <c r="J2" s="34" t="s">
        <v>1367</v>
      </c>
      <c r="K2" s="34" t="s">
        <v>1368</v>
      </c>
      <c r="L2" s="34" t="s">
        <v>1369</v>
      </c>
      <c r="M2" s="32" t="s">
        <v>1291</v>
      </c>
      <c r="N2" s="34" t="s">
        <v>1367</v>
      </c>
      <c r="O2" s="32" t="s">
        <v>1368</v>
      </c>
      <c r="P2" s="32" t="s">
        <v>1369</v>
      </c>
      <c r="Q2" s="32" t="s">
        <v>1370</v>
      </c>
      <c r="R2" s="32" t="s">
        <v>1367</v>
      </c>
      <c r="S2" s="32" t="s">
        <v>1368</v>
      </c>
      <c r="T2" s="32" t="s">
        <v>1369</v>
      </c>
      <c r="U2" s="32" t="s">
        <v>1371</v>
      </c>
      <c r="V2" s="32" t="s">
        <v>1367</v>
      </c>
      <c r="W2" s="32" t="s">
        <v>1368</v>
      </c>
      <c r="X2" s="32" t="s">
        <v>1369</v>
      </c>
      <c r="Y2" s="32" t="s">
        <v>1372</v>
      </c>
      <c r="Z2" s="32"/>
    </row>
    <row r="3" spans="1:26" x14ac:dyDescent="0.25">
      <c r="A3" s="1"/>
      <c r="B3" s="5"/>
      <c r="C3" s="6"/>
      <c r="D3" s="33">
        <f>SUM(D4:D317)</f>
        <v>121429246.9699806</v>
      </c>
      <c r="E3" s="33"/>
      <c r="F3" s="33" cm="1">
        <f t="array" ref="F3">SUM(IF(ISERROR($F$4:$F$317),"",$F$4:$F$317))</f>
        <v>120116957.95831241</v>
      </c>
      <c r="G3" s="33"/>
      <c r="H3" s="33" cm="1">
        <f t="array" ref="H3">SUM(IF(ISERROR($H$4:$H$317),"",$H$4:$H$317))</f>
        <v>105026083.62400375</v>
      </c>
      <c r="I3" s="33" cm="1">
        <f t="array" ref="I3">SUM(IF(ISERROR($I$4:$I$317),"",$I$4:$I$317))</f>
        <v>8848443.1478476655</v>
      </c>
      <c r="J3" s="33" cm="1">
        <f t="array" ref="J3">SUM(IF(ISERROR($J$4:$J$317),"",$J$4:$J$317))</f>
        <v>111333407.84187037</v>
      </c>
      <c r="K3" s="33" cm="1">
        <f t="array" ref="K3">SUM(IF(ISERROR($K$4:$K$317),"",$K$4:$K$317))</f>
        <v>111268514.81046468</v>
      </c>
      <c r="L3" s="33" cm="1">
        <f t="array" ref="L3">SUM(IF(ISERROR($L$4:$L$317),0,$L$4:$L$317))</f>
        <v>120116957.95831233</v>
      </c>
      <c r="M3" s="33" cm="1">
        <f t="array" ref="M3">SUM(IF(ISERROR($M$4:$M$317),0,$M$4:$M$317))</f>
        <v>13139451.271039126</v>
      </c>
      <c r="N3" s="33" cm="1">
        <f t="array" ref="N3">SUM(IF(ISERROR($N$4:$N$317),0,$N$4:$N$317))</f>
        <v>98132083.044135377</v>
      </c>
      <c r="O3" s="33" cm="1">
        <f t="array" ref="O3">SUM(IF(ISERROR($O$4:$O$317),0,$O$4:$O$317))</f>
        <v>98129063.539425611</v>
      </c>
      <c r="P3" s="33" cm="1">
        <f t="array" ref="P3">SUM(IF(ISERROR($P$4:$P$317),0,$P$4:$P$317))</f>
        <v>120116957.95831238</v>
      </c>
      <c r="Q3" s="33" cm="1">
        <f t="array" ref="Q3">SUM(IF(ISERROR($Q$4:$Q$317),0,$Q$4:$Q$317))</f>
        <v>0</v>
      </c>
      <c r="R3" s="33" cm="1">
        <f t="array" ref="R3">SUM(IF(ISERROR($R$4:$R$317),0,$R$4:$R$317))</f>
        <v>98129063.539425611</v>
      </c>
      <c r="S3" s="33" cm="1">
        <f t="array" ref="S3">SUM(IF(ISERROR($S$4:$S$317),0,$S$4:$S$317))</f>
        <v>98129063.539425611</v>
      </c>
      <c r="T3" s="33" cm="1">
        <f t="array" ref="T3">SUM(IF(ISERROR($T$4:$T$317),0,$T$4:$T$317))</f>
        <v>120116957.95831238</v>
      </c>
      <c r="U3" s="33" cm="1">
        <f t="array" ref="U3">SUM(IF(ISERROR($U$4:$U$317),0,$U$4:$U$317))</f>
        <v>0</v>
      </c>
      <c r="V3" s="33" cm="1">
        <f t="array" ref="V3">SUM(IF(ISERROR($V$4:$V$317),0,$V$4:$V$317))</f>
        <v>98129063.539425611</v>
      </c>
      <c r="W3" s="33" cm="1">
        <f t="array" ref="W3">SUM(IF(ISERROR($W$4:$W$317),0,$W$4:$W$317))</f>
        <v>98129063.539425611</v>
      </c>
      <c r="X3" s="33" cm="1">
        <f t="array" ref="X3">SUM(IF(ISERROR($X$4:$X$317),0,$X$4:$X$317))</f>
        <v>120116957.95831238</v>
      </c>
      <c r="Y3" s="33" cm="1">
        <f t="array" ref="Y3">SUM(IF(ISERROR($Y$4:$Y$317),0,$Y$4:$Y$317))</f>
        <v>0</v>
      </c>
      <c r="Z3" s="32"/>
    </row>
    <row r="4" spans="1:26" x14ac:dyDescent="0.25">
      <c r="A4" s="4" t="s">
        <v>660</v>
      </c>
      <c r="B4" s="7" t="s">
        <v>308</v>
      </c>
      <c r="C4" s="2" t="s">
        <v>661</v>
      </c>
      <c r="D4">
        <f>VLOOKUP(B4,'Model allocations'!$A$1:$L$316,3,FALSE)</f>
        <v>634938.69375755591</v>
      </c>
      <c r="E4" s="31">
        <f>VLOOKUP(B4,'Initial adjusted formula count'!$A$1:$P$316,12,FALSE)</f>
        <v>0.209235209235209</v>
      </c>
      <c r="F4">
        <f>VLOOKUP(B4,'Model allocations'!$A$1:$L$316,8,FALSE)</f>
        <v>638001.50844131853</v>
      </c>
      <c r="G4" s="30">
        <f>IF(E4&lt;0.15,0.85,IF(AND(E4&gt;=0.15,E4&lt;0.3),0.9,0.95))</f>
        <v>0.9</v>
      </c>
      <c r="H4">
        <f>IF(F4 = 0, 0, D4*G4)</f>
        <v>571444.82438180037</v>
      </c>
      <c r="I4">
        <f t="shared" ref="I4:I67" si="1">IF(F4&lt;H4,H4,0)</f>
        <v>0</v>
      </c>
      <c r="J4">
        <f t="shared" ref="J4:J67" si="2">IF(I4=0,F4,0)</f>
        <v>638001.50844131853</v>
      </c>
      <c r="K4">
        <f t="shared" ref="K4:K67" si="3">(J4/$J$3)*($F$3-$I$3)</f>
        <v>637629.63576871587</v>
      </c>
      <c r="L4">
        <f>I4+K4</f>
        <v>637629.63576871587</v>
      </c>
      <c r="M4">
        <f t="shared" ref="M4:M67" si="4">IF(L4&lt;H4,H4,0)</f>
        <v>0</v>
      </c>
      <c r="N4" s="29">
        <f>IF($I4+$M4=0,L4,0)</f>
        <v>637629.63576871587</v>
      </c>
      <c r="O4" s="29">
        <f t="shared" ref="O4:O67" si="5">((N4/$N$3)*($F$3-$I$3-$M$3))</f>
        <v>637610.0160314336</v>
      </c>
      <c r="P4" s="29">
        <f>$I4+$M4+O4</f>
        <v>637610.0160314336</v>
      </c>
      <c r="Q4">
        <f>IF(P4&lt;H4,H4,0)</f>
        <v>0</v>
      </c>
      <c r="R4" s="29">
        <f>IF($I4+$M4+$Q4=0,P4,0)</f>
        <v>637610.0160314336</v>
      </c>
      <c r="S4" s="29">
        <f t="shared" ref="S4:S67" si="6">((R4/$R$3)*($F$3-$I$3-$M$3-$Q$3))</f>
        <v>637610.0160314336</v>
      </c>
      <c r="T4" s="29">
        <f>$I4+$M4+$Q4+S4</f>
        <v>637610.0160314336</v>
      </c>
      <c r="U4">
        <f>IF(T4&lt;H4,H4,0)</f>
        <v>0</v>
      </c>
      <c r="V4" s="29">
        <f>IF($I4+$M4+$Q4+U4=0,T4,0)</f>
        <v>637610.0160314336</v>
      </c>
      <c r="W4" s="29">
        <f t="shared" ref="W4:W67" si="7">((V4/$V$3)*($F$3-$I$3-$M$3-$Q$3-$U$3))</f>
        <v>637610.0160314336</v>
      </c>
      <c r="X4" s="29">
        <f>$I4+$M4+$Q4+$U4+W4</f>
        <v>637610.0160314336</v>
      </c>
      <c r="Y4">
        <f>IF(X4&lt;H4,H4,0)</f>
        <v>0</v>
      </c>
    </row>
    <row r="5" spans="1:26" x14ac:dyDescent="0.25">
      <c r="A5" s="4" t="s">
        <v>662</v>
      </c>
      <c r="B5" s="7" t="s">
        <v>259</v>
      </c>
      <c r="C5" s="2" t="s">
        <v>663</v>
      </c>
      <c r="D5">
        <f>VLOOKUP(B5,'Model allocations'!$A$1:$L$316,3,FALSE)</f>
        <v>59960.521512423416</v>
      </c>
      <c r="E5" s="31">
        <f>VLOOKUP(B5,'Initial adjusted formula count'!$A$1:$P$316,12,FALSE)</f>
        <v>6.3324538258575203E-2</v>
      </c>
      <c r="F5">
        <f>VLOOKUP(B5,'Model allocations'!$A$1:$L$316,8,FALSE)</f>
        <v>50994.761653411639</v>
      </c>
      <c r="G5" s="30">
        <f t="shared" ref="G5:G68" si="8">IF(E5&lt;0.15,0.85,IF(AND(E5&gt;=0.15,E5&lt;0.3),0.9,0.95))</f>
        <v>0.85</v>
      </c>
      <c r="H5">
        <f t="shared" ref="H5:H68" si="9">IF(F5 = 0, 0, D5*G5)</f>
        <v>50966.443285559901</v>
      </c>
      <c r="I5">
        <f t="shared" si="1"/>
        <v>0</v>
      </c>
      <c r="J5">
        <f t="shared" si="2"/>
        <v>50994.761653411639</v>
      </c>
      <c r="K5">
        <f t="shared" si="3"/>
        <v>50965.038278068656</v>
      </c>
      <c r="L5">
        <f t="shared" ref="L5:L68" si="10">I5+K5</f>
        <v>50965.038278068656</v>
      </c>
      <c r="M5">
        <f t="shared" si="4"/>
        <v>50966.443285559901</v>
      </c>
      <c r="N5" s="29">
        <f t="shared" ref="N5:N68" si="11">IF($I5+$M5=0,L5,0)</f>
        <v>0</v>
      </c>
      <c r="O5" s="29">
        <f t="shared" si="5"/>
        <v>0</v>
      </c>
      <c r="P5" s="29">
        <f t="shared" ref="P5:P68" si="12">$I5+$M5+O5</f>
        <v>50966.443285559901</v>
      </c>
      <c r="Q5">
        <f t="shared" ref="Q5:Q68" si="13">IF(P5&lt;H5,H5,0)</f>
        <v>0</v>
      </c>
      <c r="R5" s="29">
        <f t="shared" ref="R5:R68" si="14">IF($I5+$M5+$Q5=0,P5,0)</f>
        <v>0</v>
      </c>
      <c r="S5" s="29">
        <f t="shared" si="6"/>
        <v>0</v>
      </c>
      <c r="T5" s="29">
        <f t="shared" ref="T5:T68" si="15">$I5+$M5+$Q5+S5</f>
        <v>50966.443285559901</v>
      </c>
      <c r="U5">
        <f t="shared" ref="U5:U68" si="16">IF(T5&lt;H5,H5,0)</f>
        <v>0</v>
      </c>
      <c r="V5" s="29">
        <f t="shared" ref="V5:V68" si="17">IF($I5+$M5+$Q5+U5=0,T5,0)</f>
        <v>0</v>
      </c>
      <c r="W5" s="29">
        <f t="shared" si="7"/>
        <v>0</v>
      </c>
      <c r="X5" s="29">
        <f t="shared" ref="X5:X68" si="18">$I5+$M5+$Q5+$U5+W5</f>
        <v>50966.443285559901</v>
      </c>
      <c r="Y5">
        <f t="shared" ref="Y5:Y68" si="19">IF(X5&lt;H5,H5,0)</f>
        <v>0</v>
      </c>
    </row>
    <row r="6" spans="1:26" x14ac:dyDescent="0.25">
      <c r="A6" s="4" t="s">
        <v>664</v>
      </c>
      <c r="B6" s="7" t="s">
        <v>261</v>
      </c>
      <c r="C6" s="2" t="s">
        <v>665</v>
      </c>
      <c r="D6">
        <f>VLOOKUP(B6,'Model allocations'!$A$1:$L$316,3,FALSE)</f>
        <v>15641.875177153936</v>
      </c>
      <c r="E6" s="31">
        <f>VLOOKUP(B6,'Initial adjusted formula count'!$A$1:$P$316,12,FALSE)</f>
        <v>0.11224489795918401</v>
      </c>
      <c r="F6">
        <f>VLOOKUP(B6,'Model allocations'!$A$1:$L$316,8,FALSE)</f>
        <v>13302.981300889993</v>
      </c>
      <c r="G6" s="30">
        <f t="shared" si="8"/>
        <v>0.85</v>
      </c>
      <c r="H6">
        <f t="shared" si="9"/>
        <v>13295.593900580845</v>
      </c>
      <c r="I6">
        <f t="shared" si="1"/>
        <v>0</v>
      </c>
      <c r="J6">
        <f t="shared" si="2"/>
        <v>13302.981300889993</v>
      </c>
      <c r="K6">
        <f t="shared" si="3"/>
        <v>13295.227376887477</v>
      </c>
      <c r="L6">
        <f t="shared" si="10"/>
        <v>13295.227376887477</v>
      </c>
      <c r="M6">
        <f t="shared" si="4"/>
        <v>13295.593900580845</v>
      </c>
      <c r="N6" s="29">
        <f t="shared" si="11"/>
        <v>0</v>
      </c>
      <c r="O6" s="29">
        <f t="shared" si="5"/>
        <v>0</v>
      </c>
      <c r="P6" s="29">
        <f t="shared" si="12"/>
        <v>13295.593900580845</v>
      </c>
      <c r="Q6">
        <f t="shared" si="13"/>
        <v>0</v>
      </c>
      <c r="R6" s="29">
        <f t="shared" si="14"/>
        <v>0</v>
      </c>
      <c r="S6" s="29">
        <f t="shared" si="6"/>
        <v>0</v>
      </c>
      <c r="T6" s="29">
        <f t="shared" si="15"/>
        <v>13295.593900580845</v>
      </c>
      <c r="U6">
        <f t="shared" si="16"/>
        <v>0</v>
      </c>
      <c r="V6" s="29">
        <f t="shared" si="17"/>
        <v>0</v>
      </c>
      <c r="W6" s="29">
        <f t="shared" si="7"/>
        <v>0</v>
      </c>
      <c r="X6" s="29">
        <f t="shared" si="18"/>
        <v>13295.593900580845</v>
      </c>
      <c r="Y6">
        <f t="shared" si="19"/>
        <v>0</v>
      </c>
    </row>
    <row r="7" spans="1:26" x14ac:dyDescent="0.25">
      <c r="A7" s="4" t="s">
        <v>666</v>
      </c>
      <c r="B7" s="7" t="s">
        <v>88</v>
      </c>
      <c r="C7" s="2" t="s">
        <v>667</v>
      </c>
      <c r="D7">
        <f>VLOOKUP(B7,'Model allocations'!$A$1:$L$316,3,FALSE)</f>
        <v>202475.38423760375</v>
      </c>
      <c r="E7" s="31">
        <f>VLOOKUP(B7,'Initial adjusted formula count'!$A$1:$P$316,12,FALSE)</f>
        <v>7.3249551166965896E-2</v>
      </c>
      <c r="F7">
        <f>VLOOKUP(B7,'Model allocations'!$A$1:$L$316,8,FALSE)</f>
        <v>179520.42444417794</v>
      </c>
      <c r="G7" s="30">
        <f t="shared" si="8"/>
        <v>0.85</v>
      </c>
      <c r="H7">
        <f t="shared" si="9"/>
        <v>172104.07660196317</v>
      </c>
      <c r="I7">
        <f t="shared" si="1"/>
        <v>0</v>
      </c>
      <c r="J7">
        <f t="shared" si="2"/>
        <v>179520.42444417794</v>
      </c>
      <c r="K7">
        <f t="shared" si="3"/>
        <v>179415.78716802492</v>
      </c>
      <c r="L7">
        <f t="shared" si="10"/>
        <v>179415.78716802492</v>
      </c>
      <c r="M7">
        <f t="shared" si="4"/>
        <v>0</v>
      </c>
      <c r="N7" s="29">
        <f t="shared" si="11"/>
        <v>179415.78716802492</v>
      </c>
      <c r="O7" s="29">
        <f t="shared" si="5"/>
        <v>179410.26657987927</v>
      </c>
      <c r="P7" s="29">
        <f t="shared" si="12"/>
        <v>179410.26657987927</v>
      </c>
      <c r="Q7">
        <f t="shared" si="13"/>
        <v>0</v>
      </c>
      <c r="R7" s="29">
        <f t="shared" si="14"/>
        <v>179410.26657987927</v>
      </c>
      <c r="S7" s="29">
        <f t="shared" si="6"/>
        <v>179410.26657987927</v>
      </c>
      <c r="T7" s="29">
        <f t="shared" si="15"/>
        <v>179410.26657987927</v>
      </c>
      <c r="U7">
        <f t="shared" si="16"/>
        <v>0</v>
      </c>
      <c r="V7" s="29">
        <f t="shared" si="17"/>
        <v>179410.26657987927</v>
      </c>
      <c r="W7" s="29">
        <f t="shared" si="7"/>
        <v>179410.26657987927</v>
      </c>
      <c r="X7" s="29">
        <f t="shared" si="18"/>
        <v>179410.26657987927</v>
      </c>
      <c r="Y7">
        <f t="shared" si="19"/>
        <v>0</v>
      </c>
    </row>
    <row r="8" spans="1:26" x14ac:dyDescent="0.25">
      <c r="A8" s="4" t="s">
        <v>668</v>
      </c>
      <c r="B8" s="7" t="s">
        <v>90</v>
      </c>
      <c r="C8" s="2" t="s">
        <v>669</v>
      </c>
      <c r="D8">
        <f>VLOOKUP(B8,'Model allocations'!$A$1:$L$316,3,FALSE)</f>
        <v>471863.23451081035</v>
      </c>
      <c r="E8" s="31">
        <f>VLOOKUP(B8,'Initial adjusted formula count'!$A$1:$P$316,12,FALSE)</f>
        <v>8.9803398867044304E-2</v>
      </c>
      <c r="F8">
        <f>VLOOKUP(B8,'Model allocations'!$A$1:$L$316,8,FALSE)</f>
        <v>474321.1214480974</v>
      </c>
      <c r="G8" s="30">
        <f t="shared" si="8"/>
        <v>0.85</v>
      </c>
      <c r="H8">
        <f t="shared" si="9"/>
        <v>401083.74933418876</v>
      </c>
      <c r="I8">
        <f t="shared" si="1"/>
        <v>0</v>
      </c>
      <c r="J8">
        <f t="shared" si="2"/>
        <v>474321.1214480974</v>
      </c>
      <c r="K8">
        <f t="shared" si="3"/>
        <v>474044.65335081075</v>
      </c>
      <c r="L8">
        <f t="shared" si="10"/>
        <v>474044.65335081075</v>
      </c>
      <c r="M8">
        <f t="shared" si="4"/>
        <v>0</v>
      </c>
      <c r="N8" s="29">
        <f t="shared" si="11"/>
        <v>474044.65335081075</v>
      </c>
      <c r="O8" s="29">
        <f t="shared" si="5"/>
        <v>474030.06709095539</v>
      </c>
      <c r="P8" s="29">
        <f t="shared" si="12"/>
        <v>474030.06709095539</v>
      </c>
      <c r="Q8">
        <f t="shared" si="13"/>
        <v>0</v>
      </c>
      <c r="R8" s="29">
        <f t="shared" si="14"/>
        <v>474030.06709095539</v>
      </c>
      <c r="S8" s="29">
        <f t="shared" si="6"/>
        <v>474030.06709095539</v>
      </c>
      <c r="T8" s="29">
        <f t="shared" si="15"/>
        <v>474030.06709095539</v>
      </c>
      <c r="U8">
        <f t="shared" si="16"/>
        <v>0</v>
      </c>
      <c r="V8" s="29">
        <f t="shared" si="17"/>
        <v>474030.06709095539</v>
      </c>
      <c r="W8" s="29">
        <f t="shared" si="7"/>
        <v>474030.06709095539</v>
      </c>
      <c r="X8" s="29">
        <f t="shared" si="18"/>
        <v>474030.06709095539</v>
      </c>
      <c r="Y8">
        <f t="shared" si="19"/>
        <v>0</v>
      </c>
    </row>
    <row r="9" spans="1:26" x14ac:dyDescent="0.25">
      <c r="A9" s="4" t="s">
        <v>670</v>
      </c>
      <c r="B9" s="7" t="s">
        <v>309</v>
      </c>
      <c r="C9" s="2" t="s">
        <v>671</v>
      </c>
      <c r="D9">
        <f>VLOOKUP(B9,'Model allocations'!$A$1:$L$316,3,FALSE)</f>
        <v>37358.131662173764</v>
      </c>
      <c r="E9" s="31">
        <f>VLOOKUP(B9,'Initial adjusted formula count'!$A$1:$P$316,12,FALSE)</f>
        <v>6.18556701030928E-2</v>
      </c>
      <c r="F9">
        <f>VLOOKUP(B9,'Model allocations'!$A$1:$L$316,8,FALSE)</f>
        <v>31643.188053258044</v>
      </c>
      <c r="G9" s="30">
        <f t="shared" si="8"/>
        <v>0.85</v>
      </c>
      <c r="H9">
        <f t="shared" si="9"/>
        <v>31754.4119128477</v>
      </c>
      <c r="I9">
        <f t="shared" si="1"/>
        <v>31754.4119128477</v>
      </c>
      <c r="J9">
        <f t="shared" si="2"/>
        <v>0</v>
      </c>
      <c r="K9">
        <f t="shared" si="3"/>
        <v>0</v>
      </c>
      <c r="L9">
        <f t="shared" si="10"/>
        <v>31754.4119128477</v>
      </c>
      <c r="M9">
        <f t="shared" si="4"/>
        <v>0</v>
      </c>
      <c r="N9" s="29">
        <f t="shared" si="11"/>
        <v>0</v>
      </c>
      <c r="O9" s="29">
        <f t="shared" si="5"/>
        <v>0</v>
      </c>
      <c r="P9" s="29">
        <f t="shared" si="12"/>
        <v>31754.4119128477</v>
      </c>
      <c r="Q9">
        <f t="shared" si="13"/>
        <v>0</v>
      </c>
      <c r="R9" s="29">
        <f t="shared" si="14"/>
        <v>0</v>
      </c>
      <c r="S9" s="29">
        <f t="shared" si="6"/>
        <v>0</v>
      </c>
      <c r="T9" s="29">
        <f t="shared" si="15"/>
        <v>31754.4119128477</v>
      </c>
      <c r="U9">
        <f t="shared" si="16"/>
        <v>0</v>
      </c>
      <c r="V9" s="29">
        <f t="shared" si="17"/>
        <v>0</v>
      </c>
      <c r="W9" s="29">
        <f t="shared" si="7"/>
        <v>0</v>
      </c>
      <c r="X9" s="29">
        <f t="shared" si="18"/>
        <v>31754.4119128477</v>
      </c>
      <c r="Y9">
        <f t="shared" si="19"/>
        <v>0</v>
      </c>
    </row>
    <row r="10" spans="1:26" x14ac:dyDescent="0.25">
      <c r="A10" s="4" t="s">
        <v>672</v>
      </c>
      <c r="B10" s="7" t="s">
        <v>311</v>
      </c>
      <c r="C10" s="2" t="s">
        <v>673</v>
      </c>
      <c r="D10">
        <f>VLOOKUP(B10,'Model allocations'!$A$1:$L$316,3,FALSE)</f>
        <v>2441870.5137668084</v>
      </c>
      <c r="E10" s="31">
        <f>VLOOKUP(B10,'Initial adjusted formula count'!$A$1:$P$316,12,FALSE)</f>
        <v>0.16016150740242299</v>
      </c>
      <c r="F10">
        <f>VLOOKUP(B10,'Model allocations'!$A$1:$L$316,8,FALSE)</f>
        <v>2618006.1898109275</v>
      </c>
      <c r="G10" s="30">
        <f t="shared" si="8"/>
        <v>0.9</v>
      </c>
      <c r="H10">
        <f t="shared" si="9"/>
        <v>2197683.4623901276</v>
      </c>
      <c r="I10">
        <f t="shared" si="1"/>
        <v>0</v>
      </c>
      <c r="J10">
        <f t="shared" si="2"/>
        <v>2618006.1898109275</v>
      </c>
      <c r="K10">
        <f t="shared" si="3"/>
        <v>2616480.2295336961</v>
      </c>
      <c r="L10">
        <f t="shared" si="10"/>
        <v>2616480.2295336961</v>
      </c>
      <c r="M10">
        <f t="shared" si="4"/>
        <v>0</v>
      </c>
      <c r="N10" s="29">
        <f t="shared" si="11"/>
        <v>2616480.2295336961</v>
      </c>
      <c r="O10" s="29">
        <f t="shared" si="5"/>
        <v>2616399.7209565723</v>
      </c>
      <c r="P10" s="29">
        <f t="shared" si="12"/>
        <v>2616399.7209565723</v>
      </c>
      <c r="Q10">
        <f t="shared" si="13"/>
        <v>0</v>
      </c>
      <c r="R10" s="29">
        <f t="shared" si="14"/>
        <v>2616399.7209565723</v>
      </c>
      <c r="S10" s="29">
        <f t="shared" si="6"/>
        <v>2616399.7209565723</v>
      </c>
      <c r="T10" s="29">
        <f t="shared" si="15"/>
        <v>2616399.7209565723</v>
      </c>
      <c r="U10">
        <f t="shared" si="16"/>
        <v>0</v>
      </c>
      <c r="V10" s="29">
        <f t="shared" si="17"/>
        <v>2616399.7209565723</v>
      </c>
      <c r="W10" s="29">
        <f t="shared" si="7"/>
        <v>2616399.7209565723</v>
      </c>
      <c r="X10" s="29">
        <f t="shared" si="18"/>
        <v>2616399.7209565723</v>
      </c>
      <c r="Y10">
        <f t="shared" si="19"/>
        <v>0</v>
      </c>
    </row>
    <row r="11" spans="1:26" x14ac:dyDescent="0.25">
      <c r="A11" s="4" t="s">
        <v>674</v>
      </c>
      <c r="B11" s="7" t="s">
        <v>92</v>
      </c>
      <c r="C11" s="2" t="s">
        <v>675</v>
      </c>
      <c r="D11">
        <f>VLOOKUP(B11,'Model allocations'!$A$1:$L$316,3,FALSE)</f>
        <v>130348.95980961616</v>
      </c>
      <c r="E11" s="31">
        <f>VLOOKUP(B11,'Initial adjusted formula count'!$A$1:$P$316,12,FALSE)</f>
        <v>3.75469336670839E-2</v>
      </c>
      <c r="F11">
        <f>VLOOKUP(B11,'Model allocations'!$A$1:$L$316,8,FALSE)</f>
        <v>132000.31209130722</v>
      </c>
      <c r="G11" s="30">
        <f t="shared" si="8"/>
        <v>0.85</v>
      </c>
      <c r="H11">
        <f t="shared" si="9"/>
        <v>110796.61583817373</v>
      </c>
      <c r="I11">
        <f t="shared" si="1"/>
        <v>0</v>
      </c>
      <c r="J11">
        <f t="shared" si="2"/>
        <v>132000.31209130722</v>
      </c>
      <c r="K11">
        <f t="shared" si="3"/>
        <v>131923.37291766529</v>
      </c>
      <c r="L11">
        <f t="shared" si="10"/>
        <v>131923.37291766529</v>
      </c>
      <c r="M11">
        <f t="shared" si="4"/>
        <v>0</v>
      </c>
      <c r="N11" s="29">
        <f t="shared" si="11"/>
        <v>131923.37291766529</v>
      </c>
      <c r="O11" s="29">
        <f t="shared" si="5"/>
        <v>131919.31366167584</v>
      </c>
      <c r="P11" s="29">
        <f t="shared" si="12"/>
        <v>131919.31366167584</v>
      </c>
      <c r="Q11">
        <f t="shared" si="13"/>
        <v>0</v>
      </c>
      <c r="R11" s="29">
        <f t="shared" si="14"/>
        <v>131919.31366167584</v>
      </c>
      <c r="S11" s="29">
        <f t="shared" si="6"/>
        <v>131919.31366167584</v>
      </c>
      <c r="T11" s="29">
        <f t="shared" si="15"/>
        <v>131919.31366167584</v>
      </c>
      <c r="U11">
        <f t="shared" si="16"/>
        <v>0</v>
      </c>
      <c r="V11" s="29">
        <f t="shared" si="17"/>
        <v>131919.31366167584</v>
      </c>
      <c r="W11" s="29">
        <f t="shared" si="7"/>
        <v>131919.31366167584</v>
      </c>
      <c r="X11" s="29">
        <f t="shared" si="18"/>
        <v>131919.31366167584</v>
      </c>
      <c r="Y11">
        <f t="shared" si="19"/>
        <v>0</v>
      </c>
    </row>
    <row r="12" spans="1:26" x14ac:dyDescent="0.25">
      <c r="A12" s="4" t="s">
        <v>676</v>
      </c>
      <c r="B12" s="7" t="s">
        <v>94</v>
      </c>
      <c r="C12" s="2" t="s">
        <v>677</v>
      </c>
      <c r="D12">
        <f>VLOOKUP(B12,'Model allocations'!$A$1:$L$316,3,FALSE)</f>
        <v>782093.7588576969</v>
      </c>
      <c r="E12" s="31">
        <f>VLOOKUP(B12,'Initial adjusted formula count'!$A$1:$P$316,12,FALSE)</f>
        <v>6.4799040948955805E-2</v>
      </c>
      <c r="F12">
        <f>VLOOKUP(B12,'Model allocations'!$A$1:$L$316,8,FALSE)</f>
        <v>903762.13678515039</v>
      </c>
      <c r="G12" s="30">
        <f t="shared" si="8"/>
        <v>0.85</v>
      </c>
      <c r="H12">
        <f t="shared" si="9"/>
        <v>664779.69502904231</v>
      </c>
      <c r="I12">
        <f t="shared" si="1"/>
        <v>0</v>
      </c>
      <c r="J12">
        <f t="shared" si="2"/>
        <v>903762.13678515039</v>
      </c>
      <c r="K12">
        <f t="shared" si="3"/>
        <v>903235.35990961525</v>
      </c>
      <c r="L12">
        <f t="shared" si="10"/>
        <v>903235.35990961525</v>
      </c>
      <c r="M12">
        <f t="shared" si="4"/>
        <v>0</v>
      </c>
      <c r="N12" s="29">
        <f t="shared" si="11"/>
        <v>903235.35990961525</v>
      </c>
      <c r="O12" s="29">
        <f t="shared" si="5"/>
        <v>903207.56753694091</v>
      </c>
      <c r="P12" s="29">
        <f t="shared" si="12"/>
        <v>903207.56753694091</v>
      </c>
      <c r="Q12">
        <f t="shared" si="13"/>
        <v>0</v>
      </c>
      <c r="R12" s="29">
        <f t="shared" si="14"/>
        <v>903207.56753694091</v>
      </c>
      <c r="S12" s="29">
        <f t="shared" si="6"/>
        <v>903207.56753694091</v>
      </c>
      <c r="T12" s="29">
        <f t="shared" si="15"/>
        <v>903207.56753694091</v>
      </c>
      <c r="U12">
        <f t="shared" si="16"/>
        <v>0</v>
      </c>
      <c r="V12" s="29">
        <f t="shared" si="17"/>
        <v>903207.56753694091</v>
      </c>
      <c r="W12" s="29">
        <f t="shared" si="7"/>
        <v>903207.56753694091</v>
      </c>
      <c r="X12" s="29">
        <f t="shared" si="18"/>
        <v>903207.56753694091</v>
      </c>
      <c r="Y12">
        <f t="shared" si="19"/>
        <v>0</v>
      </c>
    </row>
    <row r="13" spans="1:26" x14ac:dyDescent="0.25">
      <c r="A13" s="4" t="s">
        <v>678</v>
      </c>
      <c r="B13" s="7" t="s">
        <v>96</v>
      </c>
      <c r="C13" s="2" t="s">
        <v>679</v>
      </c>
      <c r="D13">
        <f>VLOOKUP(B13,'Model allocations'!$A$1:$L$316,3,FALSE)</f>
        <v>1272205.8477418532</v>
      </c>
      <c r="E13" s="31">
        <f>VLOOKUP(B13,'Initial adjusted formula count'!$A$1:$P$316,12,FALSE)</f>
        <v>6.2019251901015301E-2</v>
      </c>
      <c r="F13">
        <f>VLOOKUP(B13,'Model allocations'!$A$1:$L$316,8,FALSE)</f>
        <v>1241682.9357388967</v>
      </c>
      <c r="G13" s="30">
        <f t="shared" si="8"/>
        <v>0.85</v>
      </c>
      <c r="H13">
        <f t="shared" si="9"/>
        <v>1081374.9705805753</v>
      </c>
      <c r="I13">
        <f t="shared" si="1"/>
        <v>0</v>
      </c>
      <c r="J13">
        <f t="shared" si="2"/>
        <v>1241682.9357388967</v>
      </c>
      <c r="K13">
        <f t="shared" si="3"/>
        <v>1240959.1945788383</v>
      </c>
      <c r="L13">
        <f t="shared" si="10"/>
        <v>1240959.1945788383</v>
      </c>
      <c r="M13">
        <f t="shared" si="4"/>
        <v>0</v>
      </c>
      <c r="N13" s="29">
        <f t="shared" si="11"/>
        <v>1240959.1945788383</v>
      </c>
      <c r="O13" s="29">
        <f t="shared" si="5"/>
        <v>1240921.0105108309</v>
      </c>
      <c r="P13" s="29">
        <f t="shared" si="12"/>
        <v>1240921.0105108309</v>
      </c>
      <c r="Q13">
        <f t="shared" si="13"/>
        <v>0</v>
      </c>
      <c r="R13" s="29">
        <f t="shared" si="14"/>
        <v>1240921.0105108309</v>
      </c>
      <c r="S13" s="29">
        <f t="shared" si="6"/>
        <v>1240921.0105108309</v>
      </c>
      <c r="T13" s="29">
        <f t="shared" si="15"/>
        <v>1240921.0105108309</v>
      </c>
      <c r="U13">
        <f t="shared" si="16"/>
        <v>0</v>
      </c>
      <c r="V13" s="29">
        <f t="shared" si="17"/>
        <v>1240921.0105108309</v>
      </c>
      <c r="W13" s="29">
        <f t="shared" si="7"/>
        <v>1240921.0105108309</v>
      </c>
      <c r="X13" s="29">
        <f t="shared" si="18"/>
        <v>1240921.0105108309</v>
      </c>
      <c r="Y13">
        <f t="shared" si="19"/>
        <v>0</v>
      </c>
    </row>
    <row r="14" spans="1:26" x14ac:dyDescent="0.25">
      <c r="A14" s="4" t="s">
        <v>14</v>
      </c>
      <c r="B14" s="7" t="s">
        <v>56</v>
      </c>
      <c r="C14" s="2" t="s">
        <v>680</v>
      </c>
      <c r="D14">
        <f>VLOOKUP(B14,'Model allocations'!$A$1:$L$316,3,FALSE)</f>
        <v>1163351.4977555396</v>
      </c>
      <c r="E14" s="31">
        <f>VLOOKUP(B14,'Initial adjusted formula count'!$A$1:$P$316,12,FALSE)</f>
        <v>7.70696540197192E-2</v>
      </c>
      <c r="F14">
        <f>VLOOKUP(B14,'Model allocations'!$A$1:$L$316,8,FALSE)</f>
        <v>987144.67958517023</v>
      </c>
      <c r="G14" s="30">
        <f t="shared" si="8"/>
        <v>0.85</v>
      </c>
      <c r="H14">
        <f t="shared" si="9"/>
        <v>988848.77309220866</v>
      </c>
      <c r="I14">
        <f t="shared" si="1"/>
        <v>988848.77309220866</v>
      </c>
      <c r="J14">
        <f t="shared" si="2"/>
        <v>0</v>
      </c>
      <c r="K14">
        <f t="shared" si="3"/>
        <v>0</v>
      </c>
      <c r="L14">
        <f t="shared" si="10"/>
        <v>988848.77309220866</v>
      </c>
      <c r="M14">
        <f t="shared" si="4"/>
        <v>0</v>
      </c>
      <c r="N14" s="29">
        <f t="shared" si="11"/>
        <v>0</v>
      </c>
      <c r="O14" s="29">
        <f t="shared" si="5"/>
        <v>0</v>
      </c>
      <c r="P14" s="29">
        <f t="shared" si="12"/>
        <v>988848.77309220866</v>
      </c>
      <c r="Q14">
        <f t="shared" si="13"/>
        <v>0</v>
      </c>
      <c r="R14" s="29">
        <f t="shared" si="14"/>
        <v>0</v>
      </c>
      <c r="S14" s="29">
        <f t="shared" si="6"/>
        <v>0</v>
      </c>
      <c r="T14" s="29">
        <f t="shared" si="15"/>
        <v>988848.77309220866</v>
      </c>
      <c r="U14">
        <f t="shared" si="16"/>
        <v>0</v>
      </c>
      <c r="V14" s="29">
        <f t="shared" si="17"/>
        <v>0</v>
      </c>
      <c r="W14" s="29">
        <f t="shared" si="7"/>
        <v>0</v>
      </c>
      <c r="X14" s="29">
        <f t="shared" si="18"/>
        <v>988848.77309220866</v>
      </c>
      <c r="Y14">
        <f t="shared" si="19"/>
        <v>0</v>
      </c>
    </row>
    <row r="15" spans="1:26" x14ac:dyDescent="0.25">
      <c r="A15" s="4" t="s">
        <v>681</v>
      </c>
      <c r="B15" s="7" t="s">
        <v>98</v>
      </c>
      <c r="C15" s="2" t="s">
        <v>682</v>
      </c>
      <c r="D15">
        <f>VLOOKUP(B15,'Model allocations'!$A$1:$L$316,3,FALSE)</f>
        <v>0</v>
      </c>
      <c r="E15" s="31">
        <f>VLOOKUP(B15,'Initial adjusted formula count'!$A$1:$P$316,12,FALSE)</f>
        <v>6.25E-2</v>
      </c>
      <c r="F15">
        <f>VLOOKUP(B15,'Model allocations'!$A$1:$L$316,8,FALSE)</f>
        <v>0</v>
      </c>
      <c r="G15" s="30">
        <f t="shared" si="8"/>
        <v>0.85</v>
      </c>
      <c r="H15">
        <f t="shared" si="9"/>
        <v>0</v>
      </c>
      <c r="I15">
        <f t="shared" si="1"/>
        <v>0</v>
      </c>
      <c r="J15">
        <f t="shared" si="2"/>
        <v>0</v>
      </c>
      <c r="K15">
        <f t="shared" si="3"/>
        <v>0</v>
      </c>
      <c r="L15">
        <f t="shared" si="10"/>
        <v>0</v>
      </c>
      <c r="M15">
        <f t="shared" si="4"/>
        <v>0</v>
      </c>
      <c r="N15" s="29">
        <f t="shared" si="11"/>
        <v>0</v>
      </c>
      <c r="O15" s="29">
        <f t="shared" si="5"/>
        <v>0</v>
      </c>
      <c r="P15" s="29">
        <f t="shared" si="12"/>
        <v>0</v>
      </c>
      <c r="Q15">
        <f t="shared" si="13"/>
        <v>0</v>
      </c>
      <c r="R15" s="29">
        <f t="shared" si="14"/>
        <v>0</v>
      </c>
      <c r="S15" s="29">
        <f t="shared" si="6"/>
        <v>0</v>
      </c>
      <c r="T15" s="29">
        <f t="shared" si="15"/>
        <v>0</v>
      </c>
      <c r="U15">
        <f t="shared" si="16"/>
        <v>0</v>
      </c>
      <c r="V15" s="29">
        <f t="shared" si="17"/>
        <v>0</v>
      </c>
      <c r="W15" s="29">
        <f t="shared" si="7"/>
        <v>0</v>
      </c>
      <c r="X15" s="29">
        <f t="shared" si="18"/>
        <v>0</v>
      </c>
      <c r="Y15">
        <f t="shared" si="19"/>
        <v>0</v>
      </c>
    </row>
    <row r="16" spans="1:26" x14ac:dyDescent="0.25">
      <c r="A16" s="4" t="s">
        <v>683</v>
      </c>
      <c r="B16" s="7" t="s">
        <v>263</v>
      </c>
      <c r="C16" s="2" t="s">
        <v>684</v>
      </c>
      <c r="D16">
        <f>VLOOKUP(B16,'Model allocations'!$A$1:$L$316,3,FALSE)</f>
        <v>2180303.6010821783</v>
      </c>
      <c r="E16" s="31">
        <f>VLOOKUP(B16,'Initial adjusted formula count'!$A$1:$P$316,12,FALSE)</f>
        <v>0.114406605595038</v>
      </c>
      <c r="F16">
        <f>VLOOKUP(B16,'Model allocations'!$A$1:$L$316,8,FALSE)</f>
        <v>2450805.7944952725</v>
      </c>
      <c r="G16" s="30">
        <f t="shared" si="8"/>
        <v>0.85</v>
      </c>
      <c r="H16">
        <f t="shared" si="9"/>
        <v>1853258.0609198515</v>
      </c>
      <c r="I16">
        <f t="shared" si="1"/>
        <v>0</v>
      </c>
      <c r="J16">
        <f t="shared" si="2"/>
        <v>2450805.7944952725</v>
      </c>
      <c r="K16">
        <f t="shared" si="3"/>
        <v>2449377.2905046539</v>
      </c>
      <c r="L16">
        <f t="shared" si="10"/>
        <v>2449377.2905046539</v>
      </c>
      <c r="M16">
        <f t="shared" si="4"/>
        <v>0</v>
      </c>
      <c r="N16" s="29">
        <f t="shared" si="11"/>
        <v>2449377.2905046539</v>
      </c>
      <c r="O16" s="29">
        <f t="shared" si="5"/>
        <v>2449301.9236517833</v>
      </c>
      <c r="P16" s="29">
        <f t="shared" si="12"/>
        <v>2449301.9236517833</v>
      </c>
      <c r="Q16">
        <f t="shared" si="13"/>
        <v>0</v>
      </c>
      <c r="R16" s="29">
        <f t="shared" si="14"/>
        <v>2449301.9236517833</v>
      </c>
      <c r="S16" s="29">
        <f t="shared" si="6"/>
        <v>2449301.9236517833</v>
      </c>
      <c r="T16" s="29">
        <f t="shared" si="15"/>
        <v>2449301.9236517833</v>
      </c>
      <c r="U16">
        <f t="shared" si="16"/>
        <v>0</v>
      </c>
      <c r="V16" s="29">
        <f t="shared" si="17"/>
        <v>2449301.9236517833</v>
      </c>
      <c r="W16" s="29">
        <f t="shared" si="7"/>
        <v>2449301.9236517833</v>
      </c>
      <c r="X16" s="29">
        <f t="shared" si="18"/>
        <v>2449301.9236517833</v>
      </c>
      <c r="Y16">
        <f t="shared" si="19"/>
        <v>0</v>
      </c>
    </row>
    <row r="17" spans="1:25" x14ac:dyDescent="0.25">
      <c r="A17" s="4" t="s">
        <v>685</v>
      </c>
      <c r="B17" s="7" t="s">
        <v>313</v>
      </c>
      <c r="C17" s="2" t="s">
        <v>686</v>
      </c>
      <c r="D17">
        <f>VLOOKUP(B17,'Model allocations'!$A$1:$L$316,3,FALSE)</f>
        <v>0</v>
      </c>
      <c r="E17" s="31">
        <f>VLOOKUP(B17,'Initial adjusted formula count'!$A$1:$P$316,12,FALSE)</f>
        <v>0.126582278481013</v>
      </c>
      <c r="F17">
        <f>VLOOKUP(B17,'Model allocations'!$A$1:$L$316,8,FALSE)</f>
        <v>8800.02080608715</v>
      </c>
      <c r="G17" s="30">
        <f t="shared" si="8"/>
        <v>0.85</v>
      </c>
      <c r="H17">
        <f t="shared" si="9"/>
        <v>0</v>
      </c>
      <c r="I17">
        <f t="shared" si="1"/>
        <v>0</v>
      </c>
      <c r="J17">
        <f t="shared" si="2"/>
        <v>8800.02080608715</v>
      </c>
      <c r="K17">
        <f t="shared" si="3"/>
        <v>8794.8915278443546</v>
      </c>
      <c r="L17">
        <f t="shared" si="10"/>
        <v>8794.8915278443546</v>
      </c>
      <c r="M17">
        <f t="shared" si="4"/>
        <v>0</v>
      </c>
      <c r="N17" s="29">
        <f t="shared" si="11"/>
        <v>8794.8915278443546</v>
      </c>
      <c r="O17" s="29">
        <f t="shared" si="5"/>
        <v>8794.6209107783925</v>
      </c>
      <c r="P17" s="29">
        <f t="shared" si="12"/>
        <v>8794.6209107783925</v>
      </c>
      <c r="Q17">
        <f t="shared" si="13"/>
        <v>0</v>
      </c>
      <c r="R17" s="29">
        <f t="shared" si="14"/>
        <v>8794.6209107783925</v>
      </c>
      <c r="S17" s="29">
        <f t="shared" si="6"/>
        <v>8794.6209107783925</v>
      </c>
      <c r="T17" s="29">
        <f t="shared" si="15"/>
        <v>8794.6209107783925</v>
      </c>
      <c r="U17">
        <f t="shared" si="16"/>
        <v>0</v>
      </c>
      <c r="V17" s="29">
        <f t="shared" si="17"/>
        <v>8794.6209107783925</v>
      </c>
      <c r="W17" s="29">
        <f t="shared" si="7"/>
        <v>8794.6209107783925</v>
      </c>
      <c r="X17" s="29">
        <f t="shared" si="18"/>
        <v>8794.6209107783925</v>
      </c>
      <c r="Y17">
        <f t="shared" si="19"/>
        <v>0</v>
      </c>
    </row>
    <row r="18" spans="1:25" x14ac:dyDescent="0.25">
      <c r="A18" s="4" t="s">
        <v>687</v>
      </c>
      <c r="B18" s="7" t="s">
        <v>315</v>
      </c>
      <c r="C18" s="2" t="s">
        <v>688</v>
      </c>
      <c r="D18">
        <f>VLOOKUP(B18,'Model allocations'!$A$1:$L$316,3,FALSE)</f>
        <v>266780.87107701442</v>
      </c>
      <c r="E18" s="31">
        <f>VLOOKUP(B18,'Initial adjusted formula count'!$A$1:$P$316,12,FALSE)</f>
        <v>8.6530612244897998E-2</v>
      </c>
      <c r="F18">
        <f>VLOOKUP(B18,'Model allocations'!$A$1:$L$316,8,FALSE)</f>
        <v>227071.48929817911</v>
      </c>
      <c r="G18" s="30">
        <f t="shared" si="8"/>
        <v>0.85</v>
      </c>
      <c r="H18">
        <f t="shared" si="9"/>
        <v>226763.74041546226</v>
      </c>
      <c r="I18">
        <f t="shared" si="1"/>
        <v>0</v>
      </c>
      <c r="J18">
        <f t="shared" si="2"/>
        <v>227071.48929817911</v>
      </c>
      <c r="K18">
        <f t="shared" si="3"/>
        <v>226939.13587819508</v>
      </c>
      <c r="L18">
        <f t="shared" si="10"/>
        <v>226939.13587819508</v>
      </c>
      <c r="M18">
        <f t="shared" si="4"/>
        <v>0</v>
      </c>
      <c r="N18" s="29">
        <f t="shared" si="11"/>
        <v>226939.13587819508</v>
      </c>
      <c r="O18" s="29">
        <f t="shared" si="5"/>
        <v>226932.15300604605</v>
      </c>
      <c r="P18" s="29">
        <f t="shared" si="12"/>
        <v>226932.15300604605</v>
      </c>
      <c r="Q18">
        <f t="shared" si="13"/>
        <v>0</v>
      </c>
      <c r="R18" s="29">
        <f t="shared" si="14"/>
        <v>226932.15300604605</v>
      </c>
      <c r="S18" s="29">
        <f t="shared" si="6"/>
        <v>226932.15300604605</v>
      </c>
      <c r="T18" s="29">
        <f t="shared" si="15"/>
        <v>226932.15300604605</v>
      </c>
      <c r="U18">
        <f t="shared" si="16"/>
        <v>0</v>
      </c>
      <c r="V18" s="29">
        <f t="shared" si="17"/>
        <v>226932.15300604605</v>
      </c>
      <c r="W18" s="29">
        <f t="shared" si="7"/>
        <v>226932.15300604605</v>
      </c>
      <c r="X18" s="29">
        <f t="shared" si="18"/>
        <v>226932.15300604605</v>
      </c>
      <c r="Y18">
        <f t="shared" si="19"/>
        <v>0</v>
      </c>
    </row>
    <row r="19" spans="1:25" x14ac:dyDescent="0.25">
      <c r="A19" s="4" t="s">
        <v>689</v>
      </c>
      <c r="B19" s="7" t="s">
        <v>317</v>
      </c>
      <c r="C19" s="2" t="s">
        <v>690</v>
      </c>
      <c r="D19">
        <f>VLOOKUP(B19,'Model allocations'!$A$1:$L$316,3,FALSE)</f>
        <v>20855.833569538583</v>
      </c>
      <c r="E19" s="31">
        <f>VLOOKUP(B19,'Initial adjusted formula count'!$A$1:$P$316,12,FALSE)</f>
        <v>0.108597285067873</v>
      </c>
      <c r="F19">
        <f>VLOOKUP(B19,'Model allocations'!$A$1:$L$316,8,FALSE)</f>
        <v>21120.049934609171</v>
      </c>
      <c r="G19" s="30">
        <f t="shared" si="8"/>
        <v>0.85</v>
      </c>
      <c r="H19">
        <f t="shared" si="9"/>
        <v>17727.458534107795</v>
      </c>
      <c r="I19">
        <f t="shared" si="1"/>
        <v>0</v>
      </c>
      <c r="J19">
        <f t="shared" si="2"/>
        <v>21120.049934609171</v>
      </c>
      <c r="K19">
        <f t="shared" si="3"/>
        <v>21107.739666826463</v>
      </c>
      <c r="L19">
        <f t="shared" si="10"/>
        <v>21107.739666826463</v>
      </c>
      <c r="M19">
        <f t="shared" si="4"/>
        <v>0</v>
      </c>
      <c r="N19" s="29">
        <f t="shared" si="11"/>
        <v>21107.739666826463</v>
      </c>
      <c r="O19" s="29">
        <f t="shared" si="5"/>
        <v>21107.09018586815</v>
      </c>
      <c r="P19" s="29">
        <f t="shared" si="12"/>
        <v>21107.09018586815</v>
      </c>
      <c r="Q19">
        <f t="shared" si="13"/>
        <v>0</v>
      </c>
      <c r="R19" s="29">
        <f t="shared" si="14"/>
        <v>21107.09018586815</v>
      </c>
      <c r="S19" s="29">
        <f t="shared" si="6"/>
        <v>21107.09018586815</v>
      </c>
      <c r="T19" s="29">
        <f t="shared" si="15"/>
        <v>21107.09018586815</v>
      </c>
      <c r="U19">
        <f t="shared" si="16"/>
        <v>0</v>
      </c>
      <c r="V19" s="29">
        <f t="shared" si="17"/>
        <v>21107.09018586815</v>
      </c>
      <c r="W19" s="29">
        <f t="shared" si="7"/>
        <v>21107.09018586815</v>
      </c>
      <c r="X19" s="29">
        <f t="shared" si="18"/>
        <v>21107.09018586815</v>
      </c>
      <c r="Y19">
        <f t="shared" si="19"/>
        <v>0</v>
      </c>
    </row>
    <row r="20" spans="1:25" x14ac:dyDescent="0.25">
      <c r="A20" s="4" t="s">
        <v>10</v>
      </c>
      <c r="B20" s="7" t="s">
        <v>55</v>
      </c>
      <c r="C20" s="2" t="s">
        <v>691</v>
      </c>
      <c r="D20">
        <f>VLOOKUP(B20,'Model allocations'!$A$1:$L$316,3,FALSE)</f>
        <v>737211.79124382534</v>
      </c>
      <c r="E20" s="31">
        <f>VLOOKUP(B20,'Initial adjusted formula count'!$A$1:$P$316,12,FALSE)</f>
        <v>0.16819916138648799</v>
      </c>
      <c r="F20">
        <f>VLOOKUP(B20,'Model allocations'!$A$1:$L$316,8,FALSE)</f>
        <v>722273.74341563671</v>
      </c>
      <c r="G20" s="30">
        <f t="shared" si="8"/>
        <v>0.9</v>
      </c>
      <c r="H20">
        <f t="shared" si="9"/>
        <v>663490.61211944278</v>
      </c>
      <c r="I20">
        <f t="shared" si="1"/>
        <v>0</v>
      </c>
      <c r="J20">
        <f t="shared" si="2"/>
        <v>722273.74341563671</v>
      </c>
      <c r="K20">
        <f t="shared" si="3"/>
        <v>721852.75088856427</v>
      </c>
      <c r="L20">
        <f t="shared" si="10"/>
        <v>721852.75088856427</v>
      </c>
      <c r="M20">
        <f t="shared" si="4"/>
        <v>0</v>
      </c>
      <c r="N20" s="29">
        <f t="shared" si="11"/>
        <v>721852.75088856427</v>
      </c>
      <c r="O20" s="29">
        <f t="shared" si="5"/>
        <v>721830.53962275351</v>
      </c>
      <c r="P20" s="29">
        <f t="shared" si="12"/>
        <v>721830.53962275351</v>
      </c>
      <c r="Q20">
        <f t="shared" si="13"/>
        <v>0</v>
      </c>
      <c r="R20" s="29">
        <f t="shared" si="14"/>
        <v>721830.53962275351</v>
      </c>
      <c r="S20" s="29">
        <f t="shared" si="6"/>
        <v>721830.53962275351</v>
      </c>
      <c r="T20" s="29">
        <f t="shared" si="15"/>
        <v>721830.53962275351</v>
      </c>
      <c r="U20">
        <f t="shared" si="16"/>
        <v>0</v>
      </c>
      <c r="V20" s="29">
        <f t="shared" si="17"/>
        <v>721830.53962275351</v>
      </c>
      <c r="W20" s="29">
        <f t="shared" si="7"/>
        <v>721830.53962275351</v>
      </c>
      <c r="X20" s="29">
        <f t="shared" si="18"/>
        <v>721830.53962275351</v>
      </c>
      <c r="Y20">
        <f t="shared" si="19"/>
        <v>0</v>
      </c>
    </row>
    <row r="21" spans="1:25" x14ac:dyDescent="0.25">
      <c r="A21" s="4" t="s">
        <v>692</v>
      </c>
      <c r="B21" s="7" t="s">
        <v>319</v>
      </c>
      <c r="C21" s="2" t="s">
        <v>693</v>
      </c>
      <c r="D21">
        <f>VLOOKUP(B21,'Model allocations'!$A$1:$L$316,3,FALSE)</f>
        <v>210296.32182618076</v>
      </c>
      <c r="E21" s="31">
        <f>VLOOKUP(B21,'Initial adjusted formula count'!$A$1:$P$316,12,FALSE)</f>
        <v>0.227176220806794</v>
      </c>
      <c r="F21">
        <f>VLOOKUP(B21,'Model allocations'!$A$1:$L$316,8,FALSE)</f>
        <v>189371.85145972818</v>
      </c>
      <c r="G21" s="30">
        <f t="shared" si="8"/>
        <v>0.9</v>
      </c>
      <c r="H21">
        <f t="shared" si="9"/>
        <v>189266.68964356268</v>
      </c>
      <c r="I21">
        <f t="shared" si="1"/>
        <v>0</v>
      </c>
      <c r="J21">
        <f t="shared" si="2"/>
        <v>189371.85145972818</v>
      </c>
      <c r="K21">
        <f t="shared" si="3"/>
        <v>189261.47207098646</v>
      </c>
      <c r="L21">
        <f t="shared" si="10"/>
        <v>189261.47207098646</v>
      </c>
      <c r="M21">
        <f t="shared" si="4"/>
        <v>189266.68964356268</v>
      </c>
      <c r="N21" s="29">
        <f t="shared" si="11"/>
        <v>0</v>
      </c>
      <c r="O21" s="29">
        <f t="shared" si="5"/>
        <v>0</v>
      </c>
      <c r="P21" s="29">
        <f t="shared" si="12"/>
        <v>189266.68964356268</v>
      </c>
      <c r="Q21">
        <f t="shared" si="13"/>
        <v>0</v>
      </c>
      <c r="R21" s="29">
        <f t="shared" si="14"/>
        <v>0</v>
      </c>
      <c r="S21" s="29">
        <f t="shared" si="6"/>
        <v>0</v>
      </c>
      <c r="T21" s="29">
        <f t="shared" si="15"/>
        <v>189266.68964356268</v>
      </c>
      <c r="U21">
        <f t="shared" si="16"/>
        <v>0</v>
      </c>
      <c r="V21" s="29">
        <f t="shared" si="17"/>
        <v>0</v>
      </c>
      <c r="W21" s="29">
        <f t="shared" si="7"/>
        <v>0</v>
      </c>
      <c r="X21" s="29">
        <f t="shared" si="18"/>
        <v>189266.68964356268</v>
      </c>
      <c r="Y21">
        <f t="shared" si="19"/>
        <v>0</v>
      </c>
    </row>
    <row r="22" spans="1:25" x14ac:dyDescent="0.25">
      <c r="A22" s="4" t="s">
        <v>694</v>
      </c>
      <c r="B22" s="7" t="s">
        <v>321</v>
      </c>
      <c r="C22" s="2" t="s">
        <v>695</v>
      </c>
      <c r="D22">
        <f>VLOOKUP(B22,'Model allocations'!$A$1:$L$316,3,FALSE)</f>
        <v>136995.75234602395</v>
      </c>
      <c r="E22" s="31">
        <f>VLOOKUP(B22,'Initial adjusted formula count'!$A$1:$P$316,12,FALSE)</f>
        <v>0.12184249628528999</v>
      </c>
      <c r="F22">
        <f>VLOOKUP(B22,'Model allocations'!$A$1:$L$316,8,FALSE)</f>
        <v>116446.38949412035</v>
      </c>
      <c r="G22" s="30">
        <f t="shared" si="8"/>
        <v>0.85</v>
      </c>
      <c r="H22">
        <f t="shared" si="9"/>
        <v>116446.38949412035</v>
      </c>
      <c r="I22">
        <f t="shared" si="1"/>
        <v>0</v>
      </c>
      <c r="J22">
        <f t="shared" si="2"/>
        <v>116446.38949412035</v>
      </c>
      <c r="K22">
        <f t="shared" si="3"/>
        <v>116378.51625322174</v>
      </c>
      <c r="L22">
        <f t="shared" si="10"/>
        <v>116378.51625322174</v>
      </c>
      <c r="M22">
        <f t="shared" si="4"/>
        <v>116446.38949412035</v>
      </c>
      <c r="N22" s="29">
        <f t="shared" si="11"/>
        <v>0</v>
      </c>
      <c r="O22" s="29">
        <f t="shared" si="5"/>
        <v>0</v>
      </c>
      <c r="P22" s="29">
        <f t="shared" si="12"/>
        <v>116446.38949412035</v>
      </c>
      <c r="Q22">
        <f t="shared" si="13"/>
        <v>0</v>
      </c>
      <c r="R22" s="29">
        <f t="shared" si="14"/>
        <v>0</v>
      </c>
      <c r="S22" s="29">
        <f t="shared" si="6"/>
        <v>0</v>
      </c>
      <c r="T22" s="29">
        <f t="shared" si="15"/>
        <v>116446.38949412035</v>
      </c>
      <c r="U22">
        <f t="shared" si="16"/>
        <v>0</v>
      </c>
      <c r="V22" s="29">
        <f t="shared" si="17"/>
        <v>0</v>
      </c>
      <c r="W22" s="29">
        <f t="shared" si="7"/>
        <v>0</v>
      </c>
      <c r="X22" s="29">
        <f t="shared" si="18"/>
        <v>116446.38949412035</v>
      </c>
      <c r="Y22">
        <f t="shared" si="19"/>
        <v>0</v>
      </c>
    </row>
    <row r="23" spans="1:25" x14ac:dyDescent="0.25">
      <c r="A23" s="4" t="s">
        <v>696</v>
      </c>
      <c r="B23" s="7" t="s">
        <v>323</v>
      </c>
      <c r="C23" s="2" t="s">
        <v>697</v>
      </c>
      <c r="D23">
        <f>VLOOKUP(B23,'Model allocations'!$A$1:$L$316,3,FALSE)</f>
        <v>22593.819700333479</v>
      </c>
      <c r="E23" s="31">
        <f>VLOOKUP(B23,'Initial adjusted formula count'!$A$1:$P$316,12,FALSE)</f>
        <v>0.11504424778761101</v>
      </c>
      <c r="F23">
        <f>VLOOKUP(B23,'Model allocations'!$A$1:$L$316,8,FALSE)</f>
        <v>19215.417434618885</v>
      </c>
      <c r="G23" s="30">
        <f t="shared" si="8"/>
        <v>0.85</v>
      </c>
      <c r="H23">
        <f t="shared" si="9"/>
        <v>19204.746745283457</v>
      </c>
      <c r="I23">
        <f t="shared" si="1"/>
        <v>0</v>
      </c>
      <c r="J23">
        <f t="shared" si="2"/>
        <v>19215.417434618885</v>
      </c>
      <c r="K23">
        <f t="shared" si="3"/>
        <v>19204.217322170804</v>
      </c>
      <c r="L23">
        <f t="shared" si="10"/>
        <v>19204.217322170804</v>
      </c>
      <c r="M23">
        <f t="shared" si="4"/>
        <v>19204.746745283457</v>
      </c>
      <c r="N23" s="29">
        <f t="shared" si="11"/>
        <v>0</v>
      </c>
      <c r="O23" s="29">
        <f t="shared" si="5"/>
        <v>0</v>
      </c>
      <c r="P23" s="29">
        <f t="shared" si="12"/>
        <v>19204.746745283457</v>
      </c>
      <c r="Q23">
        <f t="shared" si="13"/>
        <v>0</v>
      </c>
      <c r="R23" s="29">
        <f t="shared" si="14"/>
        <v>0</v>
      </c>
      <c r="S23" s="29">
        <f t="shared" si="6"/>
        <v>0</v>
      </c>
      <c r="T23" s="29">
        <f t="shared" si="15"/>
        <v>19204.746745283457</v>
      </c>
      <c r="U23">
        <f t="shared" si="16"/>
        <v>0</v>
      </c>
      <c r="V23" s="29">
        <f t="shared" si="17"/>
        <v>0</v>
      </c>
      <c r="W23" s="29">
        <f t="shared" si="7"/>
        <v>0</v>
      </c>
      <c r="X23" s="29">
        <f t="shared" si="18"/>
        <v>19204.746745283457</v>
      </c>
      <c r="Y23">
        <f t="shared" si="19"/>
        <v>0</v>
      </c>
    </row>
    <row r="24" spans="1:25" x14ac:dyDescent="0.25">
      <c r="A24" s="4" t="s">
        <v>698</v>
      </c>
      <c r="B24" s="7" t="s">
        <v>325</v>
      </c>
      <c r="C24" s="2" t="s">
        <v>699</v>
      </c>
      <c r="D24">
        <f>VLOOKUP(B24,'Model allocations'!$A$1:$L$316,3,FALSE)</f>
        <v>348466.21922437387</v>
      </c>
      <c r="E24" s="31">
        <f>VLOOKUP(B24,'Initial adjusted formula count'!$A$1:$P$316,12,FALSE)</f>
        <v>9.8526200873362405E-2</v>
      </c>
      <c r="F24">
        <f>VLOOKUP(B24,'Model allocations'!$A$1:$L$316,8,FALSE)</f>
        <v>317680.75109974627</v>
      </c>
      <c r="G24" s="30">
        <f t="shared" si="8"/>
        <v>0.85</v>
      </c>
      <c r="H24">
        <f t="shared" si="9"/>
        <v>296196.28634071781</v>
      </c>
      <c r="I24">
        <f t="shared" si="1"/>
        <v>0</v>
      </c>
      <c r="J24">
        <f t="shared" si="2"/>
        <v>317680.75109974627</v>
      </c>
      <c r="K24">
        <f t="shared" si="3"/>
        <v>317495.58415518136</v>
      </c>
      <c r="L24">
        <f t="shared" si="10"/>
        <v>317495.58415518136</v>
      </c>
      <c r="M24">
        <f t="shared" si="4"/>
        <v>0</v>
      </c>
      <c r="N24" s="29">
        <f t="shared" si="11"/>
        <v>317495.58415518136</v>
      </c>
      <c r="O24" s="29">
        <f t="shared" si="5"/>
        <v>317485.81487910013</v>
      </c>
      <c r="P24" s="29">
        <f t="shared" si="12"/>
        <v>317485.81487910013</v>
      </c>
      <c r="Q24">
        <f t="shared" si="13"/>
        <v>0</v>
      </c>
      <c r="R24" s="29">
        <f t="shared" si="14"/>
        <v>317485.81487910013</v>
      </c>
      <c r="S24" s="29">
        <f t="shared" si="6"/>
        <v>317485.81487910013</v>
      </c>
      <c r="T24" s="29">
        <f t="shared" si="15"/>
        <v>317485.81487910013</v>
      </c>
      <c r="U24">
        <f t="shared" si="16"/>
        <v>0</v>
      </c>
      <c r="V24" s="29">
        <f t="shared" si="17"/>
        <v>317485.81487910013</v>
      </c>
      <c r="W24" s="29">
        <f t="shared" si="7"/>
        <v>317485.81487910013</v>
      </c>
      <c r="X24" s="29">
        <f t="shared" si="18"/>
        <v>317485.81487910013</v>
      </c>
      <c r="Y24">
        <f t="shared" si="19"/>
        <v>0</v>
      </c>
    </row>
    <row r="25" spans="1:25" x14ac:dyDescent="0.25">
      <c r="A25" s="4" t="s">
        <v>700</v>
      </c>
      <c r="B25" s="7" t="s">
        <v>100</v>
      </c>
      <c r="C25" s="2" t="s">
        <v>701</v>
      </c>
      <c r="D25">
        <f>VLOOKUP(B25,'Model allocations'!$A$1:$L$316,3,FALSE)</f>
        <v>235497.1207227064</v>
      </c>
      <c r="E25" s="31">
        <f>VLOOKUP(B25,'Initial adjusted formula count'!$A$1:$P$316,12,FALSE)</f>
        <v>3.8010513546300001E-2</v>
      </c>
      <c r="F25">
        <f>VLOOKUP(B25,'Model allocations'!$A$1:$L$316,8,FALSE)</f>
        <v>248160.58673165765</v>
      </c>
      <c r="G25" s="30">
        <f t="shared" si="8"/>
        <v>0.85</v>
      </c>
      <c r="H25">
        <f t="shared" si="9"/>
        <v>200172.55261430042</v>
      </c>
      <c r="I25">
        <f t="shared" si="1"/>
        <v>0</v>
      </c>
      <c r="J25">
        <f t="shared" si="2"/>
        <v>248160.58673165765</v>
      </c>
      <c r="K25">
        <f t="shared" si="3"/>
        <v>248015.9410852108</v>
      </c>
      <c r="L25">
        <f t="shared" si="10"/>
        <v>248015.9410852108</v>
      </c>
      <c r="M25">
        <f t="shared" si="4"/>
        <v>0</v>
      </c>
      <c r="N25" s="29">
        <f t="shared" si="11"/>
        <v>248015.9410852108</v>
      </c>
      <c r="O25" s="29">
        <f t="shared" si="5"/>
        <v>248008.30968395065</v>
      </c>
      <c r="P25" s="29">
        <f t="shared" si="12"/>
        <v>248008.30968395065</v>
      </c>
      <c r="Q25">
        <f t="shared" si="13"/>
        <v>0</v>
      </c>
      <c r="R25" s="29">
        <f t="shared" si="14"/>
        <v>248008.30968395065</v>
      </c>
      <c r="S25" s="29">
        <f t="shared" si="6"/>
        <v>248008.30968395065</v>
      </c>
      <c r="T25" s="29">
        <f t="shared" si="15"/>
        <v>248008.30968395065</v>
      </c>
      <c r="U25">
        <f t="shared" si="16"/>
        <v>0</v>
      </c>
      <c r="V25" s="29">
        <f t="shared" si="17"/>
        <v>248008.30968395065</v>
      </c>
      <c r="W25" s="29">
        <f t="shared" si="7"/>
        <v>248008.30968395065</v>
      </c>
      <c r="X25" s="29">
        <f t="shared" si="18"/>
        <v>248008.30968395065</v>
      </c>
      <c r="Y25">
        <f t="shared" si="19"/>
        <v>0</v>
      </c>
    </row>
    <row r="26" spans="1:25" x14ac:dyDescent="0.25">
      <c r="A26" s="4" t="s">
        <v>702</v>
      </c>
      <c r="B26" s="7" t="s">
        <v>327</v>
      </c>
      <c r="C26" s="2" t="s">
        <v>703</v>
      </c>
      <c r="D26">
        <f>VLOOKUP(B26,'Model allocations'!$A$1:$L$316,3,FALSE)</f>
        <v>86723.333781519803</v>
      </c>
      <c r="E26" s="31">
        <f>VLOOKUP(B26,'Initial adjusted formula count'!$A$1:$P$316,12,FALSE)</f>
        <v>0.149722735674677</v>
      </c>
      <c r="F26">
        <f>VLOOKUP(B26,'Model allocations'!$A$1:$L$316,8,FALSE)</f>
        <v>73714.833714291832</v>
      </c>
      <c r="G26" s="30">
        <f t="shared" si="8"/>
        <v>0.85</v>
      </c>
      <c r="H26">
        <f t="shared" si="9"/>
        <v>73714.833714291832</v>
      </c>
      <c r="I26">
        <f t="shared" si="1"/>
        <v>0</v>
      </c>
      <c r="J26">
        <f t="shared" si="2"/>
        <v>73714.833714291832</v>
      </c>
      <c r="K26">
        <f t="shared" si="3"/>
        <v>73671.867464430179</v>
      </c>
      <c r="L26">
        <f t="shared" si="10"/>
        <v>73671.867464430179</v>
      </c>
      <c r="M26">
        <f t="shared" si="4"/>
        <v>73714.833714291832</v>
      </c>
      <c r="N26" s="29">
        <f t="shared" si="11"/>
        <v>0</v>
      </c>
      <c r="O26" s="29">
        <f t="shared" si="5"/>
        <v>0</v>
      </c>
      <c r="P26" s="29">
        <f t="shared" si="12"/>
        <v>73714.833714291832</v>
      </c>
      <c r="Q26">
        <f t="shared" si="13"/>
        <v>0</v>
      </c>
      <c r="R26" s="29">
        <f t="shared" si="14"/>
        <v>0</v>
      </c>
      <c r="S26" s="29">
        <f t="shared" si="6"/>
        <v>0</v>
      </c>
      <c r="T26" s="29">
        <f t="shared" si="15"/>
        <v>73714.833714291832</v>
      </c>
      <c r="U26">
        <f t="shared" si="16"/>
        <v>0</v>
      </c>
      <c r="V26" s="29">
        <f t="shared" si="17"/>
        <v>0</v>
      </c>
      <c r="W26" s="29">
        <f t="shared" si="7"/>
        <v>0</v>
      </c>
      <c r="X26" s="29">
        <f t="shared" si="18"/>
        <v>73714.833714291832</v>
      </c>
      <c r="Y26">
        <f t="shared" si="19"/>
        <v>0</v>
      </c>
    </row>
    <row r="27" spans="1:25" x14ac:dyDescent="0.25">
      <c r="A27" s="4" t="s">
        <v>704</v>
      </c>
      <c r="B27" s="7" t="s">
        <v>102</v>
      </c>
      <c r="C27" s="2" t="s">
        <v>705</v>
      </c>
      <c r="D27">
        <f>VLOOKUP(B27,'Model allocations'!$A$1:$L$316,3,FALSE)</f>
        <v>0</v>
      </c>
      <c r="E27" s="31">
        <f>VLOOKUP(B27,'Initial adjusted formula count'!$A$1:$P$316,12,FALSE)</f>
        <v>1.9047619047619001E-2</v>
      </c>
      <c r="F27">
        <f>VLOOKUP(B27,'Model allocations'!$A$1:$L$316,8,FALSE)</f>
        <v>0</v>
      </c>
      <c r="G27" s="30">
        <f t="shared" si="8"/>
        <v>0.85</v>
      </c>
      <c r="H27">
        <f t="shared" si="9"/>
        <v>0</v>
      </c>
      <c r="I27">
        <f t="shared" si="1"/>
        <v>0</v>
      </c>
      <c r="J27">
        <f t="shared" si="2"/>
        <v>0</v>
      </c>
      <c r="K27">
        <f t="shared" si="3"/>
        <v>0</v>
      </c>
      <c r="L27">
        <f t="shared" si="10"/>
        <v>0</v>
      </c>
      <c r="M27">
        <f t="shared" si="4"/>
        <v>0</v>
      </c>
      <c r="N27" s="29">
        <f t="shared" si="11"/>
        <v>0</v>
      </c>
      <c r="O27" s="29">
        <f t="shared" si="5"/>
        <v>0</v>
      </c>
      <c r="P27" s="29">
        <f t="shared" si="12"/>
        <v>0</v>
      </c>
      <c r="Q27">
        <f t="shared" si="13"/>
        <v>0</v>
      </c>
      <c r="R27" s="29">
        <f t="shared" si="14"/>
        <v>0</v>
      </c>
      <c r="S27" s="29">
        <f t="shared" si="6"/>
        <v>0</v>
      </c>
      <c r="T27" s="29">
        <f t="shared" si="15"/>
        <v>0</v>
      </c>
      <c r="U27">
        <f t="shared" si="16"/>
        <v>0</v>
      </c>
      <c r="V27" s="29">
        <f t="shared" si="17"/>
        <v>0</v>
      </c>
      <c r="W27" s="29">
        <f t="shared" si="7"/>
        <v>0</v>
      </c>
      <c r="X27" s="29">
        <f t="shared" si="18"/>
        <v>0</v>
      </c>
      <c r="Y27">
        <f t="shared" si="19"/>
        <v>0</v>
      </c>
    </row>
    <row r="28" spans="1:25" x14ac:dyDescent="0.25">
      <c r="A28" s="4" t="s">
        <v>706</v>
      </c>
      <c r="B28" s="7" t="s">
        <v>329</v>
      </c>
      <c r="C28" s="2" t="s">
        <v>707</v>
      </c>
      <c r="D28">
        <f>VLOOKUP(B28,'Model allocations'!$A$1:$L$316,3,FALSE)</f>
        <v>133824.9320712059</v>
      </c>
      <c r="E28" s="31">
        <f>VLOOKUP(B28,'Initial adjusted formula count'!$A$1:$P$316,12,FALSE)</f>
        <v>7.7067669172932299E-2</v>
      </c>
      <c r="F28">
        <f>VLOOKUP(B28,'Model allocations'!$A$1:$L$316,8,FALSE)</f>
        <v>113814.39557428104</v>
      </c>
      <c r="G28" s="30">
        <f t="shared" si="8"/>
        <v>0.85</v>
      </c>
      <c r="H28">
        <f t="shared" si="9"/>
        <v>113751.19226052501</v>
      </c>
      <c r="I28">
        <f t="shared" si="1"/>
        <v>0</v>
      </c>
      <c r="J28">
        <f t="shared" si="2"/>
        <v>113814.39557428104</v>
      </c>
      <c r="K28">
        <f t="shared" si="3"/>
        <v>113748.05644670394</v>
      </c>
      <c r="L28">
        <f t="shared" si="10"/>
        <v>113748.05644670394</v>
      </c>
      <c r="M28">
        <f t="shared" si="4"/>
        <v>113751.19226052501</v>
      </c>
      <c r="N28" s="29">
        <f t="shared" si="11"/>
        <v>0</v>
      </c>
      <c r="O28" s="29">
        <f t="shared" si="5"/>
        <v>0</v>
      </c>
      <c r="P28" s="29">
        <f t="shared" si="12"/>
        <v>113751.19226052501</v>
      </c>
      <c r="Q28">
        <f t="shared" si="13"/>
        <v>0</v>
      </c>
      <c r="R28" s="29">
        <f t="shared" si="14"/>
        <v>0</v>
      </c>
      <c r="S28" s="29">
        <f t="shared" si="6"/>
        <v>0</v>
      </c>
      <c r="T28" s="29">
        <f t="shared" si="15"/>
        <v>113751.19226052501</v>
      </c>
      <c r="U28">
        <f t="shared" si="16"/>
        <v>0</v>
      </c>
      <c r="V28" s="29">
        <f t="shared" si="17"/>
        <v>0</v>
      </c>
      <c r="W28" s="29">
        <f t="shared" si="7"/>
        <v>0</v>
      </c>
      <c r="X28" s="29">
        <f t="shared" si="18"/>
        <v>113751.19226052501</v>
      </c>
      <c r="Y28">
        <f t="shared" si="19"/>
        <v>0</v>
      </c>
    </row>
    <row r="29" spans="1:25" x14ac:dyDescent="0.25">
      <c r="A29" s="4" t="s">
        <v>708</v>
      </c>
      <c r="B29" s="7" t="s">
        <v>331</v>
      </c>
      <c r="C29" s="2" t="s">
        <v>709</v>
      </c>
      <c r="D29">
        <f>VLOOKUP(B29,'Model allocations'!$A$1:$L$316,3,FALSE)</f>
        <v>144252.84885597508</v>
      </c>
      <c r="E29" s="31">
        <f>VLOOKUP(B29,'Initial adjusted formula count'!$A$1:$P$316,12,FALSE)</f>
        <v>8.7890625E-2</v>
      </c>
      <c r="F29">
        <f>VLOOKUP(B29,'Model allocations'!$A$1:$L$316,8,FALSE)</f>
        <v>122683.04977487432</v>
      </c>
      <c r="G29" s="30">
        <f t="shared" si="8"/>
        <v>0.85</v>
      </c>
      <c r="H29">
        <f t="shared" si="9"/>
        <v>122614.92152757882</v>
      </c>
      <c r="I29">
        <f t="shared" si="1"/>
        <v>0</v>
      </c>
      <c r="J29">
        <f t="shared" si="2"/>
        <v>122683.04977487432</v>
      </c>
      <c r="K29">
        <f t="shared" si="3"/>
        <v>122611.54136462888</v>
      </c>
      <c r="L29">
        <f t="shared" si="10"/>
        <v>122611.54136462888</v>
      </c>
      <c r="M29">
        <f t="shared" si="4"/>
        <v>122614.92152757882</v>
      </c>
      <c r="N29" s="29">
        <f t="shared" si="11"/>
        <v>0</v>
      </c>
      <c r="O29" s="29">
        <f t="shared" si="5"/>
        <v>0</v>
      </c>
      <c r="P29" s="29">
        <f t="shared" si="12"/>
        <v>122614.92152757882</v>
      </c>
      <c r="Q29">
        <f t="shared" si="13"/>
        <v>0</v>
      </c>
      <c r="R29" s="29">
        <f t="shared" si="14"/>
        <v>0</v>
      </c>
      <c r="S29" s="29">
        <f t="shared" si="6"/>
        <v>0</v>
      </c>
      <c r="T29" s="29">
        <f t="shared" si="15"/>
        <v>122614.92152757882</v>
      </c>
      <c r="U29">
        <f t="shared" si="16"/>
        <v>0</v>
      </c>
      <c r="V29" s="29">
        <f t="shared" si="17"/>
        <v>0</v>
      </c>
      <c r="W29" s="29">
        <f t="shared" si="7"/>
        <v>0</v>
      </c>
      <c r="X29" s="29">
        <f t="shared" si="18"/>
        <v>122614.92152757882</v>
      </c>
      <c r="Y29">
        <f t="shared" si="19"/>
        <v>0</v>
      </c>
    </row>
    <row r="30" spans="1:25" x14ac:dyDescent="0.25">
      <c r="A30" s="4" t="s">
        <v>710</v>
      </c>
      <c r="B30" s="7" t="s">
        <v>104</v>
      </c>
      <c r="C30" s="2" t="s">
        <v>711</v>
      </c>
      <c r="D30">
        <f>VLOOKUP(B30,'Model allocations'!$A$1:$L$316,3,FALSE)</f>
        <v>168584.65468710352</v>
      </c>
      <c r="E30" s="31">
        <f>VLOOKUP(B30,'Initial adjusted formula count'!$A$1:$P$316,12,FALSE)</f>
        <v>9.8074608904933802E-2</v>
      </c>
      <c r="F30">
        <f>VLOOKUP(B30,'Model allocations'!$A$1:$L$316,8,FALSE)</f>
        <v>143440.33913922054</v>
      </c>
      <c r="G30" s="30">
        <f t="shared" si="8"/>
        <v>0.85</v>
      </c>
      <c r="H30">
        <f t="shared" si="9"/>
        <v>143296.956484038</v>
      </c>
      <c r="I30">
        <f t="shared" si="1"/>
        <v>0</v>
      </c>
      <c r="J30">
        <f t="shared" si="2"/>
        <v>143440.33913922054</v>
      </c>
      <c r="K30">
        <f t="shared" si="3"/>
        <v>143356.73190386296</v>
      </c>
      <c r="L30">
        <f t="shared" si="10"/>
        <v>143356.73190386296</v>
      </c>
      <c r="M30">
        <f t="shared" si="4"/>
        <v>0</v>
      </c>
      <c r="N30" s="29">
        <f t="shared" si="11"/>
        <v>143356.73190386296</v>
      </c>
      <c r="O30" s="29">
        <f t="shared" si="5"/>
        <v>143352.32084568776</v>
      </c>
      <c r="P30" s="29">
        <f t="shared" si="12"/>
        <v>143352.32084568776</v>
      </c>
      <c r="Q30">
        <f t="shared" si="13"/>
        <v>0</v>
      </c>
      <c r="R30" s="29">
        <f t="shared" si="14"/>
        <v>143352.32084568776</v>
      </c>
      <c r="S30" s="29">
        <f t="shared" si="6"/>
        <v>143352.32084568776</v>
      </c>
      <c r="T30" s="29">
        <f t="shared" si="15"/>
        <v>143352.32084568776</v>
      </c>
      <c r="U30">
        <f t="shared" si="16"/>
        <v>0</v>
      </c>
      <c r="V30" s="29">
        <f t="shared" si="17"/>
        <v>143352.32084568776</v>
      </c>
      <c r="W30" s="29">
        <f t="shared" si="7"/>
        <v>143352.32084568776</v>
      </c>
      <c r="X30" s="29">
        <f t="shared" si="18"/>
        <v>143352.32084568776</v>
      </c>
      <c r="Y30">
        <f t="shared" si="19"/>
        <v>0</v>
      </c>
    </row>
    <row r="31" spans="1:25" x14ac:dyDescent="0.25">
      <c r="A31" s="4" t="s">
        <v>8</v>
      </c>
      <c r="B31" s="7" t="s">
        <v>66</v>
      </c>
      <c r="C31" s="2" t="s">
        <v>712</v>
      </c>
      <c r="D31">
        <f>VLOOKUP(B31,'Model allocations'!$A$1:$L$316,3,FALSE)</f>
        <v>72796.56563564828</v>
      </c>
      <c r="E31" s="31">
        <f>VLOOKUP(B31,'Initial adjusted formula count'!$A$1:$P$316,12,FALSE)</f>
        <v>0.12580234706885199</v>
      </c>
      <c r="F31">
        <f>VLOOKUP(B31,'Model allocations'!$A$1:$L$316,8,FALSE)</f>
        <v>68458.725312170121</v>
      </c>
      <c r="G31" s="30">
        <f t="shared" si="8"/>
        <v>0.85</v>
      </c>
      <c r="H31">
        <f t="shared" si="9"/>
        <v>61877.080790301035</v>
      </c>
      <c r="I31">
        <f t="shared" si="1"/>
        <v>0</v>
      </c>
      <c r="J31">
        <f t="shared" si="2"/>
        <v>68458.725312170121</v>
      </c>
      <c r="K31">
        <f t="shared" si="3"/>
        <v>68418.822696254676</v>
      </c>
      <c r="L31">
        <f t="shared" si="10"/>
        <v>68418.822696254676</v>
      </c>
      <c r="M31">
        <f t="shared" si="4"/>
        <v>0</v>
      </c>
      <c r="N31" s="29">
        <f t="shared" si="11"/>
        <v>68418.822696254676</v>
      </c>
      <c r="O31" s="29">
        <f t="shared" si="5"/>
        <v>68416.717462665838</v>
      </c>
      <c r="P31" s="29">
        <f t="shared" si="12"/>
        <v>68416.717462665838</v>
      </c>
      <c r="Q31">
        <f t="shared" si="13"/>
        <v>0</v>
      </c>
      <c r="R31" s="29">
        <f t="shared" si="14"/>
        <v>68416.717462665838</v>
      </c>
      <c r="S31" s="29">
        <f t="shared" si="6"/>
        <v>68416.717462665838</v>
      </c>
      <c r="T31" s="29">
        <f t="shared" si="15"/>
        <v>68416.717462665838</v>
      </c>
      <c r="U31">
        <f t="shared" si="16"/>
        <v>0</v>
      </c>
      <c r="V31" s="29">
        <f t="shared" si="17"/>
        <v>68416.717462665838</v>
      </c>
      <c r="W31" s="29">
        <f t="shared" si="7"/>
        <v>68416.717462665838</v>
      </c>
      <c r="X31" s="29">
        <f t="shared" si="18"/>
        <v>68416.717462665838</v>
      </c>
      <c r="Y31">
        <f t="shared" si="19"/>
        <v>0</v>
      </c>
    </row>
    <row r="32" spans="1:25" x14ac:dyDescent="0.25">
      <c r="A32" s="4" t="s">
        <v>713</v>
      </c>
      <c r="B32" s="7" t="s">
        <v>333</v>
      </c>
      <c r="C32" s="2" t="s">
        <v>714</v>
      </c>
      <c r="D32">
        <f>VLOOKUP(B32,'Model allocations'!$A$1:$L$316,3,FALSE)</f>
        <v>20906.517965187813</v>
      </c>
      <c r="E32" s="31">
        <f>VLOOKUP(B32,'Initial adjusted formula count'!$A$1:$P$316,12,FALSE)</f>
        <v>0.38297872340425498</v>
      </c>
      <c r="F32">
        <f>VLOOKUP(B32,'Model allocations'!$A$1:$L$316,8,FALSE)</f>
        <v>31680.074901913747</v>
      </c>
      <c r="G32" s="30">
        <f t="shared" si="8"/>
        <v>0.95</v>
      </c>
      <c r="H32">
        <f t="shared" si="9"/>
        <v>19861.192066928423</v>
      </c>
      <c r="I32">
        <f t="shared" si="1"/>
        <v>0</v>
      </c>
      <c r="J32">
        <f t="shared" si="2"/>
        <v>31680.074901913747</v>
      </c>
      <c r="K32">
        <f t="shared" si="3"/>
        <v>31661.609500239683</v>
      </c>
      <c r="L32">
        <f t="shared" si="10"/>
        <v>31661.609500239683</v>
      </c>
      <c r="M32">
        <f t="shared" si="4"/>
        <v>0</v>
      </c>
      <c r="N32" s="29">
        <f t="shared" si="11"/>
        <v>31661.609500239683</v>
      </c>
      <c r="O32" s="29">
        <f t="shared" si="5"/>
        <v>31660.63527880222</v>
      </c>
      <c r="P32" s="29">
        <f t="shared" si="12"/>
        <v>31660.63527880222</v>
      </c>
      <c r="Q32">
        <f t="shared" si="13"/>
        <v>0</v>
      </c>
      <c r="R32" s="29">
        <f t="shared" si="14"/>
        <v>31660.63527880222</v>
      </c>
      <c r="S32" s="29">
        <f t="shared" si="6"/>
        <v>31660.63527880222</v>
      </c>
      <c r="T32" s="29">
        <f t="shared" si="15"/>
        <v>31660.63527880222</v>
      </c>
      <c r="U32">
        <f t="shared" si="16"/>
        <v>0</v>
      </c>
      <c r="V32" s="29">
        <f t="shared" si="17"/>
        <v>31660.63527880222</v>
      </c>
      <c r="W32" s="29">
        <f t="shared" si="7"/>
        <v>31660.63527880222</v>
      </c>
      <c r="X32" s="29">
        <f t="shared" si="18"/>
        <v>31660.63527880222</v>
      </c>
      <c r="Y32">
        <f t="shared" si="19"/>
        <v>0</v>
      </c>
    </row>
    <row r="33" spans="1:25" x14ac:dyDescent="0.25">
      <c r="A33" s="4" t="s">
        <v>715</v>
      </c>
      <c r="B33" s="7" t="s">
        <v>106</v>
      </c>
      <c r="C33" s="2" t="s">
        <v>716</v>
      </c>
      <c r="D33">
        <f>VLOOKUP(B33,'Model allocations'!$A$1:$L$316,3,FALSE)</f>
        <v>683897.54246778612</v>
      </c>
      <c r="E33" s="31">
        <f>VLOOKUP(B33,'Initial adjusted formula count'!$A$1:$P$316,12,FALSE)</f>
        <v>7.3902177793645094E-2</v>
      </c>
      <c r="F33">
        <f>VLOOKUP(B33,'Model allocations'!$A$1:$L$316,8,FALSE)</f>
        <v>728641.72274401644</v>
      </c>
      <c r="G33" s="30">
        <f t="shared" si="8"/>
        <v>0.85</v>
      </c>
      <c r="H33">
        <f t="shared" si="9"/>
        <v>581312.91109761817</v>
      </c>
      <c r="I33">
        <f t="shared" si="1"/>
        <v>0</v>
      </c>
      <c r="J33">
        <f t="shared" si="2"/>
        <v>728641.72274401644</v>
      </c>
      <c r="K33">
        <f t="shared" si="3"/>
        <v>728217.01850551297</v>
      </c>
      <c r="L33">
        <f t="shared" si="10"/>
        <v>728217.01850551297</v>
      </c>
      <c r="M33">
        <f t="shared" si="4"/>
        <v>0</v>
      </c>
      <c r="N33" s="29">
        <f t="shared" si="11"/>
        <v>728217.01850551297</v>
      </c>
      <c r="O33" s="29">
        <f t="shared" si="5"/>
        <v>728194.61141245125</v>
      </c>
      <c r="P33" s="29">
        <f t="shared" si="12"/>
        <v>728194.61141245125</v>
      </c>
      <c r="Q33">
        <f t="shared" si="13"/>
        <v>0</v>
      </c>
      <c r="R33" s="29">
        <f t="shared" si="14"/>
        <v>728194.61141245125</v>
      </c>
      <c r="S33" s="29">
        <f t="shared" si="6"/>
        <v>728194.61141245125</v>
      </c>
      <c r="T33" s="29">
        <f t="shared" si="15"/>
        <v>728194.61141245125</v>
      </c>
      <c r="U33">
        <f t="shared" si="16"/>
        <v>0</v>
      </c>
      <c r="V33" s="29">
        <f t="shared" si="17"/>
        <v>728194.61141245125</v>
      </c>
      <c r="W33" s="29">
        <f t="shared" si="7"/>
        <v>728194.61141245125</v>
      </c>
      <c r="X33" s="29">
        <f t="shared" si="18"/>
        <v>728194.61141245125</v>
      </c>
      <c r="Y33">
        <f t="shared" si="19"/>
        <v>0</v>
      </c>
    </row>
    <row r="34" spans="1:25" x14ac:dyDescent="0.25">
      <c r="A34" s="4" t="s">
        <v>717</v>
      </c>
      <c r="B34" s="7" t="s">
        <v>265</v>
      </c>
      <c r="C34" s="2" t="s">
        <v>718</v>
      </c>
      <c r="D34">
        <f>VLOOKUP(B34,'Model allocations'!$A$1:$L$316,3,FALSE)</f>
        <v>1355095.1078629245</v>
      </c>
      <c r="E34" s="31">
        <f>VLOOKUP(B34,'Initial adjusted formula count'!$A$1:$P$316,12,FALSE)</f>
        <v>7.6382791922739196E-2</v>
      </c>
      <c r="F34">
        <f>VLOOKUP(B34,'Model allocations'!$A$1:$L$316,8,FALSE)</f>
        <v>1151669.4530269518</v>
      </c>
      <c r="G34" s="30">
        <f t="shared" si="8"/>
        <v>0.85</v>
      </c>
      <c r="H34">
        <f t="shared" si="9"/>
        <v>1151830.8416834858</v>
      </c>
      <c r="I34">
        <f t="shared" si="1"/>
        <v>1151830.8416834858</v>
      </c>
      <c r="J34">
        <f t="shared" si="2"/>
        <v>0</v>
      </c>
      <c r="K34">
        <f t="shared" si="3"/>
        <v>0</v>
      </c>
      <c r="L34">
        <f t="shared" si="10"/>
        <v>1151830.8416834858</v>
      </c>
      <c r="M34">
        <f t="shared" si="4"/>
        <v>0</v>
      </c>
      <c r="N34" s="29">
        <f t="shared" si="11"/>
        <v>0</v>
      </c>
      <c r="O34" s="29">
        <f t="shared" si="5"/>
        <v>0</v>
      </c>
      <c r="P34" s="29">
        <f t="shared" si="12"/>
        <v>1151830.8416834858</v>
      </c>
      <c r="Q34">
        <f t="shared" si="13"/>
        <v>0</v>
      </c>
      <c r="R34" s="29">
        <f t="shared" si="14"/>
        <v>0</v>
      </c>
      <c r="S34" s="29">
        <f t="shared" si="6"/>
        <v>0</v>
      </c>
      <c r="T34" s="29">
        <f t="shared" si="15"/>
        <v>1151830.8416834858</v>
      </c>
      <c r="U34">
        <f t="shared" si="16"/>
        <v>0</v>
      </c>
      <c r="V34" s="29">
        <f t="shared" si="17"/>
        <v>0</v>
      </c>
      <c r="W34" s="29">
        <f t="shared" si="7"/>
        <v>0</v>
      </c>
      <c r="X34" s="29">
        <f t="shared" si="18"/>
        <v>1151830.8416834858</v>
      </c>
      <c r="Y34">
        <f t="shared" si="19"/>
        <v>0</v>
      </c>
    </row>
    <row r="35" spans="1:25" x14ac:dyDescent="0.25">
      <c r="A35" s="4" t="s">
        <v>719</v>
      </c>
      <c r="B35" s="7" t="s">
        <v>335</v>
      </c>
      <c r="C35" s="2" t="s">
        <v>720</v>
      </c>
      <c r="D35">
        <f>VLOOKUP(B35,'Model allocations'!$A$1:$L$316,3,FALSE)</f>
        <v>746465.04317640187</v>
      </c>
      <c r="E35" s="31">
        <f>VLOOKUP(B35,'Initial adjusted formula count'!$A$1:$P$316,12,FALSE)</f>
        <v>0.178010471204188</v>
      </c>
      <c r="F35">
        <f>VLOOKUP(B35,'Model allocations'!$A$1:$L$316,8,FALSE)</f>
        <v>688161.62703601539</v>
      </c>
      <c r="G35" s="30">
        <f t="shared" si="8"/>
        <v>0.9</v>
      </c>
      <c r="H35">
        <f t="shared" si="9"/>
        <v>671818.53885876166</v>
      </c>
      <c r="I35">
        <f t="shared" si="1"/>
        <v>0</v>
      </c>
      <c r="J35">
        <f t="shared" si="2"/>
        <v>688161.62703601539</v>
      </c>
      <c r="K35">
        <f t="shared" si="3"/>
        <v>687760.51747742877</v>
      </c>
      <c r="L35">
        <f t="shared" si="10"/>
        <v>687760.51747742877</v>
      </c>
      <c r="M35">
        <f t="shared" si="4"/>
        <v>0</v>
      </c>
      <c r="N35" s="29">
        <f t="shared" si="11"/>
        <v>687760.51747742877</v>
      </c>
      <c r="O35" s="29">
        <f t="shared" si="5"/>
        <v>687739.35522287048</v>
      </c>
      <c r="P35" s="29">
        <f t="shared" si="12"/>
        <v>687739.35522287048</v>
      </c>
      <c r="Q35">
        <f t="shared" si="13"/>
        <v>0</v>
      </c>
      <c r="R35" s="29">
        <f t="shared" si="14"/>
        <v>687739.35522287048</v>
      </c>
      <c r="S35" s="29">
        <f t="shared" si="6"/>
        <v>687739.35522287048</v>
      </c>
      <c r="T35" s="29">
        <f t="shared" si="15"/>
        <v>687739.35522287048</v>
      </c>
      <c r="U35">
        <f t="shared" si="16"/>
        <v>0</v>
      </c>
      <c r="V35" s="29">
        <f t="shared" si="17"/>
        <v>687739.35522287048</v>
      </c>
      <c r="W35" s="29">
        <f t="shared" si="7"/>
        <v>687739.35522287048</v>
      </c>
      <c r="X35" s="29">
        <f t="shared" si="18"/>
        <v>687739.35522287048</v>
      </c>
      <c r="Y35">
        <f t="shared" si="19"/>
        <v>0</v>
      </c>
    </row>
    <row r="36" spans="1:25" x14ac:dyDescent="0.25">
      <c r="A36" s="4" t="s">
        <v>721</v>
      </c>
      <c r="B36" s="7" t="s">
        <v>337</v>
      </c>
      <c r="C36" s="2" t="s">
        <v>722</v>
      </c>
      <c r="D36">
        <f>VLOOKUP(B36,'Model allocations'!$A$1:$L$316,3,FALSE)</f>
        <v>348466.21922437387</v>
      </c>
      <c r="E36" s="31">
        <f>VLOOKUP(B36,'Initial adjusted formula count'!$A$1:$P$316,12,FALSE)</f>
        <v>0.112919633774161</v>
      </c>
      <c r="F36">
        <f>VLOOKUP(B36,'Model allocations'!$A$1:$L$316,8,FALSE)</f>
        <v>295697.61421799846</v>
      </c>
      <c r="G36" s="30">
        <f t="shared" si="8"/>
        <v>0.85</v>
      </c>
      <c r="H36">
        <f t="shared" si="9"/>
        <v>296196.28634071781</v>
      </c>
      <c r="I36">
        <f t="shared" si="1"/>
        <v>296196.28634071781</v>
      </c>
      <c r="J36">
        <f t="shared" si="2"/>
        <v>0</v>
      </c>
      <c r="K36">
        <f t="shared" si="3"/>
        <v>0</v>
      </c>
      <c r="L36">
        <f t="shared" si="10"/>
        <v>296196.28634071781</v>
      </c>
      <c r="M36">
        <f t="shared" si="4"/>
        <v>0</v>
      </c>
      <c r="N36" s="29">
        <f t="shared" si="11"/>
        <v>0</v>
      </c>
      <c r="O36" s="29">
        <f t="shared" si="5"/>
        <v>0</v>
      </c>
      <c r="P36" s="29">
        <f t="shared" si="12"/>
        <v>296196.28634071781</v>
      </c>
      <c r="Q36">
        <f t="shared" si="13"/>
        <v>0</v>
      </c>
      <c r="R36" s="29">
        <f t="shared" si="14"/>
        <v>0</v>
      </c>
      <c r="S36" s="29">
        <f t="shared" si="6"/>
        <v>0</v>
      </c>
      <c r="T36" s="29">
        <f t="shared" si="15"/>
        <v>296196.28634071781</v>
      </c>
      <c r="U36">
        <f t="shared" si="16"/>
        <v>0</v>
      </c>
      <c r="V36" s="29">
        <f t="shared" si="17"/>
        <v>0</v>
      </c>
      <c r="W36" s="29">
        <f t="shared" si="7"/>
        <v>0</v>
      </c>
      <c r="X36" s="29">
        <f t="shared" si="18"/>
        <v>296196.28634071781</v>
      </c>
      <c r="Y36">
        <f t="shared" si="19"/>
        <v>0</v>
      </c>
    </row>
    <row r="37" spans="1:25" x14ac:dyDescent="0.25">
      <c r="A37" s="4" t="s">
        <v>723</v>
      </c>
      <c r="B37" s="7" t="s">
        <v>267</v>
      </c>
      <c r="C37" s="2" t="s">
        <v>724</v>
      </c>
      <c r="D37">
        <f>VLOOKUP(B37,'Model allocations'!$A$1:$L$316,3,FALSE)</f>
        <v>640617.00727896474</v>
      </c>
      <c r="E37" s="31">
        <f>VLOOKUP(B37,'Initial adjusted formula count'!$A$1:$P$316,12,FALSE)</f>
        <v>9.5435684647302899E-2</v>
      </c>
      <c r="F37">
        <f>VLOOKUP(B37,'Model allocations'!$A$1:$L$316,8,FALSE)</f>
        <v>544440.56355708325</v>
      </c>
      <c r="G37" s="30">
        <f t="shared" si="8"/>
        <v>0.85</v>
      </c>
      <c r="H37">
        <f t="shared" si="9"/>
        <v>544524.45618712006</v>
      </c>
      <c r="I37">
        <f t="shared" si="1"/>
        <v>544524.45618712006</v>
      </c>
      <c r="J37">
        <f t="shared" si="2"/>
        <v>0</v>
      </c>
      <c r="K37">
        <f t="shared" si="3"/>
        <v>0</v>
      </c>
      <c r="L37">
        <f t="shared" si="10"/>
        <v>544524.45618712006</v>
      </c>
      <c r="M37">
        <f t="shared" si="4"/>
        <v>0</v>
      </c>
      <c r="N37" s="29">
        <f t="shared" si="11"/>
        <v>0</v>
      </c>
      <c r="O37" s="29">
        <f t="shared" si="5"/>
        <v>0</v>
      </c>
      <c r="P37" s="29">
        <f t="shared" si="12"/>
        <v>544524.45618712006</v>
      </c>
      <c r="Q37">
        <f t="shared" si="13"/>
        <v>0</v>
      </c>
      <c r="R37" s="29">
        <f t="shared" si="14"/>
        <v>0</v>
      </c>
      <c r="S37" s="29">
        <f t="shared" si="6"/>
        <v>0</v>
      </c>
      <c r="T37" s="29">
        <f t="shared" si="15"/>
        <v>544524.45618712006</v>
      </c>
      <c r="U37">
        <f t="shared" si="16"/>
        <v>0</v>
      </c>
      <c r="V37" s="29">
        <f t="shared" si="17"/>
        <v>0</v>
      </c>
      <c r="W37" s="29">
        <f t="shared" si="7"/>
        <v>0</v>
      </c>
      <c r="X37" s="29">
        <f t="shared" si="18"/>
        <v>544524.45618712006</v>
      </c>
      <c r="Y37">
        <f t="shared" si="19"/>
        <v>0</v>
      </c>
    </row>
    <row r="38" spans="1:25" x14ac:dyDescent="0.25">
      <c r="A38" s="4" t="s">
        <v>725</v>
      </c>
      <c r="B38" s="7" t="s">
        <v>339</v>
      </c>
      <c r="C38" s="2" t="s">
        <v>726</v>
      </c>
      <c r="D38">
        <f>VLOOKUP(B38,'Model allocations'!$A$1:$L$316,3,FALSE)</f>
        <v>140036.72205738933</v>
      </c>
      <c r="E38" s="31">
        <f>VLOOKUP(B38,'Initial adjusted formula count'!$A$1:$P$316,12,FALSE)</f>
        <v>0.144076840981857</v>
      </c>
      <c r="F38">
        <f>VLOOKUP(B38,'Model allocations'!$A$1:$L$316,8,FALSE)</f>
        <v>119031.21374878092</v>
      </c>
      <c r="G38" s="30">
        <f t="shared" si="8"/>
        <v>0.85</v>
      </c>
      <c r="H38">
        <f t="shared" si="9"/>
        <v>119031.21374878092</v>
      </c>
      <c r="I38">
        <f t="shared" si="1"/>
        <v>0</v>
      </c>
      <c r="J38">
        <f t="shared" si="2"/>
        <v>119031.21374878092</v>
      </c>
      <c r="K38">
        <f t="shared" si="3"/>
        <v>118961.83388839777</v>
      </c>
      <c r="L38">
        <f t="shared" si="10"/>
        <v>118961.83388839777</v>
      </c>
      <c r="M38">
        <f t="shared" si="4"/>
        <v>119031.21374878092</v>
      </c>
      <c r="N38" s="29">
        <f t="shared" si="11"/>
        <v>0</v>
      </c>
      <c r="O38" s="29">
        <f t="shared" si="5"/>
        <v>0</v>
      </c>
      <c r="P38" s="29">
        <f t="shared" si="12"/>
        <v>119031.21374878092</v>
      </c>
      <c r="Q38">
        <f t="shared" si="13"/>
        <v>0</v>
      </c>
      <c r="R38" s="29">
        <f t="shared" si="14"/>
        <v>0</v>
      </c>
      <c r="S38" s="29">
        <f t="shared" si="6"/>
        <v>0</v>
      </c>
      <c r="T38" s="29">
        <f t="shared" si="15"/>
        <v>119031.21374878092</v>
      </c>
      <c r="U38">
        <f t="shared" si="16"/>
        <v>0</v>
      </c>
      <c r="V38" s="29">
        <f t="shared" si="17"/>
        <v>0</v>
      </c>
      <c r="W38" s="29">
        <f t="shared" si="7"/>
        <v>0</v>
      </c>
      <c r="X38" s="29">
        <f t="shared" si="18"/>
        <v>119031.21374878092</v>
      </c>
      <c r="Y38">
        <f t="shared" si="19"/>
        <v>0</v>
      </c>
    </row>
    <row r="39" spans="1:25" x14ac:dyDescent="0.25">
      <c r="A39" s="4" t="s">
        <v>727</v>
      </c>
      <c r="B39" s="7" t="s">
        <v>108</v>
      </c>
      <c r="C39" s="2" t="s">
        <v>728</v>
      </c>
      <c r="D39">
        <f>VLOOKUP(B39,'Model allocations'!$A$1:$L$316,3,FALSE)</f>
        <v>132086.94594041104</v>
      </c>
      <c r="E39" s="31">
        <f>VLOOKUP(B39,'Initial adjusted formula count'!$A$1:$P$316,12,FALSE)</f>
        <v>0.16459074733096099</v>
      </c>
      <c r="F39">
        <f>VLOOKUP(B39,'Model allocations'!$A$1:$L$316,8,FALSE)</f>
        <v>162800.38491261227</v>
      </c>
      <c r="G39" s="30">
        <f t="shared" si="8"/>
        <v>0.9</v>
      </c>
      <c r="H39">
        <f t="shared" si="9"/>
        <v>118878.25134636994</v>
      </c>
      <c r="I39">
        <f t="shared" si="1"/>
        <v>0</v>
      </c>
      <c r="J39">
        <f t="shared" si="2"/>
        <v>162800.38491261227</v>
      </c>
      <c r="K39">
        <f t="shared" si="3"/>
        <v>162705.49326512055</v>
      </c>
      <c r="L39">
        <f t="shared" si="10"/>
        <v>162705.49326512055</v>
      </c>
      <c r="M39">
        <f t="shared" si="4"/>
        <v>0</v>
      </c>
      <c r="N39" s="29">
        <f t="shared" si="11"/>
        <v>162705.49326512055</v>
      </c>
      <c r="O39" s="29">
        <f t="shared" si="5"/>
        <v>162700.48684940024</v>
      </c>
      <c r="P39" s="29">
        <f t="shared" si="12"/>
        <v>162700.48684940024</v>
      </c>
      <c r="Q39">
        <f t="shared" si="13"/>
        <v>0</v>
      </c>
      <c r="R39" s="29">
        <f t="shared" si="14"/>
        <v>162700.48684940024</v>
      </c>
      <c r="S39" s="29">
        <f t="shared" si="6"/>
        <v>162700.48684940024</v>
      </c>
      <c r="T39" s="29">
        <f t="shared" si="15"/>
        <v>162700.48684940024</v>
      </c>
      <c r="U39">
        <f t="shared" si="16"/>
        <v>0</v>
      </c>
      <c r="V39" s="29">
        <f t="shared" si="17"/>
        <v>162700.48684940024</v>
      </c>
      <c r="W39" s="29">
        <f t="shared" si="7"/>
        <v>162700.48684940024</v>
      </c>
      <c r="X39" s="29">
        <f t="shared" si="18"/>
        <v>162700.48684940024</v>
      </c>
      <c r="Y39">
        <f t="shared" si="19"/>
        <v>0</v>
      </c>
    </row>
    <row r="40" spans="1:25" x14ac:dyDescent="0.25">
      <c r="A40" s="4" t="s">
        <v>729</v>
      </c>
      <c r="B40" s="7" t="s">
        <v>341</v>
      </c>
      <c r="C40" s="2" t="s">
        <v>730</v>
      </c>
      <c r="D40">
        <f>VLOOKUP(B40,'Model allocations'!$A$1:$L$316,3,FALSE)</f>
        <v>469235.1809964375</v>
      </c>
      <c r="E40" s="31">
        <f>VLOOKUP(B40,'Initial adjusted formula count'!$A$1:$P$316,12,FALSE)</f>
        <v>0.182115594329335</v>
      </c>
      <c r="F40">
        <f>VLOOKUP(B40,'Model allocations'!$A$1:$L$316,8,FALSE)</f>
        <v>440881.04238496628</v>
      </c>
      <c r="G40" s="30">
        <f t="shared" si="8"/>
        <v>0.9</v>
      </c>
      <c r="H40">
        <f t="shared" si="9"/>
        <v>422311.66289679374</v>
      </c>
      <c r="I40">
        <f t="shared" si="1"/>
        <v>0</v>
      </c>
      <c r="J40">
        <f t="shared" si="2"/>
        <v>440881.04238496628</v>
      </c>
      <c r="K40">
        <f t="shared" si="3"/>
        <v>440624.06554500223</v>
      </c>
      <c r="L40">
        <f t="shared" si="10"/>
        <v>440624.06554500223</v>
      </c>
      <c r="M40">
        <f t="shared" si="4"/>
        <v>0</v>
      </c>
      <c r="N40" s="29">
        <f t="shared" si="11"/>
        <v>440624.06554500223</v>
      </c>
      <c r="O40" s="29">
        <f t="shared" si="5"/>
        <v>440610.5076299975</v>
      </c>
      <c r="P40" s="29">
        <f t="shared" si="12"/>
        <v>440610.5076299975</v>
      </c>
      <c r="Q40">
        <f t="shared" si="13"/>
        <v>0</v>
      </c>
      <c r="R40" s="29">
        <f t="shared" si="14"/>
        <v>440610.5076299975</v>
      </c>
      <c r="S40" s="29">
        <f t="shared" si="6"/>
        <v>440610.5076299975</v>
      </c>
      <c r="T40" s="29">
        <f t="shared" si="15"/>
        <v>440610.5076299975</v>
      </c>
      <c r="U40">
        <f t="shared" si="16"/>
        <v>0</v>
      </c>
      <c r="V40" s="29">
        <f t="shared" si="17"/>
        <v>440610.5076299975</v>
      </c>
      <c r="W40" s="29">
        <f t="shared" si="7"/>
        <v>440610.5076299975</v>
      </c>
      <c r="X40" s="29">
        <f t="shared" si="18"/>
        <v>440610.5076299975</v>
      </c>
      <c r="Y40">
        <f t="shared" si="19"/>
        <v>0</v>
      </c>
    </row>
    <row r="41" spans="1:25" x14ac:dyDescent="0.25">
      <c r="A41" s="4" t="s">
        <v>731</v>
      </c>
      <c r="B41" s="7" t="s">
        <v>343</v>
      </c>
      <c r="C41" s="2" t="s">
        <v>732</v>
      </c>
      <c r="D41">
        <f>VLOOKUP(B41,'Model allocations'!$A$1:$L$316,3,FALSE)</f>
        <v>137300.9043327957</v>
      </c>
      <c r="E41" s="31">
        <f>VLOOKUP(B41,'Initial adjusted formula count'!$A$1:$P$316,12,FALSE)</f>
        <v>0.117593436645397</v>
      </c>
      <c r="F41">
        <f>VLOOKUP(B41,'Model allocations'!$A$1:$L$316,8,FALSE)</f>
        <v>116770.61364114548</v>
      </c>
      <c r="G41" s="30">
        <f t="shared" si="8"/>
        <v>0.85</v>
      </c>
      <c r="H41">
        <f t="shared" si="9"/>
        <v>116705.76868287634</v>
      </c>
      <c r="I41">
        <f t="shared" si="1"/>
        <v>0</v>
      </c>
      <c r="J41">
        <f t="shared" si="2"/>
        <v>116770.61364114548</v>
      </c>
      <c r="K41">
        <f t="shared" si="3"/>
        <v>116702.5514193456</v>
      </c>
      <c r="L41">
        <f t="shared" si="10"/>
        <v>116702.5514193456</v>
      </c>
      <c r="M41">
        <f t="shared" si="4"/>
        <v>116705.76868287634</v>
      </c>
      <c r="N41" s="29">
        <f t="shared" si="11"/>
        <v>0</v>
      </c>
      <c r="O41" s="29">
        <f t="shared" si="5"/>
        <v>0</v>
      </c>
      <c r="P41" s="29">
        <f t="shared" si="12"/>
        <v>116705.76868287634</v>
      </c>
      <c r="Q41">
        <f t="shared" si="13"/>
        <v>0</v>
      </c>
      <c r="R41" s="29">
        <f t="shared" si="14"/>
        <v>0</v>
      </c>
      <c r="S41" s="29">
        <f t="shared" si="6"/>
        <v>0</v>
      </c>
      <c r="T41" s="29">
        <f t="shared" si="15"/>
        <v>116705.76868287634</v>
      </c>
      <c r="U41">
        <f t="shared" si="16"/>
        <v>0</v>
      </c>
      <c r="V41" s="29">
        <f t="shared" si="17"/>
        <v>0</v>
      </c>
      <c r="W41" s="29">
        <f t="shared" si="7"/>
        <v>0</v>
      </c>
      <c r="X41" s="29">
        <f t="shared" si="18"/>
        <v>116705.76868287634</v>
      </c>
      <c r="Y41">
        <f t="shared" si="19"/>
        <v>0</v>
      </c>
    </row>
    <row r="42" spans="1:25" x14ac:dyDescent="0.25">
      <c r="A42" s="4" t="s">
        <v>733</v>
      </c>
      <c r="B42" s="7" t="s">
        <v>345</v>
      </c>
      <c r="C42" s="2" t="s">
        <v>734</v>
      </c>
      <c r="D42">
        <f>VLOOKUP(B42,'Model allocations'!$A$1:$L$316,3,FALSE)</f>
        <v>1819671.4789422415</v>
      </c>
      <c r="E42" s="31">
        <f>VLOOKUP(B42,'Initial adjusted formula count'!$A$1:$P$316,12,FALSE)</f>
        <v>0.14892383506051199</v>
      </c>
      <c r="F42">
        <f>VLOOKUP(B42,'Model allocations'!$A$1:$L$316,8,FALSE)</f>
        <v>1808404.2756509099</v>
      </c>
      <c r="G42" s="30">
        <f t="shared" si="8"/>
        <v>0.85</v>
      </c>
      <c r="H42">
        <f t="shared" si="9"/>
        <v>1546720.7571009053</v>
      </c>
      <c r="I42">
        <f t="shared" si="1"/>
        <v>0</v>
      </c>
      <c r="J42">
        <f t="shared" si="2"/>
        <v>1808404.2756509099</v>
      </c>
      <c r="K42">
        <f t="shared" si="3"/>
        <v>1807350.2089720157</v>
      </c>
      <c r="L42">
        <f t="shared" si="10"/>
        <v>1807350.2089720157</v>
      </c>
      <c r="M42">
        <f t="shared" si="4"/>
        <v>0</v>
      </c>
      <c r="N42" s="29">
        <f t="shared" si="11"/>
        <v>1807350.2089720157</v>
      </c>
      <c r="O42" s="29">
        <f t="shared" si="5"/>
        <v>1807294.5971649603</v>
      </c>
      <c r="P42" s="29">
        <f t="shared" si="12"/>
        <v>1807294.5971649603</v>
      </c>
      <c r="Q42">
        <f t="shared" si="13"/>
        <v>0</v>
      </c>
      <c r="R42" s="29">
        <f t="shared" si="14"/>
        <v>1807294.5971649603</v>
      </c>
      <c r="S42" s="29">
        <f t="shared" si="6"/>
        <v>1807294.5971649603</v>
      </c>
      <c r="T42" s="29">
        <f t="shared" si="15"/>
        <v>1807294.5971649603</v>
      </c>
      <c r="U42">
        <f t="shared" si="16"/>
        <v>0</v>
      </c>
      <c r="V42" s="29">
        <f t="shared" si="17"/>
        <v>1807294.5971649603</v>
      </c>
      <c r="W42" s="29">
        <f t="shared" si="7"/>
        <v>1807294.5971649603</v>
      </c>
      <c r="X42" s="29">
        <f t="shared" si="18"/>
        <v>1807294.5971649603</v>
      </c>
      <c r="Y42">
        <f t="shared" si="19"/>
        <v>0</v>
      </c>
    </row>
    <row r="43" spans="1:25" x14ac:dyDescent="0.25">
      <c r="A43" s="4" t="s">
        <v>735</v>
      </c>
      <c r="B43" s="7" t="s">
        <v>269</v>
      </c>
      <c r="C43" s="2" t="s">
        <v>736</v>
      </c>
      <c r="D43">
        <f>VLOOKUP(B43,'Model allocations'!$A$1:$L$316,3,FALSE)</f>
        <v>53008.576989243906</v>
      </c>
      <c r="E43" s="31">
        <f>VLOOKUP(B43,'Initial adjusted formula count'!$A$1:$P$316,12,FALSE)</f>
        <v>0.10466988727858299</v>
      </c>
      <c r="F43">
        <f>VLOOKUP(B43,'Model allocations'!$A$1:$L$316,8,FALSE)</f>
        <v>57200.135239566494</v>
      </c>
      <c r="G43" s="30">
        <f t="shared" si="8"/>
        <v>0.85</v>
      </c>
      <c r="H43">
        <f t="shared" si="9"/>
        <v>45057.290440857316</v>
      </c>
      <c r="I43">
        <f t="shared" si="1"/>
        <v>0</v>
      </c>
      <c r="J43">
        <f t="shared" si="2"/>
        <v>57200.135239566494</v>
      </c>
      <c r="K43">
        <f t="shared" si="3"/>
        <v>57166.794930988326</v>
      </c>
      <c r="L43">
        <f t="shared" si="10"/>
        <v>57166.794930988326</v>
      </c>
      <c r="M43">
        <f t="shared" si="4"/>
        <v>0</v>
      </c>
      <c r="N43" s="29">
        <f t="shared" si="11"/>
        <v>57166.794930988326</v>
      </c>
      <c r="O43" s="29">
        <f t="shared" si="5"/>
        <v>57165.03592005957</v>
      </c>
      <c r="P43" s="29">
        <f t="shared" si="12"/>
        <v>57165.03592005957</v>
      </c>
      <c r="Q43">
        <f t="shared" si="13"/>
        <v>0</v>
      </c>
      <c r="R43" s="29">
        <f t="shared" si="14"/>
        <v>57165.03592005957</v>
      </c>
      <c r="S43" s="29">
        <f t="shared" si="6"/>
        <v>57165.03592005957</v>
      </c>
      <c r="T43" s="29">
        <f t="shared" si="15"/>
        <v>57165.03592005957</v>
      </c>
      <c r="U43">
        <f t="shared" si="16"/>
        <v>0</v>
      </c>
      <c r="V43" s="29">
        <f t="shared" si="17"/>
        <v>57165.03592005957</v>
      </c>
      <c r="W43" s="29">
        <f t="shared" si="7"/>
        <v>57165.03592005957</v>
      </c>
      <c r="X43" s="29">
        <f t="shared" si="18"/>
        <v>57165.03592005957</v>
      </c>
      <c r="Y43">
        <f t="shared" si="19"/>
        <v>0</v>
      </c>
    </row>
    <row r="44" spans="1:25" x14ac:dyDescent="0.25">
      <c r="A44" s="4" t="s">
        <v>737</v>
      </c>
      <c r="B44" s="7" t="s">
        <v>347</v>
      </c>
      <c r="C44" s="2" t="s">
        <v>738</v>
      </c>
      <c r="D44">
        <f>VLOOKUP(B44,'Model allocations'!$A$1:$L$316,3,FALSE)</f>
        <v>253745.9750960528</v>
      </c>
      <c r="E44" s="31">
        <f>VLOOKUP(B44,'Initial adjusted formula count'!$A$1:$P$316,12,FALSE)</f>
        <v>0.12376725838264301</v>
      </c>
      <c r="F44">
        <f>VLOOKUP(B44,'Model allocations'!$A$1:$L$316,8,FALSE)</f>
        <v>220880.52223278748</v>
      </c>
      <c r="G44" s="30">
        <f t="shared" si="8"/>
        <v>0.85</v>
      </c>
      <c r="H44">
        <f t="shared" si="9"/>
        <v>215684.07883164487</v>
      </c>
      <c r="I44">
        <f t="shared" si="1"/>
        <v>0</v>
      </c>
      <c r="J44">
        <f t="shared" si="2"/>
        <v>220880.52223278748</v>
      </c>
      <c r="K44">
        <f t="shared" si="3"/>
        <v>220751.77734889332</v>
      </c>
      <c r="L44">
        <f t="shared" si="10"/>
        <v>220751.77734889332</v>
      </c>
      <c r="M44">
        <f t="shared" si="4"/>
        <v>0</v>
      </c>
      <c r="N44" s="29">
        <f t="shared" si="11"/>
        <v>220751.77734889332</v>
      </c>
      <c r="O44" s="29">
        <f t="shared" si="5"/>
        <v>220744.98486053766</v>
      </c>
      <c r="P44" s="29">
        <f t="shared" si="12"/>
        <v>220744.98486053766</v>
      </c>
      <c r="Q44">
        <f t="shared" si="13"/>
        <v>0</v>
      </c>
      <c r="R44" s="29">
        <f t="shared" si="14"/>
        <v>220744.98486053766</v>
      </c>
      <c r="S44" s="29">
        <f t="shared" si="6"/>
        <v>220744.98486053766</v>
      </c>
      <c r="T44" s="29">
        <f t="shared" si="15"/>
        <v>220744.98486053766</v>
      </c>
      <c r="U44">
        <f t="shared" si="16"/>
        <v>0</v>
      </c>
      <c r="V44" s="29">
        <f t="shared" si="17"/>
        <v>220744.98486053766</v>
      </c>
      <c r="W44" s="29">
        <f t="shared" si="7"/>
        <v>220744.98486053766</v>
      </c>
      <c r="X44" s="29">
        <f t="shared" si="18"/>
        <v>220744.98486053766</v>
      </c>
      <c r="Y44">
        <f t="shared" si="19"/>
        <v>0</v>
      </c>
    </row>
    <row r="45" spans="1:25" x14ac:dyDescent="0.25">
      <c r="A45" s="4" t="s">
        <v>739</v>
      </c>
      <c r="B45" s="7" t="s">
        <v>349</v>
      </c>
      <c r="C45" s="2" t="s">
        <v>740</v>
      </c>
      <c r="D45">
        <f>VLOOKUP(B45,'Model allocations'!$A$1:$L$316,3,FALSE)</f>
        <v>0</v>
      </c>
      <c r="E45" s="31">
        <f>VLOOKUP(B45,'Initial adjusted formula count'!$A$1:$P$316,12,FALSE)</f>
        <v>6.4000000000000001E-2</v>
      </c>
      <c r="F45">
        <f>VLOOKUP(B45,'Model allocations'!$A$1:$L$316,8,FALSE)</f>
        <v>14080.033289739442</v>
      </c>
      <c r="G45" s="30">
        <f t="shared" si="8"/>
        <v>0.85</v>
      </c>
      <c r="H45">
        <f t="shared" si="9"/>
        <v>0</v>
      </c>
      <c r="I45">
        <f t="shared" si="1"/>
        <v>0</v>
      </c>
      <c r="J45">
        <f t="shared" si="2"/>
        <v>14080.033289739442</v>
      </c>
      <c r="K45">
        <f t="shared" si="3"/>
        <v>14071.82644455097</v>
      </c>
      <c r="L45">
        <f t="shared" si="10"/>
        <v>14071.82644455097</v>
      </c>
      <c r="M45">
        <f t="shared" si="4"/>
        <v>0</v>
      </c>
      <c r="N45" s="29">
        <f t="shared" si="11"/>
        <v>14071.82644455097</v>
      </c>
      <c r="O45" s="29">
        <f t="shared" si="5"/>
        <v>14071.393457245431</v>
      </c>
      <c r="P45" s="29">
        <f t="shared" si="12"/>
        <v>14071.393457245431</v>
      </c>
      <c r="Q45">
        <f t="shared" si="13"/>
        <v>0</v>
      </c>
      <c r="R45" s="29">
        <f t="shared" si="14"/>
        <v>14071.393457245431</v>
      </c>
      <c r="S45" s="29">
        <f t="shared" si="6"/>
        <v>14071.393457245431</v>
      </c>
      <c r="T45" s="29">
        <f t="shared" si="15"/>
        <v>14071.393457245431</v>
      </c>
      <c r="U45">
        <f t="shared" si="16"/>
        <v>0</v>
      </c>
      <c r="V45" s="29">
        <f t="shared" si="17"/>
        <v>14071.393457245431</v>
      </c>
      <c r="W45" s="29">
        <f t="shared" si="7"/>
        <v>14071.393457245431</v>
      </c>
      <c r="X45" s="29">
        <f t="shared" si="18"/>
        <v>14071.393457245431</v>
      </c>
      <c r="Y45">
        <f t="shared" si="19"/>
        <v>0</v>
      </c>
    </row>
    <row r="46" spans="1:25" x14ac:dyDescent="0.25">
      <c r="A46" s="4" t="s">
        <v>741</v>
      </c>
      <c r="B46" s="7" t="s">
        <v>351</v>
      </c>
      <c r="C46" s="2" t="s">
        <v>742</v>
      </c>
      <c r="D46">
        <f>VLOOKUP(B46,'Model allocations'!$A$1:$L$316,3,FALSE)</f>
        <v>33295.565648262062</v>
      </c>
      <c r="E46" s="31">
        <f>VLOOKUP(B46,'Initial adjusted formula count'!$A$1:$P$316,12,FALSE)</f>
        <v>0.25365853658536602</v>
      </c>
      <c r="F46">
        <f>VLOOKUP(B46,'Model allocations'!$A$1:$L$316,8,FALSE)</f>
        <v>45760.108191653206</v>
      </c>
      <c r="G46" s="30">
        <f t="shared" si="8"/>
        <v>0.9</v>
      </c>
      <c r="H46">
        <f t="shared" si="9"/>
        <v>29966.009083435856</v>
      </c>
      <c r="I46">
        <f t="shared" si="1"/>
        <v>0</v>
      </c>
      <c r="J46">
        <f t="shared" si="2"/>
        <v>45760.108191653206</v>
      </c>
      <c r="K46">
        <f t="shared" si="3"/>
        <v>45733.435944790668</v>
      </c>
      <c r="L46">
        <f t="shared" si="10"/>
        <v>45733.435944790668</v>
      </c>
      <c r="M46">
        <f t="shared" si="4"/>
        <v>0</v>
      </c>
      <c r="N46" s="29">
        <f t="shared" si="11"/>
        <v>45733.435944790668</v>
      </c>
      <c r="O46" s="29">
        <f t="shared" si="5"/>
        <v>45732.028736047665</v>
      </c>
      <c r="P46" s="29">
        <f t="shared" si="12"/>
        <v>45732.028736047665</v>
      </c>
      <c r="Q46">
        <f t="shared" si="13"/>
        <v>0</v>
      </c>
      <c r="R46" s="29">
        <f t="shared" si="14"/>
        <v>45732.028736047665</v>
      </c>
      <c r="S46" s="29">
        <f t="shared" si="6"/>
        <v>45732.028736047665</v>
      </c>
      <c r="T46" s="29">
        <f t="shared" si="15"/>
        <v>45732.028736047665</v>
      </c>
      <c r="U46">
        <f t="shared" si="16"/>
        <v>0</v>
      </c>
      <c r="V46" s="29">
        <f t="shared" si="17"/>
        <v>45732.028736047665</v>
      </c>
      <c r="W46" s="29">
        <f t="shared" si="7"/>
        <v>45732.028736047665</v>
      </c>
      <c r="X46" s="29">
        <f t="shared" si="18"/>
        <v>45732.028736047665</v>
      </c>
      <c r="Y46">
        <f t="shared" si="19"/>
        <v>0</v>
      </c>
    </row>
    <row r="47" spans="1:25" x14ac:dyDescent="0.25">
      <c r="A47" s="4" t="s">
        <v>743</v>
      </c>
      <c r="B47" s="7" t="s">
        <v>352</v>
      </c>
      <c r="C47" s="2" t="s">
        <v>744</v>
      </c>
      <c r="D47">
        <f>VLOOKUP(B47,'Model allocations'!$A$1:$L$316,3,FALSE)</f>
        <v>91244.271866731317</v>
      </c>
      <c r="E47" s="31">
        <f>VLOOKUP(B47,'Initial adjusted formula count'!$A$1:$P$316,12,FALSE)</f>
        <v>0.116865869853918</v>
      </c>
      <c r="F47">
        <f>VLOOKUP(B47,'Model allocations'!$A$1:$L$316,8,FALSE)</f>
        <v>77600.724255191613</v>
      </c>
      <c r="G47" s="30">
        <f t="shared" si="8"/>
        <v>0.85</v>
      </c>
      <c r="H47">
        <f t="shared" si="9"/>
        <v>77557.631086721623</v>
      </c>
      <c r="I47">
        <f t="shared" si="1"/>
        <v>0</v>
      </c>
      <c r="J47">
        <f t="shared" si="2"/>
        <v>77600.724255191613</v>
      </c>
      <c r="K47">
        <f t="shared" si="3"/>
        <v>77555.493031843595</v>
      </c>
      <c r="L47">
        <f t="shared" si="10"/>
        <v>77555.493031843595</v>
      </c>
      <c r="M47">
        <f t="shared" si="4"/>
        <v>77557.631086721623</v>
      </c>
      <c r="N47" s="29">
        <f t="shared" si="11"/>
        <v>0</v>
      </c>
      <c r="O47" s="29">
        <f t="shared" si="5"/>
        <v>0</v>
      </c>
      <c r="P47" s="29">
        <f t="shared" si="12"/>
        <v>77557.631086721623</v>
      </c>
      <c r="Q47">
        <f t="shared" si="13"/>
        <v>0</v>
      </c>
      <c r="R47" s="29">
        <f t="shared" si="14"/>
        <v>0</v>
      </c>
      <c r="S47" s="29">
        <f t="shared" si="6"/>
        <v>0</v>
      </c>
      <c r="T47" s="29">
        <f t="shared" si="15"/>
        <v>77557.631086721623</v>
      </c>
      <c r="U47">
        <f t="shared" si="16"/>
        <v>0</v>
      </c>
      <c r="V47" s="29">
        <f t="shared" si="17"/>
        <v>0</v>
      </c>
      <c r="W47" s="29">
        <f t="shared" si="7"/>
        <v>0</v>
      </c>
      <c r="X47" s="29">
        <f t="shared" si="18"/>
        <v>77557.631086721623</v>
      </c>
      <c r="Y47">
        <f t="shared" si="19"/>
        <v>0</v>
      </c>
    </row>
    <row r="48" spans="1:25" x14ac:dyDescent="0.25">
      <c r="A48" s="4" t="s">
        <v>745</v>
      </c>
      <c r="B48" s="7" t="s">
        <v>353</v>
      </c>
      <c r="C48" s="2" t="s">
        <v>746</v>
      </c>
      <c r="D48">
        <f>VLOOKUP(B48,'Model allocations'!$A$1:$L$316,3,FALSE)</f>
        <v>305016.56595450174</v>
      </c>
      <c r="E48" s="31">
        <f>VLOOKUP(B48,'Initial adjusted formula count'!$A$1:$P$316,12,FALSE)</f>
        <v>0.19689378757515</v>
      </c>
      <c r="F48">
        <f>VLOOKUP(B48,'Model allocations'!$A$1:$L$316,8,FALSE)</f>
        <v>345840.81767922512</v>
      </c>
      <c r="G48" s="30">
        <f t="shared" si="8"/>
        <v>0.9</v>
      </c>
      <c r="H48">
        <f t="shared" si="9"/>
        <v>274514.90935905155</v>
      </c>
      <c r="I48">
        <f t="shared" si="1"/>
        <v>0</v>
      </c>
      <c r="J48">
        <f t="shared" si="2"/>
        <v>345840.81767922512</v>
      </c>
      <c r="K48">
        <f t="shared" si="3"/>
        <v>345639.23704428325</v>
      </c>
      <c r="L48">
        <f t="shared" si="10"/>
        <v>345639.23704428325</v>
      </c>
      <c r="M48">
        <f t="shared" si="4"/>
        <v>0</v>
      </c>
      <c r="N48" s="29">
        <f t="shared" si="11"/>
        <v>345639.23704428325</v>
      </c>
      <c r="O48" s="29">
        <f t="shared" si="5"/>
        <v>345628.60179359087</v>
      </c>
      <c r="P48" s="29">
        <f t="shared" si="12"/>
        <v>345628.60179359087</v>
      </c>
      <c r="Q48">
        <f t="shared" si="13"/>
        <v>0</v>
      </c>
      <c r="R48" s="29">
        <f t="shared" si="14"/>
        <v>345628.60179359087</v>
      </c>
      <c r="S48" s="29">
        <f t="shared" si="6"/>
        <v>345628.60179359087</v>
      </c>
      <c r="T48" s="29">
        <f t="shared" si="15"/>
        <v>345628.60179359087</v>
      </c>
      <c r="U48">
        <f t="shared" si="16"/>
        <v>0</v>
      </c>
      <c r="V48" s="29">
        <f t="shared" si="17"/>
        <v>345628.60179359087</v>
      </c>
      <c r="W48" s="29">
        <f t="shared" si="7"/>
        <v>345628.60179359087</v>
      </c>
      <c r="X48" s="29">
        <f t="shared" si="18"/>
        <v>345628.60179359087</v>
      </c>
      <c r="Y48">
        <f t="shared" si="19"/>
        <v>0</v>
      </c>
    </row>
    <row r="49" spans="1:25" x14ac:dyDescent="0.25">
      <c r="A49" s="4" t="s">
        <v>747</v>
      </c>
      <c r="B49" s="7" t="s">
        <v>355</v>
      </c>
      <c r="C49" s="2" t="s">
        <v>748</v>
      </c>
      <c r="D49">
        <f>VLOOKUP(B49,'Model allocations'!$A$1:$L$316,3,FALSE)</f>
        <v>103113.01144558682</v>
      </c>
      <c r="E49" s="31">
        <f>VLOOKUP(B49,'Initial adjusted formula count'!$A$1:$P$316,12,FALSE)</f>
        <v>0.11347517730496499</v>
      </c>
      <c r="F49">
        <f>VLOOKUP(B49,'Model allocations'!$A$1:$L$316,8,FALSE)</f>
        <v>87646.059728748791</v>
      </c>
      <c r="G49" s="30">
        <f t="shared" si="8"/>
        <v>0.85</v>
      </c>
      <c r="H49">
        <f t="shared" si="9"/>
        <v>87646.059728748791</v>
      </c>
      <c r="I49">
        <f t="shared" si="1"/>
        <v>0</v>
      </c>
      <c r="J49">
        <f t="shared" si="2"/>
        <v>87646.059728748791</v>
      </c>
      <c r="K49">
        <f t="shared" si="3"/>
        <v>87594.97336916627</v>
      </c>
      <c r="L49">
        <f t="shared" si="10"/>
        <v>87594.97336916627</v>
      </c>
      <c r="M49">
        <f t="shared" si="4"/>
        <v>87646.059728748791</v>
      </c>
      <c r="N49" s="29">
        <f t="shared" si="11"/>
        <v>0</v>
      </c>
      <c r="O49" s="29">
        <f t="shared" si="5"/>
        <v>0</v>
      </c>
      <c r="P49" s="29">
        <f t="shared" si="12"/>
        <v>87646.059728748791</v>
      </c>
      <c r="Q49">
        <f t="shared" si="13"/>
        <v>0</v>
      </c>
      <c r="R49" s="29">
        <f t="shared" si="14"/>
        <v>0</v>
      </c>
      <c r="S49" s="29">
        <f t="shared" si="6"/>
        <v>0</v>
      </c>
      <c r="T49" s="29">
        <f t="shared" si="15"/>
        <v>87646.059728748791</v>
      </c>
      <c r="U49">
        <f t="shared" si="16"/>
        <v>0</v>
      </c>
      <c r="V49" s="29">
        <f t="shared" si="17"/>
        <v>0</v>
      </c>
      <c r="W49" s="29">
        <f t="shared" si="7"/>
        <v>0</v>
      </c>
      <c r="X49" s="29">
        <f t="shared" si="18"/>
        <v>87646.059728748791</v>
      </c>
      <c r="Y49">
        <f t="shared" si="19"/>
        <v>0</v>
      </c>
    </row>
    <row r="50" spans="1:25" x14ac:dyDescent="0.25">
      <c r="A50" s="4" t="s">
        <v>749</v>
      </c>
      <c r="B50" s="7" t="s">
        <v>110</v>
      </c>
      <c r="C50" s="2" t="s">
        <v>750</v>
      </c>
      <c r="D50">
        <f>VLOOKUP(B50,'Model allocations'!$A$1:$L$316,3,FALSE)</f>
        <v>43146.579257373196</v>
      </c>
      <c r="E50" s="31">
        <f>VLOOKUP(B50,'Initial adjusted formula count'!$A$1:$P$316,12,FALSE)</f>
        <v>8.98876404494382E-2</v>
      </c>
      <c r="F50">
        <f>VLOOKUP(B50,'Model allocations'!$A$1:$L$316,8,FALSE)</f>
        <v>42240.099869218342</v>
      </c>
      <c r="G50" s="30">
        <f t="shared" si="8"/>
        <v>0.85</v>
      </c>
      <c r="H50">
        <f t="shared" si="9"/>
        <v>36674.592368767218</v>
      </c>
      <c r="I50">
        <f t="shared" si="1"/>
        <v>0</v>
      </c>
      <c r="J50">
        <f t="shared" si="2"/>
        <v>42240.099869218342</v>
      </c>
      <c r="K50">
        <f t="shared" si="3"/>
        <v>42215.479333652926</v>
      </c>
      <c r="L50">
        <f t="shared" si="10"/>
        <v>42215.479333652926</v>
      </c>
      <c r="M50">
        <f t="shared" si="4"/>
        <v>0</v>
      </c>
      <c r="N50" s="29">
        <f t="shared" si="11"/>
        <v>42215.479333652926</v>
      </c>
      <c r="O50" s="29">
        <f t="shared" si="5"/>
        <v>42214.1803717363</v>
      </c>
      <c r="P50" s="29">
        <f t="shared" si="12"/>
        <v>42214.1803717363</v>
      </c>
      <c r="Q50">
        <f t="shared" si="13"/>
        <v>0</v>
      </c>
      <c r="R50" s="29">
        <f t="shared" si="14"/>
        <v>42214.1803717363</v>
      </c>
      <c r="S50" s="29">
        <f t="shared" si="6"/>
        <v>42214.1803717363</v>
      </c>
      <c r="T50" s="29">
        <f t="shared" si="15"/>
        <v>42214.1803717363</v>
      </c>
      <c r="U50">
        <f t="shared" si="16"/>
        <v>0</v>
      </c>
      <c r="V50" s="29">
        <f t="shared" si="17"/>
        <v>42214.1803717363</v>
      </c>
      <c r="W50" s="29">
        <f t="shared" si="7"/>
        <v>42214.1803717363</v>
      </c>
      <c r="X50" s="29">
        <f t="shared" si="18"/>
        <v>42214.1803717363</v>
      </c>
      <c r="Y50">
        <f t="shared" si="19"/>
        <v>0</v>
      </c>
    </row>
    <row r="51" spans="1:25" x14ac:dyDescent="0.25">
      <c r="A51" s="4" t="s">
        <v>751</v>
      </c>
      <c r="B51" s="7" t="s">
        <v>112</v>
      </c>
      <c r="C51" s="2" t="s">
        <v>752</v>
      </c>
      <c r="D51">
        <f>VLOOKUP(B51,'Model allocations'!$A$1:$L$316,3,FALSE)</f>
        <v>35256.076009036762</v>
      </c>
      <c r="E51" s="31">
        <f>VLOOKUP(B51,'Initial adjusted formula count'!$A$1:$P$316,12,FALSE)</f>
        <v>9.3247588424437297E-2</v>
      </c>
      <c r="F51">
        <f>VLOOKUP(B51,'Model allocations'!$A$1:$L$316,8,FALSE)</f>
        <v>30084.695680454312</v>
      </c>
      <c r="G51" s="30">
        <f t="shared" si="8"/>
        <v>0.85</v>
      </c>
      <c r="H51">
        <f t="shared" si="9"/>
        <v>29967.664607681247</v>
      </c>
      <c r="I51">
        <f t="shared" si="1"/>
        <v>0</v>
      </c>
      <c r="J51">
        <f t="shared" si="2"/>
        <v>30084.695680454312</v>
      </c>
      <c r="K51">
        <f t="shared" si="3"/>
        <v>30067.160179300936</v>
      </c>
      <c r="L51">
        <f t="shared" si="10"/>
        <v>30067.160179300936</v>
      </c>
      <c r="M51">
        <f t="shared" si="4"/>
        <v>0</v>
      </c>
      <c r="N51" s="29">
        <f t="shared" si="11"/>
        <v>30067.160179300936</v>
      </c>
      <c r="O51" s="29">
        <f t="shared" si="5"/>
        <v>30066.235018752475</v>
      </c>
      <c r="P51" s="29">
        <f t="shared" si="12"/>
        <v>30066.235018752475</v>
      </c>
      <c r="Q51">
        <f t="shared" si="13"/>
        <v>0</v>
      </c>
      <c r="R51" s="29">
        <f t="shared" si="14"/>
        <v>30066.235018752475</v>
      </c>
      <c r="S51" s="29">
        <f t="shared" si="6"/>
        <v>30066.235018752475</v>
      </c>
      <c r="T51" s="29">
        <f t="shared" si="15"/>
        <v>30066.235018752475</v>
      </c>
      <c r="U51">
        <f t="shared" si="16"/>
        <v>0</v>
      </c>
      <c r="V51" s="29">
        <f t="shared" si="17"/>
        <v>30066.235018752475</v>
      </c>
      <c r="W51" s="29">
        <f t="shared" si="7"/>
        <v>30066.235018752475</v>
      </c>
      <c r="X51" s="29">
        <f t="shared" si="18"/>
        <v>30066.235018752475</v>
      </c>
      <c r="Y51">
        <f t="shared" si="19"/>
        <v>0</v>
      </c>
    </row>
    <row r="52" spans="1:25" x14ac:dyDescent="0.25">
      <c r="A52" s="4" t="s">
        <v>753</v>
      </c>
      <c r="B52" s="7" t="s">
        <v>357</v>
      </c>
      <c r="C52" s="2" t="s">
        <v>754</v>
      </c>
      <c r="D52">
        <f>VLOOKUP(B52,'Model allocations'!$A$1:$L$316,3,FALSE)</f>
        <v>42580.660204474625</v>
      </c>
      <c r="E52" s="31">
        <f>VLOOKUP(B52,'Initial adjusted formula count'!$A$1:$P$316,12,FALSE)</f>
        <v>0.16260162601625999</v>
      </c>
      <c r="F52">
        <f>VLOOKUP(B52,'Model allocations'!$A$1:$L$316,8,FALSE)</f>
        <v>38343.88727903588</v>
      </c>
      <c r="G52" s="30">
        <f t="shared" si="8"/>
        <v>0.9</v>
      </c>
      <c r="H52">
        <f t="shared" si="9"/>
        <v>38322.594184027163</v>
      </c>
      <c r="I52">
        <f t="shared" si="1"/>
        <v>0</v>
      </c>
      <c r="J52">
        <f t="shared" si="2"/>
        <v>38343.88727903588</v>
      </c>
      <c r="K52">
        <f t="shared" si="3"/>
        <v>38321.537733381563</v>
      </c>
      <c r="L52">
        <f t="shared" si="10"/>
        <v>38321.537733381563</v>
      </c>
      <c r="M52">
        <f t="shared" si="4"/>
        <v>38322.594184027163</v>
      </c>
      <c r="N52" s="29">
        <f t="shared" si="11"/>
        <v>0</v>
      </c>
      <c r="O52" s="29">
        <f t="shared" si="5"/>
        <v>0</v>
      </c>
      <c r="P52" s="29">
        <f t="shared" si="12"/>
        <v>38322.594184027163</v>
      </c>
      <c r="Q52">
        <f t="shared" si="13"/>
        <v>0</v>
      </c>
      <c r="R52" s="29">
        <f t="shared" si="14"/>
        <v>0</v>
      </c>
      <c r="S52" s="29">
        <f t="shared" si="6"/>
        <v>0</v>
      </c>
      <c r="T52" s="29">
        <f t="shared" si="15"/>
        <v>38322.594184027163</v>
      </c>
      <c r="U52">
        <f t="shared" si="16"/>
        <v>0</v>
      </c>
      <c r="V52" s="29">
        <f t="shared" si="17"/>
        <v>0</v>
      </c>
      <c r="W52" s="29">
        <f t="shared" si="7"/>
        <v>0</v>
      </c>
      <c r="X52" s="29">
        <f t="shared" si="18"/>
        <v>38322.594184027163</v>
      </c>
      <c r="Y52">
        <f t="shared" si="19"/>
        <v>0</v>
      </c>
    </row>
    <row r="53" spans="1:25" x14ac:dyDescent="0.25">
      <c r="A53" s="4" t="s">
        <v>755</v>
      </c>
      <c r="B53" s="7" t="s">
        <v>359</v>
      </c>
      <c r="C53" s="2" t="s">
        <v>756</v>
      </c>
      <c r="D53">
        <f>VLOOKUP(B53,'Model allocations'!$A$1:$L$316,3,FALSE)</f>
        <v>95589.237193718509</v>
      </c>
      <c r="E53" s="31">
        <f>VLOOKUP(B53,'Initial adjusted formula count'!$A$1:$P$316,12,FALSE)</f>
        <v>9.61182994454714E-2</v>
      </c>
      <c r="F53">
        <f>VLOOKUP(B53,'Model allocations'!$A$1:$L$316,8,FALSE)</f>
        <v>91520.216383306411</v>
      </c>
      <c r="G53" s="30">
        <f t="shared" si="8"/>
        <v>0.85</v>
      </c>
      <c r="H53">
        <f t="shared" si="9"/>
        <v>81250.851614660729</v>
      </c>
      <c r="I53">
        <f t="shared" si="1"/>
        <v>0</v>
      </c>
      <c r="J53">
        <f t="shared" si="2"/>
        <v>91520.216383306411</v>
      </c>
      <c r="K53">
        <f t="shared" si="3"/>
        <v>91466.871889581336</v>
      </c>
      <c r="L53">
        <f t="shared" si="10"/>
        <v>91466.871889581336</v>
      </c>
      <c r="M53">
        <f t="shared" si="4"/>
        <v>0</v>
      </c>
      <c r="N53" s="29">
        <f t="shared" si="11"/>
        <v>91466.871889581336</v>
      </c>
      <c r="O53" s="29">
        <f t="shared" si="5"/>
        <v>91464.05747209533</v>
      </c>
      <c r="P53" s="29">
        <f t="shared" si="12"/>
        <v>91464.05747209533</v>
      </c>
      <c r="Q53">
        <f t="shared" si="13"/>
        <v>0</v>
      </c>
      <c r="R53" s="29">
        <f t="shared" si="14"/>
        <v>91464.05747209533</v>
      </c>
      <c r="S53" s="29">
        <f t="shared" si="6"/>
        <v>91464.05747209533</v>
      </c>
      <c r="T53" s="29">
        <f t="shared" si="15"/>
        <v>91464.05747209533</v>
      </c>
      <c r="U53">
        <f t="shared" si="16"/>
        <v>0</v>
      </c>
      <c r="V53" s="29">
        <f t="shared" si="17"/>
        <v>91464.05747209533</v>
      </c>
      <c r="W53" s="29">
        <f t="shared" si="7"/>
        <v>91464.05747209533</v>
      </c>
      <c r="X53" s="29">
        <f t="shared" si="18"/>
        <v>91464.05747209533</v>
      </c>
      <c r="Y53">
        <f t="shared" si="19"/>
        <v>0</v>
      </c>
    </row>
    <row r="54" spans="1:25" x14ac:dyDescent="0.25">
      <c r="A54" s="4" t="s">
        <v>757</v>
      </c>
      <c r="B54" s="7" t="s">
        <v>361</v>
      </c>
      <c r="C54" s="2" t="s">
        <v>758</v>
      </c>
      <c r="D54">
        <f>VLOOKUP(B54,'Model allocations'!$A$1:$L$316,3,FALSE)</f>
        <v>53877.570054641335</v>
      </c>
      <c r="E54" s="31">
        <f>VLOOKUP(B54,'Initial adjusted formula count'!$A$1:$P$316,12,FALSE)</f>
        <v>0.1976401179941</v>
      </c>
      <c r="F54">
        <f>VLOOKUP(B54,'Model allocations'!$A$1:$L$316,8,FALSE)</f>
        <v>58960.139400783926</v>
      </c>
      <c r="G54" s="30">
        <f t="shared" si="8"/>
        <v>0.9</v>
      </c>
      <c r="H54">
        <f t="shared" si="9"/>
        <v>48489.813049177203</v>
      </c>
      <c r="I54">
        <f t="shared" si="1"/>
        <v>0</v>
      </c>
      <c r="J54">
        <f t="shared" si="2"/>
        <v>58960.139400783926</v>
      </c>
      <c r="K54">
        <f t="shared" si="3"/>
        <v>58925.773236557201</v>
      </c>
      <c r="L54">
        <f t="shared" si="10"/>
        <v>58925.773236557201</v>
      </c>
      <c r="M54">
        <f t="shared" si="4"/>
        <v>0</v>
      </c>
      <c r="N54" s="29">
        <f t="shared" si="11"/>
        <v>58925.773236557201</v>
      </c>
      <c r="O54" s="29">
        <f t="shared" si="5"/>
        <v>58923.960102215256</v>
      </c>
      <c r="P54" s="29">
        <f t="shared" si="12"/>
        <v>58923.960102215256</v>
      </c>
      <c r="Q54">
        <f t="shared" si="13"/>
        <v>0</v>
      </c>
      <c r="R54" s="29">
        <f t="shared" si="14"/>
        <v>58923.960102215256</v>
      </c>
      <c r="S54" s="29">
        <f t="shared" si="6"/>
        <v>58923.960102215256</v>
      </c>
      <c r="T54" s="29">
        <f t="shared" si="15"/>
        <v>58923.960102215256</v>
      </c>
      <c r="U54">
        <f t="shared" si="16"/>
        <v>0</v>
      </c>
      <c r="V54" s="29">
        <f t="shared" si="17"/>
        <v>58923.960102215256</v>
      </c>
      <c r="W54" s="29">
        <f t="shared" si="7"/>
        <v>58923.960102215256</v>
      </c>
      <c r="X54" s="29">
        <f t="shared" si="18"/>
        <v>58923.960102215256</v>
      </c>
      <c r="Y54">
        <f t="shared" si="19"/>
        <v>0</v>
      </c>
    </row>
    <row r="55" spans="1:25" x14ac:dyDescent="0.25">
      <c r="A55" s="8" t="s">
        <v>759</v>
      </c>
      <c r="B55" s="7" t="s">
        <v>363</v>
      </c>
      <c r="C55" s="2" t="s">
        <v>760</v>
      </c>
      <c r="D55">
        <f>VLOOKUP(B55,'Model allocations'!$A$1:$L$316,3,FALSE)</f>
        <v>14772.882111756497</v>
      </c>
      <c r="E55" s="31">
        <f>VLOOKUP(B55,'Initial adjusted formula count'!$A$1:$P$316,12,FALSE)</f>
        <v>0.31578947368421001</v>
      </c>
      <c r="F55">
        <f>VLOOKUP(B55,'Model allocations'!$A$1:$L$316,8,FALSE)</f>
        <v>31680.074901913747</v>
      </c>
      <c r="G55" s="30">
        <f t="shared" si="8"/>
        <v>0.95</v>
      </c>
      <c r="H55">
        <f t="shared" si="9"/>
        <v>14034.238006168671</v>
      </c>
      <c r="I55">
        <f t="shared" si="1"/>
        <v>0</v>
      </c>
      <c r="J55">
        <f t="shared" si="2"/>
        <v>31680.074901913747</v>
      </c>
      <c r="K55">
        <f t="shared" si="3"/>
        <v>31661.609500239683</v>
      </c>
      <c r="L55">
        <f t="shared" si="10"/>
        <v>31661.609500239683</v>
      </c>
      <c r="M55">
        <f t="shared" si="4"/>
        <v>0</v>
      </c>
      <c r="N55" s="29">
        <f t="shared" si="11"/>
        <v>31661.609500239683</v>
      </c>
      <c r="O55" s="29">
        <f t="shared" si="5"/>
        <v>31660.63527880222</v>
      </c>
      <c r="P55" s="29">
        <f t="shared" si="12"/>
        <v>31660.63527880222</v>
      </c>
      <c r="Q55">
        <f t="shared" si="13"/>
        <v>0</v>
      </c>
      <c r="R55" s="29">
        <f t="shared" si="14"/>
        <v>31660.63527880222</v>
      </c>
      <c r="S55" s="29">
        <f t="shared" si="6"/>
        <v>31660.63527880222</v>
      </c>
      <c r="T55" s="29">
        <f t="shared" si="15"/>
        <v>31660.63527880222</v>
      </c>
      <c r="U55">
        <f t="shared" si="16"/>
        <v>0</v>
      </c>
      <c r="V55" s="29">
        <f t="shared" si="17"/>
        <v>31660.63527880222</v>
      </c>
      <c r="W55" s="29">
        <f t="shared" si="7"/>
        <v>31660.63527880222</v>
      </c>
      <c r="X55" s="29">
        <f t="shared" si="18"/>
        <v>31660.63527880222</v>
      </c>
      <c r="Y55">
        <f t="shared" si="19"/>
        <v>0</v>
      </c>
    </row>
    <row r="56" spans="1:25" x14ac:dyDescent="0.25">
      <c r="A56" s="4" t="s">
        <v>761</v>
      </c>
      <c r="B56" s="7" t="s">
        <v>365</v>
      </c>
      <c r="C56" s="2" t="s">
        <v>762</v>
      </c>
      <c r="D56">
        <f>VLOOKUP(B56,'Model allocations'!$A$1:$L$316,3,FALSE)</f>
        <v>47794.618596859254</v>
      </c>
      <c r="E56" s="31">
        <f>VLOOKUP(B56,'Initial adjusted formula count'!$A$1:$P$316,12,FALSE)</f>
        <v>0.29090909090909101</v>
      </c>
      <c r="F56">
        <f>VLOOKUP(B56,'Model allocations'!$A$1:$L$316,8,FALSE)</f>
        <v>43039.057149938206</v>
      </c>
      <c r="G56" s="30">
        <f t="shared" si="8"/>
        <v>0.9</v>
      </c>
      <c r="H56">
        <f t="shared" si="9"/>
        <v>43015.156737173333</v>
      </c>
      <c r="I56">
        <f t="shared" si="1"/>
        <v>0</v>
      </c>
      <c r="J56">
        <f t="shared" si="2"/>
        <v>43039.057149938206</v>
      </c>
      <c r="K56">
        <f t="shared" si="3"/>
        <v>43013.970925224174</v>
      </c>
      <c r="L56">
        <f t="shared" si="10"/>
        <v>43013.970925224174</v>
      </c>
      <c r="M56">
        <f t="shared" si="4"/>
        <v>43015.156737173333</v>
      </c>
      <c r="N56" s="29">
        <f t="shared" si="11"/>
        <v>0</v>
      </c>
      <c r="O56" s="29">
        <f t="shared" si="5"/>
        <v>0</v>
      </c>
      <c r="P56" s="29">
        <f t="shared" si="12"/>
        <v>43015.156737173333</v>
      </c>
      <c r="Q56">
        <f t="shared" si="13"/>
        <v>0</v>
      </c>
      <c r="R56" s="29">
        <f t="shared" si="14"/>
        <v>0</v>
      </c>
      <c r="S56" s="29">
        <f t="shared" si="6"/>
        <v>0</v>
      </c>
      <c r="T56" s="29">
        <f t="shared" si="15"/>
        <v>43015.156737173333</v>
      </c>
      <c r="U56">
        <f t="shared" si="16"/>
        <v>0</v>
      </c>
      <c r="V56" s="29">
        <f t="shared" si="17"/>
        <v>0</v>
      </c>
      <c r="W56" s="29">
        <f t="shared" si="7"/>
        <v>0</v>
      </c>
      <c r="X56" s="29">
        <f t="shared" si="18"/>
        <v>43015.156737173333</v>
      </c>
      <c r="Y56">
        <f t="shared" si="19"/>
        <v>0</v>
      </c>
    </row>
    <row r="57" spans="1:25" x14ac:dyDescent="0.25">
      <c r="A57" s="4" t="s">
        <v>763</v>
      </c>
      <c r="B57" s="7" t="s">
        <v>367</v>
      </c>
      <c r="C57" s="2" t="s">
        <v>764</v>
      </c>
      <c r="D57">
        <f>VLOOKUP(B57,'Model allocations'!$A$1:$L$316,3,FALSE)</f>
        <v>66128.452082656062</v>
      </c>
      <c r="E57" s="31">
        <f>VLOOKUP(B57,'Initial adjusted formula count'!$A$1:$P$316,12,FALSE)</f>
        <v>0.23926380368098199</v>
      </c>
      <c r="F57">
        <f>VLOOKUP(B57,'Model allocations'!$A$1:$L$316,8,FALSE)</f>
        <v>68640.162287479776</v>
      </c>
      <c r="G57" s="30">
        <f t="shared" si="8"/>
        <v>0.9</v>
      </c>
      <c r="H57">
        <f t="shared" si="9"/>
        <v>59515.606874390454</v>
      </c>
      <c r="I57">
        <f t="shared" si="1"/>
        <v>0</v>
      </c>
      <c r="J57">
        <f t="shared" si="2"/>
        <v>68640.162287479776</v>
      </c>
      <c r="K57">
        <f t="shared" si="3"/>
        <v>68600.153917185977</v>
      </c>
      <c r="L57">
        <f t="shared" si="10"/>
        <v>68600.153917185977</v>
      </c>
      <c r="M57">
        <f t="shared" si="4"/>
        <v>0</v>
      </c>
      <c r="N57" s="29">
        <f t="shared" si="11"/>
        <v>68600.153917185977</v>
      </c>
      <c r="O57" s="29">
        <f t="shared" si="5"/>
        <v>68598.043104071476</v>
      </c>
      <c r="P57" s="29">
        <f t="shared" si="12"/>
        <v>68598.043104071476</v>
      </c>
      <c r="Q57">
        <f t="shared" si="13"/>
        <v>0</v>
      </c>
      <c r="R57" s="29">
        <f t="shared" si="14"/>
        <v>68598.043104071476</v>
      </c>
      <c r="S57" s="29">
        <f t="shared" si="6"/>
        <v>68598.043104071476</v>
      </c>
      <c r="T57" s="29">
        <f t="shared" si="15"/>
        <v>68598.043104071476</v>
      </c>
      <c r="U57">
        <f t="shared" si="16"/>
        <v>0</v>
      </c>
      <c r="V57" s="29">
        <f t="shared" si="17"/>
        <v>68598.043104071476</v>
      </c>
      <c r="W57" s="29">
        <f t="shared" si="7"/>
        <v>68598.043104071476</v>
      </c>
      <c r="X57" s="29">
        <f t="shared" si="18"/>
        <v>68598.043104071476</v>
      </c>
      <c r="Y57">
        <f t="shared" si="19"/>
        <v>0</v>
      </c>
    </row>
    <row r="58" spans="1:25" x14ac:dyDescent="0.25">
      <c r="A58" s="4" t="s">
        <v>765</v>
      </c>
      <c r="B58" s="7" t="s">
        <v>114</v>
      </c>
      <c r="C58" s="2" t="s">
        <v>766</v>
      </c>
      <c r="D58">
        <f>VLOOKUP(B58,'Model allocations'!$A$1:$L$316,3,FALSE)</f>
        <v>0</v>
      </c>
      <c r="E58" s="31">
        <f>VLOOKUP(B58,'Initial adjusted formula count'!$A$1:$P$316,12,FALSE)</f>
        <v>8.6956521739130405E-2</v>
      </c>
      <c r="F58">
        <f>VLOOKUP(B58,'Model allocations'!$A$1:$L$316,8,FALSE)</f>
        <v>8800.02080608715</v>
      </c>
      <c r="G58" s="30">
        <f t="shared" si="8"/>
        <v>0.85</v>
      </c>
      <c r="H58">
        <f t="shared" si="9"/>
        <v>0</v>
      </c>
      <c r="I58">
        <f t="shared" si="1"/>
        <v>0</v>
      </c>
      <c r="J58">
        <f t="shared" si="2"/>
        <v>8800.02080608715</v>
      </c>
      <c r="K58">
        <f t="shared" si="3"/>
        <v>8794.8915278443546</v>
      </c>
      <c r="L58">
        <f t="shared" si="10"/>
        <v>8794.8915278443546</v>
      </c>
      <c r="M58">
        <f t="shared" si="4"/>
        <v>0</v>
      </c>
      <c r="N58" s="29">
        <f t="shared" si="11"/>
        <v>8794.8915278443546</v>
      </c>
      <c r="O58" s="29">
        <f t="shared" si="5"/>
        <v>8794.6209107783925</v>
      </c>
      <c r="P58" s="29">
        <f t="shared" si="12"/>
        <v>8794.6209107783925</v>
      </c>
      <c r="Q58">
        <f t="shared" si="13"/>
        <v>0</v>
      </c>
      <c r="R58" s="29">
        <f t="shared" si="14"/>
        <v>8794.6209107783925</v>
      </c>
      <c r="S58" s="29">
        <f t="shared" si="6"/>
        <v>8794.6209107783925</v>
      </c>
      <c r="T58" s="29">
        <f t="shared" si="15"/>
        <v>8794.6209107783925</v>
      </c>
      <c r="U58">
        <f t="shared" si="16"/>
        <v>0</v>
      </c>
      <c r="V58" s="29">
        <f t="shared" si="17"/>
        <v>8794.6209107783925</v>
      </c>
      <c r="W58" s="29">
        <f t="shared" si="7"/>
        <v>8794.6209107783925</v>
      </c>
      <c r="X58" s="29">
        <f t="shared" si="18"/>
        <v>8794.6209107783925</v>
      </c>
      <c r="Y58">
        <f t="shared" si="19"/>
        <v>0</v>
      </c>
    </row>
    <row r="59" spans="1:25" x14ac:dyDescent="0.25">
      <c r="A59" s="4" t="s">
        <v>767</v>
      </c>
      <c r="B59" s="7" t="s">
        <v>271</v>
      </c>
      <c r="C59" s="2" t="s">
        <v>768</v>
      </c>
      <c r="D59">
        <f>VLOOKUP(B59,'Model allocations'!$A$1:$L$316,3,FALSE)</f>
        <v>48448.826999381577</v>
      </c>
      <c r="E59" s="31">
        <f>VLOOKUP(B59,'Initial adjusted formula count'!$A$1:$P$316,12,FALSE)</f>
        <v>8.8408644400785899E-2</v>
      </c>
      <c r="F59">
        <f>VLOOKUP(B59,'Model allocations'!$A$1:$L$316,8,FALSE)</f>
        <v>41181.502949474343</v>
      </c>
      <c r="G59" s="30">
        <f t="shared" si="8"/>
        <v>0.85</v>
      </c>
      <c r="H59">
        <f t="shared" si="9"/>
        <v>41181.502949474343</v>
      </c>
      <c r="I59">
        <f t="shared" si="1"/>
        <v>0</v>
      </c>
      <c r="J59">
        <f t="shared" si="2"/>
        <v>41181.502949474343</v>
      </c>
      <c r="K59">
        <f t="shared" si="3"/>
        <v>41157.499439512387</v>
      </c>
      <c r="L59">
        <f t="shared" si="10"/>
        <v>41157.499439512387</v>
      </c>
      <c r="M59">
        <f t="shared" si="4"/>
        <v>41181.502949474343</v>
      </c>
      <c r="N59" s="29">
        <f t="shared" si="11"/>
        <v>0</v>
      </c>
      <c r="O59" s="29">
        <f t="shared" si="5"/>
        <v>0</v>
      </c>
      <c r="P59" s="29">
        <f t="shared" si="12"/>
        <v>41181.502949474343</v>
      </c>
      <c r="Q59">
        <f t="shared" si="13"/>
        <v>0</v>
      </c>
      <c r="R59" s="29">
        <f t="shared" si="14"/>
        <v>0</v>
      </c>
      <c r="S59" s="29">
        <f t="shared" si="6"/>
        <v>0</v>
      </c>
      <c r="T59" s="29">
        <f t="shared" si="15"/>
        <v>41181.502949474343</v>
      </c>
      <c r="U59">
        <f t="shared" si="16"/>
        <v>0</v>
      </c>
      <c r="V59" s="29">
        <f t="shared" si="17"/>
        <v>0</v>
      </c>
      <c r="W59" s="29">
        <f t="shared" si="7"/>
        <v>0</v>
      </c>
      <c r="X59" s="29">
        <f t="shared" si="18"/>
        <v>41181.502949474343</v>
      </c>
      <c r="Y59">
        <f t="shared" si="19"/>
        <v>0</v>
      </c>
    </row>
    <row r="60" spans="1:25" x14ac:dyDescent="0.25">
      <c r="A60" s="4" t="s">
        <v>769</v>
      </c>
      <c r="B60" s="7" t="s">
        <v>369</v>
      </c>
      <c r="C60" s="2" t="s">
        <v>770</v>
      </c>
      <c r="D60">
        <f>VLOOKUP(B60,'Model allocations'!$A$1:$L$316,3,FALSE)</f>
        <v>71257.431362590156</v>
      </c>
      <c r="E60" s="31">
        <f>VLOOKUP(B60,'Initial adjusted formula count'!$A$1:$P$316,12,FALSE)</f>
        <v>0.19387755102040799</v>
      </c>
      <c r="F60">
        <f>VLOOKUP(B60,'Model allocations'!$A$1:$L$316,8,FALSE)</f>
        <v>100320.23718939352</v>
      </c>
      <c r="G60" s="30">
        <f t="shared" si="8"/>
        <v>0.9</v>
      </c>
      <c r="H60">
        <f t="shared" si="9"/>
        <v>64131.688226331142</v>
      </c>
      <c r="I60">
        <f t="shared" si="1"/>
        <v>0</v>
      </c>
      <c r="J60">
        <f t="shared" si="2"/>
        <v>100320.23718939352</v>
      </c>
      <c r="K60">
        <f t="shared" si="3"/>
        <v>100261.76341742565</v>
      </c>
      <c r="L60">
        <f t="shared" si="10"/>
        <v>100261.76341742565</v>
      </c>
      <c r="M60">
        <f t="shared" si="4"/>
        <v>0</v>
      </c>
      <c r="N60" s="29">
        <f t="shared" si="11"/>
        <v>100261.76341742565</v>
      </c>
      <c r="O60" s="29">
        <f t="shared" si="5"/>
        <v>100258.67838287368</v>
      </c>
      <c r="P60" s="29">
        <f t="shared" si="12"/>
        <v>100258.67838287368</v>
      </c>
      <c r="Q60">
        <f t="shared" si="13"/>
        <v>0</v>
      </c>
      <c r="R60" s="29">
        <f t="shared" si="14"/>
        <v>100258.67838287368</v>
      </c>
      <c r="S60" s="29">
        <f t="shared" si="6"/>
        <v>100258.67838287368</v>
      </c>
      <c r="T60" s="29">
        <f t="shared" si="15"/>
        <v>100258.67838287368</v>
      </c>
      <c r="U60">
        <f t="shared" si="16"/>
        <v>0</v>
      </c>
      <c r="V60" s="29">
        <f t="shared" si="17"/>
        <v>100258.67838287368</v>
      </c>
      <c r="W60" s="29">
        <f t="shared" si="7"/>
        <v>100258.67838287368</v>
      </c>
      <c r="X60" s="29">
        <f t="shared" si="18"/>
        <v>100258.67838287368</v>
      </c>
      <c r="Y60">
        <f t="shared" si="19"/>
        <v>0</v>
      </c>
    </row>
    <row r="61" spans="1:25" x14ac:dyDescent="0.25">
      <c r="A61" s="4" t="s">
        <v>771</v>
      </c>
      <c r="B61" s="7" t="s">
        <v>371</v>
      </c>
      <c r="C61" s="2" t="s">
        <v>772</v>
      </c>
      <c r="D61">
        <f>VLOOKUP(B61,'Model allocations'!$A$1:$L$316,3,FALSE)</f>
        <v>80816.355081962014</v>
      </c>
      <c r="E61" s="31">
        <f>VLOOKUP(B61,'Initial adjusted formula count'!$A$1:$P$316,12,FALSE)</f>
        <v>0.18093385214007801</v>
      </c>
      <c r="F61">
        <f>VLOOKUP(B61,'Model allocations'!$A$1:$L$316,8,FALSE)</f>
        <v>81840.193496610504</v>
      </c>
      <c r="G61" s="30">
        <f t="shared" si="8"/>
        <v>0.9</v>
      </c>
      <c r="H61">
        <f t="shared" si="9"/>
        <v>72734.719573765818</v>
      </c>
      <c r="I61">
        <f t="shared" si="1"/>
        <v>0</v>
      </c>
      <c r="J61">
        <f t="shared" si="2"/>
        <v>81840.193496610504</v>
      </c>
      <c r="K61">
        <f t="shared" si="3"/>
        <v>81792.491208952502</v>
      </c>
      <c r="L61">
        <f t="shared" si="10"/>
        <v>81792.491208952502</v>
      </c>
      <c r="M61">
        <f t="shared" si="4"/>
        <v>0</v>
      </c>
      <c r="N61" s="29">
        <f t="shared" si="11"/>
        <v>81792.491208952502</v>
      </c>
      <c r="O61" s="29">
        <f t="shared" si="5"/>
        <v>81789.974470239045</v>
      </c>
      <c r="P61" s="29">
        <f t="shared" si="12"/>
        <v>81789.974470239045</v>
      </c>
      <c r="Q61">
        <f t="shared" si="13"/>
        <v>0</v>
      </c>
      <c r="R61" s="29">
        <f t="shared" si="14"/>
        <v>81789.974470239045</v>
      </c>
      <c r="S61" s="29">
        <f t="shared" si="6"/>
        <v>81789.974470239045</v>
      </c>
      <c r="T61" s="29">
        <f t="shared" si="15"/>
        <v>81789.974470239045</v>
      </c>
      <c r="U61">
        <f t="shared" si="16"/>
        <v>0</v>
      </c>
      <c r="V61" s="29">
        <f t="shared" si="17"/>
        <v>81789.974470239045</v>
      </c>
      <c r="W61" s="29">
        <f t="shared" si="7"/>
        <v>81789.974470239045</v>
      </c>
      <c r="X61" s="29">
        <f t="shared" si="18"/>
        <v>81789.974470239045</v>
      </c>
      <c r="Y61">
        <f t="shared" si="19"/>
        <v>0</v>
      </c>
    </row>
    <row r="62" spans="1:25" x14ac:dyDescent="0.25">
      <c r="A62" s="4" t="s">
        <v>773</v>
      </c>
      <c r="B62" s="7" t="s">
        <v>373</v>
      </c>
      <c r="C62" s="2" t="s">
        <v>774</v>
      </c>
      <c r="D62">
        <f>VLOOKUP(B62,'Model allocations'!$A$1:$L$316,3,FALSE)</f>
        <v>247178.7082880025</v>
      </c>
      <c r="E62" s="31">
        <f>VLOOKUP(B62,'Initial adjusted formula count'!$A$1:$P$316,12,FALSE)</f>
        <v>0.10058922558922601</v>
      </c>
      <c r="F62">
        <f>VLOOKUP(B62,'Model allocations'!$A$1:$L$316,8,FALSE)</f>
        <v>210320.49726548296</v>
      </c>
      <c r="G62" s="30">
        <f t="shared" si="8"/>
        <v>0.85</v>
      </c>
      <c r="H62">
        <f t="shared" si="9"/>
        <v>210101.90204480212</v>
      </c>
      <c r="I62">
        <f t="shared" si="1"/>
        <v>0</v>
      </c>
      <c r="J62">
        <f t="shared" si="2"/>
        <v>210320.49726548296</v>
      </c>
      <c r="K62">
        <f t="shared" si="3"/>
        <v>210197.90751548012</v>
      </c>
      <c r="L62">
        <f t="shared" si="10"/>
        <v>210197.90751548012</v>
      </c>
      <c r="M62">
        <f t="shared" si="4"/>
        <v>0</v>
      </c>
      <c r="N62" s="29">
        <f t="shared" si="11"/>
        <v>210197.90751548012</v>
      </c>
      <c r="O62" s="29">
        <f t="shared" si="5"/>
        <v>210191.43976760362</v>
      </c>
      <c r="P62" s="29">
        <f t="shared" si="12"/>
        <v>210191.43976760362</v>
      </c>
      <c r="Q62">
        <f t="shared" si="13"/>
        <v>0</v>
      </c>
      <c r="R62" s="29">
        <f t="shared" si="14"/>
        <v>210191.43976760362</v>
      </c>
      <c r="S62" s="29">
        <f t="shared" si="6"/>
        <v>210191.43976760362</v>
      </c>
      <c r="T62" s="29">
        <f t="shared" si="15"/>
        <v>210191.43976760362</v>
      </c>
      <c r="U62">
        <f t="shared" si="16"/>
        <v>0</v>
      </c>
      <c r="V62" s="29">
        <f t="shared" si="17"/>
        <v>210191.43976760362</v>
      </c>
      <c r="W62" s="29">
        <f t="shared" si="7"/>
        <v>210191.43976760362</v>
      </c>
      <c r="X62" s="29">
        <f t="shared" si="18"/>
        <v>210191.43976760362</v>
      </c>
      <c r="Y62">
        <f t="shared" si="19"/>
        <v>0</v>
      </c>
    </row>
    <row r="63" spans="1:25" x14ac:dyDescent="0.25">
      <c r="A63" s="4" t="s">
        <v>775</v>
      </c>
      <c r="B63" s="7" t="s">
        <v>273</v>
      </c>
      <c r="C63" s="2" t="s">
        <v>776</v>
      </c>
      <c r="D63">
        <f>VLOOKUP(B63,'Model allocations'!$A$1:$L$316,3,FALSE)</f>
        <v>88637.292670538998</v>
      </c>
      <c r="E63" s="31">
        <f>VLOOKUP(B63,'Initial adjusted formula count'!$A$1:$P$316,12,FALSE)</f>
        <v>5.6184668989547E-2</v>
      </c>
      <c r="F63">
        <f>VLOOKUP(B63,'Model allocations'!$A$1:$L$316,8,FALSE)</f>
        <v>113520.26839852426</v>
      </c>
      <c r="G63" s="30">
        <f t="shared" si="8"/>
        <v>0.85</v>
      </c>
      <c r="H63">
        <f t="shared" si="9"/>
        <v>75341.698769958151</v>
      </c>
      <c r="I63">
        <f t="shared" si="1"/>
        <v>0</v>
      </c>
      <c r="J63">
        <f t="shared" si="2"/>
        <v>113520.26839852426</v>
      </c>
      <c r="K63">
        <f t="shared" si="3"/>
        <v>113454.10070919219</v>
      </c>
      <c r="L63">
        <f t="shared" si="10"/>
        <v>113454.10070919219</v>
      </c>
      <c r="M63">
        <f t="shared" si="4"/>
        <v>0</v>
      </c>
      <c r="N63" s="29">
        <f t="shared" si="11"/>
        <v>113454.10070919219</v>
      </c>
      <c r="O63" s="29">
        <f t="shared" si="5"/>
        <v>113450.60974904128</v>
      </c>
      <c r="P63" s="29">
        <f t="shared" si="12"/>
        <v>113450.60974904128</v>
      </c>
      <c r="Q63">
        <f t="shared" si="13"/>
        <v>0</v>
      </c>
      <c r="R63" s="29">
        <f t="shared" si="14"/>
        <v>113450.60974904128</v>
      </c>
      <c r="S63" s="29">
        <f t="shared" si="6"/>
        <v>113450.60974904128</v>
      </c>
      <c r="T63" s="29">
        <f t="shared" si="15"/>
        <v>113450.60974904128</v>
      </c>
      <c r="U63">
        <f t="shared" si="16"/>
        <v>0</v>
      </c>
      <c r="V63" s="29">
        <f t="shared" si="17"/>
        <v>113450.60974904128</v>
      </c>
      <c r="W63" s="29">
        <f t="shared" si="7"/>
        <v>113450.60974904128</v>
      </c>
      <c r="X63" s="29">
        <f t="shared" si="18"/>
        <v>113450.60974904128</v>
      </c>
      <c r="Y63">
        <f t="shared" si="19"/>
        <v>0</v>
      </c>
    </row>
    <row r="64" spans="1:25" x14ac:dyDescent="0.25">
      <c r="A64" s="4" t="s">
        <v>777</v>
      </c>
      <c r="B64" s="7" t="s">
        <v>375</v>
      </c>
      <c r="C64" s="2" t="s">
        <v>778</v>
      </c>
      <c r="D64">
        <f>VLOOKUP(B64,'Model allocations'!$A$1:$L$316,3,FALSE)</f>
        <v>0</v>
      </c>
      <c r="E64" s="31">
        <f>VLOOKUP(B64,'Initial adjusted formula count'!$A$1:$P$316,12,FALSE)</f>
        <v>1.35135135135135E-2</v>
      </c>
      <c r="F64">
        <f>VLOOKUP(B64,'Model allocations'!$A$1:$L$316,8,FALSE)</f>
        <v>0</v>
      </c>
      <c r="G64" s="30">
        <f t="shared" si="8"/>
        <v>0.85</v>
      </c>
      <c r="H64">
        <f t="shared" si="9"/>
        <v>0</v>
      </c>
      <c r="I64">
        <f t="shared" si="1"/>
        <v>0</v>
      </c>
      <c r="J64">
        <f t="shared" si="2"/>
        <v>0</v>
      </c>
      <c r="K64">
        <f t="shared" si="3"/>
        <v>0</v>
      </c>
      <c r="L64">
        <f t="shared" si="10"/>
        <v>0</v>
      </c>
      <c r="M64">
        <f t="shared" si="4"/>
        <v>0</v>
      </c>
      <c r="N64" s="29">
        <f t="shared" si="11"/>
        <v>0</v>
      </c>
      <c r="O64" s="29">
        <f t="shared" si="5"/>
        <v>0</v>
      </c>
      <c r="P64" s="29">
        <f t="shared" si="12"/>
        <v>0</v>
      </c>
      <c r="Q64">
        <f t="shared" si="13"/>
        <v>0</v>
      </c>
      <c r="R64" s="29">
        <f t="shared" si="14"/>
        <v>0</v>
      </c>
      <c r="S64" s="29">
        <f t="shared" si="6"/>
        <v>0</v>
      </c>
      <c r="T64" s="29">
        <f t="shared" si="15"/>
        <v>0</v>
      </c>
      <c r="U64">
        <f t="shared" si="16"/>
        <v>0</v>
      </c>
      <c r="V64" s="29">
        <f t="shared" si="17"/>
        <v>0</v>
      </c>
      <c r="W64" s="29">
        <f t="shared" si="7"/>
        <v>0</v>
      </c>
      <c r="X64" s="29">
        <f t="shared" si="18"/>
        <v>0</v>
      </c>
      <c r="Y64">
        <f t="shared" si="19"/>
        <v>0</v>
      </c>
    </row>
    <row r="65" spans="1:25" x14ac:dyDescent="0.25">
      <c r="A65" s="4" t="s">
        <v>779</v>
      </c>
      <c r="B65" s="7" t="s">
        <v>377</v>
      </c>
      <c r="C65" s="2" t="s">
        <v>780</v>
      </c>
      <c r="D65">
        <f>VLOOKUP(B65,'Model allocations'!$A$1:$L$316,3,FALSE)</f>
        <v>592351.34234698792</v>
      </c>
      <c r="E65" s="31">
        <f>VLOOKUP(B65,'Initial adjusted formula count'!$A$1:$P$316,12,FALSE)</f>
        <v>0.12114115392803899</v>
      </c>
      <c r="F65">
        <f>VLOOKUP(B65,'Model allocations'!$A$1:$L$316,8,FALSE)</f>
        <v>503283.51660229074</v>
      </c>
      <c r="G65" s="30">
        <f t="shared" si="8"/>
        <v>0.85</v>
      </c>
      <c r="H65">
        <f t="shared" si="9"/>
        <v>503498.64099493972</v>
      </c>
      <c r="I65">
        <f t="shared" si="1"/>
        <v>503498.64099493972</v>
      </c>
      <c r="J65">
        <f t="shared" si="2"/>
        <v>0</v>
      </c>
      <c r="K65">
        <f t="shared" si="3"/>
        <v>0</v>
      </c>
      <c r="L65">
        <f t="shared" si="10"/>
        <v>503498.64099493972</v>
      </c>
      <c r="M65">
        <f t="shared" si="4"/>
        <v>0</v>
      </c>
      <c r="N65" s="29">
        <f t="shared" si="11"/>
        <v>0</v>
      </c>
      <c r="O65" s="29">
        <f t="shared" si="5"/>
        <v>0</v>
      </c>
      <c r="P65" s="29">
        <f t="shared" si="12"/>
        <v>503498.64099493972</v>
      </c>
      <c r="Q65">
        <f t="shared" si="13"/>
        <v>0</v>
      </c>
      <c r="R65" s="29">
        <f t="shared" si="14"/>
        <v>0</v>
      </c>
      <c r="S65" s="29">
        <f t="shared" si="6"/>
        <v>0</v>
      </c>
      <c r="T65" s="29">
        <f t="shared" si="15"/>
        <v>503498.64099493972</v>
      </c>
      <c r="U65">
        <f t="shared" si="16"/>
        <v>0</v>
      </c>
      <c r="V65" s="29">
        <f t="shared" si="17"/>
        <v>0</v>
      </c>
      <c r="W65" s="29">
        <f t="shared" si="7"/>
        <v>0</v>
      </c>
      <c r="X65" s="29">
        <f t="shared" si="18"/>
        <v>503498.64099493972</v>
      </c>
      <c r="Y65">
        <f t="shared" si="19"/>
        <v>0</v>
      </c>
    </row>
    <row r="66" spans="1:25" x14ac:dyDescent="0.25">
      <c r="A66" s="4" t="s">
        <v>781</v>
      </c>
      <c r="B66" s="7" t="s">
        <v>379</v>
      </c>
      <c r="C66" s="2" t="s">
        <v>782</v>
      </c>
      <c r="D66">
        <f>VLOOKUP(B66,'Model allocations'!$A$1:$L$316,3,FALSE)</f>
        <v>425806.60204474605</v>
      </c>
      <c r="E66" s="31">
        <f>VLOOKUP(B66,'Initial adjusted formula count'!$A$1:$P$316,12,FALSE)</f>
        <v>0.148556876061121</v>
      </c>
      <c r="F66">
        <f>VLOOKUP(B66,'Model allocations'!$A$1:$L$316,8,FALSE)</f>
        <v>462001.09231957549</v>
      </c>
      <c r="G66" s="30">
        <f t="shared" si="8"/>
        <v>0.85</v>
      </c>
      <c r="H66">
        <f t="shared" si="9"/>
        <v>361935.61173803412</v>
      </c>
      <c r="I66">
        <f t="shared" si="1"/>
        <v>0</v>
      </c>
      <c r="J66">
        <f t="shared" si="2"/>
        <v>462001.09231957549</v>
      </c>
      <c r="K66">
        <f t="shared" si="3"/>
        <v>461731.80521182867</v>
      </c>
      <c r="L66">
        <f t="shared" si="10"/>
        <v>461731.80521182867</v>
      </c>
      <c r="M66">
        <f t="shared" si="4"/>
        <v>0</v>
      </c>
      <c r="N66" s="29">
        <f t="shared" si="11"/>
        <v>461731.80521182867</v>
      </c>
      <c r="O66" s="29">
        <f t="shared" si="5"/>
        <v>461717.59781586565</v>
      </c>
      <c r="P66" s="29">
        <f t="shared" si="12"/>
        <v>461717.59781586565</v>
      </c>
      <c r="Q66">
        <f t="shared" si="13"/>
        <v>0</v>
      </c>
      <c r="R66" s="29">
        <f t="shared" si="14"/>
        <v>461717.59781586565</v>
      </c>
      <c r="S66" s="29">
        <f t="shared" si="6"/>
        <v>461717.59781586565</v>
      </c>
      <c r="T66" s="29">
        <f t="shared" si="15"/>
        <v>461717.59781586565</v>
      </c>
      <c r="U66">
        <f t="shared" si="16"/>
        <v>0</v>
      </c>
      <c r="V66" s="29">
        <f t="shared" si="17"/>
        <v>461717.59781586565</v>
      </c>
      <c r="W66" s="29">
        <f t="shared" si="7"/>
        <v>461717.59781586565</v>
      </c>
      <c r="X66" s="29">
        <f t="shared" si="18"/>
        <v>461717.59781586565</v>
      </c>
      <c r="Y66">
        <f t="shared" si="19"/>
        <v>0</v>
      </c>
    </row>
    <row r="67" spans="1:25" x14ac:dyDescent="0.25">
      <c r="A67" s="4" t="s">
        <v>783</v>
      </c>
      <c r="B67" s="7" t="s">
        <v>381</v>
      </c>
      <c r="C67" s="2" t="s">
        <v>784</v>
      </c>
      <c r="D67">
        <f>VLOOKUP(B67,'Model allocations'!$A$1:$L$316,3,FALSE)</f>
        <v>769927.855942133</v>
      </c>
      <c r="E67" s="31">
        <f>VLOOKUP(B67,'Initial adjusted formula count'!$A$1:$P$316,12,FALSE)</f>
        <v>0.13250714966634899</v>
      </c>
      <c r="F67">
        <f>VLOOKUP(B67,'Model allocations'!$A$1:$L$316,8,FALSE)</f>
        <v>733921.73522766866</v>
      </c>
      <c r="G67" s="30">
        <f t="shared" si="8"/>
        <v>0.85</v>
      </c>
      <c r="H67">
        <f t="shared" si="9"/>
        <v>654438.67755081307</v>
      </c>
      <c r="I67">
        <f t="shared" si="1"/>
        <v>0</v>
      </c>
      <c r="J67">
        <f t="shared" si="2"/>
        <v>733921.73522766866</v>
      </c>
      <c r="K67">
        <f t="shared" si="3"/>
        <v>733493.95342221949</v>
      </c>
      <c r="L67">
        <f t="shared" si="10"/>
        <v>733493.95342221949</v>
      </c>
      <c r="M67">
        <f t="shared" si="4"/>
        <v>0</v>
      </c>
      <c r="N67" s="29">
        <f t="shared" si="11"/>
        <v>733493.95342221949</v>
      </c>
      <c r="O67" s="29">
        <f t="shared" si="5"/>
        <v>733471.38395891828</v>
      </c>
      <c r="P67" s="29">
        <f t="shared" si="12"/>
        <v>733471.38395891828</v>
      </c>
      <c r="Q67">
        <f t="shared" si="13"/>
        <v>0</v>
      </c>
      <c r="R67" s="29">
        <f t="shared" si="14"/>
        <v>733471.38395891828</v>
      </c>
      <c r="S67" s="29">
        <f t="shared" si="6"/>
        <v>733471.38395891828</v>
      </c>
      <c r="T67" s="29">
        <f t="shared" si="15"/>
        <v>733471.38395891828</v>
      </c>
      <c r="U67">
        <f t="shared" si="16"/>
        <v>0</v>
      </c>
      <c r="V67" s="29">
        <f t="shared" si="17"/>
        <v>733471.38395891828</v>
      </c>
      <c r="W67" s="29">
        <f t="shared" si="7"/>
        <v>733471.38395891828</v>
      </c>
      <c r="X67" s="29">
        <f t="shared" si="18"/>
        <v>733471.38395891828</v>
      </c>
      <c r="Y67">
        <f t="shared" si="19"/>
        <v>0</v>
      </c>
    </row>
    <row r="68" spans="1:25" x14ac:dyDescent="0.25">
      <c r="A68" s="4" t="s">
        <v>785</v>
      </c>
      <c r="B68" s="7" t="s">
        <v>116</v>
      </c>
      <c r="C68" s="2" t="s">
        <v>786</v>
      </c>
      <c r="D68">
        <f>VLOOKUP(B68,'Model allocations'!$A$1:$L$316,3,FALSE)</f>
        <v>18248.854373346257</v>
      </c>
      <c r="E68" s="31">
        <f>VLOOKUP(B68,'Initial adjusted formula count'!$A$1:$P$316,12,FALSE)</f>
        <v>7.4999999999999997E-2</v>
      </c>
      <c r="F68">
        <f>VLOOKUP(B68,'Model allocations'!$A$1:$L$316,8,FALSE)</f>
        <v>15520.144851038323</v>
      </c>
      <c r="G68" s="30">
        <f t="shared" si="8"/>
        <v>0.85</v>
      </c>
      <c r="H68">
        <f t="shared" si="9"/>
        <v>15511.526217344319</v>
      </c>
      <c r="I68">
        <f t="shared" ref="I68:I131" si="20">IF(F68&lt;H68,H68,0)</f>
        <v>0</v>
      </c>
      <c r="J68">
        <f t="shared" ref="J68:J131" si="21">IF(I68=0,F68,0)</f>
        <v>15520.144851038323</v>
      </c>
      <c r="K68">
        <f t="shared" ref="K68:K131" si="22">(J68/$J$3)*($F$3-$I$3)</f>
        <v>15511.09860636872</v>
      </c>
      <c r="L68">
        <f t="shared" si="10"/>
        <v>15511.09860636872</v>
      </c>
      <c r="M68">
        <f t="shared" ref="M68:M131" si="23">IF(L68&lt;H68,H68,0)</f>
        <v>15511.526217344319</v>
      </c>
      <c r="N68" s="29">
        <f t="shared" si="11"/>
        <v>0</v>
      </c>
      <c r="O68" s="29">
        <f t="shared" ref="O68:O131" si="24">((N68/$N$3)*($F$3-$I$3-$M$3))</f>
        <v>0</v>
      </c>
      <c r="P68" s="29">
        <f t="shared" si="12"/>
        <v>15511.526217344319</v>
      </c>
      <c r="Q68">
        <f t="shared" si="13"/>
        <v>0</v>
      </c>
      <c r="R68" s="29">
        <f t="shared" si="14"/>
        <v>0</v>
      </c>
      <c r="S68" s="29">
        <f t="shared" ref="S68:S131" si="25">((R68/$R$3)*($F$3-$I$3-$M$3-$Q$3))</f>
        <v>0</v>
      </c>
      <c r="T68" s="29">
        <f t="shared" si="15"/>
        <v>15511.526217344319</v>
      </c>
      <c r="U68">
        <f t="shared" si="16"/>
        <v>0</v>
      </c>
      <c r="V68" s="29">
        <f t="shared" si="17"/>
        <v>0</v>
      </c>
      <c r="W68" s="29">
        <f t="shared" ref="W68:W131" si="26">((V68/$V$3)*($F$3-$I$3-$M$3-$Q$3-$U$3))</f>
        <v>0</v>
      </c>
      <c r="X68" s="29">
        <f t="shared" si="18"/>
        <v>15511.526217344319</v>
      </c>
      <c r="Y68">
        <f t="shared" si="19"/>
        <v>0</v>
      </c>
    </row>
    <row r="69" spans="1:25" x14ac:dyDescent="0.25">
      <c r="A69" s="4" t="s">
        <v>787</v>
      </c>
      <c r="B69" s="7" t="s">
        <v>118</v>
      </c>
      <c r="C69" s="2" t="s">
        <v>788</v>
      </c>
      <c r="D69">
        <f>VLOOKUP(B69,'Model allocations'!$A$1:$L$316,3,FALSE)</f>
        <v>139677.90912132675</v>
      </c>
      <c r="E69" s="31">
        <f>VLOOKUP(B69,'Initial adjusted formula count'!$A$1:$P$316,12,FALSE)</f>
        <v>8.2321187584345507E-2</v>
      </c>
      <c r="F69">
        <f>VLOOKUP(B69,'Model allocations'!$A$1:$L$316,8,FALSE)</f>
        <v>161040.38075139487</v>
      </c>
      <c r="G69" s="30">
        <f t="shared" ref="G69:G132" si="27">IF(E69&lt;0.15,0.85,IF(AND(E69&gt;=0.15,E69&lt;0.3),0.9,0.95))</f>
        <v>0.85</v>
      </c>
      <c r="H69">
        <f t="shared" ref="H69:H132" si="28">IF(F69 = 0, 0, D69*G69)</f>
        <v>118726.22275312773</v>
      </c>
      <c r="I69">
        <f t="shared" si="20"/>
        <v>0</v>
      </c>
      <c r="J69">
        <f t="shared" si="21"/>
        <v>161040.38075139487</v>
      </c>
      <c r="K69">
        <f t="shared" si="22"/>
        <v>160946.51495955171</v>
      </c>
      <c r="L69">
        <f t="shared" ref="L69:L132" si="29">I69+K69</f>
        <v>160946.51495955171</v>
      </c>
      <c r="M69">
        <f t="shared" si="23"/>
        <v>0</v>
      </c>
      <c r="N69" s="29">
        <f t="shared" ref="N69:N132" si="30">IF($I69+$M69=0,L69,0)</f>
        <v>160946.51495955171</v>
      </c>
      <c r="O69" s="29">
        <f t="shared" si="24"/>
        <v>160941.56266724458</v>
      </c>
      <c r="P69" s="29">
        <f t="shared" ref="P69:P132" si="31">$I69+$M69+O69</f>
        <v>160941.56266724458</v>
      </c>
      <c r="Q69">
        <f t="shared" ref="Q69:Q132" si="32">IF(P69&lt;H69,H69,0)</f>
        <v>0</v>
      </c>
      <c r="R69" s="29">
        <f t="shared" ref="R69:R132" si="33">IF($I69+$M69+$Q69=0,P69,0)</f>
        <v>160941.56266724458</v>
      </c>
      <c r="S69" s="29">
        <f t="shared" si="25"/>
        <v>160941.56266724458</v>
      </c>
      <c r="T69" s="29">
        <f t="shared" ref="T69:T132" si="34">$I69+$M69+$Q69+S69</f>
        <v>160941.56266724458</v>
      </c>
      <c r="U69">
        <f t="shared" ref="U69:U132" si="35">IF(T69&lt;H69,H69,0)</f>
        <v>0</v>
      </c>
      <c r="V69" s="29">
        <f t="shared" ref="V69:V132" si="36">IF($I69+$M69+$Q69+U69=0,T69,0)</f>
        <v>160941.56266724458</v>
      </c>
      <c r="W69" s="29">
        <f t="shared" si="26"/>
        <v>160941.56266724458</v>
      </c>
      <c r="X69" s="29">
        <f t="shared" ref="X69:X132" si="37">$I69+$M69+$Q69+$U69+W69</f>
        <v>160941.56266724458</v>
      </c>
      <c r="Y69">
        <f t="shared" ref="Y69:Y132" si="38">IF(X69&lt;H69,H69,0)</f>
        <v>0</v>
      </c>
    </row>
    <row r="70" spans="1:25" x14ac:dyDescent="0.25">
      <c r="A70" s="4" t="s">
        <v>789</v>
      </c>
      <c r="B70" s="7" t="s">
        <v>120</v>
      </c>
      <c r="C70" s="2" t="s">
        <v>790</v>
      </c>
      <c r="D70">
        <f>VLOOKUP(B70,'Model allocations'!$A$1:$L$316,3,FALSE)</f>
        <v>2048216.655141768</v>
      </c>
      <c r="E70" s="31">
        <f>VLOOKUP(B70,'Initial adjusted formula count'!$A$1:$P$316,12,FALSE)</f>
        <v>9.3281307157663695E-2</v>
      </c>
      <c r="F70">
        <f>VLOOKUP(B70,'Model allocations'!$A$1:$L$316,8,FALSE)</f>
        <v>2019604.774997001</v>
      </c>
      <c r="G70" s="30">
        <f t="shared" si="27"/>
        <v>0.85</v>
      </c>
      <c r="H70">
        <f t="shared" si="28"/>
        <v>1740984.1568705027</v>
      </c>
      <c r="I70">
        <f t="shared" si="20"/>
        <v>0</v>
      </c>
      <c r="J70">
        <f t="shared" si="21"/>
        <v>2019604.774997001</v>
      </c>
      <c r="K70">
        <f t="shared" si="22"/>
        <v>2018427.6056402794</v>
      </c>
      <c r="L70">
        <f t="shared" si="29"/>
        <v>2018427.6056402794</v>
      </c>
      <c r="M70">
        <f t="shared" si="23"/>
        <v>0</v>
      </c>
      <c r="N70" s="29">
        <f t="shared" si="30"/>
        <v>2018427.6056402794</v>
      </c>
      <c r="O70" s="29">
        <f t="shared" si="24"/>
        <v>2018365.499023641</v>
      </c>
      <c r="P70" s="29">
        <f t="shared" si="31"/>
        <v>2018365.499023641</v>
      </c>
      <c r="Q70">
        <f t="shared" si="32"/>
        <v>0</v>
      </c>
      <c r="R70" s="29">
        <f t="shared" si="33"/>
        <v>2018365.499023641</v>
      </c>
      <c r="S70" s="29">
        <f t="shared" si="25"/>
        <v>2018365.499023641</v>
      </c>
      <c r="T70" s="29">
        <f t="shared" si="34"/>
        <v>2018365.499023641</v>
      </c>
      <c r="U70">
        <f t="shared" si="35"/>
        <v>0</v>
      </c>
      <c r="V70" s="29">
        <f t="shared" si="36"/>
        <v>2018365.499023641</v>
      </c>
      <c r="W70" s="29">
        <f t="shared" si="26"/>
        <v>2018365.499023641</v>
      </c>
      <c r="X70" s="29">
        <f t="shared" si="37"/>
        <v>2018365.499023641</v>
      </c>
      <c r="Y70">
        <f t="shared" si="38"/>
        <v>0</v>
      </c>
    </row>
    <row r="71" spans="1:25" x14ac:dyDescent="0.25">
      <c r="A71" s="4" t="s">
        <v>791</v>
      </c>
      <c r="B71" s="7" t="s">
        <v>383</v>
      </c>
      <c r="C71" s="2" t="s">
        <v>792</v>
      </c>
      <c r="D71">
        <f>VLOOKUP(B71,'Model allocations'!$A$1:$L$316,3,FALSE)</f>
        <v>386701.91410186124</v>
      </c>
      <c r="E71" s="31">
        <f>VLOOKUP(B71,'Initial adjusted formula count'!$A$1:$P$316,12,FALSE)</f>
        <v>0.118579234972678</v>
      </c>
      <c r="F71">
        <f>VLOOKUP(B71,'Model allocations'!$A$1:$L$316,8,FALSE)</f>
        <v>381920.90298418235</v>
      </c>
      <c r="G71" s="30">
        <f t="shared" si="27"/>
        <v>0.85</v>
      </c>
      <c r="H71">
        <f t="shared" si="28"/>
        <v>328696.62698658207</v>
      </c>
      <c r="I71">
        <f t="shared" si="20"/>
        <v>0</v>
      </c>
      <c r="J71">
        <f t="shared" si="21"/>
        <v>381920.90298418235</v>
      </c>
      <c r="K71">
        <f t="shared" si="22"/>
        <v>381698.29230844503</v>
      </c>
      <c r="L71">
        <f t="shared" si="29"/>
        <v>381698.29230844503</v>
      </c>
      <c r="M71">
        <f t="shared" si="23"/>
        <v>0</v>
      </c>
      <c r="N71" s="29">
        <f t="shared" si="30"/>
        <v>381698.29230844503</v>
      </c>
      <c r="O71" s="29">
        <f t="shared" si="24"/>
        <v>381686.54752778227</v>
      </c>
      <c r="P71" s="29">
        <f t="shared" si="31"/>
        <v>381686.54752778227</v>
      </c>
      <c r="Q71">
        <f t="shared" si="32"/>
        <v>0</v>
      </c>
      <c r="R71" s="29">
        <f t="shared" si="33"/>
        <v>381686.54752778227</v>
      </c>
      <c r="S71" s="29">
        <f t="shared" si="25"/>
        <v>381686.54752778227</v>
      </c>
      <c r="T71" s="29">
        <f t="shared" si="34"/>
        <v>381686.54752778227</v>
      </c>
      <c r="U71">
        <f t="shared" si="35"/>
        <v>0</v>
      </c>
      <c r="V71" s="29">
        <f t="shared" si="36"/>
        <v>381686.54752778227</v>
      </c>
      <c r="W71" s="29">
        <f t="shared" si="26"/>
        <v>381686.54752778227</v>
      </c>
      <c r="X71" s="29">
        <f t="shared" si="37"/>
        <v>381686.54752778227</v>
      </c>
      <c r="Y71">
        <f t="shared" si="38"/>
        <v>0</v>
      </c>
    </row>
    <row r="72" spans="1:25" x14ac:dyDescent="0.25">
      <c r="A72" s="4" t="s">
        <v>793</v>
      </c>
      <c r="B72" s="7" t="s">
        <v>385</v>
      </c>
      <c r="C72" s="2" t="s">
        <v>794</v>
      </c>
      <c r="D72">
        <f>VLOOKUP(B72,'Model allocations'!$A$1:$L$316,3,FALSE)</f>
        <v>253975.4775030223</v>
      </c>
      <c r="E72" s="31">
        <f>VLOOKUP(B72,'Initial adjusted formula count'!$A$1:$P$316,12,FALSE)</f>
        <v>0.16814720812182701</v>
      </c>
      <c r="F72">
        <f>VLOOKUP(B72,'Model allocations'!$A$1:$L$316,8,FALSE)</f>
        <v>233200.55136130951</v>
      </c>
      <c r="G72" s="30">
        <f t="shared" si="27"/>
        <v>0.9</v>
      </c>
      <c r="H72">
        <f t="shared" si="28"/>
        <v>228577.92975272008</v>
      </c>
      <c r="I72">
        <f t="shared" si="20"/>
        <v>0</v>
      </c>
      <c r="J72">
        <f t="shared" si="21"/>
        <v>233200.55136130951</v>
      </c>
      <c r="K72">
        <f t="shared" si="22"/>
        <v>233064.62548787543</v>
      </c>
      <c r="L72">
        <f t="shared" si="29"/>
        <v>233064.62548787543</v>
      </c>
      <c r="M72">
        <f t="shared" si="23"/>
        <v>0</v>
      </c>
      <c r="N72" s="29">
        <f t="shared" si="30"/>
        <v>233064.62548787543</v>
      </c>
      <c r="O72" s="29">
        <f t="shared" si="24"/>
        <v>233057.45413562743</v>
      </c>
      <c r="P72" s="29">
        <f t="shared" si="31"/>
        <v>233057.45413562743</v>
      </c>
      <c r="Q72">
        <f t="shared" si="32"/>
        <v>0</v>
      </c>
      <c r="R72" s="29">
        <f t="shared" si="33"/>
        <v>233057.45413562743</v>
      </c>
      <c r="S72" s="29">
        <f t="shared" si="25"/>
        <v>233057.45413562743</v>
      </c>
      <c r="T72" s="29">
        <f t="shared" si="34"/>
        <v>233057.45413562743</v>
      </c>
      <c r="U72">
        <f t="shared" si="35"/>
        <v>0</v>
      </c>
      <c r="V72" s="29">
        <f t="shared" si="36"/>
        <v>233057.45413562743</v>
      </c>
      <c r="W72" s="29">
        <f t="shared" si="26"/>
        <v>233057.45413562743</v>
      </c>
      <c r="X72" s="29">
        <f t="shared" si="37"/>
        <v>233057.45413562743</v>
      </c>
      <c r="Y72">
        <f t="shared" si="38"/>
        <v>0</v>
      </c>
    </row>
    <row r="73" spans="1:25" x14ac:dyDescent="0.25">
      <c r="A73" s="4" t="s">
        <v>795</v>
      </c>
      <c r="B73" s="7" t="s">
        <v>387</v>
      </c>
      <c r="C73" s="2" t="s">
        <v>796</v>
      </c>
      <c r="D73">
        <f>VLOOKUP(B73,'Model allocations'!$A$1:$L$316,3,FALSE)</f>
        <v>19117.847438743713</v>
      </c>
      <c r="E73" s="31">
        <f>VLOOKUP(B73,'Initial adjusted formula count'!$A$1:$P$316,12,FALSE)</f>
        <v>0.133333333333333</v>
      </c>
      <c r="F73">
        <f>VLOOKUP(B73,'Model allocations'!$A$1:$L$316,8,FALSE)</f>
        <v>16259.19936775444</v>
      </c>
      <c r="G73" s="30">
        <f t="shared" si="27"/>
        <v>0.85</v>
      </c>
      <c r="H73">
        <f t="shared" si="28"/>
        <v>16250.170322932156</v>
      </c>
      <c r="I73">
        <f t="shared" si="20"/>
        <v>0</v>
      </c>
      <c r="J73">
        <f t="shared" si="21"/>
        <v>16259.19936775444</v>
      </c>
      <c r="K73">
        <f t="shared" si="22"/>
        <v>16249.72234952914</v>
      </c>
      <c r="L73">
        <f t="shared" si="29"/>
        <v>16249.72234952914</v>
      </c>
      <c r="M73">
        <f t="shared" si="23"/>
        <v>16250.170322932156</v>
      </c>
      <c r="N73" s="29">
        <f t="shared" si="30"/>
        <v>0</v>
      </c>
      <c r="O73" s="29">
        <f t="shared" si="24"/>
        <v>0</v>
      </c>
      <c r="P73" s="29">
        <f t="shared" si="31"/>
        <v>16250.170322932156</v>
      </c>
      <c r="Q73">
        <f t="shared" si="32"/>
        <v>0</v>
      </c>
      <c r="R73" s="29">
        <f t="shared" si="33"/>
        <v>0</v>
      </c>
      <c r="S73" s="29">
        <f t="shared" si="25"/>
        <v>0</v>
      </c>
      <c r="T73" s="29">
        <f t="shared" si="34"/>
        <v>16250.170322932156</v>
      </c>
      <c r="U73">
        <f t="shared" si="35"/>
        <v>0</v>
      </c>
      <c r="V73" s="29">
        <f t="shared" si="36"/>
        <v>0</v>
      </c>
      <c r="W73" s="29">
        <f t="shared" si="26"/>
        <v>0</v>
      </c>
      <c r="X73" s="29">
        <f t="shared" si="37"/>
        <v>16250.170322932156</v>
      </c>
      <c r="Y73">
        <f t="shared" si="38"/>
        <v>0</v>
      </c>
    </row>
    <row r="74" spans="1:25" x14ac:dyDescent="0.25">
      <c r="A74" s="4" t="s">
        <v>797</v>
      </c>
      <c r="B74" s="7" t="s">
        <v>389</v>
      </c>
      <c r="C74" s="2" t="s">
        <v>798</v>
      </c>
      <c r="D74">
        <f>VLOOKUP(B74,'Model allocations'!$A$1:$L$316,3,FALSE)</f>
        <v>60829.514577820883</v>
      </c>
      <c r="E74" s="31">
        <f>VLOOKUP(B74,'Initial adjusted formula count'!$A$1:$P$316,12,FALSE)</f>
        <v>0.100719424460432</v>
      </c>
      <c r="F74">
        <f>VLOOKUP(B74,'Model allocations'!$A$1:$L$316,8,FALSE)</f>
        <v>51733.81617012775</v>
      </c>
      <c r="G74" s="30">
        <f t="shared" si="27"/>
        <v>0.85</v>
      </c>
      <c r="H74">
        <f t="shared" si="28"/>
        <v>51705.087391147747</v>
      </c>
      <c r="I74">
        <f t="shared" si="20"/>
        <v>0</v>
      </c>
      <c r="J74">
        <f t="shared" si="21"/>
        <v>51733.81617012775</v>
      </c>
      <c r="K74">
        <f t="shared" si="22"/>
        <v>51703.662021229073</v>
      </c>
      <c r="L74">
        <f t="shared" si="29"/>
        <v>51703.662021229073</v>
      </c>
      <c r="M74">
        <f t="shared" si="23"/>
        <v>51705.087391147747</v>
      </c>
      <c r="N74" s="29">
        <f t="shared" si="30"/>
        <v>0</v>
      </c>
      <c r="O74" s="29">
        <f t="shared" si="24"/>
        <v>0</v>
      </c>
      <c r="P74" s="29">
        <f t="shared" si="31"/>
        <v>51705.087391147747</v>
      </c>
      <c r="Q74">
        <f t="shared" si="32"/>
        <v>0</v>
      </c>
      <c r="R74" s="29">
        <f t="shared" si="33"/>
        <v>0</v>
      </c>
      <c r="S74" s="29">
        <f t="shared" si="25"/>
        <v>0</v>
      </c>
      <c r="T74" s="29">
        <f t="shared" si="34"/>
        <v>51705.087391147747</v>
      </c>
      <c r="U74">
        <f t="shared" si="35"/>
        <v>0</v>
      </c>
      <c r="V74" s="29">
        <f t="shared" si="36"/>
        <v>0</v>
      </c>
      <c r="W74" s="29">
        <f t="shared" si="26"/>
        <v>0</v>
      </c>
      <c r="X74" s="29">
        <f t="shared" si="37"/>
        <v>51705.087391147747</v>
      </c>
      <c r="Y74">
        <f t="shared" si="38"/>
        <v>0</v>
      </c>
    </row>
    <row r="75" spans="1:25" x14ac:dyDescent="0.25">
      <c r="A75" s="4" t="s">
        <v>799</v>
      </c>
      <c r="B75" s="7" t="s">
        <v>122</v>
      </c>
      <c r="C75" s="2" t="s">
        <v>800</v>
      </c>
      <c r="D75">
        <f>VLOOKUP(B75,'Model allocations'!$A$1:$L$316,3,FALSE)</f>
        <v>252876.98203065534</v>
      </c>
      <c r="E75" s="31">
        <f>VLOOKUP(B75,'Initial adjusted formula count'!$A$1:$P$316,12,FALSE)</f>
        <v>5.63766891891892E-2</v>
      </c>
      <c r="F75">
        <f>VLOOKUP(B75,'Model allocations'!$A$1:$L$316,8,FALSE)</f>
        <v>234960.55552252699</v>
      </c>
      <c r="G75" s="30">
        <f t="shared" si="27"/>
        <v>0.85</v>
      </c>
      <c r="H75">
        <f t="shared" si="28"/>
        <v>214945.43472605705</v>
      </c>
      <c r="I75">
        <f t="shared" si="20"/>
        <v>0</v>
      </c>
      <c r="J75">
        <f t="shared" si="21"/>
        <v>234960.55552252699</v>
      </c>
      <c r="K75">
        <f t="shared" si="22"/>
        <v>234823.60379344434</v>
      </c>
      <c r="L75">
        <f t="shared" si="29"/>
        <v>234823.60379344434</v>
      </c>
      <c r="M75">
        <f t="shared" si="23"/>
        <v>0</v>
      </c>
      <c r="N75" s="29">
        <f t="shared" si="30"/>
        <v>234823.60379344434</v>
      </c>
      <c r="O75" s="29">
        <f t="shared" si="24"/>
        <v>234816.37831778315</v>
      </c>
      <c r="P75" s="29">
        <f t="shared" si="31"/>
        <v>234816.37831778315</v>
      </c>
      <c r="Q75">
        <f t="shared" si="32"/>
        <v>0</v>
      </c>
      <c r="R75" s="29">
        <f t="shared" si="33"/>
        <v>234816.37831778315</v>
      </c>
      <c r="S75" s="29">
        <f t="shared" si="25"/>
        <v>234816.37831778315</v>
      </c>
      <c r="T75" s="29">
        <f t="shared" si="34"/>
        <v>234816.37831778315</v>
      </c>
      <c r="U75">
        <f t="shared" si="35"/>
        <v>0</v>
      </c>
      <c r="V75" s="29">
        <f t="shared" si="36"/>
        <v>234816.37831778315</v>
      </c>
      <c r="W75" s="29">
        <f t="shared" si="26"/>
        <v>234816.37831778315</v>
      </c>
      <c r="X75" s="29">
        <f t="shared" si="37"/>
        <v>234816.37831778315</v>
      </c>
      <c r="Y75">
        <f t="shared" si="38"/>
        <v>0</v>
      </c>
    </row>
    <row r="76" spans="1:25" x14ac:dyDescent="0.25">
      <c r="A76" s="4" t="s">
        <v>801</v>
      </c>
      <c r="B76" s="7" t="s">
        <v>391</v>
      </c>
      <c r="C76" s="2" t="s">
        <v>802</v>
      </c>
      <c r="D76">
        <f>VLOOKUP(B76,'Model allocations'!$A$1:$L$316,3,FALSE)</f>
        <v>373667.01812089974</v>
      </c>
      <c r="E76" s="31">
        <f>VLOOKUP(B76,'Initial adjusted formula count'!$A$1:$P$316,12,FALSE)</f>
        <v>0.17167530224524999</v>
      </c>
      <c r="F76">
        <f>VLOOKUP(B76,'Model allocations'!$A$1:$L$316,8,FALSE)</f>
        <v>437361.03406253143</v>
      </c>
      <c r="G76" s="30">
        <f t="shared" si="27"/>
        <v>0.9</v>
      </c>
      <c r="H76">
        <f t="shared" si="28"/>
        <v>336300.31630880979</v>
      </c>
      <c r="I76">
        <f t="shared" si="20"/>
        <v>0</v>
      </c>
      <c r="J76">
        <f t="shared" si="21"/>
        <v>437361.03406253143</v>
      </c>
      <c r="K76">
        <f t="shared" si="22"/>
        <v>437106.10893386451</v>
      </c>
      <c r="L76">
        <f t="shared" si="29"/>
        <v>437106.10893386451</v>
      </c>
      <c r="M76">
        <f t="shared" si="23"/>
        <v>0</v>
      </c>
      <c r="N76" s="29">
        <f t="shared" si="30"/>
        <v>437106.10893386451</v>
      </c>
      <c r="O76" s="29">
        <f t="shared" si="24"/>
        <v>437092.65926568618</v>
      </c>
      <c r="P76" s="29">
        <f t="shared" si="31"/>
        <v>437092.65926568618</v>
      </c>
      <c r="Q76">
        <f t="shared" si="32"/>
        <v>0</v>
      </c>
      <c r="R76" s="29">
        <f t="shared" si="33"/>
        <v>437092.65926568618</v>
      </c>
      <c r="S76" s="29">
        <f t="shared" si="25"/>
        <v>437092.65926568618</v>
      </c>
      <c r="T76" s="29">
        <f t="shared" si="34"/>
        <v>437092.65926568618</v>
      </c>
      <c r="U76">
        <f t="shared" si="35"/>
        <v>0</v>
      </c>
      <c r="V76" s="29">
        <f t="shared" si="36"/>
        <v>437092.65926568618</v>
      </c>
      <c r="W76" s="29">
        <f t="shared" si="26"/>
        <v>437092.65926568618</v>
      </c>
      <c r="X76" s="29">
        <f t="shared" si="37"/>
        <v>437092.65926568618</v>
      </c>
      <c r="Y76">
        <f t="shared" si="38"/>
        <v>0</v>
      </c>
    </row>
    <row r="77" spans="1:25" x14ac:dyDescent="0.25">
      <c r="A77" s="4" t="s">
        <v>803</v>
      </c>
      <c r="B77" s="7" t="s">
        <v>393</v>
      </c>
      <c r="C77" s="2" t="s">
        <v>804</v>
      </c>
      <c r="D77">
        <f>VLOOKUP(B77,'Model allocations'!$A$1:$L$316,3,FALSE)</f>
        <v>23296.575491200263</v>
      </c>
      <c r="E77" s="31">
        <f>VLOOKUP(B77,'Initial adjusted formula count'!$A$1:$P$316,12,FALSE)</f>
        <v>0.13636363636363599</v>
      </c>
      <c r="F77">
        <f>VLOOKUP(B77,'Model allocations'!$A$1:$L$316,8,FALSE)</f>
        <v>19802.089167520222</v>
      </c>
      <c r="G77" s="30">
        <f t="shared" si="27"/>
        <v>0.85</v>
      </c>
      <c r="H77">
        <f t="shared" si="28"/>
        <v>19802.089167520222</v>
      </c>
      <c r="I77">
        <f t="shared" si="20"/>
        <v>0</v>
      </c>
      <c r="J77">
        <f t="shared" si="21"/>
        <v>19802.089167520222</v>
      </c>
      <c r="K77">
        <f t="shared" si="22"/>
        <v>19790.547101044813</v>
      </c>
      <c r="L77">
        <f t="shared" si="29"/>
        <v>19790.547101044813</v>
      </c>
      <c r="M77">
        <f t="shared" si="23"/>
        <v>19802.089167520222</v>
      </c>
      <c r="N77" s="29">
        <f t="shared" si="30"/>
        <v>0</v>
      </c>
      <c r="O77" s="29">
        <f t="shared" si="24"/>
        <v>0</v>
      </c>
      <c r="P77" s="29">
        <f t="shared" si="31"/>
        <v>19802.089167520222</v>
      </c>
      <c r="Q77">
        <f t="shared" si="32"/>
        <v>0</v>
      </c>
      <c r="R77" s="29">
        <f t="shared" si="33"/>
        <v>0</v>
      </c>
      <c r="S77" s="29">
        <f t="shared" si="25"/>
        <v>0</v>
      </c>
      <c r="T77" s="29">
        <f t="shared" si="34"/>
        <v>19802.089167520222</v>
      </c>
      <c r="U77">
        <f t="shared" si="35"/>
        <v>0</v>
      </c>
      <c r="V77" s="29">
        <f t="shared" si="36"/>
        <v>0</v>
      </c>
      <c r="W77" s="29">
        <f t="shared" si="26"/>
        <v>0</v>
      </c>
      <c r="X77" s="29">
        <f t="shared" si="37"/>
        <v>19802.089167520222</v>
      </c>
      <c r="Y77">
        <f t="shared" si="38"/>
        <v>0</v>
      </c>
    </row>
    <row r="78" spans="1:25" x14ac:dyDescent="0.25">
      <c r="A78" s="4" t="s">
        <v>805</v>
      </c>
      <c r="B78" s="7" t="s">
        <v>124</v>
      </c>
      <c r="C78" s="2" t="s">
        <v>806</v>
      </c>
      <c r="D78">
        <f>VLOOKUP(B78,'Model allocations'!$A$1:$L$316,3,FALSE)</f>
        <v>2124688.0448967423</v>
      </c>
      <c r="E78" s="31">
        <f>VLOOKUP(B78,'Initial adjusted formula count'!$A$1:$P$316,12,FALSE)</f>
        <v>9.8040911646412696E-2</v>
      </c>
      <c r="F78">
        <f>VLOOKUP(B78,'Model allocations'!$A$1:$L$316,8,FALSE)</f>
        <v>1994964.716739957</v>
      </c>
      <c r="G78" s="30">
        <f t="shared" si="27"/>
        <v>0.85</v>
      </c>
      <c r="H78">
        <f t="shared" si="28"/>
        <v>1805984.838162231</v>
      </c>
      <c r="I78">
        <f t="shared" si="20"/>
        <v>0</v>
      </c>
      <c r="J78">
        <f t="shared" si="21"/>
        <v>1994964.716739957</v>
      </c>
      <c r="K78">
        <f t="shared" si="22"/>
        <v>1993801.909362315</v>
      </c>
      <c r="L78">
        <f t="shared" si="29"/>
        <v>1993801.909362315</v>
      </c>
      <c r="M78">
        <f t="shared" si="23"/>
        <v>0</v>
      </c>
      <c r="N78" s="29">
        <f t="shared" si="30"/>
        <v>1993801.909362315</v>
      </c>
      <c r="O78" s="29">
        <f t="shared" si="24"/>
        <v>1993740.5604734612</v>
      </c>
      <c r="P78" s="29">
        <f t="shared" si="31"/>
        <v>1993740.5604734612</v>
      </c>
      <c r="Q78">
        <f t="shared" si="32"/>
        <v>0</v>
      </c>
      <c r="R78" s="29">
        <f t="shared" si="33"/>
        <v>1993740.5604734612</v>
      </c>
      <c r="S78" s="29">
        <f t="shared" si="25"/>
        <v>1993740.5604734612</v>
      </c>
      <c r="T78" s="29">
        <f t="shared" si="34"/>
        <v>1993740.5604734612</v>
      </c>
      <c r="U78">
        <f t="shared" si="35"/>
        <v>0</v>
      </c>
      <c r="V78" s="29">
        <f t="shared" si="36"/>
        <v>1993740.5604734612</v>
      </c>
      <c r="W78" s="29">
        <f t="shared" si="26"/>
        <v>1993740.5604734612</v>
      </c>
      <c r="X78" s="29">
        <f t="shared" si="37"/>
        <v>1993740.5604734612</v>
      </c>
      <c r="Y78">
        <f t="shared" si="38"/>
        <v>0</v>
      </c>
    </row>
    <row r="79" spans="1:25" x14ac:dyDescent="0.25">
      <c r="A79" s="4" t="s">
        <v>807</v>
      </c>
      <c r="B79" s="7" t="s">
        <v>275</v>
      </c>
      <c r="C79" s="2" t="s">
        <v>808</v>
      </c>
      <c r="D79">
        <f>VLOOKUP(B79,'Model allocations'!$A$1:$L$316,3,FALSE)</f>
        <v>2298486.6579762315</v>
      </c>
      <c r="E79" s="31">
        <f>VLOOKUP(B79,'Initial adjusted formula count'!$A$1:$P$316,12,FALSE)</f>
        <v>0.10047201618341201</v>
      </c>
      <c r="F79">
        <f>VLOOKUP(B79,'Model allocations'!$A$1:$L$316,8,FALSE)</f>
        <v>2360165.5801925734</v>
      </c>
      <c r="G79" s="30">
        <f t="shared" si="27"/>
        <v>0.85</v>
      </c>
      <c r="H79">
        <f t="shared" si="28"/>
        <v>1953713.6592797968</v>
      </c>
      <c r="I79">
        <f t="shared" si="20"/>
        <v>0</v>
      </c>
      <c r="J79">
        <f t="shared" si="21"/>
        <v>2360165.5801925734</v>
      </c>
      <c r="K79">
        <f t="shared" si="22"/>
        <v>2358789.9077678556</v>
      </c>
      <c r="L79">
        <f t="shared" si="29"/>
        <v>2358789.9077678556</v>
      </c>
      <c r="M79">
        <f t="shared" si="23"/>
        <v>0</v>
      </c>
      <c r="N79" s="29">
        <f t="shared" si="30"/>
        <v>2358789.9077678556</v>
      </c>
      <c r="O79" s="29">
        <f t="shared" si="24"/>
        <v>2358717.3282707641</v>
      </c>
      <c r="P79" s="29">
        <f t="shared" si="31"/>
        <v>2358717.3282707641</v>
      </c>
      <c r="Q79">
        <f t="shared" si="32"/>
        <v>0</v>
      </c>
      <c r="R79" s="29">
        <f t="shared" si="33"/>
        <v>2358717.3282707641</v>
      </c>
      <c r="S79" s="29">
        <f t="shared" si="25"/>
        <v>2358717.3282707641</v>
      </c>
      <c r="T79" s="29">
        <f t="shared" si="34"/>
        <v>2358717.3282707641</v>
      </c>
      <c r="U79">
        <f t="shared" si="35"/>
        <v>0</v>
      </c>
      <c r="V79" s="29">
        <f t="shared" si="36"/>
        <v>2358717.3282707641</v>
      </c>
      <c r="W79" s="29">
        <f t="shared" si="26"/>
        <v>2358717.3282707641</v>
      </c>
      <c r="X79" s="29">
        <f t="shared" si="37"/>
        <v>2358717.3282707641</v>
      </c>
      <c r="Y79">
        <f t="shared" si="38"/>
        <v>0</v>
      </c>
    </row>
    <row r="80" spans="1:25" x14ac:dyDescent="0.25">
      <c r="A80" s="4" t="s">
        <v>809</v>
      </c>
      <c r="B80" s="7" t="s">
        <v>395</v>
      </c>
      <c r="C80" s="2" t="s">
        <v>810</v>
      </c>
      <c r="D80">
        <f>VLOOKUP(B80,'Model allocations'!$A$1:$L$316,3,FALSE)</f>
        <v>15641.875177153936</v>
      </c>
      <c r="E80" s="31">
        <f>VLOOKUP(B80,'Initial adjusted formula count'!$A$1:$P$316,12,FALSE)</f>
        <v>0.33928571428571402</v>
      </c>
      <c r="F80">
        <f>VLOOKUP(B80,'Model allocations'!$A$1:$L$316,8,FALSE)</f>
        <v>16720.039531565581</v>
      </c>
      <c r="G80" s="30">
        <f t="shared" si="27"/>
        <v>0.95</v>
      </c>
      <c r="H80">
        <f t="shared" si="28"/>
        <v>14859.781418296237</v>
      </c>
      <c r="I80">
        <f t="shared" si="20"/>
        <v>0</v>
      </c>
      <c r="J80">
        <f t="shared" si="21"/>
        <v>16720.039531565581</v>
      </c>
      <c r="K80">
        <f t="shared" si="22"/>
        <v>16710.293902904268</v>
      </c>
      <c r="L80">
        <f t="shared" si="29"/>
        <v>16710.293902904268</v>
      </c>
      <c r="M80">
        <f t="shared" si="23"/>
        <v>0</v>
      </c>
      <c r="N80" s="29">
        <f t="shared" si="30"/>
        <v>16710.293902904268</v>
      </c>
      <c r="O80" s="29">
        <f t="shared" si="24"/>
        <v>16709.779730478938</v>
      </c>
      <c r="P80" s="29">
        <f t="shared" si="31"/>
        <v>16709.779730478938</v>
      </c>
      <c r="Q80">
        <f t="shared" si="32"/>
        <v>0</v>
      </c>
      <c r="R80" s="29">
        <f t="shared" si="33"/>
        <v>16709.779730478938</v>
      </c>
      <c r="S80" s="29">
        <f t="shared" si="25"/>
        <v>16709.779730478938</v>
      </c>
      <c r="T80" s="29">
        <f t="shared" si="34"/>
        <v>16709.779730478938</v>
      </c>
      <c r="U80">
        <f t="shared" si="35"/>
        <v>0</v>
      </c>
      <c r="V80" s="29">
        <f t="shared" si="36"/>
        <v>16709.779730478938</v>
      </c>
      <c r="W80" s="29">
        <f t="shared" si="26"/>
        <v>16709.779730478938</v>
      </c>
      <c r="X80" s="29">
        <f t="shared" si="37"/>
        <v>16709.779730478938</v>
      </c>
      <c r="Y80">
        <f t="shared" si="38"/>
        <v>0</v>
      </c>
    </row>
    <row r="81" spans="1:25" x14ac:dyDescent="0.25">
      <c r="A81" s="4" t="s">
        <v>811</v>
      </c>
      <c r="B81" s="7" t="s">
        <v>397</v>
      </c>
      <c r="C81" s="2" t="s">
        <v>812</v>
      </c>
      <c r="D81">
        <f>VLOOKUP(B81,'Model allocations'!$A$1:$L$316,3,FALSE)</f>
        <v>3686268.5834159455</v>
      </c>
      <c r="E81" s="31">
        <f>VLOOKUP(B81,'Initial adjusted formula count'!$A$1:$P$316,12,FALSE)</f>
        <v>0.170695790894588</v>
      </c>
      <c r="F81">
        <f>VLOOKUP(B81,'Model allocations'!$A$1:$L$316,8,FALSE)</f>
        <v>3672248.6823801687</v>
      </c>
      <c r="G81" s="30">
        <f t="shared" si="27"/>
        <v>0.9</v>
      </c>
      <c r="H81">
        <f t="shared" si="28"/>
        <v>3317641.7250743508</v>
      </c>
      <c r="I81">
        <f t="shared" si="20"/>
        <v>0</v>
      </c>
      <c r="J81">
        <f t="shared" si="21"/>
        <v>3672248.6823801687</v>
      </c>
      <c r="K81">
        <f t="shared" si="22"/>
        <v>3670108.2345694499</v>
      </c>
      <c r="L81">
        <f t="shared" si="29"/>
        <v>3670108.2345694499</v>
      </c>
      <c r="M81">
        <f t="shared" si="23"/>
        <v>0</v>
      </c>
      <c r="N81" s="29">
        <f t="shared" si="30"/>
        <v>3670108.2345694499</v>
      </c>
      <c r="O81" s="29">
        <f t="shared" si="24"/>
        <v>3669995.3060678239</v>
      </c>
      <c r="P81" s="29">
        <f t="shared" si="31"/>
        <v>3669995.3060678239</v>
      </c>
      <c r="Q81">
        <f t="shared" si="32"/>
        <v>0</v>
      </c>
      <c r="R81" s="29">
        <f t="shared" si="33"/>
        <v>3669995.3060678239</v>
      </c>
      <c r="S81" s="29">
        <f t="shared" si="25"/>
        <v>3669995.3060678239</v>
      </c>
      <c r="T81" s="29">
        <f t="shared" si="34"/>
        <v>3669995.3060678239</v>
      </c>
      <c r="U81">
        <f t="shared" si="35"/>
        <v>0</v>
      </c>
      <c r="V81" s="29">
        <f t="shared" si="36"/>
        <v>3669995.3060678239</v>
      </c>
      <c r="W81" s="29">
        <f t="shared" si="26"/>
        <v>3669995.3060678239</v>
      </c>
      <c r="X81" s="29">
        <f t="shared" si="37"/>
        <v>3669995.3060678239</v>
      </c>
      <c r="Y81">
        <f t="shared" si="38"/>
        <v>0</v>
      </c>
    </row>
    <row r="82" spans="1:25" x14ac:dyDescent="0.25">
      <c r="A82" s="4" t="s">
        <v>813</v>
      </c>
      <c r="B82" s="7" t="s">
        <v>126</v>
      </c>
      <c r="C82" s="2" t="s">
        <v>814</v>
      </c>
      <c r="D82">
        <f>VLOOKUP(B82,'Model allocations'!$A$1:$L$316,3,FALSE)</f>
        <v>682159.55633699137</v>
      </c>
      <c r="E82" s="31">
        <f>VLOOKUP(B82,'Initial adjusted formula count'!$A$1:$P$316,12,FALSE)</f>
        <v>9.1623036649214604E-2</v>
      </c>
      <c r="F82">
        <f>VLOOKUP(B82,'Model allocations'!$A$1:$L$316,8,FALSE)</f>
        <v>579769.14528175374</v>
      </c>
      <c r="G82" s="30">
        <f t="shared" si="27"/>
        <v>0.85</v>
      </c>
      <c r="H82">
        <f t="shared" si="28"/>
        <v>579835.6228864427</v>
      </c>
      <c r="I82">
        <f t="shared" si="20"/>
        <v>579835.6228864427</v>
      </c>
      <c r="J82">
        <f t="shared" si="21"/>
        <v>0</v>
      </c>
      <c r="K82">
        <f t="shared" si="22"/>
        <v>0</v>
      </c>
      <c r="L82">
        <f t="shared" si="29"/>
        <v>579835.6228864427</v>
      </c>
      <c r="M82">
        <f t="shared" si="23"/>
        <v>0</v>
      </c>
      <c r="N82" s="29">
        <f t="shared" si="30"/>
        <v>0</v>
      </c>
      <c r="O82" s="29">
        <f t="shared" si="24"/>
        <v>0</v>
      </c>
      <c r="P82" s="29">
        <f t="shared" si="31"/>
        <v>579835.6228864427</v>
      </c>
      <c r="Q82">
        <f t="shared" si="32"/>
        <v>0</v>
      </c>
      <c r="R82" s="29">
        <f t="shared" si="33"/>
        <v>0</v>
      </c>
      <c r="S82" s="29">
        <f t="shared" si="25"/>
        <v>0</v>
      </c>
      <c r="T82" s="29">
        <f t="shared" si="34"/>
        <v>579835.6228864427</v>
      </c>
      <c r="U82">
        <f t="shared" si="35"/>
        <v>0</v>
      </c>
      <c r="V82" s="29">
        <f t="shared" si="36"/>
        <v>0</v>
      </c>
      <c r="W82" s="29">
        <f t="shared" si="26"/>
        <v>0</v>
      </c>
      <c r="X82" s="29">
        <f t="shared" si="37"/>
        <v>579835.6228864427</v>
      </c>
      <c r="Y82">
        <f t="shared" si="38"/>
        <v>0</v>
      </c>
    </row>
    <row r="83" spans="1:25" x14ac:dyDescent="0.25">
      <c r="A83" s="4" t="s">
        <v>815</v>
      </c>
      <c r="B83" s="7" t="s">
        <v>128</v>
      </c>
      <c r="C83" s="2" t="s">
        <v>816</v>
      </c>
      <c r="D83">
        <f>VLOOKUP(B83,'Model allocations'!$A$1:$L$316,3,FALSE)</f>
        <v>345859.24002818146</v>
      </c>
      <c r="E83" s="31">
        <f>VLOOKUP(B83,'Initial adjusted formula count'!$A$1:$P$316,12,FALSE)</f>
        <v>0.11544081831466101</v>
      </c>
      <c r="F83">
        <f>VLOOKUP(B83,'Model allocations'!$A$1:$L$316,8,FALSE)</f>
        <v>417120.98620853096</v>
      </c>
      <c r="G83" s="30">
        <f t="shared" si="27"/>
        <v>0.85</v>
      </c>
      <c r="H83">
        <f t="shared" si="28"/>
        <v>293980.35402395425</v>
      </c>
      <c r="I83">
        <f t="shared" si="20"/>
        <v>0</v>
      </c>
      <c r="J83">
        <f t="shared" si="21"/>
        <v>417120.98620853096</v>
      </c>
      <c r="K83">
        <f t="shared" si="22"/>
        <v>416877.85841982241</v>
      </c>
      <c r="L83">
        <f t="shared" si="29"/>
        <v>416877.85841982241</v>
      </c>
      <c r="M83">
        <f t="shared" si="23"/>
        <v>0</v>
      </c>
      <c r="N83" s="29">
        <f t="shared" si="30"/>
        <v>416877.85841982241</v>
      </c>
      <c r="O83" s="29">
        <f t="shared" si="24"/>
        <v>416865.03117089585</v>
      </c>
      <c r="P83" s="29">
        <f t="shared" si="31"/>
        <v>416865.03117089585</v>
      </c>
      <c r="Q83">
        <f t="shared" si="32"/>
        <v>0</v>
      </c>
      <c r="R83" s="29">
        <f t="shared" si="33"/>
        <v>416865.03117089585</v>
      </c>
      <c r="S83" s="29">
        <f t="shared" si="25"/>
        <v>416865.03117089585</v>
      </c>
      <c r="T83" s="29">
        <f t="shared" si="34"/>
        <v>416865.03117089585</v>
      </c>
      <c r="U83">
        <f t="shared" si="35"/>
        <v>0</v>
      </c>
      <c r="V83" s="29">
        <f t="shared" si="36"/>
        <v>416865.03117089585</v>
      </c>
      <c r="W83" s="29">
        <f t="shared" si="26"/>
        <v>416865.03117089585</v>
      </c>
      <c r="X83" s="29">
        <f t="shared" si="37"/>
        <v>416865.03117089585</v>
      </c>
      <c r="Y83">
        <f t="shared" si="38"/>
        <v>0</v>
      </c>
    </row>
    <row r="84" spans="1:25" x14ac:dyDescent="0.25">
      <c r="A84" s="4" t="s">
        <v>817</v>
      </c>
      <c r="B84" s="7" t="s">
        <v>399</v>
      </c>
      <c r="C84" s="2" t="s">
        <v>818</v>
      </c>
      <c r="D84">
        <f>VLOOKUP(B84,'Model allocations'!$A$1:$L$316,3,FALSE)</f>
        <v>106886.14704388524</v>
      </c>
      <c r="E84" s="31">
        <f>VLOOKUP(B84,'Initial adjusted formula count'!$A$1:$P$316,12,FALSE)</f>
        <v>0.106521739130435</v>
      </c>
      <c r="F84">
        <f>VLOOKUP(B84,'Model allocations'!$A$1:$L$316,8,FALSE)</f>
        <v>90903.705556081622</v>
      </c>
      <c r="G84" s="30">
        <f t="shared" si="27"/>
        <v>0.85</v>
      </c>
      <c r="H84">
        <f t="shared" si="28"/>
        <v>90853.224987302456</v>
      </c>
      <c r="I84">
        <f t="shared" si="20"/>
        <v>0</v>
      </c>
      <c r="J84">
        <f t="shared" si="21"/>
        <v>90903.705556081622</v>
      </c>
      <c r="K84">
        <f t="shared" si="22"/>
        <v>90850.720408731082</v>
      </c>
      <c r="L84">
        <f t="shared" si="29"/>
        <v>90850.720408731082</v>
      </c>
      <c r="M84">
        <f t="shared" si="23"/>
        <v>90853.224987302456</v>
      </c>
      <c r="N84" s="29">
        <f t="shared" si="30"/>
        <v>0</v>
      </c>
      <c r="O84" s="29">
        <f t="shared" si="24"/>
        <v>0</v>
      </c>
      <c r="P84" s="29">
        <f t="shared" si="31"/>
        <v>90853.224987302456</v>
      </c>
      <c r="Q84">
        <f t="shared" si="32"/>
        <v>0</v>
      </c>
      <c r="R84" s="29">
        <f t="shared" si="33"/>
        <v>0</v>
      </c>
      <c r="S84" s="29">
        <f t="shared" si="25"/>
        <v>0</v>
      </c>
      <c r="T84" s="29">
        <f t="shared" si="34"/>
        <v>90853.224987302456</v>
      </c>
      <c r="U84">
        <f t="shared" si="35"/>
        <v>0</v>
      </c>
      <c r="V84" s="29">
        <f t="shared" si="36"/>
        <v>0</v>
      </c>
      <c r="W84" s="29">
        <f t="shared" si="26"/>
        <v>0</v>
      </c>
      <c r="X84" s="29">
        <f t="shared" si="37"/>
        <v>90853.224987302456</v>
      </c>
      <c r="Y84">
        <f t="shared" si="38"/>
        <v>0</v>
      </c>
    </row>
    <row r="85" spans="1:25" x14ac:dyDescent="0.25">
      <c r="A85" s="4" t="s">
        <v>819</v>
      </c>
      <c r="B85" s="7" t="s">
        <v>401</v>
      </c>
      <c r="C85" s="2" t="s">
        <v>820</v>
      </c>
      <c r="D85">
        <f>VLOOKUP(B85,'Model allocations'!$A$1:$L$316,3,FALSE)</f>
        <v>1227018.2083411864</v>
      </c>
      <c r="E85" s="31">
        <f>VLOOKUP(B85,'Initial adjusted formula count'!$A$1:$P$316,12,FALSE)</f>
        <v>0.16946613886808601</v>
      </c>
      <c r="F85">
        <f>VLOOKUP(B85,'Model allocations'!$A$1:$L$316,8,FALSE)</f>
        <v>1393923.2956842049</v>
      </c>
      <c r="G85" s="30">
        <f t="shared" si="27"/>
        <v>0.9</v>
      </c>
      <c r="H85">
        <f t="shared" si="28"/>
        <v>1104316.3875070678</v>
      </c>
      <c r="I85">
        <f t="shared" si="20"/>
        <v>0</v>
      </c>
      <c r="J85">
        <f t="shared" si="21"/>
        <v>1393923.2956842049</v>
      </c>
      <c r="K85">
        <f t="shared" si="22"/>
        <v>1393110.8180105463</v>
      </c>
      <c r="L85">
        <f t="shared" si="29"/>
        <v>1393110.8180105463</v>
      </c>
      <c r="M85">
        <f t="shared" si="23"/>
        <v>0</v>
      </c>
      <c r="N85" s="29">
        <f t="shared" si="30"/>
        <v>1393110.8180105463</v>
      </c>
      <c r="O85" s="29">
        <f t="shared" si="24"/>
        <v>1393067.9522672978</v>
      </c>
      <c r="P85" s="29">
        <f t="shared" si="31"/>
        <v>1393067.9522672978</v>
      </c>
      <c r="Q85">
        <f t="shared" si="32"/>
        <v>0</v>
      </c>
      <c r="R85" s="29">
        <f t="shared" si="33"/>
        <v>1393067.9522672978</v>
      </c>
      <c r="S85" s="29">
        <f t="shared" si="25"/>
        <v>1393067.9522672978</v>
      </c>
      <c r="T85" s="29">
        <f t="shared" si="34"/>
        <v>1393067.9522672978</v>
      </c>
      <c r="U85">
        <f t="shared" si="35"/>
        <v>0</v>
      </c>
      <c r="V85" s="29">
        <f t="shared" si="36"/>
        <v>1393067.9522672978</v>
      </c>
      <c r="W85" s="29">
        <f t="shared" si="26"/>
        <v>1393067.9522672978</v>
      </c>
      <c r="X85" s="29">
        <f t="shared" si="37"/>
        <v>1393067.9522672978</v>
      </c>
      <c r="Y85">
        <f t="shared" si="38"/>
        <v>0</v>
      </c>
    </row>
    <row r="86" spans="1:25" x14ac:dyDescent="0.25">
      <c r="A86" s="4" t="s">
        <v>821</v>
      </c>
      <c r="B86" s="7" t="s">
        <v>130</v>
      </c>
      <c r="C86" s="2" t="s">
        <v>822</v>
      </c>
      <c r="D86">
        <f>VLOOKUP(B86,'Model allocations'!$A$1:$L$316,3,FALSE)</f>
        <v>36564.897675740009</v>
      </c>
      <c r="E86" s="31">
        <f>VLOOKUP(B86,'Initial adjusted formula count'!$A$1:$P$316,12,FALSE)</f>
        <v>3.0060120240480999E-2</v>
      </c>
      <c r="F86">
        <f>VLOOKUP(B86,'Model allocations'!$A$1:$L$316,8,FALSE)</f>
        <v>31080.163024379006</v>
      </c>
      <c r="G86" s="30">
        <f t="shared" si="27"/>
        <v>0.85</v>
      </c>
      <c r="H86">
        <f t="shared" si="28"/>
        <v>31080.163024379006</v>
      </c>
      <c r="I86">
        <f t="shared" si="20"/>
        <v>0</v>
      </c>
      <c r="J86">
        <f t="shared" si="21"/>
        <v>31080.163024379006</v>
      </c>
      <c r="K86">
        <f t="shared" si="22"/>
        <v>31062.047294030595</v>
      </c>
      <c r="L86">
        <f t="shared" si="29"/>
        <v>31062.047294030595</v>
      </c>
      <c r="M86">
        <f t="shared" si="23"/>
        <v>31080.163024379006</v>
      </c>
      <c r="N86" s="29">
        <f t="shared" si="30"/>
        <v>0</v>
      </c>
      <c r="O86" s="29">
        <f t="shared" si="24"/>
        <v>0</v>
      </c>
      <c r="P86" s="29">
        <f t="shared" si="31"/>
        <v>31080.163024379006</v>
      </c>
      <c r="Q86">
        <f t="shared" si="32"/>
        <v>0</v>
      </c>
      <c r="R86" s="29">
        <f t="shared" si="33"/>
        <v>0</v>
      </c>
      <c r="S86" s="29">
        <f t="shared" si="25"/>
        <v>0</v>
      </c>
      <c r="T86" s="29">
        <f t="shared" si="34"/>
        <v>31080.163024379006</v>
      </c>
      <c r="U86">
        <f t="shared" si="35"/>
        <v>0</v>
      </c>
      <c r="V86" s="29">
        <f t="shared" si="36"/>
        <v>0</v>
      </c>
      <c r="W86" s="29">
        <f t="shared" si="26"/>
        <v>0</v>
      </c>
      <c r="X86" s="29">
        <f t="shared" si="37"/>
        <v>31080.163024379006</v>
      </c>
      <c r="Y86">
        <f t="shared" si="38"/>
        <v>0</v>
      </c>
    </row>
    <row r="87" spans="1:25" x14ac:dyDescent="0.25">
      <c r="A87" s="4" t="s">
        <v>823</v>
      </c>
      <c r="B87" s="7" t="s">
        <v>403</v>
      </c>
      <c r="C87" s="2" t="s">
        <v>824</v>
      </c>
      <c r="D87">
        <f>VLOOKUP(B87,'Model allocations'!$A$1:$L$316,3,FALSE)</f>
        <v>28676.771158115545</v>
      </c>
      <c r="E87" s="31">
        <f>VLOOKUP(B87,'Initial adjusted formula count'!$A$1:$P$316,12,FALSE)</f>
        <v>0.21212121212121199</v>
      </c>
      <c r="F87">
        <f>VLOOKUP(B87,'Model allocations'!$A$1:$L$316,8,FALSE)</f>
        <v>25823.43428996293</v>
      </c>
      <c r="G87" s="30">
        <f t="shared" si="27"/>
        <v>0.9</v>
      </c>
      <c r="H87">
        <f t="shared" si="28"/>
        <v>25809.09404230399</v>
      </c>
      <c r="I87">
        <f t="shared" si="20"/>
        <v>0</v>
      </c>
      <c r="J87">
        <f t="shared" si="21"/>
        <v>25823.43428996293</v>
      </c>
      <c r="K87">
        <f t="shared" si="22"/>
        <v>25808.382555134514</v>
      </c>
      <c r="L87">
        <f t="shared" si="29"/>
        <v>25808.382555134514</v>
      </c>
      <c r="M87">
        <f t="shared" si="23"/>
        <v>25809.09404230399</v>
      </c>
      <c r="N87" s="29">
        <f t="shared" si="30"/>
        <v>0</v>
      </c>
      <c r="O87" s="29">
        <f t="shared" si="24"/>
        <v>0</v>
      </c>
      <c r="P87" s="29">
        <f t="shared" si="31"/>
        <v>25809.09404230399</v>
      </c>
      <c r="Q87">
        <f t="shared" si="32"/>
        <v>0</v>
      </c>
      <c r="R87" s="29">
        <f t="shared" si="33"/>
        <v>0</v>
      </c>
      <c r="S87" s="29">
        <f t="shared" si="25"/>
        <v>0</v>
      </c>
      <c r="T87" s="29">
        <f t="shared" si="34"/>
        <v>25809.09404230399</v>
      </c>
      <c r="U87">
        <f t="shared" si="35"/>
        <v>0</v>
      </c>
      <c r="V87" s="29">
        <f t="shared" si="36"/>
        <v>0</v>
      </c>
      <c r="W87" s="29">
        <f t="shared" si="26"/>
        <v>0</v>
      </c>
      <c r="X87" s="29">
        <f t="shared" si="37"/>
        <v>25809.09404230399</v>
      </c>
      <c r="Y87">
        <f t="shared" si="38"/>
        <v>0</v>
      </c>
    </row>
    <row r="88" spans="1:25" x14ac:dyDescent="0.25">
      <c r="A88" s="4" t="s">
        <v>825</v>
      </c>
      <c r="B88" s="7" t="s">
        <v>132</v>
      </c>
      <c r="C88" s="2" t="s">
        <v>826</v>
      </c>
      <c r="D88">
        <f>VLOOKUP(B88,'Model allocations'!$A$1:$L$316,3,FALSE)</f>
        <v>10470.618216733825</v>
      </c>
      <c r="E88" s="31">
        <f>VLOOKUP(B88,'Initial adjusted formula count'!$A$1:$P$316,12,FALSE)</f>
        <v>0.16129032258064499</v>
      </c>
      <c r="F88">
        <f>VLOOKUP(B88,'Model allocations'!$A$1:$L$316,8,FALSE)</f>
        <v>9423.5563950604428</v>
      </c>
      <c r="G88" s="30">
        <f t="shared" si="27"/>
        <v>0.9</v>
      </c>
      <c r="H88">
        <f t="shared" si="28"/>
        <v>9423.5563950604428</v>
      </c>
      <c r="I88">
        <f t="shared" si="20"/>
        <v>0</v>
      </c>
      <c r="J88">
        <f t="shared" si="21"/>
        <v>9423.5563950604428</v>
      </c>
      <c r="K88">
        <f t="shared" si="22"/>
        <v>9418.0636759121535</v>
      </c>
      <c r="L88">
        <f t="shared" si="29"/>
        <v>9418.0636759121535</v>
      </c>
      <c r="M88">
        <f t="shared" si="23"/>
        <v>9423.5563950604428</v>
      </c>
      <c r="N88" s="29">
        <f t="shared" si="30"/>
        <v>0</v>
      </c>
      <c r="O88" s="29">
        <f t="shared" si="24"/>
        <v>0</v>
      </c>
      <c r="P88" s="29">
        <f t="shared" si="31"/>
        <v>9423.5563950604428</v>
      </c>
      <c r="Q88">
        <f t="shared" si="32"/>
        <v>0</v>
      </c>
      <c r="R88" s="29">
        <f t="shared" si="33"/>
        <v>0</v>
      </c>
      <c r="S88" s="29">
        <f t="shared" si="25"/>
        <v>0</v>
      </c>
      <c r="T88" s="29">
        <f t="shared" si="34"/>
        <v>9423.5563950604428</v>
      </c>
      <c r="U88">
        <f t="shared" si="35"/>
        <v>0</v>
      </c>
      <c r="V88" s="29">
        <f t="shared" si="36"/>
        <v>0</v>
      </c>
      <c r="W88" s="29">
        <f t="shared" si="26"/>
        <v>0</v>
      </c>
      <c r="X88" s="29">
        <f t="shared" si="37"/>
        <v>9423.5563950604428</v>
      </c>
      <c r="Y88">
        <f t="shared" si="38"/>
        <v>0</v>
      </c>
    </row>
    <row r="89" spans="1:25" x14ac:dyDescent="0.25">
      <c r="A89" s="4" t="s">
        <v>827</v>
      </c>
      <c r="B89" s="7" t="s">
        <v>405</v>
      </c>
      <c r="C89" s="2" t="s">
        <v>828</v>
      </c>
      <c r="D89">
        <f>VLOOKUP(B89,'Model allocations'!$A$1:$L$316,3,FALSE)</f>
        <v>170349.40564227104</v>
      </c>
      <c r="E89" s="31">
        <f>VLOOKUP(B89,'Initial adjusted formula count'!$A$1:$P$316,12,FALSE)</f>
        <v>0.154275092936803</v>
      </c>
      <c r="F89">
        <f>VLOOKUP(B89,'Model allocations'!$A$1:$L$316,8,FALSE)</f>
        <v>153314.46507804396</v>
      </c>
      <c r="G89" s="30">
        <f t="shared" si="27"/>
        <v>0.9</v>
      </c>
      <c r="H89">
        <f t="shared" si="28"/>
        <v>153314.46507804396</v>
      </c>
      <c r="I89">
        <f t="shared" si="20"/>
        <v>0</v>
      </c>
      <c r="J89">
        <f t="shared" si="21"/>
        <v>153314.46507804396</v>
      </c>
      <c r="K89">
        <f t="shared" si="22"/>
        <v>153225.10249955018</v>
      </c>
      <c r="L89">
        <f t="shared" si="29"/>
        <v>153225.10249955018</v>
      </c>
      <c r="M89">
        <f t="shared" si="23"/>
        <v>153314.46507804396</v>
      </c>
      <c r="N89" s="29">
        <f t="shared" si="30"/>
        <v>0</v>
      </c>
      <c r="O89" s="29">
        <f t="shared" si="24"/>
        <v>0</v>
      </c>
      <c r="P89" s="29">
        <f t="shared" si="31"/>
        <v>153314.46507804396</v>
      </c>
      <c r="Q89">
        <f t="shared" si="32"/>
        <v>0</v>
      </c>
      <c r="R89" s="29">
        <f t="shared" si="33"/>
        <v>0</v>
      </c>
      <c r="S89" s="29">
        <f t="shared" si="25"/>
        <v>0</v>
      </c>
      <c r="T89" s="29">
        <f t="shared" si="34"/>
        <v>153314.46507804396</v>
      </c>
      <c r="U89">
        <f t="shared" si="35"/>
        <v>0</v>
      </c>
      <c r="V89" s="29">
        <f t="shared" si="36"/>
        <v>0</v>
      </c>
      <c r="W89" s="29">
        <f t="shared" si="26"/>
        <v>0</v>
      </c>
      <c r="X89" s="29">
        <f t="shared" si="37"/>
        <v>153314.46507804396</v>
      </c>
      <c r="Y89">
        <f t="shared" si="38"/>
        <v>0</v>
      </c>
    </row>
    <row r="90" spans="1:25" x14ac:dyDescent="0.25">
      <c r="A90" s="4" t="s">
        <v>829</v>
      </c>
      <c r="B90" s="7" t="s">
        <v>407</v>
      </c>
      <c r="C90" s="2" t="s">
        <v>830</v>
      </c>
      <c r="D90">
        <f>VLOOKUP(B90,'Model allocations'!$A$1:$L$316,3,FALSE)</f>
        <v>99065.209455308272</v>
      </c>
      <c r="E90" s="31">
        <f>VLOOKUP(B90,'Initial adjusted formula count'!$A$1:$P$316,12,FALSE)</f>
        <v>0.23432835820895501</v>
      </c>
      <c r="F90">
        <f>VLOOKUP(B90,'Model allocations'!$A$1:$L$316,8,FALSE)</f>
        <v>138160.32665556818</v>
      </c>
      <c r="G90" s="30">
        <f t="shared" si="27"/>
        <v>0.9</v>
      </c>
      <c r="H90">
        <f t="shared" si="28"/>
        <v>89158.68850977745</v>
      </c>
      <c r="I90">
        <f t="shared" si="20"/>
        <v>0</v>
      </c>
      <c r="J90">
        <f t="shared" si="21"/>
        <v>138160.32665556818</v>
      </c>
      <c r="K90">
        <f t="shared" si="22"/>
        <v>138079.79698715627</v>
      </c>
      <c r="L90">
        <f t="shared" si="29"/>
        <v>138079.79698715627</v>
      </c>
      <c r="M90">
        <f t="shared" si="23"/>
        <v>0</v>
      </c>
      <c r="N90" s="29">
        <f t="shared" si="30"/>
        <v>138079.79698715627</v>
      </c>
      <c r="O90" s="29">
        <f t="shared" si="24"/>
        <v>138075.54829922065</v>
      </c>
      <c r="P90" s="29">
        <f t="shared" si="31"/>
        <v>138075.54829922065</v>
      </c>
      <c r="Q90">
        <f t="shared" si="32"/>
        <v>0</v>
      </c>
      <c r="R90" s="29">
        <f t="shared" si="33"/>
        <v>138075.54829922065</v>
      </c>
      <c r="S90" s="29">
        <f t="shared" si="25"/>
        <v>138075.54829922065</v>
      </c>
      <c r="T90" s="29">
        <f t="shared" si="34"/>
        <v>138075.54829922065</v>
      </c>
      <c r="U90">
        <f t="shared" si="35"/>
        <v>0</v>
      </c>
      <c r="V90" s="29">
        <f t="shared" si="36"/>
        <v>138075.54829922065</v>
      </c>
      <c r="W90" s="29">
        <f t="shared" si="26"/>
        <v>138075.54829922065</v>
      </c>
      <c r="X90" s="29">
        <f t="shared" si="37"/>
        <v>138075.54829922065</v>
      </c>
      <c r="Y90">
        <f t="shared" si="38"/>
        <v>0</v>
      </c>
    </row>
    <row r="91" spans="1:25" x14ac:dyDescent="0.25">
      <c r="A91" s="4" t="s">
        <v>831</v>
      </c>
      <c r="B91" s="7" t="s">
        <v>409</v>
      </c>
      <c r="C91" s="2" t="s">
        <v>832</v>
      </c>
      <c r="D91">
        <f>VLOOKUP(B91,'Model allocations'!$A$1:$L$316,3,FALSE)</f>
        <v>713443.30669129919</v>
      </c>
      <c r="E91" s="31">
        <f>VLOOKUP(B91,'Initial adjusted formula count'!$A$1:$P$316,12,FALSE)</f>
        <v>0.22306034482758599</v>
      </c>
      <c r="F91">
        <f>VLOOKUP(B91,'Model allocations'!$A$1:$L$316,8,FALSE)</f>
        <v>728641.72274401644</v>
      </c>
      <c r="G91" s="30">
        <f t="shared" si="27"/>
        <v>0.9</v>
      </c>
      <c r="H91">
        <f t="shared" si="28"/>
        <v>642098.97602216934</v>
      </c>
      <c r="I91">
        <f t="shared" si="20"/>
        <v>0</v>
      </c>
      <c r="J91">
        <f t="shared" si="21"/>
        <v>728641.72274401644</v>
      </c>
      <c r="K91">
        <f t="shared" si="22"/>
        <v>728217.01850551297</v>
      </c>
      <c r="L91">
        <f t="shared" si="29"/>
        <v>728217.01850551297</v>
      </c>
      <c r="M91">
        <f t="shared" si="23"/>
        <v>0</v>
      </c>
      <c r="N91" s="29">
        <f t="shared" si="30"/>
        <v>728217.01850551297</v>
      </c>
      <c r="O91" s="29">
        <f t="shared" si="24"/>
        <v>728194.61141245125</v>
      </c>
      <c r="P91" s="29">
        <f t="shared" si="31"/>
        <v>728194.61141245125</v>
      </c>
      <c r="Q91">
        <f t="shared" si="32"/>
        <v>0</v>
      </c>
      <c r="R91" s="29">
        <f t="shared" si="33"/>
        <v>728194.61141245125</v>
      </c>
      <c r="S91" s="29">
        <f t="shared" si="25"/>
        <v>728194.61141245125</v>
      </c>
      <c r="T91" s="29">
        <f t="shared" si="34"/>
        <v>728194.61141245125</v>
      </c>
      <c r="U91">
        <f t="shared" si="35"/>
        <v>0</v>
      </c>
      <c r="V91" s="29">
        <f t="shared" si="36"/>
        <v>728194.61141245125</v>
      </c>
      <c r="W91" s="29">
        <f t="shared" si="26"/>
        <v>728194.61141245125</v>
      </c>
      <c r="X91" s="29">
        <f t="shared" si="37"/>
        <v>728194.61141245125</v>
      </c>
      <c r="Y91">
        <f t="shared" si="38"/>
        <v>0</v>
      </c>
    </row>
    <row r="92" spans="1:25" x14ac:dyDescent="0.25">
      <c r="A92" s="4" t="s">
        <v>833</v>
      </c>
      <c r="B92" s="7" t="s">
        <v>411</v>
      </c>
      <c r="C92" s="2" t="s">
        <v>834</v>
      </c>
      <c r="D92">
        <f>VLOOKUP(B92,'Model allocations'!$A$1:$L$316,3,FALSE)</f>
        <v>287271.04315128434</v>
      </c>
      <c r="E92" s="31">
        <f>VLOOKUP(B92,'Initial adjusted formula count'!$A$1:$P$316,12,FALSE)</f>
        <v>0.15852885225110999</v>
      </c>
      <c r="F92">
        <f>VLOOKUP(B92,'Model allocations'!$A$1:$L$316,8,FALSE)</f>
        <v>258543.9388361559</v>
      </c>
      <c r="G92" s="30">
        <f t="shared" si="27"/>
        <v>0.9</v>
      </c>
      <c r="H92">
        <f t="shared" si="28"/>
        <v>258543.9388361559</v>
      </c>
      <c r="I92">
        <f t="shared" si="20"/>
        <v>0</v>
      </c>
      <c r="J92">
        <f t="shared" si="21"/>
        <v>258543.9388361559</v>
      </c>
      <c r="K92">
        <f t="shared" si="22"/>
        <v>258393.24103333231</v>
      </c>
      <c r="L92">
        <f t="shared" si="29"/>
        <v>258393.24103333231</v>
      </c>
      <c r="M92">
        <f t="shared" si="23"/>
        <v>258543.9388361559</v>
      </c>
      <c r="N92" s="29">
        <f t="shared" si="30"/>
        <v>0</v>
      </c>
      <c r="O92" s="29">
        <f t="shared" si="24"/>
        <v>0</v>
      </c>
      <c r="P92" s="29">
        <f t="shared" si="31"/>
        <v>258543.9388361559</v>
      </c>
      <c r="Q92">
        <f t="shared" si="32"/>
        <v>0</v>
      </c>
      <c r="R92" s="29">
        <f t="shared" si="33"/>
        <v>0</v>
      </c>
      <c r="S92" s="29">
        <f t="shared" si="25"/>
        <v>0</v>
      </c>
      <c r="T92" s="29">
        <f t="shared" si="34"/>
        <v>258543.9388361559</v>
      </c>
      <c r="U92">
        <f t="shared" si="35"/>
        <v>0</v>
      </c>
      <c r="V92" s="29">
        <f t="shared" si="36"/>
        <v>0</v>
      </c>
      <c r="W92" s="29">
        <f t="shared" si="26"/>
        <v>0</v>
      </c>
      <c r="X92" s="29">
        <f t="shared" si="37"/>
        <v>258543.9388361559</v>
      </c>
      <c r="Y92">
        <f t="shared" si="38"/>
        <v>0</v>
      </c>
    </row>
    <row r="93" spans="1:25" x14ac:dyDescent="0.25">
      <c r="A93" s="4" t="s">
        <v>835</v>
      </c>
      <c r="B93" s="7" t="s">
        <v>134</v>
      </c>
      <c r="C93" s="2" t="s">
        <v>836</v>
      </c>
      <c r="D93">
        <f>VLOOKUP(B93,'Model allocations'!$A$1:$L$316,3,FALSE)</f>
        <v>158691.65591271158</v>
      </c>
      <c r="E93" s="31">
        <f>VLOOKUP(B93,'Initial adjusted formula count'!$A$1:$P$316,12,FALSE)</f>
        <v>6.6596194503171197E-2</v>
      </c>
      <c r="F93">
        <f>VLOOKUP(B93,'Model allocations'!$A$1:$L$316,8,FALSE)</f>
        <v>166320.3932350472</v>
      </c>
      <c r="G93" s="30">
        <f t="shared" si="27"/>
        <v>0.85</v>
      </c>
      <c r="H93">
        <f t="shared" si="28"/>
        <v>134887.90752580483</v>
      </c>
      <c r="I93">
        <f t="shared" si="20"/>
        <v>0</v>
      </c>
      <c r="J93">
        <f t="shared" si="21"/>
        <v>166320.3932350472</v>
      </c>
      <c r="K93">
        <f t="shared" si="22"/>
        <v>166223.44987625838</v>
      </c>
      <c r="L93">
        <f t="shared" si="29"/>
        <v>166223.44987625838</v>
      </c>
      <c r="M93">
        <f t="shared" si="23"/>
        <v>0</v>
      </c>
      <c r="N93" s="29">
        <f t="shared" si="30"/>
        <v>166223.44987625838</v>
      </c>
      <c r="O93" s="29">
        <f t="shared" si="24"/>
        <v>166218.33521371169</v>
      </c>
      <c r="P93" s="29">
        <f t="shared" si="31"/>
        <v>166218.33521371169</v>
      </c>
      <c r="Q93">
        <f t="shared" si="32"/>
        <v>0</v>
      </c>
      <c r="R93" s="29">
        <f t="shared" si="33"/>
        <v>166218.33521371169</v>
      </c>
      <c r="S93" s="29">
        <f t="shared" si="25"/>
        <v>166218.33521371169</v>
      </c>
      <c r="T93" s="29">
        <f t="shared" si="34"/>
        <v>166218.33521371169</v>
      </c>
      <c r="U93">
        <f t="shared" si="35"/>
        <v>0</v>
      </c>
      <c r="V93" s="29">
        <f t="shared" si="36"/>
        <v>166218.33521371169</v>
      </c>
      <c r="W93" s="29">
        <f t="shared" si="26"/>
        <v>166218.33521371169</v>
      </c>
      <c r="X93" s="29">
        <f t="shared" si="37"/>
        <v>166218.33521371169</v>
      </c>
      <c r="Y93">
        <f t="shared" si="38"/>
        <v>0</v>
      </c>
    </row>
    <row r="94" spans="1:25" x14ac:dyDescent="0.25">
      <c r="A94" s="4" t="s">
        <v>837</v>
      </c>
      <c r="B94" s="7" t="s">
        <v>413</v>
      </c>
      <c r="C94" s="2" t="s">
        <v>838</v>
      </c>
      <c r="D94">
        <f>VLOOKUP(B94,'Model allocations'!$A$1:$L$316,3,FALSE)</f>
        <v>30414.757288910441</v>
      </c>
      <c r="E94" s="31">
        <f>VLOOKUP(B94,'Initial adjusted formula count'!$A$1:$P$316,12,FALSE)</f>
        <v>0.100864553314121</v>
      </c>
      <c r="F94">
        <f>VLOOKUP(B94,'Model allocations'!$A$1:$L$316,8,FALSE)</f>
        <v>30800.072821305028</v>
      </c>
      <c r="G94" s="30">
        <f t="shared" si="27"/>
        <v>0.85</v>
      </c>
      <c r="H94">
        <f t="shared" si="28"/>
        <v>25852.543695573873</v>
      </c>
      <c r="I94">
        <f t="shared" si="20"/>
        <v>0</v>
      </c>
      <c r="J94">
        <f t="shared" si="21"/>
        <v>30800.072821305028</v>
      </c>
      <c r="K94">
        <f t="shared" si="22"/>
        <v>30782.120347455242</v>
      </c>
      <c r="L94">
        <f t="shared" si="29"/>
        <v>30782.120347455242</v>
      </c>
      <c r="M94">
        <f t="shared" si="23"/>
        <v>0</v>
      </c>
      <c r="N94" s="29">
        <f t="shared" si="30"/>
        <v>30782.120347455242</v>
      </c>
      <c r="O94" s="29">
        <f t="shared" si="24"/>
        <v>30781.173187724373</v>
      </c>
      <c r="P94" s="29">
        <f t="shared" si="31"/>
        <v>30781.173187724373</v>
      </c>
      <c r="Q94">
        <f t="shared" si="32"/>
        <v>0</v>
      </c>
      <c r="R94" s="29">
        <f t="shared" si="33"/>
        <v>30781.173187724373</v>
      </c>
      <c r="S94" s="29">
        <f t="shared" si="25"/>
        <v>30781.173187724373</v>
      </c>
      <c r="T94" s="29">
        <f t="shared" si="34"/>
        <v>30781.173187724373</v>
      </c>
      <c r="U94">
        <f t="shared" si="35"/>
        <v>0</v>
      </c>
      <c r="V94" s="29">
        <f t="shared" si="36"/>
        <v>30781.173187724373</v>
      </c>
      <c r="W94" s="29">
        <f t="shared" si="26"/>
        <v>30781.173187724373</v>
      </c>
      <c r="X94" s="29">
        <f t="shared" si="37"/>
        <v>30781.173187724373</v>
      </c>
      <c r="Y94">
        <f t="shared" si="38"/>
        <v>0</v>
      </c>
    </row>
    <row r="95" spans="1:25" x14ac:dyDescent="0.25">
      <c r="A95" s="4" t="s">
        <v>839</v>
      </c>
      <c r="B95" s="7" t="s">
        <v>415</v>
      </c>
      <c r="C95" s="2" t="s">
        <v>840</v>
      </c>
      <c r="D95">
        <f>VLOOKUP(B95,'Model allocations'!$A$1:$L$316,3,FALSE)</f>
        <v>33295.565648262062</v>
      </c>
      <c r="E95" s="31">
        <f>VLOOKUP(B95,'Initial adjusted formula count'!$A$1:$P$316,12,FALSE)</f>
        <v>0.175531914893617</v>
      </c>
      <c r="F95">
        <f>VLOOKUP(B95,'Model allocations'!$A$1:$L$316,8,FALSE)</f>
        <v>29731.89963747151</v>
      </c>
      <c r="G95" s="30">
        <f t="shared" si="27"/>
        <v>0.9</v>
      </c>
      <c r="H95">
        <f t="shared" si="28"/>
        <v>29966.009083435856</v>
      </c>
      <c r="I95">
        <f t="shared" si="20"/>
        <v>29966.009083435856</v>
      </c>
      <c r="J95">
        <f t="shared" si="21"/>
        <v>0</v>
      </c>
      <c r="K95">
        <f t="shared" si="22"/>
        <v>0</v>
      </c>
      <c r="L95">
        <f t="shared" si="29"/>
        <v>29966.009083435856</v>
      </c>
      <c r="M95">
        <f t="shared" si="23"/>
        <v>0</v>
      </c>
      <c r="N95" s="29">
        <f t="shared" si="30"/>
        <v>0</v>
      </c>
      <c r="O95" s="29">
        <f t="shared" si="24"/>
        <v>0</v>
      </c>
      <c r="P95" s="29">
        <f t="shared" si="31"/>
        <v>29966.009083435856</v>
      </c>
      <c r="Q95">
        <f t="shared" si="32"/>
        <v>0</v>
      </c>
      <c r="R95" s="29">
        <f t="shared" si="33"/>
        <v>0</v>
      </c>
      <c r="S95" s="29">
        <f t="shared" si="25"/>
        <v>0</v>
      </c>
      <c r="T95" s="29">
        <f t="shared" si="34"/>
        <v>29966.009083435856</v>
      </c>
      <c r="U95">
        <f t="shared" si="35"/>
        <v>0</v>
      </c>
      <c r="V95" s="29">
        <f t="shared" si="36"/>
        <v>0</v>
      </c>
      <c r="W95" s="29">
        <f t="shared" si="26"/>
        <v>0</v>
      </c>
      <c r="X95" s="29">
        <f t="shared" si="37"/>
        <v>29966.009083435856</v>
      </c>
      <c r="Y95">
        <f t="shared" si="38"/>
        <v>0</v>
      </c>
    </row>
    <row r="96" spans="1:25" x14ac:dyDescent="0.25">
      <c r="A96" s="4" t="s">
        <v>841</v>
      </c>
      <c r="B96" s="7" t="s">
        <v>136</v>
      </c>
      <c r="C96" s="2" t="s">
        <v>842</v>
      </c>
      <c r="D96">
        <f>VLOOKUP(B96,'Model allocations'!$A$1:$L$316,3,FALSE)</f>
        <v>11700.767256236799</v>
      </c>
      <c r="E96" s="31">
        <f>VLOOKUP(B96,'Initial adjusted formula count'!$A$1:$P$316,12,FALSE)</f>
        <v>6.3414634146341506E-2</v>
      </c>
      <c r="F96">
        <f>VLOOKUP(B96,'Model allocations'!$A$1:$L$316,8,FALSE)</f>
        <v>11440.027047913301</v>
      </c>
      <c r="G96" s="30">
        <f t="shared" si="27"/>
        <v>0.85</v>
      </c>
      <c r="H96">
        <f t="shared" si="28"/>
        <v>9945.6521678012796</v>
      </c>
      <c r="I96">
        <f t="shared" si="20"/>
        <v>0</v>
      </c>
      <c r="J96">
        <f t="shared" si="21"/>
        <v>11440.027047913301</v>
      </c>
      <c r="K96">
        <f t="shared" si="22"/>
        <v>11433.358986197667</v>
      </c>
      <c r="L96">
        <f t="shared" si="29"/>
        <v>11433.358986197667</v>
      </c>
      <c r="M96">
        <f t="shared" si="23"/>
        <v>0</v>
      </c>
      <c r="N96" s="29">
        <f t="shared" si="30"/>
        <v>11433.358986197667</v>
      </c>
      <c r="O96" s="29">
        <f t="shared" si="24"/>
        <v>11433.007184011916</v>
      </c>
      <c r="P96" s="29">
        <f t="shared" si="31"/>
        <v>11433.007184011916</v>
      </c>
      <c r="Q96">
        <f t="shared" si="32"/>
        <v>0</v>
      </c>
      <c r="R96" s="29">
        <f t="shared" si="33"/>
        <v>11433.007184011916</v>
      </c>
      <c r="S96" s="29">
        <f t="shared" si="25"/>
        <v>11433.007184011916</v>
      </c>
      <c r="T96" s="29">
        <f t="shared" si="34"/>
        <v>11433.007184011916</v>
      </c>
      <c r="U96">
        <f t="shared" si="35"/>
        <v>0</v>
      </c>
      <c r="V96" s="29">
        <f t="shared" si="36"/>
        <v>11433.007184011916</v>
      </c>
      <c r="W96" s="29">
        <f t="shared" si="26"/>
        <v>11433.007184011916</v>
      </c>
      <c r="X96" s="29">
        <f t="shared" si="37"/>
        <v>11433.007184011916</v>
      </c>
      <c r="Y96">
        <f t="shared" si="38"/>
        <v>0</v>
      </c>
    </row>
    <row r="97" spans="1:25" x14ac:dyDescent="0.25">
      <c r="A97" s="4" t="s">
        <v>843</v>
      </c>
      <c r="B97" s="7" t="s">
        <v>138</v>
      </c>
      <c r="C97" s="2" t="s">
        <v>844</v>
      </c>
      <c r="D97">
        <f>VLOOKUP(B97,'Model allocations'!$A$1:$L$316,3,FALSE)</f>
        <v>41444.177312723994</v>
      </c>
      <c r="E97" s="31">
        <f>VLOOKUP(B97,'Initial adjusted formula count'!$A$1:$P$316,12,FALSE)</f>
        <v>5.6603773584905703E-2</v>
      </c>
      <c r="F97">
        <f>VLOOKUP(B97,'Model allocations'!$A$1:$L$316,8,FALSE)</f>
        <v>44880.106111044486</v>
      </c>
      <c r="G97" s="30">
        <f t="shared" si="27"/>
        <v>0.85</v>
      </c>
      <c r="H97">
        <f t="shared" si="28"/>
        <v>35227.550715815392</v>
      </c>
      <c r="I97">
        <f t="shared" si="20"/>
        <v>0</v>
      </c>
      <c r="J97">
        <f t="shared" si="21"/>
        <v>44880.106111044486</v>
      </c>
      <c r="K97">
        <f t="shared" si="22"/>
        <v>44853.946792006231</v>
      </c>
      <c r="L97">
        <f t="shared" si="29"/>
        <v>44853.946792006231</v>
      </c>
      <c r="M97">
        <f t="shared" si="23"/>
        <v>0</v>
      </c>
      <c r="N97" s="29">
        <f t="shared" si="30"/>
        <v>44853.946792006231</v>
      </c>
      <c r="O97" s="29">
        <f t="shared" si="24"/>
        <v>44852.566644969818</v>
      </c>
      <c r="P97" s="29">
        <f t="shared" si="31"/>
        <v>44852.566644969818</v>
      </c>
      <c r="Q97">
        <f t="shared" si="32"/>
        <v>0</v>
      </c>
      <c r="R97" s="29">
        <f t="shared" si="33"/>
        <v>44852.566644969818</v>
      </c>
      <c r="S97" s="29">
        <f t="shared" si="25"/>
        <v>44852.566644969818</v>
      </c>
      <c r="T97" s="29">
        <f t="shared" si="34"/>
        <v>44852.566644969818</v>
      </c>
      <c r="U97">
        <f t="shared" si="35"/>
        <v>0</v>
      </c>
      <c r="V97" s="29">
        <f t="shared" si="36"/>
        <v>44852.566644969818</v>
      </c>
      <c r="W97" s="29">
        <f t="shared" si="26"/>
        <v>44852.566644969818</v>
      </c>
      <c r="X97" s="29">
        <f t="shared" si="37"/>
        <v>44852.566644969818</v>
      </c>
      <c r="Y97">
        <f t="shared" si="38"/>
        <v>0</v>
      </c>
    </row>
    <row r="98" spans="1:25" x14ac:dyDescent="0.25">
      <c r="A98" s="4" t="s">
        <v>845</v>
      </c>
      <c r="B98" s="7" t="s">
        <v>417</v>
      </c>
      <c r="C98" s="2" t="s">
        <v>846</v>
      </c>
      <c r="D98">
        <f>VLOOKUP(B98,'Model allocations'!$A$1:$L$316,3,FALSE)</f>
        <v>21724.826634936035</v>
      </c>
      <c r="E98" s="31">
        <f>VLOOKUP(B98,'Initial adjusted formula count'!$A$1:$P$316,12,FALSE)</f>
        <v>0.17241379310344801</v>
      </c>
      <c r="F98">
        <f>VLOOKUP(B98,'Model allocations'!$A$1:$L$316,8,FALSE)</f>
        <v>22000.052015217883</v>
      </c>
      <c r="G98" s="30">
        <f t="shared" si="27"/>
        <v>0.9</v>
      </c>
      <c r="H98">
        <f t="shared" si="28"/>
        <v>19552.343971442431</v>
      </c>
      <c r="I98">
        <f t="shared" si="20"/>
        <v>0</v>
      </c>
      <c r="J98">
        <f t="shared" si="21"/>
        <v>22000.052015217883</v>
      </c>
      <c r="K98">
        <f t="shared" si="22"/>
        <v>21987.228819610897</v>
      </c>
      <c r="L98">
        <f t="shared" si="29"/>
        <v>21987.228819610897</v>
      </c>
      <c r="M98">
        <f t="shared" si="23"/>
        <v>0</v>
      </c>
      <c r="N98" s="29">
        <f t="shared" si="30"/>
        <v>21987.228819610897</v>
      </c>
      <c r="O98" s="29">
        <f t="shared" si="24"/>
        <v>21986.552276945989</v>
      </c>
      <c r="P98" s="29">
        <f t="shared" si="31"/>
        <v>21986.552276945989</v>
      </c>
      <c r="Q98">
        <f t="shared" si="32"/>
        <v>0</v>
      </c>
      <c r="R98" s="29">
        <f t="shared" si="33"/>
        <v>21986.552276945989</v>
      </c>
      <c r="S98" s="29">
        <f t="shared" si="25"/>
        <v>21986.552276945989</v>
      </c>
      <c r="T98" s="29">
        <f t="shared" si="34"/>
        <v>21986.552276945989</v>
      </c>
      <c r="U98">
        <f t="shared" si="35"/>
        <v>0</v>
      </c>
      <c r="V98" s="29">
        <f t="shared" si="36"/>
        <v>21986.552276945989</v>
      </c>
      <c r="W98" s="29">
        <f t="shared" si="26"/>
        <v>21986.552276945989</v>
      </c>
      <c r="X98" s="29">
        <f t="shared" si="37"/>
        <v>21986.552276945989</v>
      </c>
      <c r="Y98">
        <f t="shared" si="38"/>
        <v>0</v>
      </c>
    </row>
    <row r="99" spans="1:25" x14ac:dyDescent="0.25">
      <c r="A99" s="4" t="s">
        <v>847</v>
      </c>
      <c r="B99" s="7" t="s">
        <v>419</v>
      </c>
      <c r="C99" s="2" t="s">
        <v>848</v>
      </c>
      <c r="D99">
        <f>VLOOKUP(B99,'Model allocations'!$A$1:$L$316,3,FALSE)</f>
        <v>171855.01907597794</v>
      </c>
      <c r="E99" s="31">
        <f>VLOOKUP(B99,'Initial adjusted formula count'!$A$1:$P$316,12,FALSE)</f>
        <v>0.103639240506329</v>
      </c>
      <c r="F99">
        <f>VLOOKUP(B99,'Model allocations'!$A$1:$L$316,8,FALSE)</f>
        <v>146076.76621458124</v>
      </c>
      <c r="G99" s="30">
        <f t="shared" si="27"/>
        <v>0.85</v>
      </c>
      <c r="H99">
        <f t="shared" si="28"/>
        <v>146076.76621458124</v>
      </c>
      <c r="I99">
        <f t="shared" si="20"/>
        <v>0</v>
      </c>
      <c r="J99">
        <f t="shared" si="21"/>
        <v>146076.76621458124</v>
      </c>
      <c r="K99">
        <f t="shared" si="22"/>
        <v>145991.62228194371</v>
      </c>
      <c r="L99">
        <f t="shared" si="29"/>
        <v>145991.62228194371</v>
      </c>
      <c r="M99">
        <f t="shared" si="23"/>
        <v>146076.76621458124</v>
      </c>
      <c r="N99" s="29">
        <f t="shared" si="30"/>
        <v>0</v>
      </c>
      <c r="O99" s="29">
        <f t="shared" si="24"/>
        <v>0</v>
      </c>
      <c r="P99" s="29">
        <f t="shared" si="31"/>
        <v>146076.76621458124</v>
      </c>
      <c r="Q99">
        <f t="shared" si="32"/>
        <v>0</v>
      </c>
      <c r="R99" s="29">
        <f t="shared" si="33"/>
        <v>0</v>
      </c>
      <c r="S99" s="29">
        <f t="shared" si="25"/>
        <v>0</v>
      </c>
      <c r="T99" s="29">
        <f t="shared" si="34"/>
        <v>146076.76621458124</v>
      </c>
      <c r="U99">
        <f t="shared" si="35"/>
        <v>0</v>
      </c>
      <c r="V99" s="29">
        <f t="shared" si="36"/>
        <v>0</v>
      </c>
      <c r="W99" s="29">
        <f t="shared" si="26"/>
        <v>0</v>
      </c>
      <c r="X99" s="29">
        <f t="shared" si="37"/>
        <v>146076.76621458124</v>
      </c>
      <c r="Y99">
        <f t="shared" si="38"/>
        <v>0</v>
      </c>
    </row>
    <row r="100" spans="1:25" x14ac:dyDescent="0.25">
      <c r="A100" s="4" t="s">
        <v>18</v>
      </c>
      <c r="B100" s="7" t="s">
        <v>57</v>
      </c>
      <c r="C100" s="2" t="s">
        <v>849</v>
      </c>
      <c r="D100">
        <f>VLOOKUP(B100,'Model allocations'!$A$1:$L$316,3,FALSE)</f>
        <v>2880022.5196760688</v>
      </c>
      <c r="E100" s="31">
        <f>VLOOKUP(B100,'Initial adjusted formula count'!$A$1:$P$316,12,FALSE)</f>
        <v>0.16976354908917801</v>
      </c>
      <c r="F100">
        <f>VLOOKUP(B100,'Model allocations'!$A$1:$L$316,8,FALSE)</f>
        <v>2991492.4789871057</v>
      </c>
      <c r="G100" s="30">
        <f t="shared" si="27"/>
        <v>0.9</v>
      </c>
      <c r="H100">
        <f t="shared" si="28"/>
        <v>2592020.2677084622</v>
      </c>
      <c r="I100">
        <f t="shared" si="20"/>
        <v>0</v>
      </c>
      <c r="J100">
        <f t="shared" si="21"/>
        <v>2991492.4789871057</v>
      </c>
      <c r="K100">
        <f t="shared" si="22"/>
        <v>2989748.8243271825</v>
      </c>
      <c r="L100">
        <f t="shared" si="29"/>
        <v>2989748.8243271825</v>
      </c>
      <c r="M100">
        <f t="shared" si="23"/>
        <v>0</v>
      </c>
      <c r="N100" s="29">
        <f t="shared" si="30"/>
        <v>2989748.8243271825</v>
      </c>
      <c r="O100" s="29">
        <f t="shared" si="24"/>
        <v>2989656.8303495147</v>
      </c>
      <c r="P100" s="29">
        <f t="shared" si="31"/>
        <v>2989656.8303495147</v>
      </c>
      <c r="Q100">
        <f t="shared" si="32"/>
        <v>0</v>
      </c>
      <c r="R100" s="29">
        <f t="shared" si="33"/>
        <v>2989656.8303495147</v>
      </c>
      <c r="S100" s="29">
        <f t="shared" si="25"/>
        <v>2989656.8303495147</v>
      </c>
      <c r="T100" s="29">
        <f t="shared" si="34"/>
        <v>2989656.8303495147</v>
      </c>
      <c r="U100">
        <f t="shared" si="35"/>
        <v>0</v>
      </c>
      <c r="V100" s="29">
        <f t="shared" si="36"/>
        <v>2989656.8303495147</v>
      </c>
      <c r="W100" s="29">
        <f t="shared" si="26"/>
        <v>2989656.8303495147</v>
      </c>
      <c r="X100" s="29">
        <f t="shared" si="37"/>
        <v>2989656.8303495147</v>
      </c>
      <c r="Y100">
        <f t="shared" si="38"/>
        <v>0</v>
      </c>
    </row>
    <row r="101" spans="1:25" x14ac:dyDescent="0.25">
      <c r="A101" s="4" t="s">
        <v>850</v>
      </c>
      <c r="B101" s="7" t="s">
        <v>140</v>
      </c>
      <c r="C101" s="2" t="s">
        <v>851</v>
      </c>
      <c r="D101">
        <f>VLOOKUP(B101,'Model allocations'!$A$1:$L$316,3,FALSE)</f>
        <v>92113.264932128732</v>
      </c>
      <c r="E101" s="31">
        <f>VLOOKUP(B101,'Initial adjusted formula count'!$A$1:$P$316,12,FALSE)</f>
        <v>5.3357865685372603E-2</v>
      </c>
      <c r="F101">
        <f>VLOOKUP(B101,'Model allocations'!$A$1:$L$316,8,FALSE)</f>
        <v>102080.24135061096</v>
      </c>
      <c r="G101" s="30">
        <f t="shared" si="27"/>
        <v>0.85</v>
      </c>
      <c r="H101">
        <f t="shared" si="28"/>
        <v>78296.275192309418</v>
      </c>
      <c r="I101">
        <f t="shared" si="20"/>
        <v>0</v>
      </c>
      <c r="J101">
        <f t="shared" si="21"/>
        <v>102080.24135061096</v>
      </c>
      <c r="K101">
        <f t="shared" si="22"/>
        <v>102020.74172299453</v>
      </c>
      <c r="L101">
        <f t="shared" si="29"/>
        <v>102020.74172299453</v>
      </c>
      <c r="M101">
        <f t="shared" si="23"/>
        <v>0</v>
      </c>
      <c r="N101" s="29">
        <f t="shared" si="30"/>
        <v>102020.74172299453</v>
      </c>
      <c r="O101" s="29">
        <f t="shared" si="24"/>
        <v>102017.60256502934</v>
      </c>
      <c r="P101" s="29">
        <f t="shared" si="31"/>
        <v>102017.60256502934</v>
      </c>
      <c r="Q101">
        <f t="shared" si="32"/>
        <v>0</v>
      </c>
      <c r="R101" s="29">
        <f t="shared" si="33"/>
        <v>102017.60256502934</v>
      </c>
      <c r="S101" s="29">
        <f t="shared" si="25"/>
        <v>102017.60256502934</v>
      </c>
      <c r="T101" s="29">
        <f t="shared" si="34"/>
        <v>102017.60256502934</v>
      </c>
      <c r="U101">
        <f t="shared" si="35"/>
        <v>0</v>
      </c>
      <c r="V101" s="29">
        <f t="shared" si="36"/>
        <v>102017.60256502934</v>
      </c>
      <c r="W101" s="29">
        <f t="shared" si="26"/>
        <v>102017.60256502934</v>
      </c>
      <c r="X101" s="29">
        <f t="shared" si="37"/>
        <v>102017.60256502934</v>
      </c>
      <c r="Y101">
        <f t="shared" si="38"/>
        <v>0</v>
      </c>
    </row>
    <row r="102" spans="1:25" x14ac:dyDescent="0.25">
      <c r="A102" s="4" t="s">
        <v>852</v>
      </c>
      <c r="B102" s="7" t="s">
        <v>421</v>
      </c>
      <c r="C102" s="2" t="s">
        <v>853</v>
      </c>
      <c r="D102">
        <f>VLOOKUP(B102,'Model allocations'!$A$1:$L$316,3,FALSE)</f>
        <v>122528.02222103919</v>
      </c>
      <c r="E102" s="31">
        <f>VLOOKUP(B102,'Initial adjusted formula count'!$A$1:$P$316,12,FALSE)</f>
        <v>0.15826330532212901</v>
      </c>
      <c r="F102">
        <f>VLOOKUP(B102,'Model allocations'!$A$1:$L$316,8,FALSE)</f>
        <v>110336.49196620524</v>
      </c>
      <c r="G102" s="30">
        <f t="shared" si="27"/>
        <v>0.9</v>
      </c>
      <c r="H102">
        <f t="shared" si="28"/>
        <v>110275.21999893528</v>
      </c>
      <c r="I102">
        <f t="shared" si="20"/>
        <v>0</v>
      </c>
      <c r="J102">
        <f t="shared" si="21"/>
        <v>110336.49196620524</v>
      </c>
      <c r="K102">
        <f t="shared" si="22"/>
        <v>110272.18000830201</v>
      </c>
      <c r="L102">
        <f t="shared" si="29"/>
        <v>110272.18000830201</v>
      </c>
      <c r="M102">
        <f t="shared" si="23"/>
        <v>110275.21999893528</v>
      </c>
      <c r="N102" s="29">
        <f t="shared" si="30"/>
        <v>0</v>
      </c>
      <c r="O102" s="29">
        <f t="shared" si="24"/>
        <v>0</v>
      </c>
      <c r="P102" s="29">
        <f t="shared" si="31"/>
        <v>110275.21999893528</v>
      </c>
      <c r="Q102">
        <f t="shared" si="32"/>
        <v>0</v>
      </c>
      <c r="R102" s="29">
        <f t="shared" si="33"/>
        <v>0</v>
      </c>
      <c r="S102" s="29">
        <f t="shared" si="25"/>
        <v>0</v>
      </c>
      <c r="T102" s="29">
        <f t="shared" si="34"/>
        <v>110275.21999893528</v>
      </c>
      <c r="U102">
        <f t="shared" si="35"/>
        <v>0</v>
      </c>
      <c r="V102" s="29">
        <f t="shared" si="36"/>
        <v>0</v>
      </c>
      <c r="W102" s="29">
        <f t="shared" si="26"/>
        <v>0</v>
      </c>
      <c r="X102" s="29">
        <f t="shared" si="37"/>
        <v>110275.21999893528</v>
      </c>
      <c r="Y102">
        <f t="shared" si="38"/>
        <v>0</v>
      </c>
    </row>
    <row r="103" spans="1:25" x14ac:dyDescent="0.25">
      <c r="A103" s="4" t="s">
        <v>854</v>
      </c>
      <c r="B103" s="7" t="s">
        <v>423</v>
      </c>
      <c r="C103" s="2" t="s">
        <v>855</v>
      </c>
      <c r="D103">
        <f>VLOOKUP(B103,'Model allocations'!$A$1:$L$316,3,FALSE)</f>
        <v>387157.74009607045</v>
      </c>
      <c r="E103" s="31">
        <f>VLOOKUP(B103,'Initial adjusted formula count'!$A$1:$P$316,12,FALSE)</f>
        <v>0.23790994997220699</v>
      </c>
      <c r="F103">
        <f>VLOOKUP(B103,'Model allocations'!$A$1:$L$316,8,FALSE)</f>
        <v>376640.89050053013</v>
      </c>
      <c r="G103" s="30">
        <f t="shared" si="27"/>
        <v>0.9</v>
      </c>
      <c r="H103">
        <f t="shared" si="28"/>
        <v>348441.96608646342</v>
      </c>
      <c r="I103">
        <f t="shared" si="20"/>
        <v>0</v>
      </c>
      <c r="J103">
        <f t="shared" si="21"/>
        <v>376640.89050053013</v>
      </c>
      <c r="K103">
        <f t="shared" si="22"/>
        <v>376421.35739173851</v>
      </c>
      <c r="L103">
        <f t="shared" si="29"/>
        <v>376421.35739173851</v>
      </c>
      <c r="M103">
        <f t="shared" si="23"/>
        <v>0</v>
      </c>
      <c r="N103" s="29">
        <f t="shared" si="30"/>
        <v>376421.35739173851</v>
      </c>
      <c r="O103" s="29">
        <f t="shared" si="24"/>
        <v>376409.77498131531</v>
      </c>
      <c r="P103" s="29">
        <f t="shared" si="31"/>
        <v>376409.77498131531</v>
      </c>
      <c r="Q103">
        <f t="shared" si="32"/>
        <v>0</v>
      </c>
      <c r="R103" s="29">
        <f t="shared" si="33"/>
        <v>376409.77498131531</v>
      </c>
      <c r="S103" s="29">
        <f t="shared" si="25"/>
        <v>376409.77498131531</v>
      </c>
      <c r="T103" s="29">
        <f t="shared" si="34"/>
        <v>376409.77498131531</v>
      </c>
      <c r="U103">
        <f t="shared" si="35"/>
        <v>0</v>
      </c>
      <c r="V103" s="29">
        <f t="shared" si="36"/>
        <v>376409.77498131531</v>
      </c>
      <c r="W103" s="29">
        <f t="shared" si="26"/>
        <v>376409.77498131531</v>
      </c>
      <c r="X103" s="29">
        <f t="shared" si="37"/>
        <v>376409.77498131531</v>
      </c>
      <c r="Y103">
        <f t="shared" si="38"/>
        <v>0</v>
      </c>
    </row>
    <row r="104" spans="1:25" x14ac:dyDescent="0.25">
      <c r="A104" s="4" t="s">
        <v>37</v>
      </c>
      <c r="B104" s="7" t="s">
        <v>79</v>
      </c>
      <c r="C104" s="2" t="s">
        <v>856</v>
      </c>
      <c r="D104">
        <f>VLOOKUP(B104,'Model allocations'!$A$1:$L$316,3,FALSE)</f>
        <v>43210.804977040636</v>
      </c>
      <c r="E104" s="31">
        <f>VLOOKUP(B104,'Initial adjusted formula count'!$A$1:$P$316,12,FALSE)</f>
        <v>0.18795482425996299</v>
      </c>
      <c r="F104">
        <f>VLOOKUP(B104,'Model allocations'!$A$1:$L$316,8,FALSE)</f>
        <v>50234.501011192318</v>
      </c>
      <c r="G104" s="30">
        <f t="shared" si="27"/>
        <v>0.9</v>
      </c>
      <c r="H104">
        <f t="shared" si="28"/>
        <v>38889.724479336575</v>
      </c>
      <c r="I104">
        <f t="shared" si="20"/>
        <v>0</v>
      </c>
      <c r="J104">
        <f t="shared" si="21"/>
        <v>50234.501011192318</v>
      </c>
      <c r="K104">
        <f t="shared" si="22"/>
        <v>50205.220769843778</v>
      </c>
      <c r="L104">
        <f t="shared" si="29"/>
        <v>50205.220769843778</v>
      </c>
      <c r="M104">
        <f t="shared" si="23"/>
        <v>0</v>
      </c>
      <c r="N104" s="29">
        <f t="shared" si="30"/>
        <v>50205.220769843778</v>
      </c>
      <c r="O104" s="29">
        <f t="shared" si="24"/>
        <v>50203.675965169634</v>
      </c>
      <c r="P104" s="29">
        <f t="shared" si="31"/>
        <v>50203.675965169634</v>
      </c>
      <c r="Q104">
        <f t="shared" si="32"/>
        <v>0</v>
      </c>
      <c r="R104" s="29">
        <f t="shared" si="33"/>
        <v>50203.675965169634</v>
      </c>
      <c r="S104" s="29">
        <f t="shared" si="25"/>
        <v>50203.675965169634</v>
      </c>
      <c r="T104" s="29">
        <f t="shared" si="34"/>
        <v>50203.675965169634</v>
      </c>
      <c r="U104">
        <f t="shared" si="35"/>
        <v>0</v>
      </c>
      <c r="V104" s="29">
        <f t="shared" si="36"/>
        <v>50203.675965169634</v>
      </c>
      <c r="W104" s="29">
        <f t="shared" si="26"/>
        <v>50203.675965169634</v>
      </c>
      <c r="X104" s="29">
        <f t="shared" si="37"/>
        <v>50203.675965169634</v>
      </c>
      <c r="Y104">
        <f t="shared" si="38"/>
        <v>0</v>
      </c>
    </row>
    <row r="105" spans="1:25" x14ac:dyDescent="0.25">
      <c r="A105" s="4" t="s">
        <v>40</v>
      </c>
      <c r="B105" s="7" t="s">
        <v>74</v>
      </c>
      <c r="C105" s="2" t="s">
        <v>857</v>
      </c>
      <c r="D105">
        <f>VLOOKUP(B105,'Model allocations'!$A$1:$L$316,3,FALSE)</f>
        <v>97883.74754687211</v>
      </c>
      <c r="E105" s="31">
        <f>VLOOKUP(B105,'Initial adjusted formula count'!$A$1:$P$316,12,FALSE)</f>
        <v>0.226714379582554</v>
      </c>
      <c r="F105">
        <f>VLOOKUP(B105,'Model allocations'!$A$1:$L$316,8,FALSE)</f>
        <v>99285.491104485089</v>
      </c>
      <c r="G105" s="30">
        <f t="shared" si="27"/>
        <v>0.9</v>
      </c>
      <c r="H105">
        <f t="shared" si="28"/>
        <v>88095.372792184906</v>
      </c>
      <c r="I105">
        <f t="shared" si="20"/>
        <v>0</v>
      </c>
      <c r="J105">
        <f t="shared" si="21"/>
        <v>99285.491104485089</v>
      </c>
      <c r="K105">
        <f t="shared" si="22"/>
        <v>99227.620456157165</v>
      </c>
      <c r="L105">
        <f t="shared" si="29"/>
        <v>99227.620456157165</v>
      </c>
      <c r="M105">
        <f t="shared" si="23"/>
        <v>0</v>
      </c>
      <c r="N105" s="29">
        <f t="shared" si="30"/>
        <v>99227.620456157165</v>
      </c>
      <c r="O105" s="29">
        <f t="shared" si="24"/>
        <v>99224.567241978759</v>
      </c>
      <c r="P105" s="29">
        <f t="shared" si="31"/>
        <v>99224.567241978759</v>
      </c>
      <c r="Q105">
        <f t="shared" si="32"/>
        <v>0</v>
      </c>
      <c r="R105" s="29">
        <f t="shared" si="33"/>
        <v>99224.567241978759</v>
      </c>
      <c r="S105" s="29">
        <f t="shared" si="25"/>
        <v>99224.567241978759</v>
      </c>
      <c r="T105" s="29">
        <f t="shared" si="34"/>
        <v>99224.567241978759</v>
      </c>
      <c r="U105">
        <f t="shared" si="35"/>
        <v>0</v>
      </c>
      <c r="V105" s="29">
        <f t="shared" si="36"/>
        <v>99224.567241978759</v>
      </c>
      <c r="W105" s="29">
        <f t="shared" si="26"/>
        <v>99224.567241978759</v>
      </c>
      <c r="X105" s="29">
        <f t="shared" si="37"/>
        <v>99224.567241978759</v>
      </c>
      <c r="Y105">
        <f t="shared" si="38"/>
        <v>0</v>
      </c>
    </row>
    <row r="106" spans="1:25" x14ac:dyDescent="0.25">
      <c r="A106" s="4" t="s">
        <v>44</v>
      </c>
      <c r="B106" s="7" t="s">
        <v>75</v>
      </c>
      <c r="C106" s="2" t="s">
        <v>858</v>
      </c>
      <c r="D106">
        <f>VLOOKUP(B106,'Model allocations'!$A$1:$L$316,3,FALSE)</f>
        <v>52353.308359394985</v>
      </c>
      <c r="E106" s="31">
        <f>VLOOKUP(B106,'Initial adjusted formula count'!$A$1:$P$316,12,FALSE)</f>
        <v>0.22095892257017499</v>
      </c>
      <c r="F106">
        <f>VLOOKUP(B106,'Model allocations'!$A$1:$L$316,8,FALSE)</f>
        <v>66620.134723788651</v>
      </c>
      <c r="G106" s="30">
        <f t="shared" si="27"/>
        <v>0.9</v>
      </c>
      <c r="H106">
        <f t="shared" si="28"/>
        <v>47117.977523455491</v>
      </c>
      <c r="I106">
        <f t="shared" si="20"/>
        <v>0</v>
      </c>
      <c r="J106">
        <f t="shared" si="21"/>
        <v>66620.134723788651</v>
      </c>
      <c r="K106">
        <f t="shared" si="22"/>
        <v>66581.303769282909</v>
      </c>
      <c r="L106">
        <f t="shared" si="29"/>
        <v>66581.303769282909</v>
      </c>
      <c r="M106">
        <f t="shared" si="23"/>
        <v>0</v>
      </c>
      <c r="N106" s="29">
        <f t="shared" si="30"/>
        <v>66581.303769282909</v>
      </c>
      <c r="O106" s="29">
        <f t="shared" si="24"/>
        <v>66579.255075786583</v>
      </c>
      <c r="P106" s="29">
        <f t="shared" si="31"/>
        <v>66579.255075786583</v>
      </c>
      <c r="Q106">
        <f t="shared" si="32"/>
        <v>0</v>
      </c>
      <c r="R106" s="29">
        <f t="shared" si="33"/>
        <v>66579.255075786583</v>
      </c>
      <c r="S106" s="29">
        <f t="shared" si="25"/>
        <v>66579.255075786583</v>
      </c>
      <c r="T106" s="29">
        <f t="shared" si="34"/>
        <v>66579.255075786583</v>
      </c>
      <c r="U106">
        <f t="shared" si="35"/>
        <v>0</v>
      </c>
      <c r="V106" s="29">
        <f t="shared" si="36"/>
        <v>66579.255075786583</v>
      </c>
      <c r="W106" s="29">
        <f t="shared" si="26"/>
        <v>66579.255075786583</v>
      </c>
      <c r="X106" s="29">
        <f t="shared" si="37"/>
        <v>66579.255075786583</v>
      </c>
      <c r="Y106">
        <f t="shared" si="38"/>
        <v>0</v>
      </c>
    </row>
    <row r="107" spans="1:25" x14ac:dyDescent="0.25">
      <c r="A107" s="4" t="s">
        <v>859</v>
      </c>
      <c r="B107" s="7" t="s">
        <v>425</v>
      </c>
      <c r="C107" s="2" t="s">
        <v>860</v>
      </c>
      <c r="D107">
        <f>VLOOKUP(B107,'Model allocations'!$A$1:$L$316,3,FALSE)</f>
        <v>51270.590858449024</v>
      </c>
      <c r="E107" s="31">
        <f>VLOOKUP(B107,'Initial adjusted formula count'!$A$1:$P$316,12,FALSE)</f>
        <v>0.26</v>
      </c>
      <c r="F107">
        <f>VLOOKUP(B107,'Model allocations'!$A$1:$L$316,8,FALSE)</f>
        <v>46169.17039720645</v>
      </c>
      <c r="G107" s="30">
        <f t="shared" si="27"/>
        <v>0.9</v>
      </c>
      <c r="H107">
        <f t="shared" si="28"/>
        <v>46143.531772604125</v>
      </c>
      <c r="I107">
        <f t="shared" si="20"/>
        <v>0</v>
      </c>
      <c r="J107">
        <f t="shared" si="21"/>
        <v>46169.17039720645</v>
      </c>
      <c r="K107">
        <f t="shared" si="22"/>
        <v>46142.25971978595</v>
      </c>
      <c r="L107">
        <f t="shared" si="29"/>
        <v>46142.25971978595</v>
      </c>
      <c r="M107">
        <f t="shared" si="23"/>
        <v>46143.531772604125</v>
      </c>
      <c r="N107" s="29">
        <f t="shared" si="30"/>
        <v>0</v>
      </c>
      <c r="O107" s="29">
        <f t="shared" si="24"/>
        <v>0</v>
      </c>
      <c r="P107" s="29">
        <f t="shared" si="31"/>
        <v>46143.531772604125</v>
      </c>
      <c r="Q107">
        <f t="shared" si="32"/>
        <v>0</v>
      </c>
      <c r="R107" s="29">
        <f t="shared" si="33"/>
        <v>0</v>
      </c>
      <c r="S107" s="29">
        <f t="shared" si="25"/>
        <v>0</v>
      </c>
      <c r="T107" s="29">
        <f t="shared" si="34"/>
        <v>46143.531772604125</v>
      </c>
      <c r="U107">
        <f t="shared" si="35"/>
        <v>0</v>
      </c>
      <c r="V107" s="29">
        <f t="shared" si="36"/>
        <v>0</v>
      </c>
      <c r="W107" s="29">
        <f t="shared" si="26"/>
        <v>0</v>
      </c>
      <c r="X107" s="29">
        <f t="shared" si="37"/>
        <v>46143.531772604125</v>
      </c>
      <c r="Y107">
        <f t="shared" si="38"/>
        <v>0</v>
      </c>
    </row>
    <row r="108" spans="1:25" x14ac:dyDescent="0.25">
      <c r="A108" s="4" t="s">
        <v>861</v>
      </c>
      <c r="B108" s="7" t="s">
        <v>427</v>
      </c>
      <c r="C108" s="2" t="s">
        <v>862</v>
      </c>
      <c r="D108">
        <f>VLOOKUP(B108,'Model allocations'!$A$1:$L$316,3,FALSE)</f>
        <v>0</v>
      </c>
      <c r="E108" s="31">
        <f>VLOOKUP(B108,'Initial adjusted formula count'!$A$1:$P$316,12,FALSE)</f>
        <v>5.4545454545454501E-2</v>
      </c>
      <c r="F108">
        <f>VLOOKUP(B108,'Model allocations'!$A$1:$L$316,8,FALSE)</f>
        <v>0</v>
      </c>
      <c r="G108" s="30">
        <f t="shared" si="27"/>
        <v>0.85</v>
      </c>
      <c r="H108">
        <f t="shared" si="28"/>
        <v>0</v>
      </c>
      <c r="I108">
        <f t="shared" si="20"/>
        <v>0</v>
      </c>
      <c r="J108">
        <f t="shared" si="21"/>
        <v>0</v>
      </c>
      <c r="K108">
        <f t="shared" si="22"/>
        <v>0</v>
      </c>
      <c r="L108">
        <f t="shared" si="29"/>
        <v>0</v>
      </c>
      <c r="M108">
        <f t="shared" si="23"/>
        <v>0</v>
      </c>
      <c r="N108" s="29">
        <f t="shared" si="30"/>
        <v>0</v>
      </c>
      <c r="O108" s="29">
        <f t="shared" si="24"/>
        <v>0</v>
      </c>
      <c r="P108" s="29">
        <f t="shared" si="31"/>
        <v>0</v>
      </c>
      <c r="Q108">
        <f t="shared" si="32"/>
        <v>0</v>
      </c>
      <c r="R108" s="29">
        <f t="shared" si="33"/>
        <v>0</v>
      </c>
      <c r="S108" s="29">
        <f t="shared" si="25"/>
        <v>0</v>
      </c>
      <c r="T108" s="29">
        <f t="shared" si="34"/>
        <v>0</v>
      </c>
      <c r="U108">
        <f t="shared" si="35"/>
        <v>0</v>
      </c>
      <c r="V108" s="29">
        <f t="shared" si="36"/>
        <v>0</v>
      </c>
      <c r="W108" s="29">
        <f t="shared" si="26"/>
        <v>0</v>
      </c>
      <c r="X108" s="29">
        <f t="shared" si="37"/>
        <v>0</v>
      </c>
      <c r="Y108">
        <f t="shared" si="38"/>
        <v>0</v>
      </c>
    </row>
    <row r="109" spans="1:25" x14ac:dyDescent="0.25">
      <c r="A109" s="4" t="s">
        <v>863</v>
      </c>
      <c r="B109" s="7" t="s">
        <v>142</v>
      </c>
      <c r="C109" s="2" t="s">
        <v>864</v>
      </c>
      <c r="D109">
        <f>VLOOKUP(B109,'Model allocations'!$A$1:$L$316,3,FALSE)</f>
        <v>809032.5438850174</v>
      </c>
      <c r="E109" s="31">
        <f>VLOOKUP(B109,'Initial adjusted formula count'!$A$1:$P$316,12,FALSE)</f>
        <v>3.62714508580343E-2</v>
      </c>
      <c r="F109">
        <f>VLOOKUP(B109,'Model allocations'!$A$1:$L$316,8,FALSE)</f>
        <v>736561.74146949453</v>
      </c>
      <c r="G109" s="30">
        <f t="shared" si="27"/>
        <v>0.85</v>
      </c>
      <c r="H109">
        <f t="shared" si="28"/>
        <v>687677.66230226471</v>
      </c>
      <c r="I109">
        <f t="shared" si="20"/>
        <v>0</v>
      </c>
      <c r="J109">
        <f t="shared" si="21"/>
        <v>736561.74146949453</v>
      </c>
      <c r="K109">
        <f t="shared" si="22"/>
        <v>736132.42088057252</v>
      </c>
      <c r="L109">
        <f t="shared" si="29"/>
        <v>736132.42088057252</v>
      </c>
      <c r="M109">
        <f t="shared" si="23"/>
        <v>0</v>
      </c>
      <c r="N109" s="29">
        <f t="shared" si="30"/>
        <v>736132.42088057252</v>
      </c>
      <c r="O109" s="29">
        <f t="shared" si="24"/>
        <v>736109.77023215138</v>
      </c>
      <c r="P109" s="29">
        <f t="shared" si="31"/>
        <v>736109.77023215138</v>
      </c>
      <c r="Q109">
        <f t="shared" si="32"/>
        <v>0</v>
      </c>
      <c r="R109" s="29">
        <f t="shared" si="33"/>
        <v>736109.77023215138</v>
      </c>
      <c r="S109" s="29">
        <f t="shared" si="25"/>
        <v>736109.77023215138</v>
      </c>
      <c r="T109" s="29">
        <f t="shared" si="34"/>
        <v>736109.77023215138</v>
      </c>
      <c r="U109">
        <f t="shared" si="35"/>
        <v>0</v>
      </c>
      <c r="V109" s="29">
        <f t="shared" si="36"/>
        <v>736109.77023215138</v>
      </c>
      <c r="W109" s="29">
        <f t="shared" si="26"/>
        <v>736109.77023215138</v>
      </c>
      <c r="X109" s="29">
        <f t="shared" si="37"/>
        <v>736109.77023215138</v>
      </c>
      <c r="Y109">
        <f t="shared" si="38"/>
        <v>0</v>
      </c>
    </row>
    <row r="110" spans="1:25" x14ac:dyDescent="0.25">
      <c r="A110" s="4" t="s">
        <v>865</v>
      </c>
      <c r="B110" s="7" t="s">
        <v>144</v>
      </c>
      <c r="C110" s="2" t="s">
        <v>866</v>
      </c>
      <c r="D110">
        <f>VLOOKUP(B110,'Model allocations'!$A$1:$L$316,3,FALSE)</f>
        <v>0</v>
      </c>
      <c r="E110" s="31">
        <f>VLOOKUP(B110,'Initial adjusted formula count'!$A$1:$P$316,12,FALSE)</f>
        <v>0.116666666666667</v>
      </c>
      <c r="F110">
        <f>VLOOKUP(B110,'Model allocations'!$A$1:$L$316,8,FALSE)</f>
        <v>0</v>
      </c>
      <c r="G110" s="30">
        <f t="shared" si="27"/>
        <v>0.85</v>
      </c>
      <c r="H110">
        <f t="shared" si="28"/>
        <v>0</v>
      </c>
      <c r="I110">
        <f t="shared" si="20"/>
        <v>0</v>
      </c>
      <c r="J110">
        <f t="shared" si="21"/>
        <v>0</v>
      </c>
      <c r="K110">
        <f t="shared" si="22"/>
        <v>0</v>
      </c>
      <c r="L110">
        <f t="shared" si="29"/>
        <v>0</v>
      </c>
      <c r="M110">
        <f t="shared" si="23"/>
        <v>0</v>
      </c>
      <c r="N110" s="29">
        <f t="shared" si="30"/>
        <v>0</v>
      </c>
      <c r="O110" s="29">
        <f t="shared" si="24"/>
        <v>0</v>
      </c>
      <c r="P110" s="29">
        <f t="shared" si="31"/>
        <v>0</v>
      </c>
      <c r="Q110">
        <f t="shared" si="32"/>
        <v>0</v>
      </c>
      <c r="R110" s="29">
        <f t="shared" si="33"/>
        <v>0</v>
      </c>
      <c r="S110" s="29">
        <f t="shared" si="25"/>
        <v>0</v>
      </c>
      <c r="T110" s="29">
        <f t="shared" si="34"/>
        <v>0</v>
      </c>
      <c r="U110">
        <f t="shared" si="35"/>
        <v>0</v>
      </c>
      <c r="V110" s="29">
        <f t="shared" si="36"/>
        <v>0</v>
      </c>
      <c r="W110" s="29">
        <f t="shared" si="26"/>
        <v>0</v>
      </c>
      <c r="X110" s="29">
        <f t="shared" si="37"/>
        <v>0</v>
      </c>
      <c r="Y110">
        <f t="shared" si="38"/>
        <v>0</v>
      </c>
    </row>
    <row r="111" spans="1:25" x14ac:dyDescent="0.25">
      <c r="A111" s="4" t="s">
        <v>867</v>
      </c>
      <c r="B111" s="7" t="s">
        <v>146</v>
      </c>
      <c r="C111" s="2" t="s">
        <v>868</v>
      </c>
      <c r="D111">
        <f>VLOOKUP(B111,'Model allocations'!$A$1:$L$316,3,FALSE)</f>
        <v>92113.264932128732</v>
      </c>
      <c r="E111" s="31">
        <f>VLOOKUP(B111,'Initial adjusted formula count'!$A$1:$P$316,12,FALSE)</f>
        <v>6.7734887108521505E-2</v>
      </c>
      <c r="F111">
        <f>VLOOKUP(B111,'Model allocations'!$A$1:$L$316,8,FALSE)</f>
        <v>81840.193496610504</v>
      </c>
      <c r="G111" s="30">
        <f t="shared" si="27"/>
        <v>0.85</v>
      </c>
      <c r="H111">
        <f t="shared" si="28"/>
        <v>78296.275192309418</v>
      </c>
      <c r="I111">
        <f t="shared" si="20"/>
        <v>0</v>
      </c>
      <c r="J111">
        <f t="shared" si="21"/>
        <v>81840.193496610504</v>
      </c>
      <c r="K111">
        <f t="shared" si="22"/>
        <v>81792.491208952502</v>
      </c>
      <c r="L111">
        <f t="shared" si="29"/>
        <v>81792.491208952502</v>
      </c>
      <c r="M111">
        <f t="shared" si="23"/>
        <v>0</v>
      </c>
      <c r="N111" s="29">
        <f t="shared" si="30"/>
        <v>81792.491208952502</v>
      </c>
      <c r="O111" s="29">
        <f t="shared" si="24"/>
        <v>81789.974470239045</v>
      </c>
      <c r="P111" s="29">
        <f t="shared" si="31"/>
        <v>81789.974470239045</v>
      </c>
      <c r="Q111">
        <f t="shared" si="32"/>
        <v>0</v>
      </c>
      <c r="R111" s="29">
        <f t="shared" si="33"/>
        <v>81789.974470239045</v>
      </c>
      <c r="S111" s="29">
        <f t="shared" si="25"/>
        <v>81789.974470239045</v>
      </c>
      <c r="T111" s="29">
        <f t="shared" si="34"/>
        <v>81789.974470239045</v>
      </c>
      <c r="U111">
        <f t="shared" si="35"/>
        <v>0</v>
      </c>
      <c r="V111" s="29">
        <f t="shared" si="36"/>
        <v>81789.974470239045</v>
      </c>
      <c r="W111" s="29">
        <f t="shared" si="26"/>
        <v>81789.974470239045</v>
      </c>
      <c r="X111" s="29">
        <f t="shared" si="37"/>
        <v>81789.974470239045</v>
      </c>
      <c r="Y111">
        <f t="shared" si="38"/>
        <v>0</v>
      </c>
    </row>
    <row r="112" spans="1:25" x14ac:dyDescent="0.25">
      <c r="A112" s="4" t="s">
        <v>869</v>
      </c>
      <c r="B112" s="7" t="s">
        <v>429</v>
      </c>
      <c r="C112" s="2" t="s">
        <v>870</v>
      </c>
      <c r="D112">
        <f>VLOOKUP(B112,'Model allocations'!$A$1:$L$316,3,FALSE)</f>
        <v>24003.779885956374</v>
      </c>
      <c r="E112" s="31">
        <f>VLOOKUP(B112,'Initial adjusted formula count'!$A$1:$P$316,12,FALSE)</f>
        <v>0.236363636363636</v>
      </c>
      <c r="F112">
        <f>VLOOKUP(B112,'Model allocations'!$A$1:$L$316,8,FALSE)</f>
        <v>22880.054095826603</v>
      </c>
      <c r="G112" s="30">
        <f t="shared" si="27"/>
        <v>0.9</v>
      </c>
      <c r="H112">
        <f t="shared" si="28"/>
        <v>21603.401897360738</v>
      </c>
      <c r="I112">
        <f t="shared" si="20"/>
        <v>0</v>
      </c>
      <c r="J112">
        <f t="shared" si="21"/>
        <v>22880.054095826603</v>
      </c>
      <c r="K112">
        <f t="shared" si="22"/>
        <v>22866.717972395334</v>
      </c>
      <c r="L112">
        <f t="shared" si="29"/>
        <v>22866.717972395334</v>
      </c>
      <c r="M112">
        <f t="shared" si="23"/>
        <v>0</v>
      </c>
      <c r="N112" s="29">
        <f t="shared" si="30"/>
        <v>22866.717972395334</v>
      </c>
      <c r="O112" s="29">
        <f t="shared" si="24"/>
        <v>22866.014368023833</v>
      </c>
      <c r="P112" s="29">
        <f t="shared" si="31"/>
        <v>22866.014368023833</v>
      </c>
      <c r="Q112">
        <f t="shared" si="32"/>
        <v>0</v>
      </c>
      <c r="R112" s="29">
        <f t="shared" si="33"/>
        <v>22866.014368023833</v>
      </c>
      <c r="S112" s="29">
        <f t="shared" si="25"/>
        <v>22866.014368023833</v>
      </c>
      <c r="T112" s="29">
        <f t="shared" si="34"/>
        <v>22866.014368023833</v>
      </c>
      <c r="U112">
        <f t="shared" si="35"/>
        <v>0</v>
      </c>
      <c r="V112" s="29">
        <f t="shared" si="36"/>
        <v>22866.014368023833</v>
      </c>
      <c r="W112" s="29">
        <f t="shared" si="26"/>
        <v>22866.014368023833</v>
      </c>
      <c r="X112" s="29">
        <f t="shared" si="37"/>
        <v>22866.014368023833</v>
      </c>
      <c r="Y112">
        <f t="shared" si="38"/>
        <v>0</v>
      </c>
    </row>
    <row r="113" spans="1:25" x14ac:dyDescent="0.25">
      <c r="A113" s="8" t="s">
        <v>871</v>
      </c>
      <c r="B113" s="7" t="s">
        <v>431</v>
      </c>
      <c r="C113" s="2" t="s">
        <v>872</v>
      </c>
      <c r="D113">
        <f>VLOOKUP(B113,'Model allocations'!$A$1:$L$316,3,FALSE)</f>
        <v>789914.69644627383</v>
      </c>
      <c r="E113" s="31">
        <f>VLOOKUP(B113,'Initial adjusted formula count'!$A$1:$P$316,12,FALSE)</f>
        <v>0.131621768215513</v>
      </c>
      <c r="F113">
        <f>VLOOKUP(B113,'Model allocations'!$A$1:$L$316,8,FALSE)</f>
        <v>671554.29449417663</v>
      </c>
      <c r="G113" s="30">
        <f t="shared" si="27"/>
        <v>0.85</v>
      </c>
      <c r="H113">
        <f t="shared" si="28"/>
        <v>671427.49197933276</v>
      </c>
      <c r="I113">
        <f t="shared" si="20"/>
        <v>0</v>
      </c>
      <c r="J113">
        <f t="shared" si="21"/>
        <v>671554.29449417663</v>
      </c>
      <c r="K113">
        <f t="shared" si="22"/>
        <v>671162.86487059866</v>
      </c>
      <c r="L113">
        <f t="shared" si="29"/>
        <v>671162.86487059866</v>
      </c>
      <c r="M113">
        <f t="shared" si="23"/>
        <v>671427.49197933276</v>
      </c>
      <c r="N113" s="29">
        <f t="shared" si="30"/>
        <v>0</v>
      </c>
      <c r="O113" s="29">
        <f t="shared" si="24"/>
        <v>0</v>
      </c>
      <c r="P113" s="29">
        <f t="shared" si="31"/>
        <v>671427.49197933276</v>
      </c>
      <c r="Q113">
        <f t="shared" si="32"/>
        <v>0</v>
      </c>
      <c r="R113" s="29">
        <f t="shared" si="33"/>
        <v>0</v>
      </c>
      <c r="S113" s="29">
        <f t="shared" si="25"/>
        <v>0</v>
      </c>
      <c r="T113" s="29">
        <f t="shared" si="34"/>
        <v>671427.49197933276</v>
      </c>
      <c r="U113">
        <f t="shared" si="35"/>
        <v>0</v>
      </c>
      <c r="V113" s="29">
        <f t="shared" si="36"/>
        <v>0</v>
      </c>
      <c r="W113" s="29">
        <f t="shared" si="26"/>
        <v>0</v>
      </c>
      <c r="X113" s="29">
        <f t="shared" si="37"/>
        <v>671427.49197933276</v>
      </c>
      <c r="Y113">
        <f t="shared" si="38"/>
        <v>0</v>
      </c>
    </row>
    <row r="114" spans="1:25" x14ac:dyDescent="0.25">
      <c r="A114" s="4" t="s">
        <v>873</v>
      </c>
      <c r="B114" s="7" t="s">
        <v>433</v>
      </c>
      <c r="C114" s="2" t="s">
        <v>874</v>
      </c>
      <c r="D114">
        <f>VLOOKUP(B114,'Model allocations'!$A$1:$L$316,3,FALSE)</f>
        <v>2625228.0505656688</v>
      </c>
      <c r="E114" s="31">
        <f>VLOOKUP(B114,'Initial adjusted formula count'!$A$1:$P$316,12,FALSE)</f>
        <v>0.120393594443373</v>
      </c>
      <c r="F114">
        <f>VLOOKUP(B114,'Model allocations'!$A$1:$L$316,8,FALSE)</f>
        <v>2232420.8871958279</v>
      </c>
      <c r="G114" s="30">
        <f t="shared" si="27"/>
        <v>0.85</v>
      </c>
      <c r="H114">
        <f t="shared" si="28"/>
        <v>2231443.8429808184</v>
      </c>
      <c r="I114">
        <f t="shared" si="20"/>
        <v>0</v>
      </c>
      <c r="J114">
        <f t="shared" si="21"/>
        <v>2232420.8871958279</v>
      </c>
      <c r="K114">
        <f t="shared" si="22"/>
        <v>2231119.6734671583</v>
      </c>
      <c r="L114">
        <f t="shared" si="29"/>
        <v>2231119.6734671583</v>
      </c>
      <c r="M114">
        <f t="shared" si="23"/>
        <v>2231443.8429808184</v>
      </c>
      <c r="N114" s="29">
        <f t="shared" si="30"/>
        <v>0</v>
      </c>
      <c r="O114" s="29">
        <f t="shared" si="24"/>
        <v>0</v>
      </c>
      <c r="P114" s="29">
        <f t="shared" si="31"/>
        <v>2231443.8429808184</v>
      </c>
      <c r="Q114">
        <f t="shared" si="32"/>
        <v>0</v>
      </c>
      <c r="R114" s="29">
        <f t="shared" si="33"/>
        <v>0</v>
      </c>
      <c r="S114" s="29">
        <f t="shared" si="25"/>
        <v>0</v>
      </c>
      <c r="T114" s="29">
        <f t="shared" si="34"/>
        <v>2231443.8429808184</v>
      </c>
      <c r="U114">
        <f t="shared" si="35"/>
        <v>0</v>
      </c>
      <c r="V114" s="29">
        <f t="shared" si="36"/>
        <v>0</v>
      </c>
      <c r="W114" s="29">
        <f t="shared" si="26"/>
        <v>0</v>
      </c>
      <c r="X114" s="29">
        <f t="shared" si="37"/>
        <v>2231443.8429808184</v>
      </c>
      <c r="Y114">
        <f t="shared" si="38"/>
        <v>0</v>
      </c>
    </row>
    <row r="115" spans="1:25" x14ac:dyDescent="0.25">
      <c r="A115" s="4" t="s">
        <v>875</v>
      </c>
      <c r="B115" s="7" t="s">
        <v>435</v>
      </c>
      <c r="C115" s="2" t="s">
        <v>876</v>
      </c>
      <c r="D115">
        <f>VLOOKUP(B115,'Model allocations'!$A$1:$L$316,3,FALSE)</f>
        <v>3868757.1271494087</v>
      </c>
      <c r="E115" s="31">
        <f>VLOOKUP(B115,'Initial adjusted formula count'!$A$1:$P$316,12,FALSE)</f>
        <v>0.147822376842036</v>
      </c>
      <c r="F115">
        <f>VLOOKUP(B115,'Model allocations'!$A$1:$L$316,8,FALSE)</f>
        <v>3963529.3710616534</v>
      </c>
      <c r="G115" s="30">
        <f t="shared" si="27"/>
        <v>0.85</v>
      </c>
      <c r="H115">
        <f t="shared" si="28"/>
        <v>3288443.5580769973</v>
      </c>
      <c r="I115">
        <f t="shared" si="20"/>
        <v>0</v>
      </c>
      <c r="J115">
        <f t="shared" si="21"/>
        <v>3963529.3710616534</v>
      </c>
      <c r="K115">
        <f t="shared" si="22"/>
        <v>3961219.1441410985</v>
      </c>
      <c r="L115">
        <f t="shared" si="29"/>
        <v>3961219.1441410985</v>
      </c>
      <c r="M115">
        <f t="shared" si="23"/>
        <v>0</v>
      </c>
      <c r="N115" s="29">
        <f t="shared" si="30"/>
        <v>3961219.1441410985</v>
      </c>
      <c r="O115" s="29">
        <f t="shared" si="24"/>
        <v>3961097.2582145892</v>
      </c>
      <c r="P115" s="29">
        <f t="shared" si="31"/>
        <v>3961097.2582145892</v>
      </c>
      <c r="Q115">
        <f t="shared" si="32"/>
        <v>0</v>
      </c>
      <c r="R115" s="29">
        <f t="shared" si="33"/>
        <v>3961097.2582145892</v>
      </c>
      <c r="S115" s="29">
        <f t="shared" si="25"/>
        <v>3961097.2582145892</v>
      </c>
      <c r="T115" s="29">
        <f t="shared" si="34"/>
        <v>3961097.2582145892</v>
      </c>
      <c r="U115">
        <f t="shared" si="35"/>
        <v>0</v>
      </c>
      <c r="V115" s="29">
        <f t="shared" si="36"/>
        <v>3961097.2582145892</v>
      </c>
      <c r="W115" s="29">
        <f t="shared" si="26"/>
        <v>3961097.2582145892</v>
      </c>
      <c r="X115" s="29">
        <f t="shared" si="37"/>
        <v>3961097.2582145892</v>
      </c>
      <c r="Y115">
        <f t="shared" si="38"/>
        <v>0</v>
      </c>
    </row>
    <row r="116" spans="1:25" x14ac:dyDescent="0.25">
      <c r="A116" s="4" t="s">
        <v>877</v>
      </c>
      <c r="B116" s="7" t="s">
        <v>437</v>
      </c>
      <c r="C116" s="2" t="s">
        <v>878</v>
      </c>
      <c r="D116">
        <f>VLOOKUP(B116,'Model allocations'!$A$1:$L$316,3,FALSE)</f>
        <v>128610.97367882126</v>
      </c>
      <c r="E116" s="31">
        <f>VLOOKUP(B116,'Initial adjusted formula count'!$A$1:$P$316,12,FALSE)</f>
        <v>0.17109458023379401</v>
      </c>
      <c r="F116">
        <f>VLOOKUP(B116,'Model allocations'!$A$1:$L$316,8,FALSE)</f>
        <v>141680.33497800314</v>
      </c>
      <c r="G116" s="30">
        <f t="shared" si="27"/>
        <v>0.9</v>
      </c>
      <c r="H116">
        <f t="shared" si="28"/>
        <v>115749.87631093914</v>
      </c>
      <c r="I116">
        <f t="shared" si="20"/>
        <v>0</v>
      </c>
      <c r="J116">
        <f t="shared" si="21"/>
        <v>141680.33497800314</v>
      </c>
      <c r="K116">
        <f t="shared" si="22"/>
        <v>141597.75359829413</v>
      </c>
      <c r="L116">
        <f t="shared" si="29"/>
        <v>141597.75359829413</v>
      </c>
      <c r="M116">
        <f t="shared" si="23"/>
        <v>0</v>
      </c>
      <c r="N116" s="29">
        <f t="shared" si="30"/>
        <v>141597.75359829413</v>
      </c>
      <c r="O116" s="29">
        <f t="shared" si="24"/>
        <v>141593.39666353213</v>
      </c>
      <c r="P116" s="29">
        <f t="shared" si="31"/>
        <v>141593.39666353213</v>
      </c>
      <c r="Q116">
        <f t="shared" si="32"/>
        <v>0</v>
      </c>
      <c r="R116" s="29">
        <f t="shared" si="33"/>
        <v>141593.39666353213</v>
      </c>
      <c r="S116" s="29">
        <f t="shared" si="25"/>
        <v>141593.39666353213</v>
      </c>
      <c r="T116" s="29">
        <f t="shared" si="34"/>
        <v>141593.39666353213</v>
      </c>
      <c r="U116">
        <f t="shared" si="35"/>
        <v>0</v>
      </c>
      <c r="V116" s="29">
        <f t="shared" si="36"/>
        <v>141593.39666353213</v>
      </c>
      <c r="W116" s="29">
        <f t="shared" si="26"/>
        <v>141593.39666353213</v>
      </c>
      <c r="X116" s="29">
        <f t="shared" si="37"/>
        <v>141593.39666353213</v>
      </c>
      <c r="Y116">
        <f t="shared" si="38"/>
        <v>0</v>
      </c>
    </row>
    <row r="117" spans="1:25" x14ac:dyDescent="0.25">
      <c r="A117" s="8" t="s">
        <v>879</v>
      </c>
      <c r="B117" s="7" t="s">
        <v>439</v>
      </c>
      <c r="C117" s="2" t="s">
        <v>880</v>
      </c>
      <c r="D117">
        <f>VLOOKUP(B117,'Model allocations'!$A$1:$L$316,3,FALSE)</f>
        <v>182824.48837869993</v>
      </c>
      <c r="E117" s="31">
        <f>VLOOKUP(B117,'Initial adjusted formula count'!$A$1:$P$316,12,FALSE)</f>
        <v>9.1012514220705401E-2</v>
      </c>
      <c r="F117">
        <f>VLOOKUP(B117,'Model allocations'!$A$1:$L$316,8,FALSE)</f>
        <v>155591.79471509115</v>
      </c>
      <c r="G117" s="30">
        <f t="shared" si="27"/>
        <v>0.85</v>
      </c>
      <c r="H117">
        <f t="shared" si="28"/>
        <v>155400.81512189494</v>
      </c>
      <c r="I117">
        <f t="shared" si="20"/>
        <v>0</v>
      </c>
      <c r="J117">
        <f t="shared" si="21"/>
        <v>155591.79471509115</v>
      </c>
      <c r="K117">
        <f t="shared" si="22"/>
        <v>155501.10474685408</v>
      </c>
      <c r="L117">
        <f t="shared" si="29"/>
        <v>155501.10474685408</v>
      </c>
      <c r="M117">
        <f t="shared" si="23"/>
        <v>0</v>
      </c>
      <c r="N117" s="29">
        <f t="shared" si="30"/>
        <v>155501.10474685408</v>
      </c>
      <c r="O117" s="29">
        <f t="shared" si="24"/>
        <v>155496.32000873794</v>
      </c>
      <c r="P117" s="29">
        <f t="shared" si="31"/>
        <v>155496.32000873794</v>
      </c>
      <c r="Q117">
        <f t="shared" si="32"/>
        <v>0</v>
      </c>
      <c r="R117" s="29">
        <f t="shared" si="33"/>
        <v>155496.32000873794</v>
      </c>
      <c r="S117" s="29">
        <f t="shared" si="25"/>
        <v>155496.32000873794</v>
      </c>
      <c r="T117" s="29">
        <f t="shared" si="34"/>
        <v>155496.32000873794</v>
      </c>
      <c r="U117">
        <f t="shared" si="35"/>
        <v>0</v>
      </c>
      <c r="V117" s="29">
        <f t="shared" si="36"/>
        <v>155496.32000873794</v>
      </c>
      <c r="W117" s="29">
        <f t="shared" si="26"/>
        <v>155496.32000873794</v>
      </c>
      <c r="X117" s="29">
        <f t="shared" si="37"/>
        <v>155496.32000873794</v>
      </c>
      <c r="Y117">
        <f t="shared" si="38"/>
        <v>0</v>
      </c>
    </row>
    <row r="118" spans="1:25" x14ac:dyDescent="0.25">
      <c r="A118" s="4" t="s">
        <v>881</v>
      </c>
      <c r="B118" s="7" t="s">
        <v>277</v>
      </c>
      <c r="C118" s="2" t="s">
        <v>882</v>
      </c>
      <c r="D118">
        <f>VLOOKUP(B118,'Model allocations'!$A$1:$L$316,3,FALSE)</f>
        <v>61698.507643218327</v>
      </c>
      <c r="E118" s="31">
        <f>VLOOKUP(B118,'Initial adjusted formula count'!$A$1:$P$316,12,FALSE)</f>
        <v>8.4099868593955296E-2</v>
      </c>
      <c r="F118">
        <f>VLOOKUP(B118,'Model allocations'!$A$1:$L$316,8,FALSE)</f>
        <v>56320.133158957768</v>
      </c>
      <c r="G118" s="30">
        <f t="shared" si="27"/>
        <v>0.85</v>
      </c>
      <c r="H118">
        <f t="shared" si="28"/>
        <v>52443.731496735578</v>
      </c>
      <c r="I118">
        <f t="shared" si="20"/>
        <v>0</v>
      </c>
      <c r="J118">
        <f t="shared" si="21"/>
        <v>56320.133158957768</v>
      </c>
      <c r="K118">
        <f t="shared" si="22"/>
        <v>56287.305778203881</v>
      </c>
      <c r="L118">
        <f t="shared" si="29"/>
        <v>56287.305778203881</v>
      </c>
      <c r="M118">
        <f t="shared" si="23"/>
        <v>0</v>
      </c>
      <c r="N118" s="29">
        <f t="shared" si="30"/>
        <v>56287.305778203881</v>
      </c>
      <c r="O118" s="29">
        <f t="shared" si="24"/>
        <v>56285.573828981724</v>
      </c>
      <c r="P118" s="29">
        <f t="shared" si="31"/>
        <v>56285.573828981724</v>
      </c>
      <c r="Q118">
        <f t="shared" si="32"/>
        <v>0</v>
      </c>
      <c r="R118" s="29">
        <f t="shared" si="33"/>
        <v>56285.573828981724</v>
      </c>
      <c r="S118" s="29">
        <f t="shared" si="25"/>
        <v>56285.573828981724</v>
      </c>
      <c r="T118" s="29">
        <f t="shared" si="34"/>
        <v>56285.573828981724</v>
      </c>
      <c r="U118">
        <f t="shared" si="35"/>
        <v>0</v>
      </c>
      <c r="V118" s="29">
        <f t="shared" si="36"/>
        <v>56285.573828981724</v>
      </c>
      <c r="W118" s="29">
        <f t="shared" si="26"/>
        <v>56285.573828981724</v>
      </c>
      <c r="X118" s="29">
        <f t="shared" si="37"/>
        <v>56285.573828981724</v>
      </c>
      <c r="Y118">
        <f t="shared" si="38"/>
        <v>0</v>
      </c>
    </row>
    <row r="119" spans="1:25" x14ac:dyDescent="0.25">
      <c r="A119" s="4" t="s">
        <v>883</v>
      </c>
      <c r="B119" s="7" t="s">
        <v>440</v>
      </c>
      <c r="C119" s="2" t="s">
        <v>884</v>
      </c>
      <c r="D119">
        <f>VLOOKUP(B119,'Model allocations'!$A$1:$L$316,3,FALSE)</f>
        <v>0</v>
      </c>
      <c r="E119" s="31">
        <f>VLOOKUP(B119,'Initial adjusted formula count'!$A$1:$P$316,12,FALSE)</f>
        <v>0.17073170731707299</v>
      </c>
      <c r="F119">
        <f>VLOOKUP(B119,'Model allocations'!$A$1:$L$316,8,FALSE)</f>
        <v>12320.029128522014</v>
      </c>
      <c r="G119" s="30">
        <f t="shared" si="27"/>
        <v>0.9</v>
      </c>
      <c r="H119">
        <f t="shared" si="28"/>
        <v>0</v>
      </c>
      <c r="I119">
        <f t="shared" si="20"/>
        <v>0</v>
      </c>
      <c r="J119">
        <f t="shared" si="21"/>
        <v>12320.029128522014</v>
      </c>
      <c r="K119">
        <f t="shared" si="22"/>
        <v>12312.848138982101</v>
      </c>
      <c r="L119">
        <f t="shared" si="29"/>
        <v>12312.848138982101</v>
      </c>
      <c r="M119">
        <f t="shared" si="23"/>
        <v>0</v>
      </c>
      <c r="N119" s="29">
        <f t="shared" si="30"/>
        <v>12312.848138982101</v>
      </c>
      <c r="O119" s="29">
        <f t="shared" si="24"/>
        <v>12312.469275089752</v>
      </c>
      <c r="P119" s="29">
        <f t="shared" si="31"/>
        <v>12312.469275089752</v>
      </c>
      <c r="Q119">
        <f t="shared" si="32"/>
        <v>0</v>
      </c>
      <c r="R119" s="29">
        <f t="shared" si="33"/>
        <v>12312.469275089752</v>
      </c>
      <c r="S119" s="29">
        <f t="shared" si="25"/>
        <v>12312.469275089752</v>
      </c>
      <c r="T119" s="29">
        <f t="shared" si="34"/>
        <v>12312.469275089752</v>
      </c>
      <c r="U119">
        <f t="shared" si="35"/>
        <v>0</v>
      </c>
      <c r="V119" s="29">
        <f t="shared" si="36"/>
        <v>12312.469275089752</v>
      </c>
      <c r="W119" s="29">
        <f t="shared" si="26"/>
        <v>12312.469275089752</v>
      </c>
      <c r="X119" s="29">
        <f t="shared" si="37"/>
        <v>12312.469275089752</v>
      </c>
      <c r="Y119">
        <f t="shared" si="38"/>
        <v>0</v>
      </c>
    </row>
    <row r="120" spans="1:25" x14ac:dyDescent="0.25">
      <c r="A120" s="4" t="s">
        <v>885</v>
      </c>
      <c r="B120" s="7" t="s">
        <v>148</v>
      </c>
      <c r="C120" s="2" t="s">
        <v>886</v>
      </c>
      <c r="D120">
        <f>VLOOKUP(B120,'Model allocations'!$A$1:$L$316,3,FALSE)</f>
        <v>92143.542142864768</v>
      </c>
      <c r="E120" s="31">
        <f>VLOOKUP(B120,'Initial adjusted formula count'!$A$1:$P$316,12,FALSE)</f>
        <v>6.1658031088082897E-2</v>
      </c>
      <c r="F120">
        <f>VLOOKUP(B120,'Model allocations'!$A$1:$L$316,8,FALSE)</f>
        <v>104720.24759243711</v>
      </c>
      <c r="G120" s="30">
        <f t="shared" si="27"/>
        <v>0.85</v>
      </c>
      <c r="H120">
        <f t="shared" si="28"/>
        <v>78322.010821435048</v>
      </c>
      <c r="I120">
        <f t="shared" si="20"/>
        <v>0</v>
      </c>
      <c r="J120">
        <f t="shared" si="21"/>
        <v>104720.24759243711</v>
      </c>
      <c r="K120">
        <f t="shared" si="22"/>
        <v>104659.20918134783</v>
      </c>
      <c r="L120">
        <f t="shared" si="29"/>
        <v>104659.20918134783</v>
      </c>
      <c r="M120">
        <f t="shared" si="23"/>
        <v>0</v>
      </c>
      <c r="N120" s="29">
        <f t="shared" si="30"/>
        <v>104659.20918134783</v>
      </c>
      <c r="O120" s="29">
        <f t="shared" si="24"/>
        <v>104655.98883826289</v>
      </c>
      <c r="P120" s="29">
        <f t="shared" si="31"/>
        <v>104655.98883826289</v>
      </c>
      <c r="Q120">
        <f t="shared" si="32"/>
        <v>0</v>
      </c>
      <c r="R120" s="29">
        <f t="shared" si="33"/>
        <v>104655.98883826289</v>
      </c>
      <c r="S120" s="29">
        <f t="shared" si="25"/>
        <v>104655.98883826289</v>
      </c>
      <c r="T120" s="29">
        <f t="shared" si="34"/>
        <v>104655.98883826289</v>
      </c>
      <c r="U120">
        <f t="shared" si="35"/>
        <v>0</v>
      </c>
      <c r="V120" s="29">
        <f t="shared" si="36"/>
        <v>104655.98883826289</v>
      </c>
      <c r="W120" s="29">
        <f t="shared" si="26"/>
        <v>104655.98883826289</v>
      </c>
      <c r="X120" s="29">
        <f t="shared" si="37"/>
        <v>104655.98883826289</v>
      </c>
      <c r="Y120">
        <f t="shared" si="38"/>
        <v>0</v>
      </c>
    </row>
    <row r="121" spans="1:25" x14ac:dyDescent="0.25">
      <c r="A121" s="4" t="s">
        <v>887</v>
      </c>
      <c r="B121" s="7" t="s">
        <v>279</v>
      </c>
      <c r="C121" s="2" t="s">
        <v>888</v>
      </c>
      <c r="D121">
        <f>VLOOKUP(B121,'Model allocations'!$A$1:$L$316,3,FALSE)</f>
        <v>84673.853565184225</v>
      </c>
      <c r="E121" s="31">
        <f>VLOOKUP(B121,'Initial adjusted formula count'!$A$1:$P$316,12,FALSE)</f>
        <v>0.109401709401709</v>
      </c>
      <c r="F121">
        <f>VLOOKUP(B121,'Model allocations'!$A$1:$L$316,8,FALSE)</f>
        <v>71972.775530406594</v>
      </c>
      <c r="G121" s="30">
        <f t="shared" si="27"/>
        <v>0.85</v>
      </c>
      <c r="H121">
        <f t="shared" si="28"/>
        <v>71972.775530406594</v>
      </c>
      <c r="I121">
        <f t="shared" si="20"/>
        <v>0</v>
      </c>
      <c r="J121">
        <f t="shared" si="21"/>
        <v>71972.775530406594</v>
      </c>
      <c r="K121">
        <f t="shared" si="22"/>
        <v>71930.824676001081</v>
      </c>
      <c r="L121">
        <f t="shared" si="29"/>
        <v>71930.824676001081</v>
      </c>
      <c r="M121">
        <f t="shared" si="23"/>
        <v>71972.775530406594</v>
      </c>
      <c r="N121" s="29">
        <f t="shared" si="30"/>
        <v>0</v>
      </c>
      <c r="O121" s="29">
        <f t="shared" si="24"/>
        <v>0</v>
      </c>
      <c r="P121" s="29">
        <f t="shared" si="31"/>
        <v>71972.775530406594</v>
      </c>
      <c r="Q121">
        <f t="shared" si="32"/>
        <v>0</v>
      </c>
      <c r="R121" s="29">
        <f t="shared" si="33"/>
        <v>0</v>
      </c>
      <c r="S121" s="29">
        <f t="shared" si="25"/>
        <v>0</v>
      </c>
      <c r="T121" s="29">
        <f t="shared" si="34"/>
        <v>71972.775530406594</v>
      </c>
      <c r="U121">
        <f t="shared" si="35"/>
        <v>0</v>
      </c>
      <c r="V121" s="29">
        <f t="shared" si="36"/>
        <v>0</v>
      </c>
      <c r="W121" s="29">
        <f t="shared" si="26"/>
        <v>0</v>
      </c>
      <c r="X121" s="29">
        <f t="shared" si="37"/>
        <v>71972.775530406594</v>
      </c>
      <c r="Y121">
        <f t="shared" si="38"/>
        <v>0</v>
      </c>
    </row>
    <row r="122" spans="1:25" x14ac:dyDescent="0.25">
      <c r="A122" s="4" t="s">
        <v>889</v>
      </c>
      <c r="B122" s="7" t="s">
        <v>442</v>
      </c>
      <c r="C122" s="2" t="s">
        <v>890</v>
      </c>
      <c r="D122">
        <f>VLOOKUP(B122,'Model allocations'!$A$1:$L$316,3,FALSE)</f>
        <v>14772.882111756497</v>
      </c>
      <c r="E122" s="31">
        <f>VLOOKUP(B122,'Initial adjusted formula count'!$A$1:$P$316,12,FALSE)</f>
        <v>0.14444444444444399</v>
      </c>
      <c r="F122">
        <f>VLOOKUP(B122,'Model allocations'!$A$1:$L$316,8,FALSE)</f>
        <v>12563.92678417388</v>
      </c>
      <c r="G122" s="30">
        <f t="shared" si="27"/>
        <v>0.85</v>
      </c>
      <c r="H122">
        <f t="shared" si="28"/>
        <v>12556.949794993021</v>
      </c>
      <c r="I122">
        <f t="shared" si="20"/>
        <v>0</v>
      </c>
      <c r="J122">
        <f t="shared" si="21"/>
        <v>12563.92678417388</v>
      </c>
      <c r="K122">
        <f t="shared" si="22"/>
        <v>12556.60363372706</v>
      </c>
      <c r="L122">
        <f t="shared" si="29"/>
        <v>12556.60363372706</v>
      </c>
      <c r="M122">
        <f t="shared" si="23"/>
        <v>12556.949794993021</v>
      </c>
      <c r="N122" s="29">
        <f t="shared" si="30"/>
        <v>0</v>
      </c>
      <c r="O122" s="29">
        <f t="shared" si="24"/>
        <v>0</v>
      </c>
      <c r="P122" s="29">
        <f t="shared" si="31"/>
        <v>12556.949794993021</v>
      </c>
      <c r="Q122">
        <f t="shared" si="32"/>
        <v>0</v>
      </c>
      <c r="R122" s="29">
        <f t="shared" si="33"/>
        <v>0</v>
      </c>
      <c r="S122" s="29">
        <f t="shared" si="25"/>
        <v>0</v>
      </c>
      <c r="T122" s="29">
        <f t="shared" si="34"/>
        <v>12556.949794993021</v>
      </c>
      <c r="U122">
        <f t="shared" si="35"/>
        <v>0</v>
      </c>
      <c r="V122" s="29">
        <f t="shared" si="36"/>
        <v>0</v>
      </c>
      <c r="W122" s="29">
        <f t="shared" si="26"/>
        <v>0</v>
      </c>
      <c r="X122" s="29">
        <f t="shared" si="37"/>
        <v>12556.949794993021</v>
      </c>
      <c r="Y122">
        <f t="shared" si="38"/>
        <v>0</v>
      </c>
    </row>
    <row r="123" spans="1:25" x14ac:dyDescent="0.25">
      <c r="A123" s="8" t="s">
        <v>891</v>
      </c>
      <c r="B123" s="7" t="s">
        <v>281</v>
      </c>
      <c r="C123" s="2" t="s">
        <v>892</v>
      </c>
      <c r="D123">
        <f>VLOOKUP(B123,'Model allocations'!$A$1:$L$316,3,FALSE)</f>
        <v>145121.84192137272</v>
      </c>
      <c r="E123" s="31">
        <f>VLOOKUP(B123,'Initial adjusted formula count'!$A$1:$P$316,12,FALSE)</f>
        <v>8.6029992107340206E-2</v>
      </c>
      <c r="F123">
        <f>VLOOKUP(B123,'Model allocations'!$A$1:$L$316,8,FALSE)</f>
        <v>123422.10429159051</v>
      </c>
      <c r="G123" s="30">
        <f t="shared" si="27"/>
        <v>0.85</v>
      </c>
      <c r="H123">
        <f t="shared" si="28"/>
        <v>123353.5656331668</v>
      </c>
      <c r="I123">
        <f t="shared" si="20"/>
        <v>0</v>
      </c>
      <c r="J123">
        <f t="shared" si="21"/>
        <v>123422.10429159051</v>
      </c>
      <c r="K123">
        <f t="shared" si="22"/>
        <v>123350.16510778939</v>
      </c>
      <c r="L123">
        <f t="shared" si="29"/>
        <v>123350.16510778939</v>
      </c>
      <c r="M123">
        <f t="shared" si="23"/>
        <v>123353.5656331668</v>
      </c>
      <c r="N123" s="29">
        <f t="shared" si="30"/>
        <v>0</v>
      </c>
      <c r="O123" s="29">
        <f t="shared" si="24"/>
        <v>0</v>
      </c>
      <c r="P123" s="29">
        <f t="shared" si="31"/>
        <v>123353.5656331668</v>
      </c>
      <c r="Q123">
        <f t="shared" si="32"/>
        <v>0</v>
      </c>
      <c r="R123" s="29">
        <f t="shared" si="33"/>
        <v>0</v>
      </c>
      <c r="S123" s="29">
        <f t="shared" si="25"/>
        <v>0</v>
      </c>
      <c r="T123" s="29">
        <f t="shared" si="34"/>
        <v>123353.5656331668</v>
      </c>
      <c r="U123">
        <f t="shared" si="35"/>
        <v>0</v>
      </c>
      <c r="V123" s="29">
        <f t="shared" si="36"/>
        <v>0</v>
      </c>
      <c r="W123" s="29">
        <f t="shared" si="26"/>
        <v>0</v>
      </c>
      <c r="X123" s="29">
        <f t="shared" si="37"/>
        <v>123353.5656331668</v>
      </c>
      <c r="Y123">
        <f t="shared" si="38"/>
        <v>0</v>
      </c>
    </row>
    <row r="124" spans="1:25" x14ac:dyDescent="0.25">
      <c r="A124" s="4" t="s">
        <v>893</v>
      </c>
      <c r="B124" s="7" t="s">
        <v>150</v>
      </c>
      <c r="C124" s="2" t="s">
        <v>894</v>
      </c>
      <c r="D124">
        <f>VLOOKUP(B124,'Model allocations'!$A$1:$L$316,3,FALSE)</f>
        <v>590046.29140486242</v>
      </c>
      <c r="E124" s="31">
        <f>VLOOKUP(B124,'Initial adjusted formula count'!$A$1:$P$316,12,FALSE)</f>
        <v>6.4187566061304893E-2</v>
      </c>
      <c r="F124">
        <f>VLOOKUP(B124,'Model allocations'!$A$1:$L$316,8,FALSE)</f>
        <v>587841.38984662155</v>
      </c>
      <c r="G124" s="30">
        <f t="shared" si="27"/>
        <v>0.85</v>
      </c>
      <c r="H124">
        <f t="shared" si="28"/>
        <v>501539.34769413306</v>
      </c>
      <c r="I124">
        <f t="shared" si="20"/>
        <v>0</v>
      </c>
      <c r="J124">
        <f t="shared" si="21"/>
        <v>587841.38984662155</v>
      </c>
      <c r="K124">
        <f t="shared" si="22"/>
        <v>587498.75406000286</v>
      </c>
      <c r="L124">
        <f t="shared" si="29"/>
        <v>587498.75406000286</v>
      </c>
      <c r="M124">
        <f t="shared" si="23"/>
        <v>0</v>
      </c>
      <c r="N124" s="29">
        <f t="shared" si="30"/>
        <v>587498.75406000286</v>
      </c>
      <c r="O124" s="29">
        <f t="shared" si="24"/>
        <v>587480.67683999659</v>
      </c>
      <c r="P124" s="29">
        <f t="shared" si="31"/>
        <v>587480.67683999659</v>
      </c>
      <c r="Q124">
        <f t="shared" si="32"/>
        <v>0</v>
      </c>
      <c r="R124" s="29">
        <f t="shared" si="33"/>
        <v>587480.67683999659</v>
      </c>
      <c r="S124" s="29">
        <f t="shared" si="25"/>
        <v>587480.67683999659</v>
      </c>
      <c r="T124" s="29">
        <f t="shared" si="34"/>
        <v>587480.67683999659</v>
      </c>
      <c r="U124">
        <f t="shared" si="35"/>
        <v>0</v>
      </c>
      <c r="V124" s="29">
        <f t="shared" si="36"/>
        <v>587480.67683999659</v>
      </c>
      <c r="W124" s="29">
        <f t="shared" si="26"/>
        <v>587480.67683999659</v>
      </c>
      <c r="X124" s="29">
        <f t="shared" si="37"/>
        <v>587480.67683999659</v>
      </c>
      <c r="Y124">
        <f t="shared" si="38"/>
        <v>0</v>
      </c>
    </row>
    <row r="125" spans="1:25" x14ac:dyDescent="0.25">
      <c r="A125" s="4" t="s">
        <v>895</v>
      </c>
      <c r="B125" s="7" t="s">
        <v>152</v>
      </c>
      <c r="C125" s="2" t="s">
        <v>896</v>
      </c>
      <c r="D125">
        <f>VLOOKUP(B125,'Model allocations'!$A$1:$L$316,3,FALSE)</f>
        <v>1264384.9101532765</v>
      </c>
      <c r="E125" s="31">
        <f>VLOOKUP(B125,'Initial adjusted formula count'!$A$1:$P$316,12,FALSE)</f>
        <v>4.1104599734630702E-2</v>
      </c>
      <c r="F125">
        <f>VLOOKUP(B125,'Model allocations'!$A$1:$L$316,8,FALSE)</f>
        <v>1308563.0938651597</v>
      </c>
      <c r="G125" s="30">
        <f t="shared" si="27"/>
        <v>0.85</v>
      </c>
      <c r="H125">
        <f t="shared" si="28"/>
        <v>1074727.1736302851</v>
      </c>
      <c r="I125">
        <f t="shared" si="20"/>
        <v>0</v>
      </c>
      <c r="J125">
        <f t="shared" si="21"/>
        <v>1308563.0938651597</v>
      </c>
      <c r="K125">
        <f t="shared" si="22"/>
        <v>1307800.370190456</v>
      </c>
      <c r="L125">
        <f t="shared" si="29"/>
        <v>1307800.370190456</v>
      </c>
      <c r="M125">
        <f t="shared" si="23"/>
        <v>0</v>
      </c>
      <c r="N125" s="29">
        <f t="shared" si="30"/>
        <v>1307800.370190456</v>
      </c>
      <c r="O125" s="29">
        <f t="shared" si="24"/>
        <v>1307760.1294327474</v>
      </c>
      <c r="P125" s="29">
        <f t="shared" si="31"/>
        <v>1307760.1294327474</v>
      </c>
      <c r="Q125">
        <f t="shared" si="32"/>
        <v>0</v>
      </c>
      <c r="R125" s="29">
        <f t="shared" si="33"/>
        <v>1307760.1294327474</v>
      </c>
      <c r="S125" s="29">
        <f t="shared" si="25"/>
        <v>1307760.1294327474</v>
      </c>
      <c r="T125" s="29">
        <f t="shared" si="34"/>
        <v>1307760.1294327474</v>
      </c>
      <c r="U125">
        <f t="shared" si="35"/>
        <v>0</v>
      </c>
      <c r="V125" s="29">
        <f t="shared" si="36"/>
        <v>1307760.1294327474</v>
      </c>
      <c r="W125" s="29">
        <f t="shared" si="26"/>
        <v>1307760.1294327474</v>
      </c>
      <c r="X125" s="29">
        <f t="shared" si="37"/>
        <v>1307760.1294327474</v>
      </c>
      <c r="Y125">
        <f t="shared" si="38"/>
        <v>0</v>
      </c>
    </row>
    <row r="126" spans="1:25" x14ac:dyDescent="0.25">
      <c r="A126" s="4" t="s">
        <v>897</v>
      </c>
      <c r="B126" s="7" t="s">
        <v>154</v>
      </c>
      <c r="C126" s="2" t="s">
        <v>898</v>
      </c>
      <c r="D126">
        <f>VLOOKUP(B126,'Model allocations'!$A$1:$L$316,3,FALSE)</f>
        <v>292850.66303893761</v>
      </c>
      <c r="E126" s="31">
        <f>VLOOKUP(B126,'Initial adjusted formula count'!$A$1:$P$316,12,FALSE)</f>
        <v>0.110033569563596</v>
      </c>
      <c r="F126">
        <f>VLOOKUP(B126,'Model allocations'!$A$1:$L$316,8,FALSE)</f>
        <v>259600.61377957097</v>
      </c>
      <c r="G126" s="30">
        <f t="shared" si="27"/>
        <v>0.85</v>
      </c>
      <c r="H126">
        <f t="shared" si="28"/>
        <v>248923.06358309695</v>
      </c>
      <c r="I126">
        <f t="shared" si="20"/>
        <v>0</v>
      </c>
      <c r="J126">
        <f t="shared" si="21"/>
        <v>259600.61377957097</v>
      </c>
      <c r="K126">
        <f t="shared" si="22"/>
        <v>259449.30007140851</v>
      </c>
      <c r="L126">
        <f t="shared" si="29"/>
        <v>259449.30007140851</v>
      </c>
      <c r="M126">
        <f t="shared" si="23"/>
        <v>0</v>
      </c>
      <c r="N126" s="29">
        <f t="shared" si="30"/>
        <v>259449.30007140851</v>
      </c>
      <c r="O126" s="29">
        <f t="shared" si="24"/>
        <v>259441.3168679626</v>
      </c>
      <c r="P126" s="29">
        <f t="shared" si="31"/>
        <v>259441.3168679626</v>
      </c>
      <c r="Q126">
        <f t="shared" si="32"/>
        <v>0</v>
      </c>
      <c r="R126" s="29">
        <f t="shared" si="33"/>
        <v>259441.3168679626</v>
      </c>
      <c r="S126" s="29">
        <f t="shared" si="25"/>
        <v>259441.3168679626</v>
      </c>
      <c r="T126" s="29">
        <f t="shared" si="34"/>
        <v>259441.3168679626</v>
      </c>
      <c r="U126">
        <f t="shared" si="35"/>
        <v>0</v>
      </c>
      <c r="V126" s="29">
        <f t="shared" si="36"/>
        <v>259441.3168679626</v>
      </c>
      <c r="W126" s="29">
        <f t="shared" si="26"/>
        <v>259441.3168679626</v>
      </c>
      <c r="X126" s="29">
        <f t="shared" si="37"/>
        <v>259441.3168679626</v>
      </c>
      <c r="Y126">
        <f t="shared" si="38"/>
        <v>0</v>
      </c>
    </row>
    <row r="127" spans="1:25" x14ac:dyDescent="0.25">
      <c r="A127" s="4" t="s">
        <v>899</v>
      </c>
      <c r="B127" s="7" t="s">
        <v>156</v>
      </c>
      <c r="C127" s="2" t="s">
        <v>900</v>
      </c>
      <c r="D127">
        <f>VLOOKUP(B127,'Model allocations'!$A$1:$L$316,3,FALSE)</f>
        <v>8689.9306539744121</v>
      </c>
      <c r="E127" s="31">
        <f>VLOOKUP(B127,'Initial adjusted formula count'!$A$1:$P$316,12,FALSE)</f>
        <v>0.25</v>
      </c>
      <c r="F127">
        <f>VLOOKUP(B127,'Model allocations'!$A$1:$L$316,8,FALSE)</f>
        <v>0</v>
      </c>
      <c r="G127" s="30">
        <f t="shared" si="27"/>
        <v>0.9</v>
      </c>
      <c r="H127">
        <f t="shared" si="28"/>
        <v>0</v>
      </c>
      <c r="I127">
        <f t="shared" si="20"/>
        <v>0</v>
      </c>
      <c r="J127">
        <f t="shared" si="21"/>
        <v>0</v>
      </c>
      <c r="K127">
        <f t="shared" si="22"/>
        <v>0</v>
      </c>
      <c r="L127">
        <f t="shared" si="29"/>
        <v>0</v>
      </c>
      <c r="M127">
        <f t="shared" si="23"/>
        <v>0</v>
      </c>
      <c r="N127" s="29">
        <f t="shared" si="30"/>
        <v>0</v>
      </c>
      <c r="O127" s="29">
        <f t="shared" si="24"/>
        <v>0</v>
      </c>
      <c r="P127" s="29">
        <f t="shared" si="31"/>
        <v>0</v>
      </c>
      <c r="Q127">
        <f t="shared" si="32"/>
        <v>0</v>
      </c>
      <c r="R127" s="29">
        <f t="shared" si="33"/>
        <v>0</v>
      </c>
      <c r="S127" s="29">
        <f t="shared" si="25"/>
        <v>0</v>
      </c>
      <c r="T127" s="29">
        <f t="shared" si="34"/>
        <v>0</v>
      </c>
      <c r="U127">
        <f t="shared" si="35"/>
        <v>0</v>
      </c>
      <c r="V127" s="29">
        <f t="shared" si="36"/>
        <v>0</v>
      </c>
      <c r="W127" s="29">
        <f t="shared" si="26"/>
        <v>0</v>
      </c>
      <c r="X127" s="29">
        <f t="shared" si="37"/>
        <v>0</v>
      </c>
      <c r="Y127">
        <f t="shared" si="38"/>
        <v>0</v>
      </c>
    </row>
    <row r="128" spans="1:25" x14ac:dyDescent="0.25">
      <c r="A128" s="4" t="s">
        <v>901</v>
      </c>
      <c r="B128" s="7" t="s">
        <v>158</v>
      </c>
      <c r="C128" s="2" t="s">
        <v>902</v>
      </c>
      <c r="D128">
        <f>VLOOKUP(B128,'Model allocations'!$A$1:$L$316,3,FALSE)</f>
        <v>56309.942420639585</v>
      </c>
      <c r="E128" s="31">
        <f>VLOOKUP(B128,'Initial adjusted formula count'!$A$1:$P$316,12,FALSE)</f>
        <v>4.57831325301205E-2</v>
      </c>
      <c r="F128">
        <f>VLOOKUP(B128,'Model allocations'!$A$1:$L$316,8,FALSE)</f>
        <v>47863.451057543643</v>
      </c>
      <c r="G128" s="30">
        <f t="shared" si="27"/>
        <v>0.85</v>
      </c>
      <c r="H128">
        <f t="shared" si="28"/>
        <v>47863.451057543643</v>
      </c>
      <c r="I128">
        <f t="shared" si="20"/>
        <v>0</v>
      </c>
      <c r="J128">
        <f t="shared" si="21"/>
        <v>47863.451057543643</v>
      </c>
      <c r="K128">
        <f t="shared" si="22"/>
        <v>47835.552832807087</v>
      </c>
      <c r="L128">
        <f t="shared" si="29"/>
        <v>47835.552832807087</v>
      </c>
      <c r="M128">
        <f t="shared" si="23"/>
        <v>47863.451057543643</v>
      </c>
      <c r="N128" s="29">
        <f t="shared" si="30"/>
        <v>0</v>
      </c>
      <c r="O128" s="29">
        <f t="shared" si="24"/>
        <v>0</v>
      </c>
      <c r="P128" s="29">
        <f t="shared" si="31"/>
        <v>47863.451057543643</v>
      </c>
      <c r="Q128">
        <f t="shared" si="32"/>
        <v>0</v>
      </c>
      <c r="R128" s="29">
        <f t="shared" si="33"/>
        <v>0</v>
      </c>
      <c r="S128" s="29">
        <f t="shared" si="25"/>
        <v>0</v>
      </c>
      <c r="T128" s="29">
        <f t="shared" si="34"/>
        <v>47863.451057543643</v>
      </c>
      <c r="U128">
        <f t="shared" si="35"/>
        <v>0</v>
      </c>
      <c r="V128" s="29">
        <f t="shared" si="36"/>
        <v>0</v>
      </c>
      <c r="W128" s="29">
        <f t="shared" si="26"/>
        <v>0</v>
      </c>
      <c r="X128" s="29">
        <f t="shared" si="37"/>
        <v>47863.451057543643</v>
      </c>
      <c r="Y128">
        <f t="shared" si="38"/>
        <v>0</v>
      </c>
    </row>
    <row r="129" spans="1:25" x14ac:dyDescent="0.25">
      <c r="A129" s="4" t="s">
        <v>903</v>
      </c>
      <c r="B129" s="7" t="s">
        <v>446</v>
      </c>
      <c r="C129" s="2" t="s">
        <v>904</v>
      </c>
      <c r="D129">
        <f>VLOOKUP(B129,'Model allocations'!$A$1:$L$316,3,FALSE)</f>
        <v>62719.553895563447</v>
      </c>
      <c r="E129" s="31">
        <f>VLOOKUP(B129,'Initial adjusted formula count'!$A$1:$P$316,12,FALSE)</f>
        <v>0.16831683168316799</v>
      </c>
      <c r="F129">
        <f>VLOOKUP(B129,'Model allocations'!$A$1:$L$316,8,FALSE)</f>
        <v>56447.598506007103</v>
      </c>
      <c r="G129" s="30">
        <f t="shared" si="27"/>
        <v>0.9</v>
      </c>
      <c r="H129">
        <f t="shared" si="28"/>
        <v>56447.598506007103</v>
      </c>
      <c r="I129">
        <f t="shared" si="20"/>
        <v>0</v>
      </c>
      <c r="J129">
        <f t="shared" si="21"/>
        <v>56447.598506007103</v>
      </c>
      <c r="K129">
        <f t="shared" si="22"/>
        <v>56414.696829379849</v>
      </c>
      <c r="L129">
        <f t="shared" si="29"/>
        <v>56414.696829379849</v>
      </c>
      <c r="M129">
        <f t="shared" si="23"/>
        <v>56447.598506007103</v>
      </c>
      <c r="N129" s="29">
        <f t="shared" si="30"/>
        <v>0</v>
      </c>
      <c r="O129" s="29">
        <f t="shared" si="24"/>
        <v>0</v>
      </c>
      <c r="P129" s="29">
        <f t="shared" si="31"/>
        <v>56447.598506007103</v>
      </c>
      <c r="Q129">
        <f t="shared" si="32"/>
        <v>0</v>
      </c>
      <c r="R129" s="29">
        <f t="shared" si="33"/>
        <v>0</v>
      </c>
      <c r="S129" s="29">
        <f t="shared" si="25"/>
        <v>0</v>
      </c>
      <c r="T129" s="29">
        <f t="shared" si="34"/>
        <v>56447.598506007103</v>
      </c>
      <c r="U129">
        <f t="shared" si="35"/>
        <v>0</v>
      </c>
      <c r="V129" s="29">
        <f t="shared" si="36"/>
        <v>0</v>
      </c>
      <c r="W129" s="29">
        <f t="shared" si="26"/>
        <v>0</v>
      </c>
      <c r="X129" s="29">
        <f t="shared" si="37"/>
        <v>56447.598506007103</v>
      </c>
      <c r="Y129">
        <f t="shared" si="38"/>
        <v>0</v>
      </c>
    </row>
    <row r="130" spans="1:25" x14ac:dyDescent="0.25">
      <c r="A130" s="4" t="s">
        <v>905</v>
      </c>
      <c r="B130" s="7" t="s">
        <v>448</v>
      </c>
      <c r="C130" s="2" t="s">
        <v>906</v>
      </c>
      <c r="D130">
        <f>VLOOKUP(B130,'Model allocations'!$A$1:$L$316,3,FALSE)</f>
        <v>1180092.5828097248</v>
      </c>
      <c r="E130" s="31">
        <f>VLOOKUP(B130,'Initial adjusted formula count'!$A$1:$P$316,12,FALSE)</f>
        <v>0.156390977443609</v>
      </c>
      <c r="F130">
        <f>VLOOKUP(B130,'Model allocations'!$A$1:$L$316,8,FALSE)</f>
        <v>1062673.4474475652</v>
      </c>
      <c r="G130" s="30">
        <f t="shared" si="27"/>
        <v>0.9</v>
      </c>
      <c r="H130">
        <f t="shared" si="28"/>
        <v>1062083.3245287524</v>
      </c>
      <c r="I130">
        <f t="shared" si="20"/>
        <v>0</v>
      </c>
      <c r="J130">
        <f t="shared" si="21"/>
        <v>1062673.4474475652</v>
      </c>
      <c r="K130">
        <f t="shared" si="22"/>
        <v>1062054.0457537172</v>
      </c>
      <c r="L130">
        <f t="shared" si="29"/>
        <v>1062054.0457537172</v>
      </c>
      <c r="M130">
        <f t="shared" si="23"/>
        <v>1062083.3245287524</v>
      </c>
      <c r="N130" s="29">
        <f t="shared" si="30"/>
        <v>0</v>
      </c>
      <c r="O130" s="29">
        <f t="shared" si="24"/>
        <v>0</v>
      </c>
      <c r="P130" s="29">
        <f t="shared" si="31"/>
        <v>1062083.3245287524</v>
      </c>
      <c r="Q130">
        <f t="shared" si="32"/>
        <v>0</v>
      </c>
      <c r="R130" s="29">
        <f t="shared" si="33"/>
        <v>0</v>
      </c>
      <c r="S130" s="29">
        <f t="shared" si="25"/>
        <v>0</v>
      </c>
      <c r="T130" s="29">
        <f t="shared" si="34"/>
        <v>1062083.3245287524</v>
      </c>
      <c r="U130">
        <f t="shared" si="35"/>
        <v>0</v>
      </c>
      <c r="V130" s="29">
        <f t="shared" si="36"/>
        <v>0</v>
      </c>
      <c r="W130" s="29">
        <f t="shared" si="26"/>
        <v>0</v>
      </c>
      <c r="X130" s="29">
        <f t="shared" si="37"/>
        <v>1062083.3245287524</v>
      </c>
      <c r="Y130">
        <f t="shared" si="38"/>
        <v>0</v>
      </c>
    </row>
    <row r="131" spans="1:25" x14ac:dyDescent="0.25">
      <c r="A131" s="4" t="s">
        <v>907</v>
      </c>
      <c r="B131" s="7" t="s">
        <v>450</v>
      </c>
      <c r="C131" s="2" t="s">
        <v>908</v>
      </c>
      <c r="D131">
        <f>VLOOKUP(B131,'Model allocations'!$A$1:$L$316,3,FALSE)</f>
        <v>55615.556185436246</v>
      </c>
      <c r="E131" s="31">
        <f>VLOOKUP(B131,'Initial adjusted formula count'!$A$1:$P$316,12,FALSE)</f>
        <v>0.168627450980392</v>
      </c>
      <c r="F131">
        <f>VLOOKUP(B131,'Model allocations'!$A$1:$L$316,8,FALSE)</f>
        <v>50081.811956291742</v>
      </c>
      <c r="G131" s="30">
        <f t="shared" si="27"/>
        <v>0.9</v>
      </c>
      <c r="H131">
        <f t="shared" si="28"/>
        <v>50054.000566892624</v>
      </c>
      <c r="I131">
        <f t="shared" si="20"/>
        <v>0</v>
      </c>
      <c r="J131">
        <f t="shared" si="21"/>
        <v>50081.811956291742</v>
      </c>
      <c r="K131">
        <f t="shared" si="22"/>
        <v>50052.620712988144</v>
      </c>
      <c r="L131">
        <f t="shared" si="29"/>
        <v>50052.620712988144</v>
      </c>
      <c r="M131">
        <f t="shared" si="23"/>
        <v>50054.000566892624</v>
      </c>
      <c r="N131" s="29">
        <f t="shared" si="30"/>
        <v>0</v>
      </c>
      <c r="O131" s="29">
        <f t="shared" si="24"/>
        <v>0</v>
      </c>
      <c r="P131" s="29">
        <f t="shared" si="31"/>
        <v>50054.000566892624</v>
      </c>
      <c r="Q131">
        <f t="shared" si="32"/>
        <v>0</v>
      </c>
      <c r="R131" s="29">
        <f t="shared" si="33"/>
        <v>0</v>
      </c>
      <c r="S131" s="29">
        <f t="shared" si="25"/>
        <v>0</v>
      </c>
      <c r="T131" s="29">
        <f t="shared" si="34"/>
        <v>50054.000566892624</v>
      </c>
      <c r="U131">
        <f t="shared" si="35"/>
        <v>0</v>
      </c>
      <c r="V131" s="29">
        <f t="shared" si="36"/>
        <v>0</v>
      </c>
      <c r="W131" s="29">
        <f t="shared" si="26"/>
        <v>0</v>
      </c>
      <c r="X131" s="29">
        <f t="shared" si="37"/>
        <v>50054.000566892624</v>
      </c>
      <c r="Y131">
        <f t="shared" si="38"/>
        <v>0</v>
      </c>
    </row>
    <row r="132" spans="1:25" x14ac:dyDescent="0.25">
      <c r="A132" s="4" t="s">
        <v>909</v>
      </c>
      <c r="B132" s="7" t="s">
        <v>452</v>
      </c>
      <c r="C132" s="2" t="s">
        <v>910</v>
      </c>
      <c r="D132">
        <f>VLOOKUP(B132,'Model allocations'!$A$1:$L$316,3,FALSE)</f>
        <v>42580.660204474625</v>
      </c>
      <c r="E132" s="31">
        <f>VLOOKUP(B132,'Initial adjusted formula count'!$A$1:$P$316,12,FALSE)</f>
        <v>0.14492753623188401</v>
      </c>
      <c r="F132">
        <f>VLOOKUP(B132,'Model allocations'!$A$1:$L$316,8,FALSE)</f>
        <v>36213.671319089437</v>
      </c>
      <c r="G132" s="30">
        <f t="shared" si="27"/>
        <v>0.85</v>
      </c>
      <c r="H132">
        <f t="shared" si="28"/>
        <v>36193.561173803428</v>
      </c>
      <c r="I132">
        <f t="shared" ref="I132:I195" si="39">IF(F132&lt;H132,H132,0)</f>
        <v>0</v>
      </c>
      <c r="J132">
        <f t="shared" ref="J132:J195" si="40">IF(I132=0,F132,0)</f>
        <v>36213.671319089437</v>
      </c>
      <c r="K132">
        <f t="shared" ref="K132:K195" si="41">(J132/$J$3)*($F$3-$I$3)</f>
        <v>36192.563414860357</v>
      </c>
      <c r="L132">
        <f t="shared" si="29"/>
        <v>36192.563414860357</v>
      </c>
      <c r="M132">
        <f t="shared" ref="M132:M195" si="42">IF(L132&lt;H132,H132,0)</f>
        <v>36193.561173803428</v>
      </c>
      <c r="N132" s="29">
        <f t="shared" si="30"/>
        <v>0</v>
      </c>
      <c r="O132" s="29">
        <f t="shared" ref="O132:O195" si="43">((N132/$N$3)*($F$3-$I$3-$M$3))</f>
        <v>0</v>
      </c>
      <c r="P132" s="29">
        <f t="shared" si="31"/>
        <v>36193.561173803428</v>
      </c>
      <c r="Q132">
        <f t="shared" si="32"/>
        <v>0</v>
      </c>
      <c r="R132" s="29">
        <f t="shared" si="33"/>
        <v>0</v>
      </c>
      <c r="S132" s="29">
        <f t="shared" ref="S132:S195" si="44">((R132/$R$3)*($F$3-$I$3-$M$3-$Q$3))</f>
        <v>0</v>
      </c>
      <c r="T132" s="29">
        <f t="shared" si="34"/>
        <v>36193.561173803428</v>
      </c>
      <c r="U132">
        <f t="shared" si="35"/>
        <v>0</v>
      </c>
      <c r="V132" s="29">
        <f t="shared" si="36"/>
        <v>0</v>
      </c>
      <c r="W132" s="29">
        <f t="shared" ref="W132:W195" si="45">((V132/$V$3)*($F$3-$I$3-$M$3-$Q$3-$U$3))</f>
        <v>0</v>
      </c>
      <c r="X132" s="29">
        <f t="shared" si="37"/>
        <v>36193.561173803428</v>
      </c>
      <c r="Y132">
        <f t="shared" si="38"/>
        <v>0</v>
      </c>
    </row>
    <row r="133" spans="1:25" x14ac:dyDescent="0.25">
      <c r="A133" s="4" t="s">
        <v>29</v>
      </c>
      <c r="B133" s="7" t="s">
        <v>76</v>
      </c>
      <c r="C133" s="2" t="s">
        <v>911</v>
      </c>
      <c r="D133">
        <f>VLOOKUP(B133,'Model allocations'!$A$1:$L$316,3,FALSE)</f>
        <v>0</v>
      </c>
      <c r="E133" s="31">
        <f>VLOOKUP(B133,'Initial adjusted formula count'!$A$1:$P$316,12,FALSE)</f>
        <v>0.16602385247005799</v>
      </c>
      <c r="F133">
        <f>VLOOKUP(B133,'Model allocations'!$A$1:$L$316,8,FALSE)</f>
        <v>0</v>
      </c>
      <c r="G133" s="30">
        <f t="shared" ref="G133:G196" si="46">IF(E133&lt;0.15,0.85,IF(AND(E133&gt;=0.15,E133&lt;0.3),0.9,0.95))</f>
        <v>0.9</v>
      </c>
      <c r="H133">
        <f t="shared" ref="H133:H196" si="47">IF(F133 = 0, 0, D133*G133)</f>
        <v>0</v>
      </c>
      <c r="I133">
        <f t="shared" si="39"/>
        <v>0</v>
      </c>
      <c r="J133">
        <f t="shared" si="40"/>
        <v>0</v>
      </c>
      <c r="K133">
        <f t="shared" si="41"/>
        <v>0</v>
      </c>
      <c r="L133">
        <f t="shared" ref="L133:L196" si="48">I133+K133</f>
        <v>0</v>
      </c>
      <c r="M133">
        <f t="shared" si="42"/>
        <v>0</v>
      </c>
      <c r="N133" s="29">
        <f t="shared" ref="N133:N196" si="49">IF($I133+$M133=0,L133,0)</f>
        <v>0</v>
      </c>
      <c r="O133" s="29">
        <f t="shared" si="43"/>
        <v>0</v>
      </c>
      <c r="P133" s="29">
        <f t="shared" ref="P133:P196" si="50">$I133+$M133+O133</f>
        <v>0</v>
      </c>
      <c r="Q133">
        <f t="shared" ref="Q133:Q196" si="51">IF(P133&lt;H133,H133,0)</f>
        <v>0</v>
      </c>
      <c r="R133" s="29">
        <f t="shared" ref="R133:R196" si="52">IF($I133+$M133+$Q133=0,P133,0)</f>
        <v>0</v>
      </c>
      <c r="S133" s="29">
        <f t="shared" si="44"/>
        <v>0</v>
      </c>
      <c r="T133" s="29">
        <f t="shared" ref="T133:T196" si="53">$I133+$M133+$Q133+S133</f>
        <v>0</v>
      </c>
      <c r="U133">
        <f t="shared" ref="U133:U196" si="54">IF(T133&lt;H133,H133,0)</f>
        <v>0</v>
      </c>
      <c r="V133" s="29">
        <f t="shared" ref="V133:V196" si="55">IF($I133+$M133+$Q133+U133=0,T133,0)</f>
        <v>0</v>
      </c>
      <c r="W133" s="29">
        <f t="shared" si="45"/>
        <v>0</v>
      </c>
      <c r="X133" s="29">
        <f t="shared" ref="X133:X196" si="56">$I133+$M133+$Q133+$U133+W133</f>
        <v>0</v>
      </c>
      <c r="Y133">
        <f t="shared" ref="Y133:Y196" si="57">IF(X133&lt;H133,H133,0)</f>
        <v>0</v>
      </c>
    </row>
    <row r="134" spans="1:25" x14ac:dyDescent="0.25">
      <c r="A134" s="4" t="s">
        <v>912</v>
      </c>
      <c r="B134" s="7" t="s">
        <v>454</v>
      </c>
      <c r="C134" s="2" t="s">
        <v>913</v>
      </c>
      <c r="D134">
        <f>VLOOKUP(B134,'Model allocations'!$A$1:$L$316,3,FALSE)</f>
        <v>78209.375885769739</v>
      </c>
      <c r="E134" s="31">
        <f>VLOOKUP(B134,'Initial adjusted formula count'!$A$1:$P$316,12,FALSE)</f>
        <v>0.16985645933014401</v>
      </c>
      <c r="F134">
        <f>VLOOKUP(B134,'Model allocations'!$A$1:$L$316,8,FALSE)</f>
        <v>70427.548063535287</v>
      </c>
      <c r="G134" s="30">
        <f t="shared" si="46"/>
        <v>0.9</v>
      </c>
      <c r="H134">
        <f t="shared" si="47"/>
        <v>70388.43829719277</v>
      </c>
      <c r="I134">
        <f t="shared" si="39"/>
        <v>0</v>
      </c>
      <c r="J134">
        <f t="shared" si="40"/>
        <v>70427.548063535287</v>
      </c>
      <c r="K134">
        <f t="shared" si="41"/>
        <v>70386.497877639602</v>
      </c>
      <c r="L134">
        <f t="shared" si="48"/>
        <v>70386.497877639602</v>
      </c>
      <c r="M134">
        <f t="shared" si="42"/>
        <v>70388.43829719277</v>
      </c>
      <c r="N134" s="29">
        <f t="shared" si="49"/>
        <v>0</v>
      </c>
      <c r="O134" s="29">
        <f t="shared" si="43"/>
        <v>0</v>
      </c>
      <c r="P134" s="29">
        <f t="shared" si="50"/>
        <v>70388.43829719277</v>
      </c>
      <c r="Q134">
        <f t="shared" si="51"/>
        <v>0</v>
      </c>
      <c r="R134" s="29">
        <f t="shared" si="52"/>
        <v>0</v>
      </c>
      <c r="S134" s="29">
        <f t="shared" si="44"/>
        <v>0</v>
      </c>
      <c r="T134" s="29">
        <f t="shared" si="53"/>
        <v>70388.43829719277</v>
      </c>
      <c r="U134">
        <f t="shared" si="54"/>
        <v>0</v>
      </c>
      <c r="V134" s="29">
        <f t="shared" si="55"/>
        <v>0</v>
      </c>
      <c r="W134" s="29">
        <f t="shared" si="45"/>
        <v>0</v>
      </c>
      <c r="X134" s="29">
        <f t="shared" si="56"/>
        <v>70388.43829719277</v>
      </c>
      <c r="Y134">
        <f t="shared" si="57"/>
        <v>0</v>
      </c>
    </row>
    <row r="135" spans="1:25" x14ac:dyDescent="0.25">
      <c r="A135" s="4" t="s">
        <v>914</v>
      </c>
      <c r="B135" s="7" t="s">
        <v>160</v>
      </c>
      <c r="C135" s="2" t="s">
        <v>915</v>
      </c>
      <c r="D135">
        <f>VLOOKUP(B135,'Model allocations'!$A$1:$L$316,3,FALSE)</f>
        <v>302409.58675830951</v>
      </c>
      <c r="E135" s="31">
        <f>VLOOKUP(B135,'Initial adjusted formula count'!$A$1:$P$316,12,FALSE)</f>
        <v>6.12386917188587E-2</v>
      </c>
      <c r="F135">
        <f>VLOOKUP(B135,'Model allocations'!$A$1:$L$316,8,FALSE)</f>
        <v>257190.9718172065</v>
      </c>
      <c r="G135" s="30">
        <f t="shared" si="46"/>
        <v>0.85</v>
      </c>
      <c r="H135">
        <f t="shared" si="47"/>
        <v>257048.14874456308</v>
      </c>
      <c r="I135">
        <f t="shared" si="39"/>
        <v>0</v>
      </c>
      <c r="J135">
        <f t="shared" si="40"/>
        <v>257190.9718172065</v>
      </c>
      <c r="K135">
        <f t="shared" si="41"/>
        <v>257041.06261982449</v>
      </c>
      <c r="L135">
        <f t="shared" si="48"/>
        <v>257041.06261982449</v>
      </c>
      <c r="M135">
        <f t="shared" si="42"/>
        <v>257048.14874456308</v>
      </c>
      <c r="N135" s="29">
        <f t="shared" si="49"/>
        <v>0</v>
      </c>
      <c r="O135" s="29">
        <f t="shared" si="43"/>
        <v>0</v>
      </c>
      <c r="P135" s="29">
        <f t="shared" si="50"/>
        <v>257048.14874456308</v>
      </c>
      <c r="Q135">
        <f t="shared" si="51"/>
        <v>0</v>
      </c>
      <c r="R135" s="29">
        <f t="shared" si="52"/>
        <v>0</v>
      </c>
      <c r="S135" s="29">
        <f t="shared" si="44"/>
        <v>0</v>
      </c>
      <c r="T135" s="29">
        <f t="shared" si="53"/>
        <v>257048.14874456308</v>
      </c>
      <c r="U135">
        <f t="shared" si="54"/>
        <v>0</v>
      </c>
      <c r="V135" s="29">
        <f t="shared" si="55"/>
        <v>0</v>
      </c>
      <c r="W135" s="29">
        <f t="shared" si="45"/>
        <v>0</v>
      </c>
      <c r="X135" s="29">
        <f t="shared" si="56"/>
        <v>257048.14874456308</v>
      </c>
      <c r="Y135">
        <f t="shared" si="57"/>
        <v>0</v>
      </c>
    </row>
    <row r="136" spans="1:25" x14ac:dyDescent="0.25">
      <c r="A136" s="4" t="s">
        <v>916</v>
      </c>
      <c r="B136" s="7" t="s">
        <v>456</v>
      </c>
      <c r="C136" s="2" t="s">
        <v>917</v>
      </c>
      <c r="D136">
        <f>VLOOKUP(B136,'Model allocations'!$A$1:$L$316,3,FALSE)</f>
        <v>147894.2567166989</v>
      </c>
      <c r="E136" s="31">
        <f>VLOOKUP(B136,'Initial adjusted formula count'!$A$1:$P$316,12,FALSE)</f>
        <v>0.13464052287581699</v>
      </c>
      <c r="F136">
        <f>VLOOKUP(B136,'Model allocations'!$A$1:$L$316,8,FALSE)</f>
        <v>125710.11820919406</v>
      </c>
      <c r="G136" s="30">
        <f t="shared" si="46"/>
        <v>0.85</v>
      </c>
      <c r="H136">
        <f t="shared" si="47"/>
        <v>125710.11820919406</v>
      </c>
      <c r="I136">
        <f t="shared" si="39"/>
        <v>0</v>
      </c>
      <c r="J136">
        <f t="shared" si="40"/>
        <v>125710.11820919406</v>
      </c>
      <c r="K136">
        <f t="shared" si="41"/>
        <v>125636.84540809072</v>
      </c>
      <c r="L136">
        <f t="shared" si="48"/>
        <v>125636.84540809072</v>
      </c>
      <c r="M136">
        <f t="shared" si="42"/>
        <v>125710.11820919406</v>
      </c>
      <c r="N136" s="29">
        <f t="shared" si="49"/>
        <v>0</v>
      </c>
      <c r="O136" s="29">
        <f t="shared" si="43"/>
        <v>0</v>
      </c>
      <c r="P136" s="29">
        <f t="shared" si="50"/>
        <v>125710.11820919406</v>
      </c>
      <c r="Q136">
        <f t="shared" si="51"/>
        <v>0</v>
      </c>
      <c r="R136" s="29">
        <f t="shared" si="52"/>
        <v>0</v>
      </c>
      <c r="S136" s="29">
        <f t="shared" si="44"/>
        <v>0</v>
      </c>
      <c r="T136" s="29">
        <f t="shared" si="53"/>
        <v>125710.11820919406</v>
      </c>
      <c r="U136">
        <f t="shared" si="54"/>
        <v>0</v>
      </c>
      <c r="V136" s="29">
        <f t="shared" si="55"/>
        <v>0</v>
      </c>
      <c r="W136" s="29">
        <f t="shared" si="45"/>
        <v>0</v>
      </c>
      <c r="X136" s="29">
        <f t="shared" si="56"/>
        <v>125710.11820919406</v>
      </c>
      <c r="Y136">
        <f t="shared" si="57"/>
        <v>0</v>
      </c>
    </row>
    <row r="137" spans="1:25" x14ac:dyDescent="0.25">
      <c r="A137" s="4" t="s">
        <v>918</v>
      </c>
      <c r="B137" s="7" t="s">
        <v>458</v>
      </c>
      <c r="C137" s="2" t="s">
        <v>919</v>
      </c>
      <c r="D137">
        <f>VLOOKUP(B137,'Model allocations'!$A$1:$L$316,3,FALSE)</f>
        <v>16687.547782919519</v>
      </c>
      <c r="E137" s="31">
        <f>VLOOKUP(B137,'Initial adjusted formula count'!$A$1:$P$316,12,FALSE)</f>
        <v>9.41176470588235E-2</v>
      </c>
      <c r="F137">
        <f>VLOOKUP(B137,'Model allocations'!$A$1:$L$316,8,FALSE)</f>
        <v>0</v>
      </c>
      <c r="G137" s="30">
        <f t="shared" si="46"/>
        <v>0.85</v>
      </c>
      <c r="H137">
        <f t="shared" si="47"/>
        <v>0</v>
      </c>
      <c r="I137">
        <f t="shared" si="39"/>
        <v>0</v>
      </c>
      <c r="J137">
        <f t="shared" si="40"/>
        <v>0</v>
      </c>
      <c r="K137">
        <f t="shared" si="41"/>
        <v>0</v>
      </c>
      <c r="L137">
        <f t="shared" si="48"/>
        <v>0</v>
      </c>
      <c r="M137">
        <f t="shared" si="42"/>
        <v>0</v>
      </c>
      <c r="N137" s="29">
        <f t="shared" si="49"/>
        <v>0</v>
      </c>
      <c r="O137" s="29">
        <f t="shared" si="43"/>
        <v>0</v>
      </c>
      <c r="P137" s="29">
        <f t="shared" si="50"/>
        <v>0</v>
      </c>
      <c r="Q137">
        <f t="shared" si="51"/>
        <v>0</v>
      </c>
      <c r="R137" s="29">
        <f t="shared" si="52"/>
        <v>0</v>
      </c>
      <c r="S137" s="29">
        <f t="shared" si="44"/>
        <v>0</v>
      </c>
      <c r="T137" s="29">
        <f t="shared" si="53"/>
        <v>0</v>
      </c>
      <c r="U137">
        <f t="shared" si="54"/>
        <v>0</v>
      </c>
      <c r="V137" s="29">
        <f t="shared" si="55"/>
        <v>0</v>
      </c>
      <c r="W137" s="29">
        <f t="shared" si="45"/>
        <v>0</v>
      </c>
      <c r="X137" s="29">
        <f t="shared" si="56"/>
        <v>0</v>
      </c>
      <c r="Y137">
        <f t="shared" si="57"/>
        <v>0</v>
      </c>
    </row>
    <row r="138" spans="1:25" x14ac:dyDescent="0.25">
      <c r="A138" s="4" t="s">
        <v>920</v>
      </c>
      <c r="B138" s="7" t="s">
        <v>283</v>
      </c>
      <c r="C138" s="2" t="s">
        <v>921</v>
      </c>
      <c r="D138">
        <f>VLOOKUP(B138,'Model allocations'!$A$1:$L$316,3,FALSE)</f>
        <v>92917.857623056945</v>
      </c>
      <c r="E138" s="31">
        <f>VLOOKUP(B138,'Initial adjusted formula count'!$A$1:$P$316,12,FALSE)</f>
        <v>0.116613418530351</v>
      </c>
      <c r="F138">
        <f>VLOOKUP(B138,'Model allocations'!$A$1:$L$316,8,FALSE)</f>
        <v>78980.178979598408</v>
      </c>
      <c r="G138" s="30">
        <f t="shared" si="46"/>
        <v>0.85</v>
      </c>
      <c r="H138">
        <f t="shared" si="47"/>
        <v>78980.178979598408</v>
      </c>
      <c r="I138">
        <f t="shared" si="39"/>
        <v>0</v>
      </c>
      <c r="J138">
        <f t="shared" si="40"/>
        <v>78980.178979598408</v>
      </c>
      <c r="K138">
        <f t="shared" si="41"/>
        <v>78934.143711889512</v>
      </c>
      <c r="L138">
        <f t="shared" si="48"/>
        <v>78934.143711889512</v>
      </c>
      <c r="M138">
        <f t="shared" si="42"/>
        <v>78980.178979598408</v>
      </c>
      <c r="N138" s="29">
        <f t="shared" si="49"/>
        <v>0</v>
      </c>
      <c r="O138" s="29">
        <f t="shared" si="43"/>
        <v>0</v>
      </c>
      <c r="P138" s="29">
        <f t="shared" si="50"/>
        <v>78980.178979598408</v>
      </c>
      <c r="Q138">
        <f t="shared" si="51"/>
        <v>0</v>
      </c>
      <c r="R138" s="29">
        <f t="shared" si="52"/>
        <v>0</v>
      </c>
      <c r="S138" s="29">
        <f t="shared" si="44"/>
        <v>0</v>
      </c>
      <c r="T138" s="29">
        <f t="shared" si="53"/>
        <v>78980.178979598408</v>
      </c>
      <c r="U138">
        <f t="shared" si="54"/>
        <v>0</v>
      </c>
      <c r="V138" s="29">
        <f t="shared" si="55"/>
        <v>0</v>
      </c>
      <c r="W138" s="29">
        <f t="shared" si="45"/>
        <v>0</v>
      </c>
      <c r="X138" s="29">
        <f t="shared" si="56"/>
        <v>78980.178979598408</v>
      </c>
      <c r="Y138">
        <f t="shared" si="57"/>
        <v>0</v>
      </c>
    </row>
    <row r="139" spans="1:25" x14ac:dyDescent="0.25">
      <c r="A139" s="4" t="s">
        <v>922</v>
      </c>
      <c r="B139" s="7" t="s">
        <v>460</v>
      </c>
      <c r="C139" s="2" t="s">
        <v>923</v>
      </c>
      <c r="D139">
        <f>VLOOKUP(B139,'Model allocations'!$A$1:$L$316,3,FALSE)</f>
        <v>35163.541980459959</v>
      </c>
      <c r="E139" s="31">
        <f>VLOOKUP(B139,'Initial adjusted formula count'!$A$1:$P$316,12,FALSE)</f>
        <v>0.128571428571429</v>
      </c>
      <c r="F139">
        <f>VLOOKUP(B139,'Model allocations'!$A$1:$L$316,8,FALSE)</f>
        <v>29889.010683390963</v>
      </c>
      <c r="G139" s="30">
        <f t="shared" si="46"/>
        <v>0.85</v>
      </c>
      <c r="H139">
        <f t="shared" si="47"/>
        <v>29889.010683390963</v>
      </c>
      <c r="I139">
        <f t="shared" si="39"/>
        <v>0</v>
      </c>
      <c r="J139">
        <f t="shared" si="40"/>
        <v>29889.010683390963</v>
      </c>
      <c r="K139">
        <f t="shared" si="41"/>
        <v>29871.589241376761</v>
      </c>
      <c r="L139">
        <f t="shared" si="48"/>
        <v>29871.589241376761</v>
      </c>
      <c r="M139">
        <f t="shared" si="42"/>
        <v>29889.010683390963</v>
      </c>
      <c r="N139" s="29">
        <f t="shared" si="49"/>
        <v>0</v>
      </c>
      <c r="O139" s="29">
        <f t="shared" si="43"/>
        <v>0</v>
      </c>
      <c r="P139" s="29">
        <f t="shared" si="50"/>
        <v>29889.010683390963</v>
      </c>
      <c r="Q139">
        <f t="shared" si="51"/>
        <v>0</v>
      </c>
      <c r="R139" s="29">
        <f t="shared" si="52"/>
        <v>0</v>
      </c>
      <c r="S139" s="29">
        <f t="shared" si="44"/>
        <v>0</v>
      </c>
      <c r="T139" s="29">
        <f t="shared" si="53"/>
        <v>29889.010683390963</v>
      </c>
      <c r="U139">
        <f t="shared" si="54"/>
        <v>0</v>
      </c>
      <c r="V139" s="29">
        <f t="shared" si="55"/>
        <v>0</v>
      </c>
      <c r="W139" s="29">
        <f t="shared" si="45"/>
        <v>0</v>
      </c>
      <c r="X139" s="29">
        <f t="shared" si="56"/>
        <v>29889.010683390963</v>
      </c>
      <c r="Y139">
        <f t="shared" si="57"/>
        <v>0</v>
      </c>
    </row>
    <row r="140" spans="1:25" x14ac:dyDescent="0.25">
      <c r="A140" s="4" t="s">
        <v>924</v>
      </c>
      <c r="B140" s="7" t="s">
        <v>462</v>
      </c>
      <c r="C140" s="2" t="s">
        <v>925</v>
      </c>
      <c r="D140">
        <f>VLOOKUP(B140,'Model allocations'!$A$1:$L$316,3,FALSE)</f>
        <v>113050.06010805261</v>
      </c>
      <c r="E140" s="31">
        <f>VLOOKUP(B140,'Initial adjusted formula count'!$A$1:$P$316,12,FALSE)</f>
        <v>0.22848200312989</v>
      </c>
      <c r="F140">
        <f>VLOOKUP(B140,'Model allocations'!$A$1:$L$316,8,FALSE)</f>
        <v>128480.3037688724</v>
      </c>
      <c r="G140" s="30">
        <f t="shared" si="46"/>
        <v>0.9</v>
      </c>
      <c r="H140">
        <f t="shared" si="47"/>
        <v>101745.05409724735</v>
      </c>
      <c r="I140">
        <f t="shared" si="39"/>
        <v>0</v>
      </c>
      <c r="J140">
        <f t="shared" si="40"/>
        <v>128480.3037688724</v>
      </c>
      <c r="K140">
        <f t="shared" si="41"/>
        <v>128405.41630652758</v>
      </c>
      <c r="L140">
        <f t="shared" si="48"/>
        <v>128405.41630652758</v>
      </c>
      <c r="M140">
        <f t="shared" si="42"/>
        <v>0</v>
      </c>
      <c r="N140" s="29">
        <f t="shared" si="49"/>
        <v>128405.41630652758</v>
      </c>
      <c r="O140" s="29">
        <f t="shared" si="43"/>
        <v>128401.46529736453</v>
      </c>
      <c r="P140" s="29">
        <f t="shared" si="50"/>
        <v>128401.46529736453</v>
      </c>
      <c r="Q140">
        <f t="shared" si="51"/>
        <v>0</v>
      </c>
      <c r="R140" s="29">
        <f t="shared" si="52"/>
        <v>128401.46529736453</v>
      </c>
      <c r="S140" s="29">
        <f t="shared" si="44"/>
        <v>128401.46529736453</v>
      </c>
      <c r="T140" s="29">
        <f t="shared" si="53"/>
        <v>128401.46529736453</v>
      </c>
      <c r="U140">
        <f t="shared" si="54"/>
        <v>0</v>
      </c>
      <c r="V140" s="29">
        <f t="shared" si="55"/>
        <v>128401.46529736453</v>
      </c>
      <c r="W140" s="29">
        <f t="shared" si="45"/>
        <v>128401.46529736453</v>
      </c>
      <c r="X140" s="29">
        <f t="shared" si="56"/>
        <v>128401.46529736453</v>
      </c>
      <c r="Y140">
        <f t="shared" si="57"/>
        <v>0</v>
      </c>
    </row>
    <row r="141" spans="1:25" x14ac:dyDescent="0.25">
      <c r="A141" s="4" t="s">
        <v>926</v>
      </c>
      <c r="B141" s="7" t="s">
        <v>162</v>
      </c>
      <c r="C141" s="2" t="s">
        <v>927</v>
      </c>
      <c r="D141">
        <f>VLOOKUP(B141,'Model allocations'!$A$1:$L$316,3,FALSE)</f>
        <v>1255694.9794993023</v>
      </c>
      <c r="E141" s="31">
        <f>VLOOKUP(B141,'Initial adjusted formula count'!$A$1:$P$316,12,FALSE)</f>
        <v>0.11046511627907001</v>
      </c>
      <c r="F141">
        <f>VLOOKUP(B141,'Model allocations'!$A$1:$L$316,8,FALSE)</f>
        <v>1237282.9253358536</v>
      </c>
      <c r="G141" s="30">
        <f t="shared" si="46"/>
        <v>0.85</v>
      </c>
      <c r="H141">
        <f t="shared" si="47"/>
        <v>1067340.732574407</v>
      </c>
      <c r="I141">
        <f t="shared" si="39"/>
        <v>0</v>
      </c>
      <c r="J141">
        <f t="shared" si="40"/>
        <v>1237282.9253358536</v>
      </c>
      <c r="K141">
        <f t="shared" si="41"/>
        <v>1236561.7488149167</v>
      </c>
      <c r="L141">
        <f t="shared" si="48"/>
        <v>1236561.7488149167</v>
      </c>
      <c r="M141">
        <f t="shared" si="42"/>
        <v>0</v>
      </c>
      <c r="N141" s="29">
        <f t="shared" si="49"/>
        <v>1236561.7488149167</v>
      </c>
      <c r="O141" s="29">
        <f t="shared" si="43"/>
        <v>1236523.7000554425</v>
      </c>
      <c r="P141" s="29">
        <f t="shared" si="50"/>
        <v>1236523.7000554425</v>
      </c>
      <c r="Q141">
        <f t="shared" si="51"/>
        <v>0</v>
      </c>
      <c r="R141" s="29">
        <f t="shared" si="52"/>
        <v>1236523.7000554425</v>
      </c>
      <c r="S141" s="29">
        <f t="shared" si="44"/>
        <v>1236523.7000554425</v>
      </c>
      <c r="T141" s="29">
        <f t="shared" si="53"/>
        <v>1236523.7000554425</v>
      </c>
      <c r="U141">
        <f t="shared" si="54"/>
        <v>0</v>
      </c>
      <c r="V141" s="29">
        <f t="shared" si="55"/>
        <v>1236523.7000554425</v>
      </c>
      <c r="W141" s="29">
        <f t="shared" si="45"/>
        <v>1236523.7000554425</v>
      </c>
      <c r="X141" s="29">
        <f t="shared" si="56"/>
        <v>1236523.7000554425</v>
      </c>
      <c r="Y141">
        <f t="shared" si="57"/>
        <v>0</v>
      </c>
    </row>
    <row r="142" spans="1:25" x14ac:dyDescent="0.25">
      <c r="A142" s="4" t="s">
        <v>928</v>
      </c>
      <c r="B142" s="7" t="s">
        <v>464</v>
      </c>
      <c r="C142" s="2" t="s">
        <v>929</v>
      </c>
      <c r="D142">
        <f>VLOOKUP(B142,'Model allocations'!$A$1:$L$316,3,FALSE)</f>
        <v>54847.346513609977</v>
      </c>
      <c r="E142" s="31">
        <f>VLOOKUP(B142,'Initial adjusted formula count'!$A$1:$P$316,12,FALSE)</f>
        <v>6.8783068783068793E-2</v>
      </c>
      <c r="F142">
        <f>VLOOKUP(B142,'Model allocations'!$A$1:$L$316,8,FALSE)</f>
        <v>46620.244536568476</v>
      </c>
      <c r="G142" s="30">
        <f t="shared" si="46"/>
        <v>0.85</v>
      </c>
      <c r="H142">
        <f t="shared" si="47"/>
        <v>46620.244536568476</v>
      </c>
      <c r="I142">
        <f t="shared" si="39"/>
        <v>0</v>
      </c>
      <c r="J142">
        <f t="shared" si="40"/>
        <v>46620.244536568476</v>
      </c>
      <c r="K142">
        <f t="shared" si="41"/>
        <v>46593.070941045858</v>
      </c>
      <c r="L142">
        <f t="shared" si="48"/>
        <v>46593.070941045858</v>
      </c>
      <c r="M142">
        <f t="shared" si="42"/>
        <v>46620.244536568476</v>
      </c>
      <c r="N142" s="29">
        <f t="shared" si="49"/>
        <v>0</v>
      </c>
      <c r="O142" s="29">
        <f t="shared" si="43"/>
        <v>0</v>
      </c>
      <c r="P142" s="29">
        <f t="shared" si="50"/>
        <v>46620.244536568476</v>
      </c>
      <c r="Q142">
        <f t="shared" si="51"/>
        <v>0</v>
      </c>
      <c r="R142" s="29">
        <f t="shared" si="52"/>
        <v>0</v>
      </c>
      <c r="S142" s="29">
        <f t="shared" si="44"/>
        <v>0</v>
      </c>
      <c r="T142" s="29">
        <f t="shared" si="53"/>
        <v>46620.244536568476</v>
      </c>
      <c r="U142">
        <f t="shared" si="54"/>
        <v>0</v>
      </c>
      <c r="V142" s="29">
        <f t="shared" si="55"/>
        <v>0</v>
      </c>
      <c r="W142" s="29">
        <f t="shared" si="45"/>
        <v>0</v>
      </c>
      <c r="X142" s="29">
        <f t="shared" si="56"/>
        <v>46620.244536568476</v>
      </c>
      <c r="Y142">
        <f t="shared" si="57"/>
        <v>0</v>
      </c>
    </row>
    <row r="143" spans="1:25" x14ac:dyDescent="0.25">
      <c r="A143" s="4" t="s">
        <v>930</v>
      </c>
      <c r="B143" s="7" t="s">
        <v>164</v>
      </c>
      <c r="C143" s="2" t="s">
        <v>931</v>
      </c>
      <c r="D143">
        <f>VLOOKUP(B143,'Model allocations'!$A$1:$L$316,3,FALSE)</f>
        <v>776879.80046531197</v>
      </c>
      <c r="E143" s="31">
        <f>VLOOKUP(B143,'Initial adjusted formula count'!$A$1:$P$316,12,FALSE)</f>
        <v>6.3085467959877295E-2</v>
      </c>
      <c r="F143">
        <f>VLOOKUP(B143,'Model allocations'!$A$1:$L$316,8,FALSE)</f>
        <v>669681.5833432324</v>
      </c>
      <c r="G143" s="30">
        <f t="shared" si="46"/>
        <v>0.85</v>
      </c>
      <c r="H143">
        <f t="shared" si="47"/>
        <v>660347.83039551519</v>
      </c>
      <c r="I143">
        <f t="shared" si="39"/>
        <v>0</v>
      </c>
      <c r="J143">
        <f t="shared" si="40"/>
        <v>669681.5833432324</v>
      </c>
      <c r="K143">
        <f t="shared" si="41"/>
        <v>669291.24526895559</v>
      </c>
      <c r="L143">
        <f t="shared" si="48"/>
        <v>669291.24526895559</v>
      </c>
      <c r="M143">
        <f t="shared" si="42"/>
        <v>0</v>
      </c>
      <c r="N143" s="29">
        <f t="shared" si="49"/>
        <v>669291.24526895559</v>
      </c>
      <c r="O143" s="29">
        <f t="shared" si="43"/>
        <v>669270.65131023584</v>
      </c>
      <c r="P143" s="29">
        <f t="shared" si="50"/>
        <v>669270.65131023584</v>
      </c>
      <c r="Q143">
        <f t="shared" si="51"/>
        <v>0</v>
      </c>
      <c r="R143" s="29">
        <f t="shared" si="52"/>
        <v>669270.65131023584</v>
      </c>
      <c r="S143" s="29">
        <f t="shared" si="44"/>
        <v>669270.65131023584</v>
      </c>
      <c r="T143" s="29">
        <f t="shared" si="53"/>
        <v>669270.65131023584</v>
      </c>
      <c r="U143">
        <f t="shared" si="54"/>
        <v>0</v>
      </c>
      <c r="V143" s="29">
        <f t="shared" si="55"/>
        <v>669270.65131023584</v>
      </c>
      <c r="W143" s="29">
        <f t="shared" si="45"/>
        <v>669270.65131023584</v>
      </c>
      <c r="X143" s="29">
        <f t="shared" si="56"/>
        <v>669270.65131023584</v>
      </c>
      <c r="Y143">
        <f t="shared" si="57"/>
        <v>0</v>
      </c>
    </row>
    <row r="144" spans="1:25" x14ac:dyDescent="0.25">
      <c r="A144" s="4" t="s">
        <v>932</v>
      </c>
      <c r="B144" s="7" t="s">
        <v>166</v>
      </c>
      <c r="C144" s="2" t="s">
        <v>933</v>
      </c>
      <c r="D144">
        <f>VLOOKUP(B144,'Model allocations'!$A$1:$L$316,3,FALSE)</f>
        <v>153572.57023810799</v>
      </c>
      <c r="E144" s="31">
        <f>VLOOKUP(B144,'Initial adjusted formula count'!$A$1:$P$316,12,FALSE)</f>
        <v>7.0796460176991205E-2</v>
      </c>
      <c r="F144">
        <f>VLOOKUP(B144,'Model allocations'!$A$1:$L$316,8,FALSE)</f>
        <v>130519.44877488032</v>
      </c>
      <c r="G144" s="30">
        <f t="shared" si="46"/>
        <v>0.85</v>
      </c>
      <c r="H144">
        <f t="shared" si="47"/>
        <v>130536.68470239179</v>
      </c>
      <c r="I144">
        <f t="shared" si="39"/>
        <v>130536.68470239179</v>
      </c>
      <c r="J144">
        <f t="shared" si="40"/>
        <v>0</v>
      </c>
      <c r="K144">
        <f t="shared" si="41"/>
        <v>0</v>
      </c>
      <c r="L144">
        <f t="shared" si="48"/>
        <v>130536.68470239179</v>
      </c>
      <c r="M144">
        <f t="shared" si="42"/>
        <v>0</v>
      </c>
      <c r="N144" s="29">
        <f t="shared" si="49"/>
        <v>0</v>
      </c>
      <c r="O144" s="29">
        <f t="shared" si="43"/>
        <v>0</v>
      </c>
      <c r="P144" s="29">
        <f t="shared" si="50"/>
        <v>130536.68470239179</v>
      </c>
      <c r="Q144">
        <f t="shared" si="51"/>
        <v>0</v>
      </c>
      <c r="R144" s="29">
        <f t="shared" si="52"/>
        <v>0</v>
      </c>
      <c r="S144" s="29">
        <f t="shared" si="44"/>
        <v>0</v>
      </c>
      <c r="T144" s="29">
        <f t="shared" si="53"/>
        <v>130536.68470239179</v>
      </c>
      <c r="U144">
        <f t="shared" si="54"/>
        <v>0</v>
      </c>
      <c r="V144" s="29">
        <f t="shared" si="55"/>
        <v>0</v>
      </c>
      <c r="W144" s="29">
        <f t="shared" si="45"/>
        <v>0</v>
      </c>
      <c r="X144" s="29">
        <f t="shared" si="56"/>
        <v>130536.68470239179</v>
      </c>
      <c r="Y144">
        <f t="shared" si="57"/>
        <v>0</v>
      </c>
    </row>
    <row r="145" spans="1:25" x14ac:dyDescent="0.25">
      <c r="A145" s="4" t="s">
        <v>934</v>
      </c>
      <c r="B145" s="7" t="s">
        <v>168</v>
      </c>
      <c r="C145" s="2" t="s">
        <v>935</v>
      </c>
      <c r="D145">
        <f>VLOOKUP(B145,'Model allocations'!$A$1:$L$316,3,FALSE)</f>
        <v>132086.94594041104</v>
      </c>
      <c r="E145" s="31">
        <f>VLOOKUP(B145,'Initial adjusted formula count'!$A$1:$P$316,12,FALSE)</f>
        <v>2.7643260694108201E-2</v>
      </c>
      <c r="F145">
        <f>VLOOKUP(B145,'Model allocations'!$A$1:$L$316,8,FALSE)</f>
        <v>120560.28504339393</v>
      </c>
      <c r="G145" s="30">
        <f t="shared" si="46"/>
        <v>0.85</v>
      </c>
      <c r="H145">
        <f t="shared" si="47"/>
        <v>112273.90404934938</v>
      </c>
      <c r="I145">
        <f t="shared" si="39"/>
        <v>0</v>
      </c>
      <c r="J145">
        <f t="shared" si="40"/>
        <v>120560.28504339393</v>
      </c>
      <c r="K145">
        <f t="shared" si="41"/>
        <v>120490.01393146763</v>
      </c>
      <c r="L145">
        <f t="shared" si="48"/>
        <v>120490.01393146763</v>
      </c>
      <c r="M145">
        <f t="shared" si="42"/>
        <v>0</v>
      </c>
      <c r="N145" s="29">
        <f t="shared" si="49"/>
        <v>120490.01393146763</v>
      </c>
      <c r="O145" s="29">
        <f t="shared" si="43"/>
        <v>120486.30647766395</v>
      </c>
      <c r="P145" s="29">
        <f t="shared" si="50"/>
        <v>120486.30647766395</v>
      </c>
      <c r="Q145">
        <f t="shared" si="51"/>
        <v>0</v>
      </c>
      <c r="R145" s="29">
        <f t="shared" si="52"/>
        <v>120486.30647766395</v>
      </c>
      <c r="S145" s="29">
        <f t="shared" si="44"/>
        <v>120486.30647766395</v>
      </c>
      <c r="T145" s="29">
        <f t="shared" si="53"/>
        <v>120486.30647766395</v>
      </c>
      <c r="U145">
        <f t="shared" si="54"/>
        <v>0</v>
      </c>
      <c r="V145" s="29">
        <f t="shared" si="55"/>
        <v>120486.30647766395</v>
      </c>
      <c r="W145" s="29">
        <f t="shared" si="45"/>
        <v>120486.30647766395</v>
      </c>
      <c r="X145" s="29">
        <f t="shared" si="56"/>
        <v>120486.30647766395</v>
      </c>
      <c r="Y145">
        <f t="shared" si="57"/>
        <v>0</v>
      </c>
    </row>
    <row r="146" spans="1:25" x14ac:dyDescent="0.25">
      <c r="A146" s="4" t="s">
        <v>936</v>
      </c>
      <c r="B146" s="7" t="s">
        <v>170</v>
      </c>
      <c r="C146" s="2" t="s">
        <v>937</v>
      </c>
      <c r="D146">
        <f>VLOOKUP(B146,'Model allocations'!$A$1:$L$316,3,FALSE)</f>
        <v>187702.50212584724</v>
      </c>
      <c r="E146" s="31">
        <f>VLOOKUP(B146,'Initial adjusted formula count'!$A$1:$P$316,12,FALSE)</f>
        <v>9.3491124260354996E-2</v>
      </c>
      <c r="F146">
        <f>VLOOKUP(B146,'Model allocations'!$A$1:$L$316,8,FALSE)</f>
        <v>160024.42595107321</v>
      </c>
      <c r="G146" s="30">
        <f t="shared" si="46"/>
        <v>0.85</v>
      </c>
      <c r="H146">
        <f t="shared" si="47"/>
        <v>159547.12680697016</v>
      </c>
      <c r="I146">
        <f t="shared" si="39"/>
        <v>0</v>
      </c>
      <c r="J146">
        <f t="shared" si="40"/>
        <v>160024.42595107321</v>
      </c>
      <c r="K146">
        <f t="shared" si="41"/>
        <v>159931.15232997233</v>
      </c>
      <c r="L146">
        <f t="shared" si="48"/>
        <v>159931.15232997233</v>
      </c>
      <c r="M146">
        <f t="shared" si="42"/>
        <v>0</v>
      </c>
      <c r="N146" s="29">
        <f t="shared" si="49"/>
        <v>159931.15232997233</v>
      </c>
      <c r="O146" s="29">
        <f t="shared" si="43"/>
        <v>159926.23128017172</v>
      </c>
      <c r="P146" s="29">
        <f t="shared" si="50"/>
        <v>159926.23128017172</v>
      </c>
      <c r="Q146">
        <f t="shared" si="51"/>
        <v>0</v>
      </c>
      <c r="R146" s="29">
        <f t="shared" si="52"/>
        <v>159926.23128017172</v>
      </c>
      <c r="S146" s="29">
        <f t="shared" si="44"/>
        <v>159926.23128017172</v>
      </c>
      <c r="T146" s="29">
        <f t="shared" si="53"/>
        <v>159926.23128017172</v>
      </c>
      <c r="U146">
        <f t="shared" si="54"/>
        <v>0</v>
      </c>
      <c r="V146" s="29">
        <f t="shared" si="55"/>
        <v>159926.23128017172</v>
      </c>
      <c r="W146" s="29">
        <f t="shared" si="45"/>
        <v>159926.23128017172</v>
      </c>
      <c r="X146" s="29">
        <f t="shared" si="56"/>
        <v>159926.23128017172</v>
      </c>
      <c r="Y146">
        <f t="shared" si="57"/>
        <v>0</v>
      </c>
    </row>
    <row r="147" spans="1:25" x14ac:dyDescent="0.25">
      <c r="A147" s="4" t="s">
        <v>938</v>
      </c>
      <c r="B147" s="7" t="s">
        <v>466</v>
      </c>
      <c r="C147" s="2" t="s">
        <v>939</v>
      </c>
      <c r="D147">
        <f>VLOOKUP(B147,'Model allocations'!$A$1:$L$316,3,FALSE)</f>
        <v>112100.10543626989</v>
      </c>
      <c r="E147" s="31">
        <f>VLOOKUP(B147,'Initial adjusted formula count'!$A$1:$P$316,12,FALSE)</f>
        <v>0.12364945978391401</v>
      </c>
      <c r="F147">
        <f>VLOOKUP(B147,'Model allocations'!$A$1:$L$316,8,FALSE)</f>
        <v>95338.032656378302</v>
      </c>
      <c r="G147" s="30">
        <f t="shared" si="46"/>
        <v>0.85</v>
      </c>
      <c r="H147">
        <f t="shared" si="47"/>
        <v>95285.0896208294</v>
      </c>
      <c r="I147">
        <f t="shared" si="39"/>
        <v>0</v>
      </c>
      <c r="J147">
        <f t="shared" si="40"/>
        <v>95338.032656378302</v>
      </c>
      <c r="K147">
        <f t="shared" si="41"/>
        <v>95282.462867693597</v>
      </c>
      <c r="L147">
        <f t="shared" si="48"/>
        <v>95282.462867693597</v>
      </c>
      <c r="M147">
        <f t="shared" si="42"/>
        <v>95285.0896208294</v>
      </c>
      <c r="N147" s="29">
        <f t="shared" si="49"/>
        <v>0</v>
      </c>
      <c r="O147" s="29">
        <f t="shared" si="43"/>
        <v>0</v>
      </c>
      <c r="P147" s="29">
        <f t="shared" si="50"/>
        <v>95285.0896208294</v>
      </c>
      <c r="Q147">
        <f t="shared" si="51"/>
        <v>0</v>
      </c>
      <c r="R147" s="29">
        <f t="shared" si="52"/>
        <v>0</v>
      </c>
      <c r="S147" s="29">
        <f t="shared" si="44"/>
        <v>0</v>
      </c>
      <c r="T147" s="29">
        <f t="shared" si="53"/>
        <v>95285.0896208294</v>
      </c>
      <c r="U147">
        <f t="shared" si="54"/>
        <v>0</v>
      </c>
      <c r="V147" s="29">
        <f t="shared" si="55"/>
        <v>0</v>
      </c>
      <c r="W147" s="29">
        <f t="shared" si="45"/>
        <v>0</v>
      </c>
      <c r="X147" s="29">
        <f t="shared" si="56"/>
        <v>95285.0896208294</v>
      </c>
      <c r="Y147">
        <f t="shared" si="57"/>
        <v>0</v>
      </c>
    </row>
    <row r="148" spans="1:25" x14ac:dyDescent="0.25">
      <c r="A148" s="4" t="s">
        <v>940</v>
      </c>
      <c r="B148" s="7" t="s">
        <v>468</v>
      </c>
      <c r="C148" s="2" t="s">
        <v>941</v>
      </c>
      <c r="D148">
        <f>VLOOKUP(B148,'Model allocations'!$A$1:$L$316,3,FALSE)</f>
        <v>13937.678643458541</v>
      </c>
      <c r="E148" s="31">
        <f>VLOOKUP(B148,'Initial adjusted formula count'!$A$1:$P$316,12,FALSE)</f>
        <v>0.12676056338028199</v>
      </c>
      <c r="F148">
        <f>VLOOKUP(B148,'Model allocations'!$A$1:$L$316,8,FALSE)</f>
        <v>0</v>
      </c>
      <c r="G148" s="30">
        <f t="shared" si="46"/>
        <v>0.85</v>
      </c>
      <c r="H148">
        <f t="shared" si="47"/>
        <v>0</v>
      </c>
      <c r="I148">
        <f t="shared" si="39"/>
        <v>0</v>
      </c>
      <c r="J148">
        <f t="shared" si="40"/>
        <v>0</v>
      </c>
      <c r="K148">
        <f t="shared" si="41"/>
        <v>0</v>
      </c>
      <c r="L148">
        <f t="shared" si="48"/>
        <v>0</v>
      </c>
      <c r="M148">
        <f t="shared" si="42"/>
        <v>0</v>
      </c>
      <c r="N148" s="29">
        <f t="shared" si="49"/>
        <v>0</v>
      </c>
      <c r="O148" s="29">
        <f t="shared" si="43"/>
        <v>0</v>
      </c>
      <c r="P148" s="29">
        <f t="shared" si="50"/>
        <v>0</v>
      </c>
      <c r="Q148">
        <f t="shared" si="51"/>
        <v>0</v>
      </c>
      <c r="R148" s="29">
        <f t="shared" si="52"/>
        <v>0</v>
      </c>
      <c r="S148" s="29">
        <f t="shared" si="44"/>
        <v>0</v>
      </c>
      <c r="T148" s="29">
        <f t="shared" si="53"/>
        <v>0</v>
      </c>
      <c r="U148">
        <f t="shared" si="54"/>
        <v>0</v>
      </c>
      <c r="V148" s="29">
        <f t="shared" si="55"/>
        <v>0</v>
      </c>
      <c r="W148" s="29">
        <f t="shared" si="45"/>
        <v>0</v>
      </c>
      <c r="X148" s="29">
        <f t="shared" si="56"/>
        <v>0</v>
      </c>
      <c r="Y148">
        <f t="shared" si="57"/>
        <v>0</v>
      </c>
    </row>
    <row r="149" spans="1:25" x14ac:dyDescent="0.25">
      <c r="A149" s="4" t="s">
        <v>942</v>
      </c>
      <c r="B149" s="7" t="s">
        <v>172</v>
      </c>
      <c r="C149" s="2" t="s">
        <v>943</v>
      </c>
      <c r="D149">
        <f>VLOOKUP(B149,'Model allocations'!$A$1:$L$316,3,FALSE)</f>
        <v>402343.78927901515</v>
      </c>
      <c r="E149" s="31">
        <f>VLOOKUP(B149,'Initial adjusted formula count'!$A$1:$P$316,12,FALSE)</f>
        <v>6.1230541141586402E-2</v>
      </c>
      <c r="F149">
        <f>VLOOKUP(B149,'Model allocations'!$A$1:$L$316,8,FALSE)</f>
        <v>363440.85929139954</v>
      </c>
      <c r="G149" s="30">
        <f t="shared" si="46"/>
        <v>0.85</v>
      </c>
      <c r="H149">
        <f t="shared" si="47"/>
        <v>341992.2208871629</v>
      </c>
      <c r="I149">
        <f t="shared" si="39"/>
        <v>0</v>
      </c>
      <c r="J149">
        <f t="shared" si="40"/>
        <v>363440.85929139954</v>
      </c>
      <c r="K149">
        <f t="shared" si="41"/>
        <v>363229.02009997208</v>
      </c>
      <c r="L149">
        <f t="shared" si="48"/>
        <v>363229.02009997208</v>
      </c>
      <c r="M149">
        <f t="shared" si="42"/>
        <v>0</v>
      </c>
      <c r="N149" s="29">
        <f t="shared" si="49"/>
        <v>363229.02009997208</v>
      </c>
      <c r="O149" s="29">
        <f t="shared" si="43"/>
        <v>363217.84361514781</v>
      </c>
      <c r="P149" s="29">
        <f t="shared" si="50"/>
        <v>363217.84361514781</v>
      </c>
      <c r="Q149">
        <f t="shared" si="51"/>
        <v>0</v>
      </c>
      <c r="R149" s="29">
        <f t="shared" si="52"/>
        <v>363217.84361514781</v>
      </c>
      <c r="S149" s="29">
        <f t="shared" si="44"/>
        <v>363217.84361514781</v>
      </c>
      <c r="T149" s="29">
        <f t="shared" si="53"/>
        <v>363217.84361514781</v>
      </c>
      <c r="U149">
        <f t="shared" si="54"/>
        <v>0</v>
      </c>
      <c r="V149" s="29">
        <f t="shared" si="55"/>
        <v>363217.84361514781</v>
      </c>
      <c r="W149" s="29">
        <f t="shared" si="45"/>
        <v>363217.84361514781</v>
      </c>
      <c r="X149" s="29">
        <f t="shared" si="56"/>
        <v>363217.84361514781</v>
      </c>
      <c r="Y149">
        <f t="shared" si="57"/>
        <v>0</v>
      </c>
    </row>
    <row r="150" spans="1:25" x14ac:dyDescent="0.25">
      <c r="A150" s="4" t="s">
        <v>944</v>
      </c>
      <c r="B150" s="7" t="s">
        <v>470</v>
      </c>
      <c r="C150" s="2" t="s">
        <v>945</v>
      </c>
      <c r="D150">
        <f>VLOOKUP(B150,'Model allocations'!$A$1:$L$316,3,FALSE)</f>
        <v>155766.46409865239</v>
      </c>
      <c r="E150" s="31">
        <f>VLOOKUP(B150,'Initial adjusted formula count'!$A$1:$P$316,12,FALSE)</f>
        <v>7.8728236184708603E-2</v>
      </c>
      <c r="F150">
        <f>VLOOKUP(B150,'Model allocations'!$A$1:$L$316,8,FALSE)</f>
        <v>132179.5569300671</v>
      </c>
      <c r="G150" s="30">
        <f t="shared" si="46"/>
        <v>0.85</v>
      </c>
      <c r="H150">
        <f t="shared" si="47"/>
        <v>132401.49448385453</v>
      </c>
      <c r="I150">
        <f t="shared" si="39"/>
        <v>132401.49448385453</v>
      </c>
      <c r="J150">
        <f t="shared" si="40"/>
        <v>0</v>
      </c>
      <c r="K150">
        <f t="shared" si="41"/>
        <v>0</v>
      </c>
      <c r="L150">
        <f t="shared" si="48"/>
        <v>132401.49448385453</v>
      </c>
      <c r="M150">
        <f t="shared" si="42"/>
        <v>0</v>
      </c>
      <c r="N150" s="29">
        <f t="shared" si="49"/>
        <v>0</v>
      </c>
      <c r="O150" s="29">
        <f t="shared" si="43"/>
        <v>0</v>
      </c>
      <c r="P150" s="29">
        <f t="shared" si="50"/>
        <v>132401.49448385453</v>
      </c>
      <c r="Q150">
        <f t="shared" si="51"/>
        <v>0</v>
      </c>
      <c r="R150" s="29">
        <f t="shared" si="52"/>
        <v>0</v>
      </c>
      <c r="S150" s="29">
        <f t="shared" si="44"/>
        <v>0</v>
      </c>
      <c r="T150" s="29">
        <f t="shared" si="53"/>
        <v>132401.49448385453</v>
      </c>
      <c r="U150">
        <f t="shared" si="54"/>
        <v>0</v>
      </c>
      <c r="V150" s="29">
        <f t="shared" si="55"/>
        <v>0</v>
      </c>
      <c r="W150" s="29">
        <f t="shared" si="45"/>
        <v>0</v>
      </c>
      <c r="X150" s="29">
        <f t="shared" si="56"/>
        <v>132401.49448385453</v>
      </c>
      <c r="Y150">
        <f t="shared" si="57"/>
        <v>0</v>
      </c>
    </row>
    <row r="151" spans="1:25" x14ac:dyDescent="0.25">
      <c r="A151" s="4" t="s">
        <v>946</v>
      </c>
      <c r="B151" s="7" t="s">
        <v>472</v>
      </c>
      <c r="C151" s="2" t="s">
        <v>947</v>
      </c>
      <c r="D151">
        <f>VLOOKUP(B151,'Model allocations'!$A$1:$L$316,3,FALSE)</f>
        <v>38525.573276616677</v>
      </c>
      <c r="E151" s="31">
        <f>VLOOKUP(B151,'Initial adjusted formula count'!$A$1:$P$316,12,FALSE)</f>
        <v>9.3567251461988299E-2</v>
      </c>
      <c r="F151">
        <f>VLOOKUP(B151,'Model allocations'!$A$1:$L$316,8,FALSE)</f>
        <v>32746.737285124174</v>
      </c>
      <c r="G151" s="30">
        <f t="shared" si="46"/>
        <v>0.85</v>
      </c>
      <c r="H151">
        <f t="shared" si="47"/>
        <v>32746.737285124174</v>
      </c>
      <c r="I151">
        <f t="shared" si="39"/>
        <v>0</v>
      </c>
      <c r="J151">
        <f t="shared" si="40"/>
        <v>32746.737285124174</v>
      </c>
      <c r="K151">
        <f t="shared" si="41"/>
        <v>32727.650156720687</v>
      </c>
      <c r="L151">
        <f t="shared" si="48"/>
        <v>32727.650156720687</v>
      </c>
      <c r="M151">
        <f t="shared" si="42"/>
        <v>32746.737285124174</v>
      </c>
      <c r="N151" s="29">
        <f t="shared" si="49"/>
        <v>0</v>
      </c>
      <c r="O151" s="29">
        <f t="shared" si="43"/>
        <v>0</v>
      </c>
      <c r="P151" s="29">
        <f t="shared" si="50"/>
        <v>32746.737285124174</v>
      </c>
      <c r="Q151">
        <f t="shared" si="51"/>
        <v>0</v>
      </c>
      <c r="R151" s="29">
        <f t="shared" si="52"/>
        <v>0</v>
      </c>
      <c r="S151" s="29">
        <f t="shared" si="44"/>
        <v>0</v>
      </c>
      <c r="T151" s="29">
        <f t="shared" si="53"/>
        <v>32746.737285124174</v>
      </c>
      <c r="U151">
        <f t="shared" si="54"/>
        <v>0</v>
      </c>
      <c r="V151" s="29">
        <f t="shared" si="55"/>
        <v>0</v>
      </c>
      <c r="W151" s="29">
        <f t="shared" si="45"/>
        <v>0</v>
      </c>
      <c r="X151" s="29">
        <f t="shared" si="56"/>
        <v>32746.737285124174</v>
      </c>
      <c r="Y151">
        <f t="shared" si="57"/>
        <v>0</v>
      </c>
    </row>
    <row r="152" spans="1:25" x14ac:dyDescent="0.25">
      <c r="A152" s="4" t="s">
        <v>948</v>
      </c>
      <c r="B152" s="7" t="s">
        <v>474</v>
      </c>
      <c r="C152" s="2" t="s">
        <v>949</v>
      </c>
      <c r="D152">
        <f>VLOOKUP(B152,'Model allocations'!$A$1:$L$316,3,FALSE)</f>
        <v>1419934.6688594187</v>
      </c>
      <c r="E152" s="31">
        <f>VLOOKUP(B152,'Initial adjusted formula count'!$A$1:$P$316,12,FALSE)</f>
        <v>0.20670505964623601</v>
      </c>
      <c r="F152">
        <f>VLOOKUP(B152,'Model allocations'!$A$1:$L$316,8,FALSE)</f>
        <v>1768804.1820235176</v>
      </c>
      <c r="G152" s="30">
        <f t="shared" si="46"/>
        <v>0.9</v>
      </c>
      <c r="H152">
        <f t="shared" si="47"/>
        <v>1277941.2019734769</v>
      </c>
      <c r="I152">
        <f t="shared" si="39"/>
        <v>0</v>
      </c>
      <c r="J152">
        <f t="shared" si="40"/>
        <v>1768804.1820235176</v>
      </c>
      <c r="K152">
        <f t="shared" si="41"/>
        <v>1767773.1970967157</v>
      </c>
      <c r="L152">
        <f t="shared" si="48"/>
        <v>1767773.1970967157</v>
      </c>
      <c r="M152">
        <f t="shared" si="42"/>
        <v>0</v>
      </c>
      <c r="N152" s="29">
        <f t="shared" si="49"/>
        <v>1767773.1970967157</v>
      </c>
      <c r="O152" s="29">
        <f t="shared" si="43"/>
        <v>1767718.8030664574</v>
      </c>
      <c r="P152" s="29">
        <f t="shared" si="50"/>
        <v>1767718.8030664574</v>
      </c>
      <c r="Q152">
        <f t="shared" si="51"/>
        <v>0</v>
      </c>
      <c r="R152" s="29">
        <f t="shared" si="52"/>
        <v>1767718.8030664574</v>
      </c>
      <c r="S152" s="29">
        <f t="shared" si="44"/>
        <v>1767718.8030664574</v>
      </c>
      <c r="T152" s="29">
        <f t="shared" si="53"/>
        <v>1767718.8030664574</v>
      </c>
      <c r="U152">
        <f t="shared" si="54"/>
        <v>0</v>
      </c>
      <c r="V152" s="29">
        <f t="shared" si="55"/>
        <v>1767718.8030664574</v>
      </c>
      <c r="W152" s="29">
        <f t="shared" si="45"/>
        <v>1767718.8030664574</v>
      </c>
      <c r="X152" s="29">
        <f t="shared" si="56"/>
        <v>1767718.8030664574</v>
      </c>
      <c r="Y152">
        <f t="shared" si="57"/>
        <v>0</v>
      </c>
    </row>
    <row r="153" spans="1:25" x14ac:dyDescent="0.25">
      <c r="A153" s="4" t="s">
        <v>950</v>
      </c>
      <c r="B153" s="7" t="s">
        <v>476</v>
      </c>
      <c r="C153" s="2" t="s">
        <v>951</v>
      </c>
      <c r="D153">
        <f>VLOOKUP(B153,'Model allocations'!$A$1:$L$316,3,FALSE)</f>
        <v>90680.946235835188</v>
      </c>
      <c r="E153" s="31">
        <f>VLOOKUP(B153,'Initial adjusted formula count'!$A$1:$P$316,12,FALSE)</f>
        <v>0.110027855153203</v>
      </c>
      <c r="F153">
        <f>VLOOKUP(B153,'Model allocations'!$A$1:$L$316,8,FALSE)</f>
        <v>77078.804300459902</v>
      </c>
      <c r="G153" s="30">
        <f t="shared" si="46"/>
        <v>0.85</v>
      </c>
      <c r="H153">
        <f t="shared" si="47"/>
        <v>77078.804300459902</v>
      </c>
      <c r="I153">
        <f t="shared" si="39"/>
        <v>0</v>
      </c>
      <c r="J153">
        <f t="shared" si="40"/>
        <v>77078.804300459902</v>
      </c>
      <c r="K153">
        <f t="shared" si="41"/>
        <v>77033.877289195836</v>
      </c>
      <c r="L153">
        <f t="shared" si="48"/>
        <v>77033.877289195836</v>
      </c>
      <c r="M153">
        <f t="shared" si="42"/>
        <v>77078.804300459902</v>
      </c>
      <c r="N153" s="29">
        <f t="shared" si="49"/>
        <v>0</v>
      </c>
      <c r="O153" s="29">
        <f t="shared" si="43"/>
        <v>0</v>
      </c>
      <c r="P153" s="29">
        <f t="shared" si="50"/>
        <v>77078.804300459902</v>
      </c>
      <c r="Q153">
        <f t="shared" si="51"/>
        <v>0</v>
      </c>
      <c r="R153" s="29">
        <f t="shared" si="52"/>
        <v>0</v>
      </c>
      <c r="S153" s="29">
        <f t="shared" si="44"/>
        <v>0</v>
      </c>
      <c r="T153" s="29">
        <f t="shared" si="53"/>
        <v>77078.804300459902</v>
      </c>
      <c r="U153">
        <f t="shared" si="54"/>
        <v>0</v>
      </c>
      <c r="V153" s="29">
        <f t="shared" si="55"/>
        <v>0</v>
      </c>
      <c r="W153" s="29">
        <f t="shared" si="45"/>
        <v>0</v>
      </c>
      <c r="X153" s="29">
        <f t="shared" si="56"/>
        <v>77078.804300459902</v>
      </c>
      <c r="Y153">
        <f t="shared" si="57"/>
        <v>0</v>
      </c>
    </row>
    <row r="154" spans="1:25" x14ac:dyDescent="0.25">
      <c r="A154" s="4" t="s">
        <v>952</v>
      </c>
      <c r="B154" s="7" t="s">
        <v>478</v>
      </c>
      <c r="C154" s="2" t="s">
        <v>953</v>
      </c>
      <c r="D154">
        <f>VLOOKUP(B154,'Model allocations'!$A$1:$L$316,3,FALSE)</f>
        <v>194525.25563493677</v>
      </c>
      <c r="E154" s="31">
        <f>VLOOKUP(B154,'Initial adjusted formula count'!$A$1:$P$316,12,FALSE)</f>
        <v>0.13608870967741901</v>
      </c>
      <c r="F154">
        <f>VLOOKUP(B154,'Model allocations'!$A$1:$L$316,8,FALSE)</f>
        <v>165510.3855186468</v>
      </c>
      <c r="G154" s="30">
        <f t="shared" si="46"/>
        <v>0.85</v>
      </c>
      <c r="H154">
        <f t="shared" si="47"/>
        <v>165346.46728969624</v>
      </c>
      <c r="I154">
        <f t="shared" si="39"/>
        <v>0</v>
      </c>
      <c r="J154">
        <f t="shared" si="40"/>
        <v>165510.3855186468</v>
      </c>
      <c r="K154">
        <f t="shared" si="41"/>
        <v>165413.91428998671</v>
      </c>
      <c r="L154">
        <f t="shared" si="48"/>
        <v>165413.91428998671</v>
      </c>
      <c r="M154">
        <f t="shared" si="42"/>
        <v>0</v>
      </c>
      <c r="N154" s="29">
        <f t="shared" si="49"/>
        <v>165413.91428998671</v>
      </c>
      <c r="O154" s="29">
        <f t="shared" si="43"/>
        <v>165408.82453668927</v>
      </c>
      <c r="P154" s="29">
        <f t="shared" si="50"/>
        <v>165408.82453668927</v>
      </c>
      <c r="Q154">
        <f t="shared" si="51"/>
        <v>0</v>
      </c>
      <c r="R154" s="29">
        <f t="shared" si="52"/>
        <v>165408.82453668927</v>
      </c>
      <c r="S154" s="29">
        <f t="shared" si="44"/>
        <v>165408.82453668927</v>
      </c>
      <c r="T154" s="29">
        <f t="shared" si="53"/>
        <v>165408.82453668927</v>
      </c>
      <c r="U154">
        <f t="shared" si="54"/>
        <v>0</v>
      </c>
      <c r="V154" s="29">
        <f t="shared" si="55"/>
        <v>165408.82453668927</v>
      </c>
      <c r="W154" s="29">
        <f t="shared" si="45"/>
        <v>165408.82453668927</v>
      </c>
      <c r="X154" s="29">
        <f t="shared" si="56"/>
        <v>165408.82453668927</v>
      </c>
      <c r="Y154">
        <f t="shared" si="57"/>
        <v>0</v>
      </c>
    </row>
    <row r="155" spans="1:25" x14ac:dyDescent="0.25">
      <c r="A155" s="4" t="s">
        <v>954</v>
      </c>
      <c r="B155" s="7" t="s">
        <v>480</v>
      </c>
      <c r="C155" s="2" t="s">
        <v>955</v>
      </c>
      <c r="D155">
        <f>VLOOKUP(B155,'Model allocations'!$A$1:$L$316,3,FALSE)</f>
        <v>247497.62226190107</v>
      </c>
      <c r="E155" s="31">
        <f>VLOOKUP(B155,'Initial adjusted formula count'!$A$1:$P$316,12,FALSE)</f>
        <v>7.5041459369817598E-2</v>
      </c>
      <c r="F155">
        <f>VLOOKUP(B155,'Model allocations'!$A$1:$L$316,8,FALSE)</f>
        <v>210372.9789226159</v>
      </c>
      <c r="G155" s="30">
        <f t="shared" si="46"/>
        <v>0.85</v>
      </c>
      <c r="H155">
        <f t="shared" si="47"/>
        <v>210372.9789226159</v>
      </c>
      <c r="I155">
        <f t="shared" si="39"/>
        <v>0</v>
      </c>
      <c r="J155">
        <f t="shared" si="40"/>
        <v>210372.9789226159</v>
      </c>
      <c r="K155">
        <f t="shared" si="41"/>
        <v>210250.35858256926</v>
      </c>
      <c r="L155">
        <f t="shared" si="48"/>
        <v>210250.35858256926</v>
      </c>
      <c r="M155">
        <f t="shared" si="42"/>
        <v>210372.9789226159</v>
      </c>
      <c r="N155" s="29">
        <f t="shared" si="49"/>
        <v>0</v>
      </c>
      <c r="O155" s="29">
        <f t="shared" si="43"/>
        <v>0</v>
      </c>
      <c r="P155" s="29">
        <f t="shared" si="50"/>
        <v>210372.9789226159</v>
      </c>
      <c r="Q155">
        <f t="shared" si="51"/>
        <v>0</v>
      </c>
      <c r="R155" s="29">
        <f t="shared" si="52"/>
        <v>0</v>
      </c>
      <c r="S155" s="29">
        <f t="shared" si="44"/>
        <v>0</v>
      </c>
      <c r="T155" s="29">
        <f t="shared" si="53"/>
        <v>210372.9789226159</v>
      </c>
      <c r="U155">
        <f t="shared" si="54"/>
        <v>0</v>
      </c>
      <c r="V155" s="29">
        <f t="shared" si="55"/>
        <v>0</v>
      </c>
      <c r="W155" s="29">
        <f t="shared" si="45"/>
        <v>0</v>
      </c>
      <c r="X155" s="29">
        <f t="shared" si="56"/>
        <v>210372.9789226159</v>
      </c>
      <c r="Y155">
        <f t="shared" si="57"/>
        <v>0</v>
      </c>
    </row>
    <row r="156" spans="1:25" x14ac:dyDescent="0.25">
      <c r="A156" s="4" t="s">
        <v>956</v>
      </c>
      <c r="B156" s="7" t="s">
        <v>174</v>
      </c>
      <c r="C156" s="2" t="s">
        <v>957</v>
      </c>
      <c r="D156">
        <f>VLOOKUP(B156,'Model allocations'!$A$1:$L$316,3,FALSE)</f>
        <v>0</v>
      </c>
      <c r="E156" s="31">
        <f>VLOOKUP(B156,'Initial adjusted formula count'!$A$1:$P$316,12,FALSE)</f>
        <v>0.128205128205128</v>
      </c>
      <c r="F156">
        <f>VLOOKUP(B156,'Model allocations'!$A$1:$L$316,8,FALSE)</f>
        <v>0</v>
      </c>
      <c r="G156" s="30">
        <f t="shared" si="46"/>
        <v>0.85</v>
      </c>
      <c r="H156">
        <f t="shared" si="47"/>
        <v>0</v>
      </c>
      <c r="I156">
        <f t="shared" si="39"/>
        <v>0</v>
      </c>
      <c r="J156">
        <f t="shared" si="40"/>
        <v>0</v>
      </c>
      <c r="K156">
        <f t="shared" si="41"/>
        <v>0</v>
      </c>
      <c r="L156">
        <f t="shared" si="48"/>
        <v>0</v>
      </c>
      <c r="M156">
        <f t="shared" si="42"/>
        <v>0</v>
      </c>
      <c r="N156" s="29">
        <f t="shared" si="49"/>
        <v>0</v>
      </c>
      <c r="O156" s="29">
        <f t="shared" si="43"/>
        <v>0</v>
      </c>
      <c r="P156" s="29">
        <f t="shared" si="50"/>
        <v>0</v>
      </c>
      <c r="Q156">
        <f t="shared" si="51"/>
        <v>0</v>
      </c>
      <c r="R156" s="29">
        <f t="shared" si="52"/>
        <v>0</v>
      </c>
      <c r="S156" s="29">
        <f t="shared" si="44"/>
        <v>0</v>
      </c>
      <c r="T156" s="29">
        <f t="shared" si="53"/>
        <v>0</v>
      </c>
      <c r="U156">
        <f t="shared" si="54"/>
        <v>0</v>
      </c>
      <c r="V156" s="29">
        <f t="shared" si="55"/>
        <v>0</v>
      </c>
      <c r="W156" s="29">
        <f t="shared" si="45"/>
        <v>0</v>
      </c>
      <c r="X156" s="29">
        <f t="shared" si="56"/>
        <v>0</v>
      </c>
      <c r="Y156">
        <f t="shared" si="57"/>
        <v>0</v>
      </c>
    </row>
    <row r="157" spans="1:25" x14ac:dyDescent="0.25">
      <c r="A157" s="4" t="s">
        <v>958</v>
      </c>
      <c r="B157" s="7" t="s">
        <v>482</v>
      </c>
      <c r="C157" s="9" t="s">
        <v>959</v>
      </c>
      <c r="D157">
        <f>VLOOKUP(B157,'Model allocations'!$A$1:$L$316,3,FALSE)</f>
        <v>788176.71031547908</v>
      </c>
      <c r="E157" s="31">
        <f>VLOOKUP(B157,'Initial adjusted formula count'!$A$1:$P$316,12,FALSE)</f>
        <v>0.114734657574859</v>
      </c>
      <c r="F157">
        <f>VLOOKUP(B157,'Model allocations'!$A$1:$L$316,8,FALSE)</f>
        <v>681121.6103911458</v>
      </c>
      <c r="G157" s="30">
        <f t="shared" si="46"/>
        <v>0.85</v>
      </c>
      <c r="H157">
        <f t="shared" si="47"/>
        <v>669950.20376815717</v>
      </c>
      <c r="I157">
        <f t="shared" si="39"/>
        <v>0</v>
      </c>
      <c r="J157">
        <f t="shared" si="40"/>
        <v>681121.6103911458</v>
      </c>
      <c r="K157">
        <f t="shared" si="41"/>
        <v>680724.60425515345</v>
      </c>
      <c r="L157">
        <f t="shared" si="48"/>
        <v>680724.60425515345</v>
      </c>
      <c r="M157">
        <f t="shared" si="42"/>
        <v>0</v>
      </c>
      <c r="N157" s="29">
        <f t="shared" si="49"/>
        <v>680724.60425515345</v>
      </c>
      <c r="O157" s="29">
        <f t="shared" si="43"/>
        <v>680703.65849424794</v>
      </c>
      <c r="P157" s="29">
        <f t="shared" si="50"/>
        <v>680703.65849424794</v>
      </c>
      <c r="Q157">
        <f t="shared" si="51"/>
        <v>0</v>
      </c>
      <c r="R157" s="29">
        <f t="shared" si="52"/>
        <v>680703.65849424794</v>
      </c>
      <c r="S157" s="29">
        <f t="shared" si="44"/>
        <v>680703.65849424794</v>
      </c>
      <c r="T157" s="29">
        <f t="shared" si="53"/>
        <v>680703.65849424794</v>
      </c>
      <c r="U157">
        <f t="shared" si="54"/>
        <v>0</v>
      </c>
      <c r="V157" s="29">
        <f t="shared" si="55"/>
        <v>680703.65849424794</v>
      </c>
      <c r="W157" s="29">
        <f t="shared" si="45"/>
        <v>680703.65849424794</v>
      </c>
      <c r="X157" s="29">
        <f t="shared" si="56"/>
        <v>680703.65849424794</v>
      </c>
      <c r="Y157">
        <f t="shared" si="57"/>
        <v>0</v>
      </c>
    </row>
    <row r="158" spans="1:25" x14ac:dyDescent="0.25">
      <c r="A158" s="4" t="s">
        <v>960</v>
      </c>
      <c r="B158" s="7" t="s">
        <v>285</v>
      </c>
      <c r="C158" s="2" t="s">
        <v>961</v>
      </c>
      <c r="D158">
        <f>VLOOKUP(B158,'Model allocations'!$A$1:$L$316,3,FALSE)</f>
        <v>2137722.9408777049</v>
      </c>
      <c r="E158" s="31">
        <f>VLOOKUP(B158,'Initial adjusted formula count'!$A$1:$P$316,12,FALSE)</f>
        <v>0.13799324874869001</v>
      </c>
      <c r="F158">
        <f>VLOOKUP(B158,'Model allocations'!$A$1:$L$316,8,FALSE)</f>
        <v>2086484.9331232633</v>
      </c>
      <c r="G158" s="30">
        <f t="shared" si="46"/>
        <v>0.85</v>
      </c>
      <c r="H158">
        <f t="shared" si="47"/>
        <v>1817064.4997460491</v>
      </c>
      <c r="I158">
        <f t="shared" si="39"/>
        <v>0</v>
      </c>
      <c r="J158">
        <f t="shared" si="40"/>
        <v>2086484.9331232633</v>
      </c>
      <c r="K158">
        <f t="shared" si="41"/>
        <v>2085268.7812518966</v>
      </c>
      <c r="L158">
        <f t="shared" si="48"/>
        <v>2085268.7812518966</v>
      </c>
      <c r="M158">
        <f t="shared" si="42"/>
        <v>0</v>
      </c>
      <c r="N158" s="29">
        <f t="shared" si="49"/>
        <v>2085268.7812518966</v>
      </c>
      <c r="O158" s="29">
        <f t="shared" si="43"/>
        <v>2085204.6179455568</v>
      </c>
      <c r="P158" s="29">
        <f t="shared" si="50"/>
        <v>2085204.6179455568</v>
      </c>
      <c r="Q158">
        <f t="shared" si="51"/>
        <v>0</v>
      </c>
      <c r="R158" s="29">
        <f t="shared" si="52"/>
        <v>2085204.6179455568</v>
      </c>
      <c r="S158" s="29">
        <f t="shared" si="44"/>
        <v>2085204.6179455568</v>
      </c>
      <c r="T158" s="29">
        <f t="shared" si="53"/>
        <v>2085204.6179455568</v>
      </c>
      <c r="U158">
        <f t="shared" si="54"/>
        <v>0</v>
      </c>
      <c r="V158" s="29">
        <f t="shared" si="55"/>
        <v>2085204.6179455568</v>
      </c>
      <c r="W158" s="29">
        <f t="shared" si="45"/>
        <v>2085204.6179455568</v>
      </c>
      <c r="X158" s="29">
        <f t="shared" si="56"/>
        <v>2085204.6179455568</v>
      </c>
      <c r="Y158">
        <f t="shared" si="57"/>
        <v>0</v>
      </c>
    </row>
    <row r="159" spans="1:25" x14ac:dyDescent="0.25">
      <c r="A159" s="4" t="s">
        <v>962</v>
      </c>
      <c r="B159" s="7" t="s">
        <v>484</v>
      </c>
      <c r="C159" s="2" t="s">
        <v>963</v>
      </c>
      <c r="D159">
        <f>VLOOKUP(B159,'Model allocations'!$A$1:$L$316,3,FALSE)</f>
        <v>160154.25181974118</v>
      </c>
      <c r="E159" s="31">
        <f>VLOOKUP(B159,'Initial adjusted formula count'!$A$1:$P$316,12,FALSE)</f>
        <v>0.117903930131004</v>
      </c>
      <c r="F159">
        <f>VLOOKUP(B159,'Model allocations'!$A$1:$L$316,8,FALSE)</f>
        <v>166320.3932350472</v>
      </c>
      <c r="G159" s="30">
        <f t="shared" si="46"/>
        <v>0.85</v>
      </c>
      <c r="H159">
        <f t="shared" si="47"/>
        <v>136131.11404678001</v>
      </c>
      <c r="I159">
        <f t="shared" si="39"/>
        <v>0</v>
      </c>
      <c r="J159">
        <f t="shared" si="40"/>
        <v>166320.3932350472</v>
      </c>
      <c r="K159">
        <f t="shared" si="41"/>
        <v>166223.44987625838</v>
      </c>
      <c r="L159">
        <f t="shared" si="48"/>
        <v>166223.44987625838</v>
      </c>
      <c r="M159">
        <f t="shared" si="42"/>
        <v>0</v>
      </c>
      <c r="N159" s="29">
        <f t="shared" si="49"/>
        <v>166223.44987625838</v>
      </c>
      <c r="O159" s="29">
        <f t="shared" si="43"/>
        <v>166218.33521371169</v>
      </c>
      <c r="P159" s="29">
        <f t="shared" si="50"/>
        <v>166218.33521371169</v>
      </c>
      <c r="Q159">
        <f t="shared" si="51"/>
        <v>0</v>
      </c>
      <c r="R159" s="29">
        <f t="shared" si="52"/>
        <v>166218.33521371169</v>
      </c>
      <c r="S159" s="29">
        <f t="shared" si="44"/>
        <v>166218.33521371169</v>
      </c>
      <c r="T159" s="29">
        <f t="shared" si="53"/>
        <v>166218.33521371169</v>
      </c>
      <c r="U159">
        <f t="shared" si="54"/>
        <v>0</v>
      </c>
      <c r="V159" s="29">
        <f t="shared" si="55"/>
        <v>166218.33521371169</v>
      </c>
      <c r="W159" s="29">
        <f t="shared" si="45"/>
        <v>166218.33521371169</v>
      </c>
      <c r="X159" s="29">
        <f t="shared" si="56"/>
        <v>166218.33521371169</v>
      </c>
      <c r="Y159">
        <f t="shared" si="57"/>
        <v>0</v>
      </c>
    </row>
    <row r="160" spans="1:25" x14ac:dyDescent="0.25">
      <c r="A160" s="4" t="s">
        <v>964</v>
      </c>
      <c r="B160" s="7" t="s">
        <v>486</v>
      </c>
      <c r="C160" s="2" t="s">
        <v>965</v>
      </c>
      <c r="D160">
        <f>VLOOKUP(B160,'Model allocations'!$A$1:$L$316,3,FALSE)</f>
        <v>76471.389754974851</v>
      </c>
      <c r="E160" s="31">
        <f>VLOOKUP(B160,'Initial adjusted formula count'!$A$1:$P$316,12,FALSE)</f>
        <v>0.10678391959799</v>
      </c>
      <c r="F160">
        <f>VLOOKUP(B160,'Model allocations'!$A$1:$L$316,8,FALSE)</f>
        <v>74800.176851740805</v>
      </c>
      <c r="G160" s="30">
        <f t="shared" si="46"/>
        <v>0.85</v>
      </c>
      <c r="H160">
        <f t="shared" si="47"/>
        <v>65000.681291728622</v>
      </c>
      <c r="I160">
        <f t="shared" si="39"/>
        <v>0</v>
      </c>
      <c r="J160">
        <f t="shared" si="40"/>
        <v>74800.176851740805</v>
      </c>
      <c r="K160">
        <f t="shared" si="41"/>
        <v>74756.577986677046</v>
      </c>
      <c r="L160">
        <f t="shared" si="48"/>
        <v>74756.577986677046</v>
      </c>
      <c r="M160">
        <f t="shared" si="42"/>
        <v>0</v>
      </c>
      <c r="N160" s="29">
        <f t="shared" si="49"/>
        <v>74756.577986677046</v>
      </c>
      <c r="O160" s="29">
        <f t="shared" si="43"/>
        <v>74754.277741616359</v>
      </c>
      <c r="P160" s="29">
        <f t="shared" si="50"/>
        <v>74754.277741616359</v>
      </c>
      <c r="Q160">
        <f t="shared" si="51"/>
        <v>0</v>
      </c>
      <c r="R160" s="29">
        <f t="shared" si="52"/>
        <v>74754.277741616359</v>
      </c>
      <c r="S160" s="29">
        <f t="shared" si="44"/>
        <v>74754.277741616359</v>
      </c>
      <c r="T160" s="29">
        <f t="shared" si="53"/>
        <v>74754.277741616359</v>
      </c>
      <c r="U160">
        <f t="shared" si="54"/>
        <v>0</v>
      </c>
      <c r="V160" s="29">
        <f t="shared" si="55"/>
        <v>74754.277741616359</v>
      </c>
      <c r="W160" s="29">
        <f t="shared" si="45"/>
        <v>74754.277741616359</v>
      </c>
      <c r="X160" s="29">
        <f t="shared" si="56"/>
        <v>74754.277741616359</v>
      </c>
      <c r="Y160">
        <f t="shared" si="57"/>
        <v>0</v>
      </c>
    </row>
    <row r="161" spans="1:25" x14ac:dyDescent="0.25">
      <c r="A161" s="4" t="s">
        <v>966</v>
      </c>
      <c r="B161" s="7" t="s">
        <v>488</v>
      </c>
      <c r="C161" s="2" t="s">
        <v>967</v>
      </c>
      <c r="D161">
        <f>VLOOKUP(B161,'Model allocations'!$A$1:$L$316,3,FALSE)</f>
        <v>34759.722615897648</v>
      </c>
      <c r="E161" s="31">
        <f>VLOOKUP(B161,'Initial adjusted formula count'!$A$1:$P$316,12,FALSE)</f>
        <v>0.12615384615384601</v>
      </c>
      <c r="F161">
        <f>VLOOKUP(B161,'Model allocations'!$A$1:$L$316,8,FALSE)</f>
        <v>36080.08530495732</v>
      </c>
      <c r="G161" s="30">
        <f t="shared" si="46"/>
        <v>0.85</v>
      </c>
      <c r="H161">
        <f t="shared" si="47"/>
        <v>29545.764223513001</v>
      </c>
      <c r="I161">
        <f t="shared" si="39"/>
        <v>0</v>
      </c>
      <c r="J161">
        <f t="shared" si="40"/>
        <v>36080.08530495732</v>
      </c>
      <c r="K161">
        <f t="shared" si="41"/>
        <v>36059.055264161856</v>
      </c>
      <c r="L161">
        <f t="shared" si="48"/>
        <v>36059.055264161856</v>
      </c>
      <c r="M161">
        <f t="shared" si="42"/>
        <v>0</v>
      </c>
      <c r="N161" s="29">
        <f t="shared" si="49"/>
        <v>36059.055264161856</v>
      </c>
      <c r="O161" s="29">
        <f t="shared" si="43"/>
        <v>36057.945734191409</v>
      </c>
      <c r="P161" s="29">
        <f t="shared" si="50"/>
        <v>36057.945734191409</v>
      </c>
      <c r="Q161">
        <f t="shared" si="51"/>
        <v>0</v>
      </c>
      <c r="R161" s="29">
        <f t="shared" si="52"/>
        <v>36057.945734191409</v>
      </c>
      <c r="S161" s="29">
        <f t="shared" si="44"/>
        <v>36057.945734191409</v>
      </c>
      <c r="T161" s="29">
        <f t="shared" si="53"/>
        <v>36057.945734191409</v>
      </c>
      <c r="U161">
        <f t="shared" si="54"/>
        <v>0</v>
      </c>
      <c r="V161" s="29">
        <f t="shared" si="55"/>
        <v>36057.945734191409</v>
      </c>
      <c r="W161" s="29">
        <f t="shared" si="45"/>
        <v>36057.945734191409</v>
      </c>
      <c r="X161" s="29">
        <f t="shared" si="56"/>
        <v>36057.945734191409</v>
      </c>
      <c r="Y161">
        <f t="shared" si="57"/>
        <v>0</v>
      </c>
    </row>
    <row r="162" spans="1:25" x14ac:dyDescent="0.25">
      <c r="A162" s="4" t="s">
        <v>968</v>
      </c>
      <c r="B162" s="7" t="s">
        <v>490</v>
      </c>
      <c r="C162" s="2" t="s">
        <v>969</v>
      </c>
      <c r="D162">
        <f>VLOOKUP(B162,'Model allocations'!$A$1:$L$316,3,FALSE)</f>
        <v>60829.514577820883</v>
      </c>
      <c r="E162" s="31">
        <f>VLOOKUP(B162,'Initial adjusted formula count'!$A$1:$P$316,12,FALSE)</f>
        <v>0.314285714285714</v>
      </c>
      <c r="F162">
        <f>VLOOKUP(B162,'Model allocations'!$A$1:$L$316,8,FALSE)</f>
        <v>67760.160206871064</v>
      </c>
      <c r="G162" s="30">
        <f t="shared" si="46"/>
        <v>0.95</v>
      </c>
      <c r="H162">
        <f t="shared" si="47"/>
        <v>57788.038848929835</v>
      </c>
      <c r="I162">
        <f t="shared" si="39"/>
        <v>0</v>
      </c>
      <c r="J162">
        <f t="shared" si="40"/>
        <v>67760.160206871064</v>
      </c>
      <c r="K162">
        <f t="shared" si="41"/>
        <v>67720.664764401532</v>
      </c>
      <c r="L162">
        <f t="shared" si="48"/>
        <v>67720.664764401532</v>
      </c>
      <c r="M162">
        <f t="shared" si="42"/>
        <v>0</v>
      </c>
      <c r="N162" s="29">
        <f t="shared" si="49"/>
        <v>67720.664764401532</v>
      </c>
      <c r="O162" s="29">
        <f t="shared" si="43"/>
        <v>67718.581012993629</v>
      </c>
      <c r="P162" s="29">
        <f t="shared" si="50"/>
        <v>67718.581012993629</v>
      </c>
      <c r="Q162">
        <f t="shared" si="51"/>
        <v>0</v>
      </c>
      <c r="R162" s="29">
        <f t="shared" si="52"/>
        <v>67718.581012993629</v>
      </c>
      <c r="S162" s="29">
        <f t="shared" si="44"/>
        <v>67718.581012993629</v>
      </c>
      <c r="T162" s="29">
        <f t="shared" si="53"/>
        <v>67718.581012993629</v>
      </c>
      <c r="U162">
        <f t="shared" si="54"/>
        <v>0</v>
      </c>
      <c r="V162" s="29">
        <f t="shared" si="55"/>
        <v>67718.581012993629</v>
      </c>
      <c r="W162" s="29">
        <f t="shared" si="45"/>
        <v>67718.581012993629</v>
      </c>
      <c r="X162" s="29">
        <f t="shared" si="56"/>
        <v>67718.581012993629</v>
      </c>
      <c r="Y162">
        <f t="shared" si="57"/>
        <v>0</v>
      </c>
    </row>
    <row r="163" spans="1:25" x14ac:dyDescent="0.25">
      <c r="A163" s="4" t="s">
        <v>970</v>
      </c>
      <c r="B163" s="7" t="s">
        <v>492</v>
      </c>
      <c r="C163" s="2" t="s">
        <v>971</v>
      </c>
      <c r="D163">
        <f>VLOOKUP(B163,'Model allocations'!$A$1:$L$316,3,FALSE)</f>
        <v>241580.07218048867</v>
      </c>
      <c r="E163" s="31">
        <f>VLOOKUP(B163,'Initial adjusted formula count'!$A$1:$P$316,12,FALSE)</f>
        <v>0.171171171171171</v>
      </c>
      <c r="F163">
        <f>VLOOKUP(B163,'Model allocations'!$A$1:$L$316,8,FALSE)</f>
        <v>217542.87068514226</v>
      </c>
      <c r="G163" s="30">
        <f t="shared" si="46"/>
        <v>0.9</v>
      </c>
      <c r="H163">
        <f t="shared" si="47"/>
        <v>217422.06496243982</v>
      </c>
      <c r="I163">
        <f t="shared" si="39"/>
        <v>0</v>
      </c>
      <c r="J163">
        <f t="shared" si="40"/>
        <v>217542.87068514226</v>
      </c>
      <c r="K163">
        <f t="shared" si="41"/>
        <v>217416.07122204229</v>
      </c>
      <c r="L163">
        <f t="shared" si="48"/>
        <v>217416.07122204229</v>
      </c>
      <c r="M163">
        <f t="shared" si="42"/>
        <v>217422.06496243982</v>
      </c>
      <c r="N163" s="29">
        <f t="shared" si="49"/>
        <v>0</v>
      </c>
      <c r="O163" s="29">
        <f t="shared" si="43"/>
        <v>0</v>
      </c>
      <c r="P163" s="29">
        <f t="shared" si="50"/>
        <v>217422.06496243982</v>
      </c>
      <c r="Q163">
        <f t="shared" si="51"/>
        <v>0</v>
      </c>
      <c r="R163" s="29">
        <f t="shared" si="52"/>
        <v>0</v>
      </c>
      <c r="S163" s="29">
        <f t="shared" si="44"/>
        <v>0</v>
      </c>
      <c r="T163" s="29">
        <f t="shared" si="53"/>
        <v>217422.06496243982</v>
      </c>
      <c r="U163">
        <f t="shared" si="54"/>
        <v>0</v>
      </c>
      <c r="V163" s="29">
        <f t="shared" si="55"/>
        <v>0</v>
      </c>
      <c r="W163" s="29">
        <f t="shared" si="45"/>
        <v>0</v>
      </c>
      <c r="X163" s="29">
        <f t="shared" si="56"/>
        <v>217422.06496243982</v>
      </c>
      <c r="Y163">
        <f t="shared" si="57"/>
        <v>0</v>
      </c>
    </row>
    <row r="164" spans="1:25" x14ac:dyDescent="0.25">
      <c r="A164" s="4" t="s">
        <v>972</v>
      </c>
      <c r="B164" s="7" t="s">
        <v>494</v>
      </c>
      <c r="C164" s="2" t="s">
        <v>973</v>
      </c>
      <c r="D164">
        <f>VLOOKUP(B164,'Model allocations'!$A$1:$L$316,3,FALSE)</f>
        <v>155911.9256559964</v>
      </c>
      <c r="E164" s="31">
        <f>VLOOKUP(B164,'Initial adjusted formula count'!$A$1:$P$316,12,FALSE)</f>
        <v>8.6317135549872095E-2</v>
      </c>
      <c r="F164">
        <f>VLOOKUP(B164,'Model allocations'!$A$1:$L$316,8,FALSE)</f>
        <v>132822.17715100295</v>
      </c>
      <c r="G164" s="30">
        <f t="shared" si="46"/>
        <v>0.85</v>
      </c>
      <c r="H164">
        <f t="shared" si="47"/>
        <v>132525.13680759692</v>
      </c>
      <c r="I164">
        <f t="shared" si="39"/>
        <v>0</v>
      </c>
      <c r="J164">
        <f t="shared" si="40"/>
        <v>132822.17715100295</v>
      </c>
      <c r="K164">
        <f t="shared" si="41"/>
        <v>132744.75893592893</v>
      </c>
      <c r="L164">
        <f t="shared" si="48"/>
        <v>132744.75893592893</v>
      </c>
      <c r="M164">
        <f t="shared" si="42"/>
        <v>0</v>
      </c>
      <c r="N164" s="29">
        <f t="shared" si="49"/>
        <v>132744.75893592893</v>
      </c>
      <c r="O164" s="29">
        <f t="shared" si="43"/>
        <v>132740.67440605481</v>
      </c>
      <c r="P164" s="29">
        <f t="shared" si="50"/>
        <v>132740.67440605481</v>
      </c>
      <c r="Q164">
        <f t="shared" si="51"/>
        <v>0</v>
      </c>
      <c r="R164" s="29">
        <f t="shared" si="52"/>
        <v>132740.67440605481</v>
      </c>
      <c r="S164" s="29">
        <f t="shared" si="44"/>
        <v>132740.67440605481</v>
      </c>
      <c r="T164" s="29">
        <f t="shared" si="53"/>
        <v>132740.67440605481</v>
      </c>
      <c r="U164">
        <f t="shared" si="54"/>
        <v>0</v>
      </c>
      <c r="V164" s="29">
        <f t="shared" si="55"/>
        <v>132740.67440605481</v>
      </c>
      <c r="W164" s="29">
        <f t="shared" si="45"/>
        <v>132740.67440605481</v>
      </c>
      <c r="X164" s="29">
        <f t="shared" si="56"/>
        <v>132740.67440605481</v>
      </c>
      <c r="Y164">
        <f t="shared" si="57"/>
        <v>0</v>
      </c>
    </row>
    <row r="165" spans="1:25" x14ac:dyDescent="0.25">
      <c r="A165" s="4" t="s">
        <v>974</v>
      </c>
      <c r="B165" s="7" t="s">
        <v>176</v>
      </c>
      <c r="C165" s="2" t="s">
        <v>975</v>
      </c>
      <c r="D165">
        <f>VLOOKUP(B165,'Model allocations'!$A$1:$L$316,3,FALSE)</f>
        <v>216379.2732839628</v>
      </c>
      <c r="E165" s="31">
        <f>VLOOKUP(B165,'Initial adjusted formula count'!$A$1:$P$316,12,FALSE)</f>
        <v>7.8117862037460004E-2</v>
      </c>
      <c r="F165">
        <f>VLOOKUP(B165,'Model allocations'!$A$1:$L$316,8,FALSE)</f>
        <v>183842.82199597836</v>
      </c>
      <c r="G165" s="30">
        <f t="shared" si="46"/>
        <v>0.85</v>
      </c>
      <c r="H165">
        <f t="shared" si="47"/>
        <v>183922.38229136838</v>
      </c>
      <c r="I165">
        <f t="shared" si="39"/>
        <v>183922.38229136838</v>
      </c>
      <c r="J165">
        <f t="shared" si="40"/>
        <v>0</v>
      </c>
      <c r="K165">
        <f t="shared" si="41"/>
        <v>0</v>
      </c>
      <c r="L165">
        <f t="shared" si="48"/>
        <v>183922.38229136838</v>
      </c>
      <c r="M165">
        <f t="shared" si="42"/>
        <v>0</v>
      </c>
      <c r="N165" s="29">
        <f t="shared" si="49"/>
        <v>0</v>
      </c>
      <c r="O165" s="29">
        <f t="shared" si="43"/>
        <v>0</v>
      </c>
      <c r="P165" s="29">
        <f t="shared" si="50"/>
        <v>183922.38229136838</v>
      </c>
      <c r="Q165">
        <f t="shared" si="51"/>
        <v>0</v>
      </c>
      <c r="R165" s="29">
        <f t="shared" si="52"/>
        <v>0</v>
      </c>
      <c r="S165" s="29">
        <f t="shared" si="44"/>
        <v>0</v>
      </c>
      <c r="T165" s="29">
        <f t="shared" si="53"/>
        <v>183922.38229136838</v>
      </c>
      <c r="U165">
        <f t="shared" si="54"/>
        <v>0</v>
      </c>
      <c r="V165" s="29">
        <f t="shared" si="55"/>
        <v>0</v>
      </c>
      <c r="W165" s="29">
        <f t="shared" si="45"/>
        <v>0</v>
      </c>
      <c r="X165" s="29">
        <f t="shared" si="56"/>
        <v>183922.38229136838</v>
      </c>
      <c r="Y165">
        <f t="shared" si="57"/>
        <v>0</v>
      </c>
    </row>
    <row r="166" spans="1:25" x14ac:dyDescent="0.25">
      <c r="A166" s="4" t="s">
        <v>976</v>
      </c>
      <c r="B166" s="7" t="s">
        <v>496</v>
      </c>
      <c r="C166" s="2" t="s">
        <v>977</v>
      </c>
      <c r="D166">
        <f>VLOOKUP(B166,'Model allocations'!$A$1:$L$316,3,FALSE)</f>
        <v>123890.47683074261</v>
      </c>
      <c r="E166" s="31">
        <f>VLOOKUP(B166,'Initial adjusted formula count'!$A$1:$P$316,12,FALSE)</f>
        <v>0.19914040114613199</v>
      </c>
      <c r="F166">
        <f>VLOOKUP(B166,'Model allocations'!$A$1:$L$316,8,FALSE)</f>
        <v>122320.28920461138</v>
      </c>
      <c r="G166" s="30">
        <f t="shared" si="46"/>
        <v>0.9</v>
      </c>
      <c r="H166">
        <f t="shared" si="47"/>
        <v>111501.42914766836</v>
      </c>
      <c r="I166">
        <f t="shared" si="39"/>
        <v>0</v>
      </c>
      <c r="J166">
        <f t="shared" si="40"/>
        <v>122320.28920461138</v>
      </c>
      <c r="K166">
        <f t="shared" si="41"/>
        <v>122248.99223703654</v>
      </c>
      <c r="L166">
        <f t="shared" si="48"/>
        <v>122248.99223703654</v>
      </c>
      <c r="M166">
        <f t="shared" si="42"/>
        <v>0</v>
      </c>
      <c r="N166" s="29">
        <f t="shared" si="49"/>
        <v>122248.99223703654</v>
      </c>
      <c r="O166" s="29">
        <f t="shared" si="43"/>
        <v>122245.23065981964</v>
      </c>
      <c r="P166" s="29">
        <f t="shared" si="50"/>
        <v>122245.23065981964</v>
      </c>
      <c r="Q166">
        <f t="shared" si="51"/>
        <v>0</v>
      </c>
      <c r="R166" s="29">
        <f t="shared" si="52"/>
        <v>122245.23065981964</v>
      </c>
      <c r="S166" s="29">
        <f t="shared" si="44"/>
        <v>122245.23065981964</v>
      </c>
      <c r="T166" s="29">
        <f t="shared" si="53"/>
        <v>122245.23065981964</v>
      </c>
      <c r="U166">
        <f t="shared" si="54"/>
        <v>0</v>
      </c>
      <c r="V166" s="29">
        <f t="shared" si="55"/>
        <v>122245.23065981964</v>
      </c>
      <c r="W166" s="29">
        <f t="shared" si="45"/>
        <v>122245.23065981964</v>
      </c>
      <c r="X166" s="29">
        <f t="shared" si="56"/>
        <v>122245.23065981964</v>
      </c>
      <c r="Y166">
        <f t="shared" si="57"/>
        <v>0</v>
      </c>
    </row>
    <row r="167" spans="1:25" x14ac:dyDescent="0.25">
      <c r="A167" s="4" t="s">
        <v>978</v>
      </c>
      <c r="B167" s="7" t="s">
        <v>498</v>
      </c>
      <c r="C167" s="2" t="s">
        <v>979</v>
      </c>
      <c r="D167">
        <f>VLOOKUP(B167,'Model allocations'!$A$1:$L$316,3,FALSE)</f>
        <v>302757.35275512718</v>
      </c>
      <c r="E167" s="31">
        <f>VLOOKUP(B167,'Initial adjusted formula count'!$A$1:$P$316,12,FALSE)</f>
        <v>0.10837887067395301</v>
      </c>
      <c r="F167">
        <f>VLOOKUP(B167,'Model allocations'!$A$1:$L$316,8,FALSE)</f>
        <v>257343.74984185811</v>
      </c>
      <c r="G167" s="30">
        <f t="shared" si="46"/>
        <v>0.85</v>
      </c>
      <c r="H167">
        <f t="shared" si="47"/>
        <v>257343.74984185811</v>
      </c>
      <c r="I167">
        <f t="shared" si="39"/>
        <v>0</v>
      </c>
      <c r="J167">
        <f t="shared" si="40"/>
        <v>257343.74984185811</v>
      </c>
      <c r="K167">
        <f t="shared" si="41"/>
        <v>257193.75159457326</v>
      </c>
      <c r="L167">
        <f t="shared" si="48"/>
        <v>257193.75159457326</v>
      </c>
      <c r="M167">
        <f t="shared" si="42"/>
        <v>257343.74984185811</v>
      </c>
      <c r="N167" s="29">
        <f t="shared" si="49"/>
        <v>0</v>
      </c>
      <c r="O167" s="29">
        <f t="shared" si="43"/>
        <v>0</v>
      </c>
      <c r="P167" s="29">
        <f t="shared" si="50"/>
        <v>257343.74984185811</v>
      </c>
      <c r="Q167">
        <f t="shared" si="51"/>
        <v>0</v>
      </c>
      <c r="R167" s="29">
        <f t="shared" si="52"/>
        <v>0</v>
      </c>
      <c r="S167" s="29">
        <f t="shared" si="44"/>
        <v>0</v>
      </c>
      <c r="T167" s="29">
        <f t="shared" si="53"/>
        <v>257343.74984185811</v>
      </c>
      <c r="U167">
        <f t="shared" si="54"/>
        <v>0</v>
      </c>
      <c r="V167" s="29">
        <f t="shared" si="55"/>
        <v>0</v>
      </c>
      <c r="W167" s="29">
        <f t="shared" si="45"/>
        <v>0</v>
      </c>
      <c r="X167" s="29">
        <f t="shared" si="56"/>
        <v>257343.74984185811</v>
      </c>
      <c r="Y167">
        <f t="shared" si="57"/>
        <v>0</v>
      </c>
    </row>
    <row r="168" spans="1:25" x14ac:dyDescent="0.25">
      <c r="A168" s="4" t="s">
        <v>980</v>
      </c>
      <c r="B168" s="7" t="s">
        <v>178</v>
      </c>
      <c r="C168" s="2" t="s">
        <v>981</v>
      </c>
      <c r="D168">
        <f>VLOOKUP(B168,'Model allocations'!$A$1:$L$316,3,FALSE)</f>
        <v>433627.53963332315</v>
      </c>
      <c r="E168" s="31">
        <f>VLOOKUP(B168,'Initial adjusted formula count'!$A$1:$P$316,12,FALSE)</f>
        <v>7.5833333333333294E-2</v>
      </c>
      <c r="F168">
        <f>VLOOKUP(B168,'Model allocations'!$A$1:$L$316,8,FALSE)</f>
        <v>480481.13601235859</v>
      </c>
      <c r="G168" s="30">
        <f t="shared" si="46"/>
        <v>0.85</v>
      </c>
      <c r="H168">
        <f t="shared" si="47"/>
        <v>368583.40868832468</v>
      </c>
      <c r="I168">
        <f t="shared" si="39"/>
        <v>0</v>
      </c>
      <c r="J168">
        <f t="shared" si="40"/>
        <v>480481.13601235859</v>
      </c>
      <c r="K168">
        <f t="shared" si="41"/>
        <v>480201.07742030191</v>
      </c>
      <c r="L168">
        <f t="shared" si="48"/>
        <v>480201.07742030191</v>
      </c>
      <c r="M168">
        <f t="shared" si="42"/>
        <v>0</v>
      </c>
      <c r="N168" s="29">
        <f t="shared" si="49"/>
        <v>480201.07742030191</v>
      </c>
      <c r="O168" s="29">
        <f t="shared" si="43"/>
        <v>480186.30172850034</v>
      </c>
      <c r="P168" s="29">
        <f t="shared" si="50"/>
        <v>480186.30172850034</v>
      </c>
      <c r="Q168">
        <f t="shared" si="51"/>
        <v>0</v>
      </c>
      <c r="R168" s="29">
        <f t="shared" si="52"/>
        <v>480186.30172850034</v>
      </c>
      <c r="S168" s="29">
        <f t="shared" si="44"/>
        <v>480186.30172850034</v>
      </c>
      <c r="T168" s="29">
        <f t="shared" si="53"/>
        <v>480186.30172850034</v>
      </c>
      <c r="U168">
        <f t="shared" si="54"/>
        <v>0</v>
      </c>
      <c r="V168" s="29">
        <f t="shared" si="55"/>
        <v>480186.30172850034</v>
      </c>
      <c r="W168" s="29">
        <f t="shared" si="45"/>
        <v>480186.30172850034</v>
      </c>
      <c r="X168" s="29">
        <f t="shared" si="56"/>
        <v>480186.30172850034</v>
      </c>
      <c r="Y168">
        <f t="shared" si="57"/>
        <v>0</v>
      </c>
    </row>
    <row r="169" spans="1:25" x14ac:dyDescent="0.25">
      <c r="A169" s="4" t="s">
        <v>982</v>
      </c>
      <c r="B169" s="7" t="s">
        <v>500</v>
      </c>
      <c r="C169" s="2" t="s">
        <v>983</v>
      </c>
      <c r="D169">
        <f>VLOOKUP(B169,'Model allocations'!$A$1:$L$316,3,FALSE)</f>
        <v>323265.42032784806</v>
      </c>
      <c r="E169" s="31">
        <f>VLOOKUP(B169,'Initial adjusted formula count'!$A$1:$P$316,12,FALSE)</f>
        <v>0.144904458598726</v>
      </c>
      <c r="F169">
        <f>VLOOKUP(B169,'Model allocations'!$A$1:$L$316,8,FALSE)</f>
        <v>320320.75734157232</v>
      </c>
      <c r="G169" s="30">
        <f t="shared" si="46"/>
        <v>0.85</v>
      </c>
      <c r="H169">
        <f t="shared" si="47"/>
        <v>274775.60727867082</v>
      </c>
      <c r="I169">
        <f t="shared" si="39"/>
        <v>0</v>
      </c>
      <c r="J169">
        <f t="shared" si="40"/>
        <v>320320.75734157232</v>
      </c>
      <c r="K169">
        <f t="shared" si="41"/>
        <v>320134.05161353457</v>
      </c>
      <c r="L169">
        <f t="shared" si="48"/>
        <v>320134.05161353457</v>
      </c>
      <c r="M169">
        <f t="shared" si="42"/>
        <v>0</v>
      </c>
      <c r="N169" s="29">
        <f t="shared" si="49"/>
        <v>320134.05161353457</v>
      </c>
      <c r="O169" s="29">
        <f t="shared" si="43"/>
        <v>320124.20115233352</v>
      </c>
      <c r="P169" s="29">
        <f t="shared" si="50"/>
        <v>320124.20115233352</v>
      </c>
      <c r="Q169">
        <f t="shared" si="51"/>
        <v>0</v>
      </c>
      <c r="R169" s="29">
        <f t="shared" si="52"/>
        <v>320124.20115233352</v>
      </c>
      <c r="S169" s="29">
        <f t="shared" si="44"/>
        <v>320124.20115233352</v>
      </c>
      <c r="T169" s="29">
        <f t="shared" si="53"/>
        <v>320124.20115233352</v>
      </c>
      <c r="U169">
        <f t="shared" si="54"/>
        <v>0</v>
      </c>
      <c r="V169" s="29">
        <f t="shared" si="55"/>
        <v>320124.20115233352</v>
      </c>
      <c r="W169" s="29">
        <f t="shared" si="45"/>
        <v>320124.20115233352</v>
      </c>
      <c r="X169" s="29">
        <f t="shared" si="56"/>
        <v>320124.20115233352</v>
      </c>
      <c r="Y169">
        <f t="shared" si="57"/>
        <v>0</v>
      </c>
    </row>
    <row r="170" spans="1:25" x14ac:dyDescent="0.25">
      <c r="A170" s="4" t="s">
        <v>984</v>
      </c>
      <c r="B170" s="7" t="s">
        <v>502</v>
      </c>
      <c r="C170" s="2" t="s">
        <v>985</v>
      </c>
      <c r="D170">
        <f>VLOOKUP(B170,'Model allocations'!$A$1:$L$316,3,FALSE)</f>
        <v>8689.9306539744121</v>
      </c>
      <c r="E170" s="31">
        <f>VLOOKUP(B170,'Initial adjusted formula count'!$A$1:$P$316,12,FALSE)</f>
        <v>0.16</v>
      </c>
      <c r="F170">
        <f>VLOOKUP(B170,'Model allocations'!$A$1:$L$316,8,FALSE)</f>
        <v>0</v>
      </c>
      <c r="G170" s="30">
        <f t="shared" si="46"/>
        <v>0.9</v>
      </c>
      <c r="H170">
        <f t="shared" si="47"/>
        <v>0</v>
      </c>
      <c r="I170">
        <f t="shared" si="39"/>
        <v>0</v>
      </c>
      <c r="J170">
        <f t="shared" si="40"/>
        <v>0</v>
      </c>
      <c r="K170">
        <f t="shared" si="41"/>
        <v>0</v>
      </c>
      <c r="L170">
        <f t="shared" si="48"/>
        <v>0</v>
      </c>
      <c r="M170">
        <f t="shared" si="42"/>
        <v>0</v>
      </c>
      <c r="N170" s="29">
        <f t="shared" si="49"/>
        <v>0</v>
      </c>
      <c r="O170" s="29">
        <f t="shared" si="43"/>
        <v>0</v>
      </c>
      <c r="P170" s="29">
        <f t="shared" si="50"/>
        <v>0</v>
      </c>
      <c r="Q170">
        <f t="shared" si="51"/>
        <v>0</v>
      </c>
      <c r="R170" s="29">
        <f t="shared" si="52"/>
        <v>0</v>
      </c>
      <c r="S170" s="29">
        <f t="shared" si="44"/>
        <v>0</v>
      </c>
      <c r="T170" s="29">
        <f t="shared" si="53"/>
        <v>0</v>
      </c>
      <c r="U170">
        <f t="shared" si="54"/>
        <v>0</v>
      </c>
      <c r="V170" s="29">
        <f t="shared" si="55"/>
        <v>0</v>
      </c>
      <c r="W170" s="29">
        <f t="shared" si="45"/>
        <v>0</v>
      </c>
      <c r="X170" s="29">
        <f t="shared" si="56"/>
        <v>0</v>
      </c>
      <c r="Y170">
        <f t="shared" si="57"/>
        <v>0</v>
      </c>
    </row>
    <row r="171" spans="1:25" x14ac:dyDescent="0.25">
      <c r="A171" s="4" t="s">
        <v>986</v>
      </c>
      <c r="B171" s="7" t="s">
        <v>180</v>
      </c>
      <c r="C171" s="2" t="s">
        <v>987</v>
      </c>
      <c r="D171">
        <f>VLOOKUP(B171,'Model allocations'!$A$1:$L$316,3,FALSE)</f>
        <v>1397340.849159085</v>
      </c>
      <c r="E171" s="31">
        <f>VLOOKUP(B171,'Initial adjusted formula count'!$A$1:$P$316,12,FALSE)</f>
        <v>8.5567130984431694E-2</v>
      </c>
      <c r="F171">
        <f>VLOOKUP(B171,'Model allocations'!$A$1:$L$316,8,FALSE)</f>
        <v>1286563.0418499417</v>
      </c>
      <c r="G171" s="30">
        <f t="shared" si="46"/>
        <v>0.85</v>
      </c>
      <c r="H171">
        <f t="shared" si="47"/>
        <v>1187739.7217852222</v>
      </c>
      <c r="I171">
        <f t="shared" si="39"/>
        <v>0</v>
      </c>
      <c r="J171">
        <f t="shared" si="40"/>
        <v>1286563.0418499417</v>
      </c>
      <c r="K171">
        <f t="shared" si="41"/>
        <v>1285813.141370845</v>
      </c>
      <c r="L171">
        <f t="shared" si="48"/>
        <v>1285813.141370845</v>
      </c>
      <c r="M171">
        <f t="shared" si="42"/>
        <v>0</v>
      </c>
      <c r="N171" s="29">
        <f t="shared" si="49"/>
        <v>1285813.141370845</v>
      </c>
      <c r="O171" s="29">
        <f t="shared" si="43"/>
        <v>1285773.5771558012</v>
      </c>
      <c r="P171" s="29">
        <f t="shared" si="50"/>
        <v>1285773.5771558012</v>
      </c>
      <c r="Q171">
        <f t="shared" si="51"/>
        <v>0</v>
      </c>
      <c r="R171" s="29">
        <f t="shared" si="52"/>
        <v>1285773.5771558012</v>
      </c>
      <c r="S171" s="29">
        <f t="shared" si="44"/>
        <v>1285773.5771558012</v>
      </c>
      <c r="T171" s="29">
        <f t="shared" si="53"/>
        <v>1285773.5771558012</v>
      </c>
      <c r="U171">
        <f t="shared" si="54"/>
        <v>0</v>
      </c>
      <c r="V171" s="29">
        <f t="shared" si="55"/>
        <v>1285773.5771558012</v>
      </c>
      <c r="W171" s="29">
        <f t="shared" si="45"/>
        <v>1285773.5771558012</v>
      </c>
      <c r="X171" s="29">
        <f t="shared" si="56"/>
        <v>1285773.5771558012</v>
      </c>
      <c r="Y171">
        <f t="shared" si="57"/>
        <v>0</v>
      </c>
    </row>
    <row r="172" spans="1:25" x14ac:dyDescent="0.25">
      <c r="A172" s="4" t="s">
        <v>988</v>
      </c>
      <c r="B172" s="7" t="s">
        <v>504</v>
      </c>
      <c r="C172" s="2" t="s">
        <v>989</v>
      </c>
      <c r="D172">
        <f>VLOOKUP(B172,'Model allocations'!$A$1:$L$316,3,FALSE)</f>
        <v>54202.083613449875</v>
      </c>
      <c r="E172" s="31">
        <f>VLOOKUP(B172,'Initial adjusted formula count'!$A$1:$P$316,12,FALSE)</f>
        <v>0.26222222222222202</v>
      </c>
      <c r="F172">
        <f>VLOOKUP(B172,'Model allocations'!$A$1:$L$316,8,FALSE)</f>
        <v>51920.122755914184</v>
      </c>
      <c r="G172" s="30">
        <f t="shared" si="46"/>
        <v>0.9</v>
      </c>
      <c r="H172">
        <f t="shared" si="47"/>
        <v>48781.875252104888</v>
      </c>
      <c r="I172">
        <f t="shared" si="39"/>
        <v>0</v>
      </c>
      <c r="J172">
        <f t="shared" si="40"/>
        <v>51920.122755914184</v>
      </c>
      <c r="K172">
        <f t="shared" si="41"/>
        <v>51889.860014281687</v>
      </c>
      <c r="L172">
        <f t="shared" si="48"/>
        <v>51889.860014281687</v>
      </c>
      <c r="M172">
        <f t="shared" si="42"/>
        <v>0</v>
      </c>
      <c r="N172" s="29">
        <f t="shared" si="49"/>
        <v>51889.860014281687</v>
      </c>
      <c r="O172" s="29">
        <f t="shared" si="43"/>
        <v>51888.263373592512</v>
      </c>
      <c r="P172" s="29">
        <f t="shared" si="50"/>
        <v>51888.263373592512</v>
      </c>
      <c r="Q172">
        <f t="shared" si="51"/>
        <v>0</v>
      </c>
      <c r="R172" s="29">
        <f t="shared" si="52"/>
        <v>51888.263373592512</v>
      </c>
      <c r="S172" s="29">
        <f t="shared" si="44"/>
        <v>51888.263373592512</v>
      </c>
      <c r="T172" s="29">
        <f t="shared" si="53"/>
        <v>51888.263373592512</v>
      </c>
      <c r="U172">
        <f t="shared" si="54"/>
        <v>0</v>
      </c>
      <c r="V172" s="29">
        <f t="shared" si="55"/>
        <v>51888.263373592512</v>
      </c>
      <c r="W172" s="29">
        <f t="shared" si="45"/>
        <v>51888.263373592512</v>
      </c>
      <c r="X172" s="29">
        <f t="shared" si="56"/>
        <v>51888.263373592512</v>
      </c>
      <c r="Y172">
        <f t="shared" si="57"/>
        <v>0</v>
      </c>
    </row>
    <row r="173" spans="1:25" x14ac:dyDescent="0.25">
      <c r="A173" s="4" t="s">
        <v>990</v>
      </c>
      <c r="B173" s="7" t="s">
        <v>182</v>
      </c>
      <c r="C173" s="2" t="s">
        <v>991</v>
      </c>
      <c r="D173">
        <f>VLOOKUP(B173,'Model allocations'!$A$1:$L$316,3,FALSE)</f>
        <v>908966.74640572292</v>
      </c>
      <c r="E173" s="31">
        <f>VLOOKUP(B173,'Initial adjusted formula count'!$A$1:$P$316,12,FALSE)</f>
        <v>3.9716205563271899E-2</v>
      </c>
      <c r="F173">
        <f>VLOOKUP(B173,'Model allocations'!$A$1:$L$316,8,FALSE)</f>
        <v>931042.20128402067</v>
      </c>
      <c r="G173" s="30">
        <f t="shared" si="46"/>
        <v>0.85</v>
      </c>
      <c r="H173">
        <f t="shared" si="47"/>
        <v>772621.73444486444</v>
      </c>
      <c r="I173">
        <f t="shared" si="39"/>
        <v>0</v>
      </c>
      <c r="J173">
        <f t="shared" si="40"/>
        <v>931042.20128402067</v>
      </c>
      <c r="K173">
        <f t="shared" si="41"/>
        <v>930499.5236459329</v>
      </c>
      <c r="L173">
        <f t="shared" si="48"/>
        <v>930499.5236459329</v>
      </c>
      <c r="M173">
        <f t="shared" si="42"/>
        <v>0</v>
      </c>
      <c r="N173" s="29">
        <f t="shared" si="49"/>
        <v>930499.5236459329</v>
      </c>
      <c r="O173" s="29">
        <f t="shared" si="43"/>
        <v>930470.89236035408</v>
      </c>
      <c r="P173" s="29">
        <f t="shared" si="50"/>
        <v>930470.89236035408</v>
      </c>
      <c r="Q173">
        <f t="shared" si="51"/>
        <v>0</v>
      </c>
      <c r="R173" s="29">
        <f t="shared" si="52"/>
        <v>930470.89236035408</v>
      </c>
      <c r="S173" s="29">
        <f t="shared" si="44"/>
        <v>930470.89236035408</v>
      </c>
      <c r="T173" s="29">
        <f t="shared" si="53"/>
        <v>930470.89236035408</v>
      </c>
      <c r="U173">
        <f t="shared" si="54"/>
        <v>0</v>
      </c>
      <c r="V173" s="29">
        <f t="shared" si="55"/>
        <v>930470.89236035408</v>
      </c>
      <c r="W173" s="29">
        <f t="shared" si="45"/>
        <v>930470.89236035408</v>
      </c>
      <c r="X173" s="29">
        <f t="shared" si="56"/>
        <v>930470.89236035408</v>
      </c>
      <c r="Y173">
        <f t="shared" si="57"/>
        <v>0</v>
      </c>
    </row>
    <row r="174" spans="1:25" x14ac:dyDescent="0.25">
      <c r="A174" s="4" t="s">
        <v>992</v>
      </c>
      <c r="B174" s="7" t="s">
        <v>184</v>
      </c>
      <c r="C174" s="2" t="s">
        <v>993</v>
      </c>
      <c r="D174">
        <f>VLOOKUP(B174,'Model allocations'!$A$1:$L$316,3,FALSE)</f>
        <v>499671.01260352839</v>
      </c>
      <c r="E174" s="31">
        <f>VLOOKUP(B174,'Initial adjusted formula count'!$A$1:$P$316,12,FALSE)</f>
        <v>8.8102030542037302E-2</v>
      </c>
      <c r="F174">
        <f>VLOOKUP(B174,'Model allocations'!$A$1:$L$316,8,FALSE)</f>
        <v>462001.09231957549</v>
      </c>
      <c r="G174" s="30">
        <f t="shared" si="46"/>
        <v>0.85</v>
      </c>
      <c r="H174">
        <f t="shared" si="47"/>
        <v>424720.36071299913</v>
      </c>
      <c r="I174">
        <f t="shared" si="39"/>
        <v>0</v>
      </c>
      <c r="J174">
        <f t="shared" si="40"/>
        <v>462001.09231957549</v>
      </c>
      <c r="K174">
        <f t="shared" si="41"/>
        <v>461731.80521182867</v>
      </c>
      <c r="L174">
        <f t="shared" si="48"/>
        <v>461731.80521182867</v>
      </c>
      <c r="M174">
        <f t="shared" si="42"/>
        <v>0</v>
      </c>
      <c r="N174" s="29">
        <f t="shared" si="49"/>
        <v>461731.80521182867</v>
      </c>
      <c r="O174" s="29">
        <f t="shared" si="43"/>
        <v>461717.59781586565</v>
      </c>
      <c r="P174" s="29">
        <f t="shared" si="50"/>
        <v>461717.59781586565</v>
      </c>
      <c r="Q174">
        <f t="shared" si="51"/>
        <v>0</v>
      </c>
      <c r="R174" s="29">
        <f t="shared" si="52"/>
        <v>461717.59781586565</v>
      </c>
      <c r="S174" s="29">
        <f t="shared" si="44"/>
        <v>461717.59781586565</v>
      </c>
      <c r="T174" s="29">
        <f t="shared" si="53"/>
        <v>461717.59781586565</v>
      </c>
      <c r="U174">
        <f t="shared" si="54"/>
        <v>0</v>
      </c>
      <c r="V174" s="29">
        <f t="shared" si="55"/>
        <v>461717.59781586565</v>
      </c>
      <c r="W174" s="29">
        <f t="shared" si="45"/>
        <v>461717.59781586565</v>
      </c>
      <c r="X174" s="29">
        <f t="shared" si="56"/>
        <v>461717.59781586565</v>
      </c>
      <c r="Y174">
        <f t="shared" si="57"/>
        <v>0</v>
      </c>
    </row>
    <row r="175" spans="1:25" x14ac:dyDescent="0.25">
      <c r="A175" s="4" t="s">
        <v>994</v>
      </c>
      <c r="B175" s="7" t="s">
        <v>186</v>
      </c>
      <c r="C175" s="2" t="s">
        <v>995</v>
      </c>
      <c r="D175">
        <f>VLOOKUP(B175,'Model allocations'!$A$1:$L$316,3,FALSE)</f>
        <v>0</v>
      </c>
      <c r="E175" s="31">
        <f>VLOOKUP(B175,'Initial adjusted formula count'!$A$1:$P$316,12,FALSE)</f>
        <v>8.3969465648855005E-2</v>
      </c>
      <c r="F175">
        <f>VLOOKUP(B175,'Model allocations'!$A$1:$L$316,8,FALSE)</f>
        <v>9680.022886695866</v>
      </c>
      <c r="G175" s="30">
        <f t="shared" si="46"/>
        <v>0.85</v>
      </c>
      <c r="H175">
        <f t="shared" si="47"/>
        <v>0</v>
      </c>
      <c r="I175">
        <f t="shared" si="39"/>
        <v>0</v>
      </c>
      <c r="J175">
        <f t="shared" si="40"/>
        <v>9680.022886695866</v>
      </c>
      <c r="K175">
        <f t="shared" si="41"/>
        <v>9674.3806806287903</v>
      </c>
      <c r="L175">
        <f t="shared" si="48"/>
        <v>9674.3806806287903</v>
      </c>
      <c r="M175">
        <f t="shared" si="42"/>
        <v>0</v>
      </c>
      <c r="N175" s="29">
        <f t="shared" si="49"/>
        <v>9674.3806806287903</v>
      </c>
      <c r="O175" s="29">
        <f t="shared" si="43"/>
        <v>9674.0830018562319</v>
      </c>
      <c r="P175" s="29">
        <f t="shared" si="50"/>
        <v>9674.0830018562319</v>
      </c>
      <c r="Q175">
        <f t="shared" si="51"/>
        <v>0</v>
      </c>
      <c r="R175" s="29">
        <f t="shared" si="52"/>
        <v>9674.0830018562319</v>
      </c>
      <c r="S175" s="29">
        <f t="shared" si="44"/>
        <v>9674.0830018562319</v>
      </c>
      <c r="T175" s="29">
        <f t="shared" si="53"/>
        <v>9674.0830018562319</v>
      </c>
      <c r="U175">
        <f t="shared" si="54"/>
        <v>0</v>
      </c>
      <c r="V175" s="29">
        <f t="shared" si="55"/>
        <v>9674.0830018562319</v>
      </c>
      <c r="W175" s="29">
        <f t="shared" si="45"/>
        <v>9674.0830018562319</v>
      </c>
      <c r="X175" s="29">
        <f t="shared" si="56"/>
        <v>9674.0830018562319</v>
      </c>
      <c r="Y175">
        <f t="shared" si="57"/>
        <v>0</v>
      </c>
    </row>
    <row r="176" spans="1:25" x14ac:dyDescent="0.25">
      <c r="A176" s="4" t="s">
        <v>996</v>
      </c>
      <c r="B176" s="7" t="s">
        <v>506</v>
      </c>
      <c r="C176" s="2" t="s">
        <v>997</v>
      </c>
      <c r="D176">
        <f>VLOOKUP(B176,'Model allocations'!$A$1:$L$316,3,FALSE)</f>
        <v>86723.333781519803</v>
      </c>
      <c r="E176" s="31">
        <f>VLOOKUP(B176,'Initial adjusted formula count'!$A$1:$P$316,12,FALSE)</f>
        <v>0.11883408071748899</v>
      </c>
      <c r="F176">
        <f>VLOOKUP(B176,'Model allocations'!$A$1:$L$316,8,FALSE)</f>
        <v>73714.833714291832</v>
      </c>
      <c r="G176" s="30">
        <f t="shared" si="46"/>
        <v>0.85</v>
      </c>
      <c r="H176">
        <f t="shared" si="47"/>
        <v>73714.833714291832</v>
      </c>
      <c r="I176">
        <f t="shared" si="39"/>
        <v>0</v>
      </c>
      <c r="J176">
        <f t="shared" si="40"/>
        <v>73714.833714291832</v>
      </c>
      <c r="K176">
        <f t="shared" si="41"/>
        <v>73671.867464430179</v>
      </c>
      <c r="L176">
        <f t="shared" si="48"/>
        <v>73671.867464430179</v>
      </c>
      <c r="M176">
        <f t="shared" si="42"/>
        <v>73714.833714291832</v>
      </c>
      <c r="N176" s="29">
        <f t="shared" si="49"/>
        <v>0</v>
      </c>
      <c r="O176" s="29">
        <f t="shared" si="43"/>
        <v>0</v>
      </c>
      <c r="P176" s="29">
        <f t="shared" si="50"/>
        <v>73714.833714291832</v>
      </c>
      <c r="Q176">
        <f t="shared" si="51"/>
        <v>0</v>
      </c>
      <c r="R176" s="29">
        <f t="shared" si="52"/>
        <v>0</v>
      </c>
      <c r="S176" s="29">
        <f t="shared" si="44"/>
        <v>0</v>
      </c>
      <c r="T176" s="29">
        <f t="shared" si="53"/>
        <v>73714.833714291832</v>
      </c>
      <c r="U176">
        <f t="shared" si="54"/>
        <v>0</v>
      </c>
      <c r="V176" s="29">
        <f t="shared" si="55"/>
        <v>0</v>
      </c>
      <c r="W176" s="29">
        <f t="shared" si="45"/>
        <v>0</v>
      </c>
      <c r="X176" s="29">
        <f t="shared" si="56"/>
        <v>73714.833714291832</v>
      </c>
      <c r="Y176">
        <f t="shared" si="57"/>
        <v>0</v>
      </c>
    </row>
    <row r="177" spans="1:25" x14ac:dyDescent="0.25">
      <c r="A177" s="4" t="s">
        <v>998</v>
      </c>
      <c r="B177" s="7" t="s">
        <v>508</v>
      </c>
      <c r="C177" s="2" t="s">
        <v>999</v>
      </c>
      <c r="D177">
        <f>VLOOKUP(B177,'Model allocations'!$A$1:$L$316,3,FALSE)</f>
        <v>170322.6408178985</v>
      </c>
      <c r="E177" s="31">
        <f>VLOOKUP(B177,'Initial adjusted formula count'!$A$1:$P$316,12,FALSE)</f>
        <v>0.162743091095189</v>
      </c>
      <c r="F177">
        <f>VLOOKUP(B177,'Model allocations'!$A$1:$L$316,8,FALSE)</f>
        <v>153375.54911614352</v>
      </c>
      <c r="G177" s="30">
        <f t="shared" si="46"/>
        <v>0.9</v>
      </c>
      <c r="H177">
        <f t="shared" si="47"/>
        <v>153290.37673610865</v>
      </c>
      <c r="I177">
        <f t="shared" si="39"/>
        <v>0</v>
      </c>
      <c r="J177">
        <f t="shared" si="40"/>
        <v>153375.54911614352</v>
      </c>
      <c r="K177">
        <f t="shared" si="41"/>
        <v>153286.15093352625</v>
      </c>
      <c r="L177">
        <f t="shared" si="48"/>
        <v>153286.15093352625</v>
      </c>
      <c r="M177">
        <f t="shared" si="42"/>
        <v>153290.37673610865</v>
      </c>
      <c r="N177" s="29">
        <f t="shared" si="49"/>
        <v>0</v>
      </c>
      <c r="O177" s="29">
        <f t="shared" si="43"/>
        <v>0</v>
      </c>
      <c r="P177" s="29">
        <f t="shared" si="50"/>
        <v>153290.37673610865</v>
      </c>
      <c r="Q177">
        <f t="shared" si="51"/>
        <v>0</v>
      </c>
      <c r="R177" s="29">
        <f t="shared" si="52"/>
        <v>0</v>
      </c>
      <c r="S177" s="29">
        <f t="shared" si="44"/>
        <v>0</v>
      </c>
      <c r="T177" s="29">
        <f t="shared" si="53"/>
        <v>153290.37673610865</v>
      </c>
      <c r="U177">
        <f t="shared" si="54"/>
        <v>0</v>
      </c>
      <c r="V177" s="29">
        <f t="shared" si="55"/>
        <v>0</v>
      </c>
      <c r="W177" s="29">
        <f t="shared" si="45"/>
        <v>0</v>
      </c>
      <c r="X177" s="29">
        <f t="shared" si="56"/>
        <v>153290.37673610865</v>
      </c>
      <c r="Y177">
        <f t="shared" si="57"/>
        <v>0</v>
      </c>
    </row>
    <row r="178" spans="1:25" x14ac:dyDescent="0.25">
      <c r="A178" s="4" t="s">
        <v>1000</v>
      </c>
      <c r="B178" s="7" t="s">
        <v>510</v>
      </c>
      <c r="C178" s="2" t="s">
        <v>1001</v>
      </c>
      <c r="D178">
        <f>VLOOKUP(B178,'Model allocations'!$A$1:$L$316,3,FALSE)</f>
        <v>152540.14959785176</v>
      </c>
      <c r="E178" s="31">
        <f>VLOOKUP(B178,'Initial adjusted formula count'!$A$1:$P$316,12,FALSE)</f>
        <v>0.17438271604938299</v>
      </c>
      <c r="F178">
        <f>VLOOKUP(B178,'Model allocations'!$A$1:$L$316,8,FALSE)</f>
        <v>137095.98763718284</v>
      </c>
      <c r="G178" s="30">
        <f t="shared" si="46"/>
        <v>0.9</v>
      </c>
      <c r="H178">
        <f t="shared" si="47"/>
        <v>137286.13463806658</v>
      </c>
      <c r="I178">
        <f t="shared" si="39"/>
        <v>137286.13463806658</v>
      </c>
      <c r="J178">
        <f t="shared" si="40"/>
        <v>0</v>
      </c>
      <c r="K178">
        <f t="shared" si="41"/>
        <v>0</v>
      </c>
      <c r="L178">
        <f t="shared" si="48"/>
        <v>137286.13463806658</v>
      </c>
      <c r="M178">
        <f t="shared" si="42"/>
        <v>0</v>
      </c>
      <c r="N178" s="29">
        <f t="shared" si="49"/>
        <v>0</v>
      </c>
      <c r="O178" s="29">
        <f t="shared" si="43"/>
        <v>0</v>
      </c>
      <c r="P178" s="29">
        <f t="shared" si="50"/>
        <v>137286.13463806658</v>
      </c>
      <c r="Q178">
        <f t="shared" si="51"/>
        <v>0</v>
      </c>
      <c r="R178" s="29">
        <f t="shared" si="52"/>
        <v>0</v>
      </c>
      <c r="S178" s="29">
        <f t="shared" si="44"/>
        <v>0</v>
      </c>
      <c r="T178" s="29">
        <f t="shared" si="53"/>
        <v>137286.13463806658</v>
      </c>
      <c r="U178">
        <f t="shared" si="54"/>
        <v>0</v>
      </c>
      <c r="V178" s="29">
        <f t="shared" si="55"/>
        <v>0</v>
      </c>
      <c r="W178" s="29">
        <f t="shared" si="45"/>
        <v>0</v>
      </c>
      <c r="X178" s="29">
        <f t="shared" si="56"/>
        <v>137286.13463806658</v>
      </c>
      <c r="Y178">
        <f t="shared" si="57"/>
        <v>0</v>
      </c>
    </row>
    <row r="179" spans="1:25" x14ac:dyDescent="0.25">
      <c r="A179" s="4" t="s">
        <v>1002</v>
      </c>
      <c r="B179" s="7" t="s">
        <v>287</v>
      </c>
      <c r="C179" s="2" t="s">
        <v>1003</v>
      </c>
      <c r="D179">
        <f>VLOOKUP(B179,'Model allocations'!$A$1:$L$316,3,FALSE)</f>
        <v>39104.68794288487</v>
      </c>
      <c r="E179" s="31">
        <f>VLOOKUP(B179,'Initial adjusted formula count'!$A$1:$P$316,12,FALSE)</f>
        <v>0.123376623376623</v>
      </c>
      <c r="F179">
        <f>VLOOKUP(B179,'Model allocations'!$A$1:$L$316,8,FALSE)</f>
        <v>33440.079063131161</v>
      </c>
      <c r="G179" s="30">
        <f t="shared" si="46"/>
        <v>0.85</v>
      </c>
      <c r="H179">
        <f t="shared" si="47"/>
        <v>33238.984751452139</v>
      </c>
      <c r="I179">
        <f t="shared" si="39"/>
        <v>0</v>
      </c>
      <c r="J179">
        <f t="shared" si="40"/>
        <v>33440.079063131161</v>
      </c>
      <c r="K179">
        <f t="shared" si="41"/>
        <v>33420.587805808536</v>
      </c>
      <c r="L179">
        <f t="shared" si="48"/>
        <v>33420.587805808536</v>
      </c>
      <c r="M179">
        <f t="shared" si="42"/>
        <v>0</v>
      </c>
      <c r="N179" s="29">
        <f t="shared" si="49"/>
        <v>33420.587805808536</v>
      </c>
      <c r="O179" s="29">
        <f t="shared" si="43"/>
        <v>33419.559460957877</v>
      </c>
      <c r="P179" s="29">
        <f t="shared" si="50"/>
        <v>33419.559460957877</v>
      </c>
      <c r="Q179">
        <f t="shared" si="51"/>
        <v>0</v>
      </c>
      <c r="R179" s="29">
        <f t="shared" si="52"/>
        <v>33419.559460957877</v>
      </c>
      <c r="S179" s="29">
        <f t="shared" si="44"/>
        <v>33419.559460957877</v>
      </c>
      <c r="T179" s="29">
        <f t="shared" si="53"/>
        <v>33419.559460957877</v>
      </c>
      <c r="U179">
        <f t="shared" si="54"/>
        <v>0</v>
      </c>
      <c r="V179" s="29">
        <f t="shared" si="55"/>
        <v>33419.559460957877</v>
      </c>
      <c r="W179" s="29">
        <f t="shared" si="45"/>
        <v>33419.559460957877</v>
      </c>
      <c r="X179" s="29">
        <f t="shared" si="56"/>
        <v>33419.559460957877</v>
      </c>
      <c r="Y179">
        <f t="shared" si="57"/>
        <v>0</v>
      </c>
    </row>
    <row r="180" spans="1:25" x14ac:dyDescent="0.25">
      <c r="A180" s="4" t="s">
        <v>1004</v>
      </c>
      <c r="B180" s="7" t="s">
        <v>512</v>
      </c>
      <c r="C180" s="2" t="s">
        <v>1005</v>
      </c>
      <c r="D180">
        <f>VLOOKUP(B180,'Model allocations'!$A$1:$L$316,3,FALSE)</f>
        <v>170586.05700778941</v>
      </c>
      <c r="E180" s="31">
        <f>VLOOKUP(B180,'Initial adjusted formula count'!$A$1:$P$316,12,FALSE)</f>
        <v>0.17566137566137599</v>
      </c>
      <c r="F180">
        <f>VLOOKUP(B180,'Model allocations'!$A$1:$L$316,8,FALSE)</f>
        <v>153527.45130701046</v>
      </c>
      <c r="G180" s="30">
        <f t="shared" si="46"/>
        <v>0.9</v>
      </c>
      <c r="H180">
        <f t="shared" si="47"/>
        <v>153527.45130701046</v>
      </c>
      <c r="I180">
        <f t="shared" si="39"/>
        <v>0</v>
      </c>
      <c r="J180">
        <f t="shared" si="40"/>
        <v>153527.45130701046</v>
      </c>
      <c r="K180">
        <f t="shared" si="41"/>
        <v>153437.9645849886</v>
      </c>
      <c r="L180">
        <f t="shared" si="48"/>
        <v>153437.9645849886</v>
      </c>
      <c r="M180">
        <f t="shared" si="42"/>
        <v>153527.45130701046</v>
      </c>
      <c r="N180" s="29">
        <f t="shared" si="49"/>
        <v>0</v>
      </c>
      <c r="O180" s="29">
        <f t="shared" si="43"/>
        <v>0</v>
      </c>
      <c r="P180" s="29">
        <f t="shared" si="50"/>
        <v>153527.45130701046</v>
      </c>
      <c r="Q180">
        <f t="shared" si="51"/>
        <v>0</v>
      </c>
      <c r="R180" s="29">
        <f t="shared" si="52"/>
        <v>0</v>
      </c>
      <c r="S180" s="29">
        <f t="shared" si="44"/>
        <v>0</v>
      </c>
      <c r="T180" s="29">
        <f t="shared" si="53"/>
        <v>153527.45130701046</v>
      </c>
      <c r="U180">
        <f t="shared" si="54"/>
        <v>0</v>
      </c>
      <c r="V180" s="29">
        <f t="shared" si="55"/>
        <v>0</v>
      </c>
      <c r="W180" s="29">
        <f t="shared" si="45"/>
        <v>0</v>
      </c>
      <c r="X180" s="29">
        <f t="shared" si="56"/>
        <v>153527.45130701046</v>
      </c>
      <c r="Y180">
        <f t="shared" si="57"/>
        <v>0</v>
      </c>
    </row>
    <row r="181" spans="1:25" x14ac:dyDescent="0.25">
      <c r="A181" s="4" t="s">
        <v>1006</v>
      </c>
      <c r="B181" s="7" t="s">
        <v>188</v>
      </c>
      <c r="C181" s="2" t="s">
        <v>1007</v>
      </c>
      <c r="D181">
        <f>VLOOKUP(B181,'Model allocations'!$A$1:$L$316,3,FALSE)</f>
        <v>797846.06728464679</v>
      </c>
      <c r="E181" s="31">
        <f>VLOOKUP(B181,'Initial adjusted formula count'!$A$1:$P$316,12,FALSE)</f>
        <v>7.7306255388447195E-2</v>
      </c>
      <c r="F181">
        <f>VLOOKUP(B181,'Model allocations'!$A$1:$L$316,8,FALSE)</f>
        <v>710161.67905123311</v>
      </c>
      <c r="G181" s="30">
        <f t="shared" si="46"/>
        <v>0.85</v>
      </c>
      <c r="H181">
        <f t="shared" si="47"/>
        <v>678169.15719194978</v>
      </c>
      <c r="I181">
        <f t="shared" si="39"/>
        <v>0</v>
      </c>
      <c r="J181">
        <f t="shared" si="40"/>
        <v>710161.67905123311</v>
      </c>
      <c r="K181">
        <f t="shared" si="41"/>
        <v>709747.74629703956</v>
      </c>
      <c r="L181">
        <f t="shared" si="48"/>
        <v>709747.74629703956</v>
      </c>
      <c r="M181">
        <f t="shared" si="42"/>
        <v>0</v>
      </c>
      <c r="N181" s="29">
        <f t="shared" si="49"/>
        <v>709747.74629703956</v>
      </c>
      <c r="O181" s="29">
        <f t="shared" si="43"/>
        <v>709725.90749981639</v>
      </c>
      <c r="P181" s="29">
        <f t="shared" si="50"/>
        <v>709725.90749981639</v>
      </c>
      <c r="Q181">
        <f t="shared" si="51"/>
        <v>0</v>
      </c>
      <c r="R181" s="29">
        <f t="shared" si="52"/>
        <v>709725.90749981639</v>
      </c>
      <c r="S181" s="29">
        <f t="shared" si="44"/>
        <v>709725.90749981639</v>
      </c>
      <c r="T181" s="29">
        <f t="shared" si="53"/>
        <v>709725.90749981639</v>
      </c>
      <c r="U181">
        <f t="shared" si="54"/>
        <v>0</v>
      </c>
      <c r="V181" s="29">
        <f t="shared" si="55"/>
        <v>709725.90749981639</v>
      </c>
      <c r="W181" s="29">
        <f t="shared" si="45"/>
        <v>709725.90749981639</v>
      </c>
      <c r="X181" s="29">
        <f t="shared" si="56"/>
        <v>709725.90749981639</v>
      </c>
      <c r="Y181">
        <f t="shared" si="57"/>
        <v>0</v>
      </c>
    </row>
    <row r="182" spans="1:25" x14ac:dyDescent="0.25">
      <c r="A182" s="4" t="s">
        <v>1008</v>
      </c>
      <c r="B182" s="7" t="s">
        <v>514</v>
      </c>
      <c r="C182" s="2" t="s">
        <v>1009</v>
      </c>
      <c r="D182">
        <f>VLOOKUP(B182,'Model allocations'!$A$1:$L$316,3,FALSE)</f>
        <v>341514.27470119431</v>
      </c>
      <c r="E182" s="31">
        <f>VLOOKUP(B182,'Initial adjusted formula count'!$A$1:$P$316,12,FALSE)</f>
        <v>0.18599679315873899</v>
      </c>
      <c r="F182">
        <f>VLOOKUP(B182,'Model allocations'!$A$1:$L$316,8,FALSE)</f>
        <v>307533.62654410402</v>
      </c>
      <c r="G182" s="30">
        <f t="shared" si="46"/>
        <v>0.9</v>
      </c>
      <c r="H182">
        <f t="shared" si="47"/>
        <v>307362.84723107488</v>
      </c>
      <c r="I182">
        <f t="shared" si="39"/>
        <v>0</v>
      </c>
      <c r="J182">
        <f t="shared" si="40"/>
        <v>307533.62654410402</v>
      </c>
      <c r="K182">
        <f t="shared" si="41"/>
        <v>307354.37406569289</v>
      </c>
      <c r="L182">
        <f t="shared" si="48"/>
        <v>307354.37406569289</v>
      </c>
      <c r="M182">
        <f t="shared" si="42"/>
        <v>307362.84723107488</v>
      </c>
      <c r="N182" s="29">
        <f t="shared" si="49"/>
        <v>0</v>
      </c>
      <c r="O182" s="29">
        <f t="shared" si="43"/>
        <v>0</v>
      </c>
      <c r="P182" s="29">
        <f t="shared" si="50"/>
        <v>307362.84723107488</v>
      </c>
      <c r="Q182">
        <f t="shared" si="51"/>
        <v>0</v>
      </c>
      <c r="R182" s="29">
        <f t="shared" si="52"/>
        <v>0</v>
      </c>
      <c r="S182" s="29">
        <f t="shared" si="44"/>
        <v>0</v>
      </c>
      <c r="T182" s="29">
        <f t="shared" si="53"/>
        <v>307362.84723107488</v>
      </c>
      <c r="U182">
        <f t="shared" si="54"/>
        <v>0</v>
      </c>
      <c r="V182" s="29">
        <f t="shared" si="55"/>
        <v>0</v>
      </c>
      <c r="W182" s="29">
        <f t="shared" si="45"/>
        <v>0</v>
      </c>
      <c r="X182" s="29">
        <f t="shared" si="56"/>
        <v>307362.84723107488</v>
      </c>
      <c r="Y182">
        <f t="shared" si="57"/>
        <v>0</v>
      </c>
    </row>
    <row r="183" spans="1:25" x14ac:dyDescent="0.25">
      <c r="A183" s="4" t="s">
        <v>1010</v>
      </c>
      <c r="B183" s="7" t="s">
        <v>516</v>
      </c>
      <c r="C183" s="2" t="s">
        <v>1011</v>
      </c>
      <c r="D183">
        <f>VLOOKUP(B183,'Model allocations'!$A$1:$L$316,3,FALSE)</f>
        <v>101672.18865150066</v>
      </c>
      <c r="E183" s="31">
        <f>VLOOKUP(B183,'Initial adjusted formula count'!$A$1:$P$316,12,FALSE)</f>
        <v>0.104275286757039</v>
      </c>
      <c r="F183">
        <f>VLOOKUP(B183,'Model allocations'!$A$1:$L$316,8,FALSE)</f>
        <v>88000.208060871533</v>
      </c>
      <c r="G183" s="30">
        <f t="shared" si="46"/>
        <v>0.85</v>
      </c>
      <c r="H183">
        <f t="shared" si="47"/>
        <v>86421.360353775555</v>
      </c>
      <c r="I183">
        <f t="shared" si="39"/>
        <v>0</v>
      </c>
      <c r="J183">
        <f t="shared" si="40"/>
        <v>88000.208060871533</v>
      </c>
      <c r="K183">
        <f t="shared" si="41"/>
        <v>87948.915278443586</v>
      </c>
      <c r="L183">
        <f t="shared" si="48"/>
        <v>87948.915278443586</v>
      </c>
      <c r="M183">
        <f t="shared" si="42"/>
        <v>0</v>
      </c>
      <c r="N183" s="29">
        <f t="shared" si="49"/>
        <v>87948.915278443586</v>
      </c>
      <c r="O183" s="29">
        <f t="shared" si="43"/>
        <v>87946.209107783958</v>
      </c>
      <c r="P183" s="29">
        <f t="shared" si="50"/>
        <v>87946.209107783958</v>
      </c>
      <c r="Q183">
        <f t="shared" si="51"/>
        <v>0</v>
      </c>
      <c r="R183" s="29">
        <f t="shared" si="52"/>
        <v>87946.209107783958</v>
      </c>
      <c r="S183" s="29">
        <f t="shared" si="44"/>
        <v>87946.209107783958</v>
      </c>
      <c r="T183" s="29">
        <f t="shared" si="53"/>
        <v>87946.209107783958</v>
      </c>
      <c r="U183">
        <f t="shared" si="54"/>
        <v>0</v>
      </c>
      <c r="V183" s="29">
        <f t="shared" si="55"/>
        <v>87946.209107783958</v>
      </c>
      <c r="W183" s="29">
        <f t="shared" si="45"/>
        <v>87946.209107783958</v>
      </c>
      <c r="X183" s="29">
        <f t="shared" si="56"/>
        <v>87946.209107783958</v>
      </c>
      <c r="Y183">
        <f t="shared" si="57"/>
        <v>0</v>
      </c>
    </row>
    <row r="184" spans="1:25" x14ac:dyDescent="0.25">
      <c r="A184" s="4" t="s">
        <v>1012</v>
      </c>
      <c r="B184" s="7" t="s">
        <v>518</v>
      </c>
      <c r="C184" s="2" t="s">
        <v>1013</v>
      </c>
      <c r="D184">
        <f>VLOOKUP(B184,'Model allocations'!$A$1:$L$316,3,FALSE)</f>
        <v>20855.833569538583</v>
      </c>
      <c r="E184" s="31">
        <f>VLOOKUP(B184,'Initial adjusted formula count'!$A$1:$P$316,12,FALSE)</f>
        <v>0.29032258064516098</v>
      </c>
      <c r="F184">
        <f>VLOOKUP(B184,'Model allocations'!$A$1:$L$316,8,FALSE)</f>
        <v>18780.679483609405</v>
      </c>
      <c r="G184" s="30">
        <f t="shared" si="46"/>
        <v>0.9</v>
      </c>
      <c r="H184">
        <f t="shared" si="47"/>
        <v>18770.250212584724</v>
      </c>
      <c r="I184">
        <f t="shared" si="39"/>
        <v>0</v>
      </c>
      <c r="J184">
        <f t="shared" si="40"/>
        <v>18780.679483609405</v>
      </c>
      <c r="K184">
        <f t="shared" si="41"/>
        <v>18769.732767370559</v>
      </c>
      <c r="L184">
        <f t="shared" si="48"/>
        <v>18769.732767370559</v>
      </c>
      <c r="M184">
        <f t="shared" si="42"/>
        <v>18770.250212584724</v>
      </c>
      <c r="N184" s="29">
        <f t="shared" si="49"/>
        <v>0</v>
      </c>
      <c r="O184" s="29">
        <f t="shared" si="43"/>
        <v>0</v>
      </c>
      <c r="P184" s="29">
        <f t="shared" si="50"/>
        <v>18770.250212584724</v>
      </c>
      <c r="Q184">
        <f t="shared" si="51"/>
        <v>0</v>
      </c>
      <c r="R184" s="29">
        <f t="shared" si="52"/>
        <v>0</v>
      </c>
      <c r="S184" s="29">
        <f t="shared" si="44"/>
        <v>0</v>
      </c>
      <c r="T184" s="29">
        <f t="shared" si="53"/>
        <v>18770.250212584724</v>
      </c>
      <c r="U184">
        <f t="shared" si="54"/>
        <v>0</v>
      </c>
      <c r="V184" s="29">
        <f t="shared" si="55"/>
        <v>0</v>
      </c>
      <c r="W184" s="29">
        <f t="shared" si="45"/>
        <v>0</v>
      </c>
      <c r="X184" s="29">
        <f t="shared" si="56"/>
        <v>18770.250212584724</v>
      </c>
      <c r="Y184">
        <f t="shared" si="57"/>
        <v>0</v>
      </c>
    </row>
    <row r="185" spans="1:25" x14ac:dyDescent="0.25">
      <c r="A185" s="4" t="s">
        <v>1014</v>
      </c>
      <c r="B185" s="7" t="s">
        <v>520</v>
      </c>
      <c r="C185" s="2" t="s">
        <v>1015</v>
      </c>
      <c r="D185">
        <f>VLOOKUP(B185,'Model allocations'!$A$1:$L$316,3,FALSE)</f>
        <v>72995.41749338503</v>
      </c>
      <c r="E185" s="31">
        <f>VLOOKUP(B185,'Initial adjusted formula count'!$A$1:$P$316,12,FALSE)</f>
        <v>0.123674911660777</v>
      </c>
      <c r="F185">
        <f>VLOOKUP(B185,'Model allocations'!$A$1:$L$316,8,FALSE)</f>
        <v>62080.579404153294</v>
      </c>
      <c r="G185" s="30">
        <f t="shared" si="46"/>
        <v>0.85</v>
      </c>
      <c r="H185">
        <f t="shared" si="47"/>
        <v>62046.104869377275</v>
      </c>
      <c r="I185">
        <f t="shared" si="39"/>
        <v>0</v>
      </c>
      <c r="J185">
        <f t="shared" si="40"/>
        <v>62080.579404153294</v>
      </c>
      <c r="K185">
        <f t="shared" si="41"/>
        <v>62044.394425474879</v>
      </c>
      <c r="L185">
        <f t="shared" si="48"/>
        <v>62044.394425474879</v>
      </c>
      <c r="M185">
        <f t="shared" si="42"/>
        <v>62046.104869377275</v>
      </c>
      <c r="N185" s="29">
        <f t="shared" si="49"/>
        <v>0</v>
      </c>
      <c r="O185" s="29">
        <f t="shared" si="43"/>
        <v>0</v>
      </c>
      <c r="P185" s="29">
        <f t="shared" si="50"/>
        <v>62046.104869377275</v>
      </c>
      <c r="Q185">
        <f t="shared" si="51"/>
        <v>0</v>
      </c>
      <c r="R185" s="29">
        <f t="shared" si="52"/>
        <v>0</v>
      </c>
      <c r="S185" s="29">
        <f t="shared" si="44"/>
        <v>0</v>
      </c>
      <c r="T185" s="29">
        <f t="shared" si="53"/>
        <v>62046.104869377275</v>
      </c>
      <c r="U185">
        <f t="shared" si="54"/>
        <v>0</v>
      </c>
      <c r="V185" s="29">
        <f t="shared" si="55"/>
        <v>0</v>
      </c>
      <c r="W185" s="29">
        <f t="shared" si="45"/>
        <v>0</v>
      </c>
      <c r="X185" s="29">
        <f t="shared" si="56"/>
        <v>62046.104869377275</v>
      </c>
      <c r="Y185">
        <f t="shared" si="57"/>
        <v>0</v>
      </c>
    </row>
    <row r="186" spans="1:25" x14ac:dyDescent="0.25">
      <c r="A186" s="4" t="s">
        <v>1016</v>
      </c>
      <c r="B186" s="7" t="s">
        <v>289</v>
      </c>
      <c r="C186" s="2" t="s">
        <v>1017</v>
      </c>
      <c r="D186">
        <f>VLOOKUP(B186,'Model allocations'!$A$1:$L$316,3,FALSE)</f>
        <v>16088.554977325603</v>
      </c>
      <c r="E186" s="31">
        <f>VLOOKUP(B186,'Initial adjusted formula count'!$A$1:$P$316,12,FALSE)</f>
        <v>5.0847457627118599E-2</v>
      </c>
      <c r="F186">
        <f>VLOOKUP(B186,'Model allocations'!$A$1:$L$316,8,FALSE)</f>
        <v>0</v>
      </c>
      <c r="G186" s="30">
        <f t="shared" si="46"/>
        <v>0.85</v>
      </c>
      <c r="H186">
        <f t="shared" si="47"/>
        <v>0</v>
      </c>
      <c r="I186">
        <f t="shared" si="39"/>
        <v>0</v>
      </c>
      <c r="J186">
        <f t="shared" si="40"/>
        <v>0</v>
      </c>
      <c r="K186">
        <f t="shared" si="41"/>
        <v>0</v>
      </c>
      <c r="L186">
        <f t="shared" si="48"/>
        <v>0</v>
      </c>
      <c r="M186">
        <f t="shared" si="42"/>
        <v>0</v>
      </c>
      <c r="N186" s="29">
        <f t="shared" si="49"/>
        <v>0</v>
      </c>
      <c r="O186" s="29">
        <f t="shared" si="43"/>
        <v>0</v>
      </c>
      <c r="P186" s="29">
        <f t="shared" si="50"/>
        <v>0</v>
      </c>
      <c r="Q186">
        <f t="shared" si="51"/>
        <v>0</v>
      </c>
      <c r="R186" s="29">
        <f t="shared" si="52"/>
        <v>0</v>
      </c>
      <c r="S186" s="29">
        <f t="shared" si="44"/>
        <v>0</v>
      </c>
      <c r="T186" s="29">
        <f t="shared" si="53"/>
        <v>0</v>
      </c>
      <c r="U186">
        <f t="shared" si="54"/>
        <v>0</v>
      </c>
      <c r="V186" s="29">
        <f t="shared" si="55"/>
        <v>0</v>
      </c>
      <c r="W186" s="29">
        <f t="shared" si="45"/>
        <v>0</v>
      </c>
      <c r="X186" s="29">
        <f t="shared" si="56"/>
        <v>0</v>
      </c>
      <c r="Y186">
        <f t="shared" si="57"/>
        <v>0</v>
      </c>
    </row>
    <row r="187" spans="1:25" x14ac:dyDescent="0.25">
      <c r="A187" s="4" t="s">
        <v>1018</v>
      </c>
      <c r="B187" s="7" t="s">
        <v>522</v>
      </c>
      <c r="C187" s="2" t="s">
        <v>1019</v>
      </c>
      <c r="D187">
        <f>VLOOKUP(B187,'Model allocations'!$A$1:$L$316,3,FALSE)</f>
        <v>39104.68794288487</v>
      </c>
      <c r="E187" s="31">
        <f>VLOOKUP(B187,'Initial adjusted formula count'!$A$1:$P$316,12,FALSE)</f>
        <v>0.170542635658915</v>
      </c>
      <c r="F187">
        <f>VLOOKUP(B187,'Model allocations'!$A$1:$L$316,8,FALSE)</f>
        <v>35213.774031767643</v>
      </c>
      <c r="G187" s="30">
        <f t="shared" si="46"/>
        <v>0.9</v>
      </c>
      <c r="H187">
        <f t="shared" si="47"/>
        <v>35194.219148596385</v>
      </c>
      <c r="I187">
        <f t="shared" si="39"/>
        <v>0</v>
      </c>
      <c r="J187">
        <f t="shared" si="40"/>
        <v>35213.774031767643</v>
      </c>
      <c r="K187">
        <f t="shared" si="41"/>
        <v>35193.248938819801</v>
      </c>
      <c r="L187">
        <f t="shared" si="48"/>
        <v>35193.248938819801</v>
      </c>
      <c r="M187">
        <f t="shared" si="42"/>
        <v>35194.219148596385</v>
      </c>
      <c r="N187" s="29">
        <f t="shared" si="49"/>
        <v>0</v>
      </c>
      <c r="O187" s="29">
        <f t="shared" si="43"/>
        <v>0</v>
      </c>
      <c r="P187" s="29">
        <f t="shared" si="50"/>
        <v>35194.219148596385</v>
      </c>
      <c r="Q187">
        <f t="shared" si="51"/>
        <v>0</v>
      </c>
      <c r="R187" s="29">
        <f t="shared" si="52"/>
        <v>0</v>
      </c>
      <c r="S187" s="29">
        <f t="shared" si="44"/>
        <v>0</v>
      </c>
      <c r="T187" s="29">
        <f t="shared" si="53"/>
        <v>35194.219148596385</v>
      </c>
      <c r="U187">
        <f t="shared" si="54"/>
        <v>0</v>
      </c>
      <c r="V187" s="29">
        <f t="shared" si="55"/>
        <v>0</v>
      </c>
      <c r="W187" s="29">
        <f t="shared" si="45"/>
        <v>0</v>
      </c>
      <c r="X187" s="29">
        <f t="shared" si="56"/>
        <v>35194.219148596385</v>
      </c>
      <c r="Y187">
        <f t="shared" si="57"/>
        <v>0</v>
      </c>
    </row>
    <row r="188" spans="1:25" x14ac:dyDescent="0.25">
      <c r="A188" s="4" t="s">
        <v>1020</v>
      </c>
      <c r="B188" s="7" t="s">
        <v>524</v>
      </c>
      <c r="C188" s="2" t="s">
        <v>1021</v>
      </c>
      <c r="D188">
        <f>VLOOKUP(B188,'Model allocations'!$A$1:$L$316,3,FALSE)</f>
        <v>43473.871671297296</v>
      </c>
      <c r="E188" s="31">
        <f>VLOOKUP(B188,'Initial adjusted formula count'!$A$1:$P$316,12,FALSE)</f>
        <v>6.15384615384615E-2</v>
      </c>
      <c r="F188">
        <f>VLOOKUP(B188,'Model allocations'!$A$1:$L$316,8,FALSE)</f>
        <v>36952.790920602703</v>
      </c>
      <c r="G188" s="30">
        <f t="shared" si="46"/>
        <v>0.85</v>
      </c>
      <c r="H188">
        <f t="shared" si="47"/>
        <v>36952.790920602703</v>
      </c>
      <c r="I188">
        <f t="shared" si="39"/>
        <v>0</v>
      </c>
      <c r="J188">
        <f t="shared" si="40"/>
        <v>36952.790920602703</v>
      </c>
      <c r="K188">
        <f t="shared" si="41"/>
        <v>36931.252204881879</v>
      </c>
      <c r="L188">
        <f t="shared" si="48"/>
        <v>36931.252204881879</v>
      </c>
      <c r="M188">
        <f t="shared" si="42"/>
        <v>36952.790920602703</v>
      </c>
      <c r="N188" s="29">
        <f t="shared" si="49"/>
        <v>0</v>
      </c>
      <c r="O188" s="29">
        <f t="shared" si="43"/>
        <v>0</v>
      </c>
      <c r="P188" s="29">
        <f t="shared" si="50"/>
        <v>36952.790920602703</v>
      </c>
      <c r="Q188">
        <f t="shared" si="51"/>
        <v>0</v>
      </c>
      <c r="R188" s="29">
        <f t="shared" si="52"/>
        <v>0</v>
      </c>
      <c r="S188" s="29">
        <f t="shared" si="44"/>
        <v>0</v>
      </c>
      <c r="T188" s="29">
        <f t="shared" si="53"/>
        <v>36952.790920602703</v>
      </c>
      <c r="U188">
        <f t="shared" si="54"/>
        <v>0</v>
      </c>
      <c r="V188" s="29">
        <f t="shared" si="55"/>
        <v>0</v>
      </c>
      <c r="W188" s="29">
        <f t="shared" si="45"/>
        <v>0</v>
      </c>
      <c r="X188" s="29">
        <f t="shared" si="56"/>
        <v>36952.790920602703</v>
      </c>
      <c r="Y188">
        <f t="shared" si="57"/>
        <v>0</v>
      </c>
    </row>
    <row r="189" spans="1:25" x14ac:dyDescent="0.25">
      <c r="A189" s="4" t="s">
        <v>1022</v>
      </c>
      <c r="B189" s="7" t="s">
        <v>526</v>
      </c>
      <c r="C189" s="2" t="s">
        <v>1023</v>
      </c>
      <c r="D189">
        <f>VLOOKUP(B189,'Model allocations'!$A$1:$L$316,3,FALSE)</f>
        <v>199529.33695055248</v>
      </c>
      <c r="E189" s="31">
        <f>VLOOKUP(B189,'Initial adjusted formula count'!$A$1:$P$316,12,FALSE)</f>
        <v>0.19738751814223501</v>
      </c>
      <c r="F189">
        <f>VLOOKUP(B189,'Model allocations'!$A$1:$L$316,8,FALSE)</f>
        <v>179576.40325549722</v>
      </c>
      <c r="G189" s="30">
        <f t="shared" si="46"/>
        <v>0.9</v>
      </c>
      <c r="H189">
        <f t="shared" si="47"/>
        <v>179576.40325549722</v>
      </c>
      <c r="I189">
        <f t="shared" si="39"/>
        <v>0</v>
      </c>
      <c r="J189">
        <f t="shared" si="40"/>
        <v>179576.40325549722</v>
      </c>
      <c r="K189">
        <f t="shared" si="41"/>
        <v>179471.7333509101</v>
      </c>
      <c r="L189">
        <f t="shared" si="48"/>
        <v>179471.7333509101</v>
      </c>
      <c r="M189">
        <f t="shared" si="42"/>
        <v>179576.40325549722</v>
      </c>
      <c r="N189" s="29">
        <f t="shared" si="49"/>
        <v>0</v>
      </c>
      <c r="O189" s="29">
        <f t="shared" si="43"/>
        <v>0</v>
      </c>
      <c r="P189" s="29">
        <f t="shared" si="50"/>
        <v>179576.40325549722</v>
      </c>
      <c r="Q189">
        <f t="shared" si="51"/>
        <v>0</v>
      </c>
      <c r="R189" s="29">
        <f t="shared" si="52"/>
        <v>0</v>
      </c>
      <c r="S189" s="29">
        <f t="shared" si="44"/>
        <v>0</v>
      </c>
      <c r="T189" s="29">
        <f t="shared" si="53"/>
        <v>179576.40325549722</v>
      </c>
      <c r="U189">
        <f t="shared" si="54"/>
        <v>0</v>
      </c>
      <c r="V189" s="29">
        <f t="shared" si="55"/>
        <v>0</v>
      </c>
      <c r="W189" s="29">
        <f t="shared" si="45"/>
        <v>0</v>
      </c>
      <c r="X189" s="29">
        <f t="shared" si="56"/>
        <v>179576.40325549722</v>
      </c>
      <c r="Y189">
        <f t="shared" si="57"/>
        <v>0</v>
      </c>
    </row>
    <row r="190" spans="1:25" x14ac:dyDescent="0.25">
      <c r="A190" s="4" t="s">
        <v>1024</v>
      </c>
      <c r="B190" s="7" t="s">
        <v>291</v>
      </c>
      <c r="C190" s="2" t="s">
        <v>1025</v>
      </c>
      <c r="D190">
        <f>VLOOKUP(B190,'Model allocations'!$A$1:$L$316,3,FALSE)</f>
        <v>146859.82805216758</v>
      </c>
      <c r="E190" s="31">
        <f>VLOOKUP(B190,'Initial adjusted formula count'!$A$1:$P$316,12,FALSE)</f>
        <v>6.4693317058285002E-2</v>
      </c>
      <c r="F190">
        <f>VLOOKUP(B190,'Model allocations'!$A$1:$L$316,8,FALSE)</f>
        <v>186560.44108904761</v>
      </c>
      <c r="G190" s="30">
        <f t="shared" si="46"/>
        <v>0.85</v>
      </c>
      <c r="H190">
        <f t="shared" si="47"/>
        <v>124830.85384434243</v>
      </c>
      <c r="I190">
        <f t="shared" si="39"/>
        <v>0</v>
      </c>
      <c r="J190">
        <f t="shared" si="40"/>
        <v>186560.44108904761</v>
      </c>
      <c r="K190">
        <f t="shared" si="41"/>
        <v>186451.70039030034</v>
      </c>
      <c r="L190">
        <f t="shared" si="48"/>
        <v>186451.70039030034</v>
      </c>
      <c r="M190">
        <f t="shared" si="42"/>
        <v>0</v>
      </c>
      <c r="N190" s="29">
        <f t="shared" si="49"/>
        <v>186451.70039030034</v>
      </c>
      <c r="O190" s="29">
        <f t="shared" si="43"/>
        <v>186445.96330850193</v>
      </c>
      <c r="P190" s="29">
        <f t="shared" si="50"/>
        <v>186445.96330850193</v>
      </c>
      <c r="Q190">
        <f t="shared" si="51"/>
        <v>0</v>
      </c>
      <c r="R190" s="29">
        <f t="shared" si="52"/>
        <v>186445.96330850193</v>
      </c>
      <c r="S190" s="29">
        <f t="shared" si="44"/>
        <v>186445.96330850193</v>
      </c>
      <c r="T190" s="29">
        <f t="shared" si="53"/>
        <v>186445.96330850193</v>
      </c>
      <c r="U190">
        <f t="shared" si="54"/>
        <v>0</v>
      </c>
      <c r="V190" s="29">
        <f t="shared" si="55"/>
        <v>186445.96330850193</v>
      </c>
      <c r="W190" s="29">
        <f t="shared" si="45"/>
        <v>186445.96330850193</v>
      </c>
      <c r="X190" s="29">
        <f t="shared" si="56"/>
        <v>186445.96330850193</v>
      </c>
      <c r="Y190">
        <f t="shared" si="57"/>
        <v>0</v>
      </c>
    </row>
    <row r="191" spans="1:25" x14ac:dyDescent="0.25">
      <c r="A191" s="4" t="s">
        <v>1026</v>
      </c>
      <c r="B191" s="7" t="s">
        <v>528</v>
      </c>
      <c r="C191" s="2" t="s">
        <v>1027</v>
      </c>
      <c r="D191">
        <f>VLOOKUP(B191,'Model allocations'!$A$1:$L$316,3,FALSE)</f>
        <v>784700.73805388925</v>
      </c>
      <c r="E191" s="31">
        <f>VLOOKUP(B191,'Initial adjusted formula count'!$A$1:$P$316,12,FALSE)</f>
        <v>0.20232609172701299</v>
      </c>
      <c r="F191">
        <f>VLOOKUP(B191,'Model allocations'!$A$1:$L$316,8,FALSE)</f>
        <v>811361.91832123534</v>
      </c>
      <c r="G191" s="30">
        <f t="shared" si="46"/>
        <v>0.9</v>
      </c>
      <c r="H191">
        <f t="shared" si="47"/>
        <v>706230.66424850037</v>
      </c>
      <c r="I191">
        <f t="shared" si="39"/>
        <v>0</v>
      </c>
      <c r="J191">
        <f t="shared" si="40"/>
        <v>811361.91832123534</v>
      </c>
      <c r="K191">
        <f t="shared" si="41"/>
        <v>810888.99886724958</v>
      </c>
      <c r="L191">
        <f t="shared" si="48"/>
        <v>810888.99886724958</v>
      </c>
      <c r="M191">
        <f t="shared" si="42"/>
        <v>0</v>
      </c>
      <c r="N191" s="29">
        <f t="shared" si="49"/>
        <v>810888.99886724958</v>
      </c>
      <c r="O191" s="29">
        <f t="shared" si="43"/>
        <v>810864.04797376797</v>
      </c>
      <c r="P191" s="29">
        <f t="shared" si="50"/>
        <v>810864.04797376797</v>
      </c>
      <c r="Q191">
        <f t="shared" si="51"/>
        <v>0</v>
      </c>
      <c r="R191" s="29">
        <f t="shared" si="52"/>
        <v>810864.04797376797</v>
      </c>
      <c r="S191" s="29">
        <f t="shared" si="44"/>
        <v>810864.04797376797</v>
      </c>
      <c r="T191" s="29">
        <f t="shared" si="53"/>
        <v>810864.04797376797</v>
      </c>
      <c r="U191">
        <f t="shared" si="54"/>
        <v>0</v>
      </c>
      <c r="V191" s="29">
        <f t="shared" si="55"/>
        <v>810864.04797376797</v>
      </c>
      <c r="W191" s="29">
        <f t="shared" si="45"/>
        <v>810864.04797376797</v>
      </c>
      <c r="X191" s="29">
        <f t="shared" si="56"/>
        <v>810864.04797376797</v>
      </c>
      <c r="Y191">
        <f t="shared" si="57"/>
        <v>0</v>
      </c>
    </row>
    <row r="192" spans="1:25" x14ac:dyDescent="0.25">
      <c r="A192" s="4" t="s">
        <v>1028</v>
      </c>
      <c r="B192" s="7" t="s">
        <v>530</v>
      </c>
      <c r="C192" s="2" t="s">
        <v>1029</v>
      </c>
      <c r="D192">
        <f>VLOOKUP(B192,'Model allocations'!$A$1:$L$316,3,FALSE)</f>
        <v>0</v>
      </c>
      <c r="E192" s="31">
        <f>VLOOKUP(B192,'Initial adjusted formula count'!$A$1:$P$316,12,FALSE)</f>
        <v>8.6956521739130405E-2</v>
      </c>
      <c r="F192">
        <f>VLOOKUP(B192,'Model allocations'!$A$1:$L$316,8,FALSE)</f>
        <v>0</v>
      </c>
      <c r="G192" s="30">
        <f t="shared" si="46"/>
        <v>0.85</v>
      </c>
      <c r="H192">
        <f t="shared" si="47"/>
        <v>0</v>
      </c>
      <c r="I192">
        <f t="shared" si="39"/>
        <v>0</v>
      </c>
      <c r="J192">
        <f t="shared" si="40"/>
        <v>0</v>
      </c>
      <c r="K192">
        <f t="shared" si="41"/>
        <v>0</v>
      </c>
      <c r="L192">
        <f t="shared" si="48"/>
        <v>0</v>
      </c>
      <c r="M192">
        <f t="shared" si="42"/>
        <v>0</v>
      </c>
      <c r="N192" s="29">
        <f t="shared" si="49"/>
        <v>0</v>
      </c>
      <c r="O192" s="29">
        <f t="shared" si="43"/>
        <v>0</v>
      </c>
      <c r="P192" s="29">
        <f t="shared" si="50"/>
        <v>0</v>
      </c>
      <c r="Q192">
        <f t="shared" si="51"/>
        <v>0</v>
      </c>
      <c r="R192" s="29">
        <f t="shared" si="52"/>
        <v>0</v>
      </c>
      <c r="S192" s="29">
        <f t="shared" si="44"/>
        <v>0</v>
      </c>
      <c r="T192" s="29">
        <f t="shared" si="53"/>
        <v>0</v>
      </c>
      <c r="U192">
        <f t="shared" si="54"/>
        <v>0</v>
      </c>
      <c r="V192" s="29">
        <f t="shared" si="55"/>
        <v>0</v>
      </c>
      <c r="W192" s="29">
        <f t="shared" si="45"/>
        <v>0</v>
      </c>
      <c r="X192" s="29">
        <f t="shared" si="56"/>
        <v>0</v>
      </c>
      <c r="Y192">
        <f t="shared" si="57"/>
        <v>0</v>
      </c>
    </row>
    <row r="193" spans="1:25" x14ac:dyDescent="0.25">
      <c r="A193" s="4" t="s">
        <v>1030</v>
      </c>
      <c r="B193" s="7" t="s">
        <v>532</v>
      </c>
      <c r="C193" s="2" t="s">
        <v>1031</v>
      </c>
      <c r="D193">
        <f>VLOOKUP(B193,'Model allocations'!$A$1:$L$316,3,FALSE)</f>
        <v>13425.578566093693</v>
      </c>
      <c r="E193" s="31">
        <f>VLOOKUP(B193,'Initial adjusted formula count'!$A$1:$P$316,12,FALSE)</f>
        <v>5.6680161943319797E-2</v>
      </c>
      <c r="F193">
        <f>VLOOKUP(B193,'Model allocations'!$A$1:$L$316,8,FALSE)</f>
        <v>12320.029128522014</v>
      </c>
      <c r="G193" s="30">
        <f t="shared" si="46"/>
        <v>0.85</v>
      </c>
      <c r="H193">
        <f t="shared" si="47"/>
        <v>11411.741781179639</v>
      </c>
      <c r="I193">
        <f t="shared" si="39"/>
        <v>0</v>
      </c>
      <c r="J193">
        <f t="shared" si="40"/>
        <v>12320.029128522014</v>
      </c>
      <c r="K193">
        <f t="shared" si="41"/>
        <v>12312.848138982101</v>
      </c>
      <c r="L193">
        <f t="shared" si="48"/>
        <v>12312.848138982101</v>
      </c>
      <c r="M193">
        <f t="shared" si="42"/>
        <v>0</v>
      </c>
      <c r="N193" s="29">
        <f t="shared" si="49"/>
        <v>12312.848138982101</v>
      </c>
      <c r="O193" s="29">
        <f t="shared" si="43"/>
        <v>12312.469275089752</v>
      </c>
      <c r="P193" s="29">
        <f t="shared" si="50"/>
        <v>12312.469275089752</v>
      </c>
      <c r="Q193">
        <f t="shared" si="51"/>
        <v>0</v>
      </c>
      <c r="R193" s="29">
        <f t="shared" si="52"/>
        <v>12312.469275089752</v>
      </c>
      <c r="S193" s="29">
        <f t="shared" si="44"/>
        <v>12312.469275089752</v>
      </c>
      <c r="T193" s="29">
        <f t="shared" si="53"/>
        <v>12312.469275089752</v>
      </c>
      <c r="U193">
        <f t="shared" si="54"/>
        <v>0</v>
      </c>
      <c r="V193" s="29">
        <f t="shared" si="55"/>
        <v>12312.469275089752</v>
      </c>
      <c r="W193" s="29">
        <f t="shared" si="45"/>
        <v>12312.469275089752</v>
      </c>
      <c r="X193" s="29">
        <f t="shared" si="56"/>
        <v>12312.469275089752</v>
      </c>
      <c r="Y193">
        <f t="shared" si="57"/>
        <v>0</v>
      </c>
    </row>
    <row r="194" spans="1:25" x14ac:dyDescent="0.25">
      <c r="A194" s="4" t="s">
        <v>1032</v>
      </c>
      <c r="B194" s="7" t="s">
        <v>534</v>
      </c>
      <c r="C194" s="2" t="s">
        <v>1033</v>
      </c>
      <c r="D194">
        <f>VLOOKUP(B194,'Model allocations'!$A$1:$L$316,3,FALSE)</f>
        <v>2773825.8647486325</v>
      </c>
      <c r="E194" s="31">
        <f>VLOOKUP(B194,'Initial adjusted formula count'!$A$1:$P$316,12,FALSE)</f>
        <v>0.177343788528875</v>
      </c>
      <c r="F194">
        <f>VLOOKUP(B194,'Model allocations'!$A$1:$L$316,8,FALSE)</f>
        <v>3164487.4818689381</v>
      </c>
      <c r="G194" s="30">
        <f t="shared" si="46"/>
        <v>0.9</v>
      </c>
      <c r="H194">
        <f t="shared" si="47"/>
        <v>2496443.2782737692</v>
      </c>
      <c r="I194">
        <f t="shared" si="39"/>
        <v>0</v>
      </c>
      <c r="J194">
        <f t="shared" si="40"/>
        <v>3164487.4818689381</v>
      </c>
      <c r="K194">
        <f t="shared" si="41"/>
        <v>3162642.9934128285</v>
      </c>
      <c r="L194">
        <f t="shared" si="48"/>
        <v>3162642.9934128285</v>
      </c>
      <c r="M194">
        <f t="shared" si="42"/>
        <v>0</v>
      </c>
      <c r="N194" s="29">
        <f t="shared" si="49"/>
        <v>3162642.9934128285</v>
      </c>
      <c r="O194" s="29">
        <f t="shared" si="43"/>
        <v>3162545.6795159085</v>
      </c>
      <c r="P194" s="29">
        <f t="shared" si="50"/>
        <v>3162545.6795159085</v>
      </c>
      <c r="Q194">
        <f t="shared" si="51"/>
        <v>0</v>
      </c>
      <c r="R194" s="29">
        <f t="shared" si="52"/>
        <v>3162545.6795159085</v>
      </c>
      <c r="S194" s="29">
        <f t="shared" si="44"/>
        <v>3162545.6795159085</v>
      </c>
      <c r="T194" s="29">
        <f t="shared" si="53"/>
        <v>3162545.6795159085</v>
      </c>
      <c r="U194">
        <f t="shared" si="54"/>
        <v>0</v>
      </c>
      <c r="V194" s="29">
        <f t="shared" si="55"/>
        <v>3162545.6795159085</v>
      </c>
      <c r="W194" s="29">
        <f t="shared" si="45"/>
        <v>3162545.6795159085</v>
      </c>
      <c r="X194" s="29">
        <f t="shared" si="56"/>
        <v>3162545.6795159085</v>
      </c>
      <c r="Y194">
        <f t="shared" si="57"/>
        <v>0</v>
      </c>
    </row>
    <row r="195" spans="1:25" x14ac:dyDescent="0.25">
      <c r="A195" s="4" t="s">
        <v>1034</v>
      </c>
      <c r="B195" s="7" t="s">
        <v>536</v>
      </c>
      <c r="C195" s="2" t="s">
        <v>1035</v>
      </c>
      <c r="D195">
        <f>VLOOKUP(B195,'Model allocations'!$A$1:$L$316,3,FALSE)</f>
        <v>37729.576315330087</v>
      </c>
      <c r="E195" s="31">
        <f>VLOOKUP(B195,'Initial adjusted formula count'!$A$1:$P$316,12,FALSE)</f>
        <v>0.20979020979021001</v>
      </c>
      <c r="F195">
        <f>VLOOKUP(B195,'Model allocations'!$A$1:$L$316,8,FALSE)</f>
        <v>52800.124836522926</v>
      </c>
      <c r="G195" s="30">
        <f t="shared" si="46"/>
        <v>0.9</v>
      </c>
      <c r="H195">
        <f t="shared" si="47"/>
        <v>33956.618683797082</v>
      </c>
      <c r="I195">
        <f t="shared" si="39"/>
        <v>0</v>
      </c>
      <c r="J195">
        <f t="shared" si="40"/>
        <v>52800.124836522926</v>
      </c>
      <c r="K195">
        <f t="shared" si="41"/>
        <v>52769.349167066146</v>
      </c>
      <c r="L195">
        <f t="shared" si="48"/>
        <v>52769.349167066146</v>
      </c>
      <c r="M195">
        <f t="shared" si="42"/>
        <v>0</v>
      </c>
      <c r="N195" s="29">
        <f t="shared" si="49"/>
        <v>52769.349167066146</v>
      </c>
      <c r="O195" s="29">
        <f t="shared" si="43"/>
        <v>52767.725464670373</v>
      </c>
      <c r="P195" s="29">
        <f t="shared" si="50"/>
        <v>52767.725464670373</v>
      </c>
      <c r="Q195">
        <f t="shared" si="51"/>
        <v>0</v>
      </c>
      <c r="R195" s="29">
        <f t="shared" si="52"/>
        <v>52767.725464670373</v>
      </c>
      <c r="S195" s="29">
        <f t="shared" si="44"/>
        <v>52767.725464670373</v>
      </c>
      <c r="T195" s="29">
        <f t="shared" si="53"/>
        <v>52767.725464670373</v>
      </c>
      <c r="U195">
        <f t="shared" si="54"/>
        <v>0</v>
      </c>
      <c r="V195" s="29">
        <f t="shared" si="55"/>
        <v>52767.725464670373</v>
      </c>
      <c r="W195" s="29">
        <f t="shared" si="45"/>
        <v>52767.725464670373</v>
      </c>
      <c r="X195" s="29">
        <f t="shared" si="56"/>
        <v>52767.725464670373</v>
      </c>
      <c r="Y195">
        <f t="shared" si="57"/>
        <v>0</v>
      </c>
    </row>
    <row r="196" spans="1:25" x14ac:dyDescent="0.25">
      <c r="A196" s="4" t="s">
        <v>1036</v>
      </c>
      <c r="B196" s="7" t="s">
        <v>190</v>
      </c>
      <c r="C196" s="2" t="s">
        <v>1037</v>
      </c>
      <c r="D196">
        <f>VLOOKUP(B196,'Model allocations'!$A$1:$L$316,3,FALSE)</f>
        <v>0</v>
      </c>
      <c r="E196" s="31">
        <f>VLOOKUP(B196,'Initial adjusted formula count'!$A$1:$P$316,12,FALSE)</f>
        <v>4.49438202247191E-2</v>
      </c>
      <c r="F196">
        <f>VLOOKUP(B196,'Model allocations'!$A$1:$L$316,8,FALSE)</f>
        <v>0</v>
      </c>
      <c r="G196" s="30">
        <f t="shared" si="46"/>
        <v>0.85</v>
      </c>
      <c r="H196">
        <f t="shared" si="47"/>
        <v>0</v>
      </c>
      <c r="I196">
        <f t="shared" ref="I196:I258" si="58">IF(F196&lt;H196,H196,0)</f>
        <v>0</v>
      </c>
      <c r="J196">
        <f t="shared" ref="J196:J258" si="59">IF(I196=0,F196,0)</f>
        <v>0</v>
      </c>
      <c r="K196">
        <f t="shared" ref="K196:K258" si="60">(J196/$J$3)*($F$3-$I$3)</f>
        <v>0</v>
      </c>
      <c r="L196">
        <f t="shared" si="48"/>
        <v>0</v>
      </c>
      <c r="M196">
        <f t="shared" ref="M196:M258" si="61">IF(L196&lt;H196,H196,0)</f>
        <v>0</v>
      </c>
      <c r="N196" s="29">
        <f t="shared" si="49"/>
        <v>0</v>
      </c>
      <c r="O196" s="29">
        <f t="shared" ref="O196:O258" si="62">((N196/$N$3)*($F$3-$I$3-$M$3))</f>
        <v>0</v>
      </c>
      <c r="P196" s="29">
        <f t="shared" si="50"/>
        <v>0</v>
      </c>
      <c r="Q196">
        <f t="shared" si="51"/>
        <v>0</v>
      </c>
      <c r="R196" s="29">
        <f t="shared" si="52"/>
        <v>0</v>
      </c>
      <c r="S196" s="29">
        <f t="shared" ref="S196:S258" si="63">((R196/$R$3)*($F$3-$I$3-$M$3-$Q$3))</f>
        <v>0</v>
      </c>
      <c r="T196" s="29">
        <f t="shared" si="53"/>
        <v>0</v>
      </c>
      <c r="U196">
        <f t="shared" si="54"/>
        <v>0</v>
      </c>
      <c r="V196" s="29">
        <f t="shared" si="55"/>
        <v>0</v>
      </c>
      <c r="W196" s="29">
        <f t="shared" ref="W196:W258" si="64">((V196/$V$3)*($F$3-$I$3-$M$3-$Q$3-$U$3))</f>
        <v>0</v>
      </c>
      <c r="X196" s="29">
        <f t="shared" si="56"/>
        <v>0</v>
      </c>
      <c r="Y196">
        <f t="shared" si="57"/>
        <v>0</v>
      </c>
    </row>
    <row r="197" spans="1:25" x14ac:dyDescent="0.25">
      <c r="A197" s="4" t="s">
        <v>1038</v>
      </c>
      <c r="B197" s="7" t="s">
        <v>293</v>
      </c>
      <c r="C197" s="2" t="s">
        <v>1039</v>
      </c>
      <c r="D197">
        <f>VLOOKUP(B197,'Model allocations'!$A$1:$L$316,3,FALSE)</f>
        <v>23858.408552341083</v>
      </c>
      <c r="E197" s="31">
        <f>VLOOKUP(B197,'Initial adjusted formula count'!$A$1:$P$316,12,FALSE)</f>
        <v>9.8039215686274495E-2</v>
      </c>
      <c r="F197">
        <f>VLOOKUP(B197,'Model allocations'!$A$1:$L$316,8,FALSE)</f>
        <v>22000.052015217883</v>
      </c>
      <c r="G197" s="30">
        <f t="shared" ref="G197:G259" si="65">IF(E197&lt;0.15,0.85,IF(AND(E197&gt;=0.15,E197&lt;0.3),0.9,0.95))</f>
        <v>0.85</v>
      </c>
      <c r="H197">
        <f t="shared" ref="H197:H259" si="66">IF(F197 = 0, 0, D197*G197)</f>
        <v>20279.64726948992</v>
      </c>
      <c r="I197">
        <f t="shared" si="58"/>
        <v>0</v>
      </c>
      <c r="J197">
        <f t="shared" si="59"/>
        <v>22000.052015217883</v>
      </c>
      <c r="K197">
        <f t="shared" si="60"/>
        <v>21987.228819610897</v>
      </c>
      <c r="L197">
        <f t="shared" ref="L197:L259" si="67">I197+K197</f>
        <v>21987.228819610897</v>
      </c>
      <c r="M197">
        <f t="shared" si="61"/>
        <v>0</v>
      </c>
      <c r="N197" s="29">
        <f t="shared" ref="N197:N259" si="68">IF($I197+$M197=0,L197,0)</f>
        <v>21987.228819610897</v>
      </c>
      <c r="O197" s="29">
        <f t="shared" si="62"/>
        <v>21986.552276945989</v>
      </c>
      <c r="P197" s="29">
        <f t="shared" ref="P197:P259" si="69">$I197+$M197+O197</f>
        <v>21986.552276945989</v>
      </c>
      <c r="Q197">
        <f t="shared" ref="Q197:Q259" si="70">IF(P197&lt;H197,H197,0)</f>
        <v>0</v>
      </c>
      <c r="R197" s="29">
        <f t="shared" ref="R197:R259" si="71">IF($I197+$M197+$Q197=0,P197,0)</f>
        <v>21986.552276945989</v>
      </c>
      <c r="S197" s="29">
        <f t="shared" si="63"/>
        <v>21986.552276945989</v>
      </c>
      <c r="T197" s="29">
        <f t="shared" ref="T197:T259" si="72">$I197+$M197+$Q197+S197</f>
        <v>21986.552276945989</v>
      </c>
      <c r="U197">
        <f t="shared" ref="U197:U259" si="73">IF(T197&lt;H197,H197,0)</f>
        <v>0</v>
      </c>
      <c r="V197" s="29">
        <f t="shared" ref="V197:V259" si="74">IF($I197+$M197+$Q197+U197=0,T197,0)</f>
        <v>21986.552276945989</v>
      </c>
      <c r="W197" s="29">
        <f t="shared" si="64"/>
        <v>21986.552276945989</v>
      </c>
      <c r="X197" s="29">
        <f t="shared" ref="X197:X259" si="75">$I197+$M197+$Q197+$U197+W197</f>
        <v>21986.552276945989</v>
      </c>
      <c r="Y197">
        <f t="shared" ref="Y197:Y259" si="76">IF(X197&lt;H197,H197,0)</f>
        <v>0</v>
      </c>
    </row>
    <row r="198" spans="1:25" x14ac:dyDescent="0.25">
      <c r="A198" s="4" t="s">
        <v>1040</v>
      </c>
      <c r="B198" s="7" t="s">
        <v>192</v>
      </c>
      <c r="C198" s="2" t="s">
        <v>1041</v>
      </c>
      <c r="D198">
        <f>VLOOKUP(B198,'Model allocations'!$A$1:$L$316,3,FALSE)</f>
        <v>454483.37320286146</v>
      </c>
      <c r="E198" s="31">
        <f>VLOOKUP(B198,'Initial adjusted formula count'!$A$1:$P$316,12,FALSE)</f>
        <v>5.3457785320322401E-2</v>
      </c>
      <c r="F198">
        <f>VLOOKUP(B198,'Model allocations'!$A$1:$L$316,8,FALSE)</f>
        <v>554401.31078349019</v>
      </c>
      <c r="G198" s="30">
        <f t="shared" si="65"/>
        <v>0.85</v>
      </c>
      <c r="H198">
        <f t="shared" si="66"/>
        <v>386310.86722243222</v>
      </c>
      <c r="I198">
        <f t="shared" si="58"/>
        <v>0</v>
      </c>
      <c r="J198">
        <f t="shared" si="59"/>
        <v>554401.31078349019</v>
      </c>
      <c r="K198">
        <f t="shared" si="60"/>
        <v>554078.16625419399</v>
      </c>
      <c r="L198">
        <f t="shared" si="67"/>
        <v>554078.16625419399</v>
      </c>
      <c r="M198">
        <f t="shared" si="61"/>
        <v>0</v>
      </c>
      <c r="N198" s="29">
        <f t="shared" si="68"/>
        <v>554078.16625419399</v>
      </c>
      <c r="O198" s="29">
        <f t="shared" si="62"/>
        <v>554061.11737903836</v>
      </c>
      <c r="P198" s="29">
        <f t="shared" si="69"/>
        <v>554061.11737903836</v>
      </c>
      <c r="Q198">
        <f t="shared" si="70"/>
        <v>0</v>
      </c>
      <c r="R198" s="29">
        <f t="shared" si="71"/>
        <v>554061.11737903836</v>
      </c>
      <c r="S198" s="29">
        <f t="shared" si="63"/>
        <v>554061.11737903836</v>
      </c>
      <c r="T198" s="29">
        <f t="shared" si="72"/>
        <v>554061.11737903836</v>
      </c>
      <c r="U198">
        <f t="shared" si="73"/>
        <v>0</v>
      </c>
      <c r="V198" s="29">
        <f t="shared" si="74"/>
        <v>554061.11737903836</v>
      </c>
      <c r="W198" s="29">
        <f t="shared" si="64"/>
        <v>554061.11737903836</v>
      </c>
      <c r="X198" s="29">
        <f t="shared" si="75"/>
        <v>554061.11737903836</v>
      </c>
      <c r="Y198">
        <f t="shared" si="76"/>
        <v>0</v>
      </c>
    </row>
    <row r="199" spans="1:25" x14ac:dyDescent="0.25">
      <c r="A199" s="4" t="s">
        <v>52</v>
      </c>
      <c r="B199" s="7" t="s">
        <v>82</v>
      </c>
      <c r="C199" s="2" t="s">
        <v>1042</v>
      </c>
      <c r="D199">
        <f>VLOOKUP(B199,'Model allocations'!$A$1:$L$316,3,FALSE)</f>
        <v>20466.22775472542</v>
      </c>
      <c r="E199" s="31">
        <f>VLOOKUP(B199,'Initial adjusted formula count'!$A$1:$P$316,12,FALSE)</f>
        <v>0.116091427297897</v>
      </c>
      <c r="F199">
        <f>VLOOKUP(B199,'Model allocations'!$A$1:$L$316,8,FALSE)</f>
        <v>26625.342950897295</v>
      </c>
      <c r="G199" s="30">
        <f t="shared" si="65"/>
        <v>0.85</v>
      </c>
      <c r="H199">
        <f t="shared" si="66"/>
        <v>17396.293591516605</v>
      </c>
      <c r="I199">
        <f t="shared" si="58"/>
        <v>0</v>
      </c>
      <c r="J199">
        <f t="shared" si="59"/>
        <v>26625.342950897295</v>
      </c>
      <c r="K199">
        <f t="shared" si="60"/>
        <v>26609.823806645894</v>
      </c>
      <c r="L199">
        <f t="shared" si="67"/>
        <v>26609.823806645894</v>
      </c>
      <c r="M199">
        <f t="shared" si="61"/>
        <v>0</v>
      </c>
      <c r="N199" s="29">
        <f t="shared" si="68"/>
        <v>26609.823806645894</v>
      </c>
      <c r="O199" s="29">
        <f t="shared" si="62"/>
        <v>26609.005027651117</v>
      </c>
      <c r="P199" s="29">
        <f t="shared" si="69"/>
        <v>26609.005027651117</v>
      </c>
      <c r="Q199">
        <f t="shared" si="70"/>
        <v>0</v>
      </c>
      <c r="R199" s="29">
        <f t="shared" si="71"/>
        <v>26609.005027651117</v>
      </c>
      <c r="S199" s="29">
        <f t="shared" si="63"/>
        <v>26609.005027651117</v>
      </c>
      <c r="T199" s="29">
        <f t="shared" si="72"/>
        <v>26609.005027651117</v>
      </c>
      <c r="U199">
        <f t="shared" si="73"/>
        <v>0</v>
      </c>
      <c r="V199" s="29">
        <f t="shared" si="74"/>
        <v>26609.005027651117</v>
      </c>
      <c r="W199" s="29">
        <f t="shared" si="64"/>
        <v>26609.005027651117</v>
      </c>
      <c r="X199" s="29">
        <f t="shared" si="75"/>
        <v>26609.005027651117</v>
      </c>
      <c r="Y199">
        <f t="shared" si="76"/>
        <v>0</v>
      </c>
    </row>
    <row r="200" spans="1:25" x14ac:dyDescent="0.25">
      <c r="A200" s="4" t="s">
        <v>1043</v>
      </c>
      <c r="B200" s="7" t="s">
        <v>538</v>
      </c>
      <c r="C200" s="2" t="s">
        <v>1044</v>
      </c>
      <c r="D200">
        <f>VLOOKUP(B200,'Model allocations'!$A$1:$L$316,3,FALSE)</f>
        <v>146859.82805216758</v>
      </c>
      <c r="E200" s="31">
        <f>VLOOKUP(B200,'Initial adjusted formula count'!$A$1:$P$316,12,FALSE)</f>
        <v>0.152542372881356</v>
      </c>
      <c r="F200">
        <f>VLOOKUP(B200,'Model allocations'!$A$1:$L$316,8,FALSE)</f>
        <v>205920.48686243937</v>
      </c>
      <c r="G200" s="30">
        <f t="shared" si="65"/>
        <v>0.9</v>
      </c>
      <c r="H200">
        <f t="shared" si="66"/>
        <v>132173.84524695083</v>
      </c>
      <c r="I200">
        <f t="shared" si="58"/>
        <v>0</v>
      </c>
      <c r="J200">
        <f t="shared" si="59"/>
        <v>205920.48686243937</v>
      </c>
      <c r="K200">
        <f t="shared" si="60"/>
        <v>205800.46175155794</v>
      </c>
      <c r="L200">
        <f t="shared" si="67"/>
        <v>205800.46175155794</v>
      </c>
      <c r="M200">
        <f t="shared" si="61"/>
        <v>0</v>
      </c>
      <c r="N200" s="29">
        <f t="shared" si="68"/>
        <v>205800.46175155794</v>
      </c>
      <c r="O200" s="29">
        <f t="shared" si="62"/>
        <v>205794.12931221441</v>
      </c>
      <c r="P200" s="29">
        <f t="shared" si="69"/>
        <v>205794.12931221441</v>
      </c>
      <c r="Q200">
        <f t="shared" si="70"/>
        <v>0</v>
      </c>
      <c r="R200" s="29">
        <f t="shared" si="71"/>
        <v>205794.12931221441</v>
      </c>
      <c r="S200" s="29">
        <f t="shared" si="63"/>
        <v>205794.12931221441</v>
      </c>
      <c r="T200" s="29">
        <f t="shared" si="72"/>
        <v>205794.12931221441</v>
      </c>
      <c r="U200">
        <f t="shared" si="73"/>
        <v>0</v>
      </c>
      <c r="V200" s="29">
        <f t="shared" si="74"/>
        <v>205794.12931221441</v>
      </c>
      <c r="W200" s="29">
        <f t="shared" si="64"/>
        <v>205794.12931221441</v>
      </c>
      <c r="X200" s="29">
        <f t="shared" si="75"/>
        <v>205794.12931221441</v>
      </c>
      <c r="Y200">
        <f t="shared" si="76"/>
        <v>0</v>
      </c>
    </row>
    <row r="201" spans="1:25" x14ac:dyDescent="0.25">
      <c r="A201" s="4" t="s">
        <v>1045</v>
      </c>
      <c r="B201" s="7" t="s">
        <v>540</v>
      </c>
      <c r="C201" s="2" t="s">
        <v>1046</v>
      </c>
      <c r="D201">
        <f>VLOOKUP(B201,'Model allocations'!$A$1:$L$316,3,FALSE)</f>
        <v>51270.590858449024</v>
      </c>
      <c r="E201" s="31">
        <f>VLOOKUP(B201,'Initial adjusted formula count'!$A$1:$P$316,12,FALSE)</f>
        <v>0.162983425414365</v>
      </c>
      <c r="F201">
        <f>VLOOKUP(B201,'Model allocations'!$A$1:$L$316,8,FALSE)</f>
        <v>51920.122755914184</v>
      </c>
      <c r="G201" s="30">
        <f t="shared" si="65"/>
        <v>0.9</v>
      </c>
      <c r="H201">
        <f t="shared" si="66"/>
        <v>46143.531772604125</v>
      </c>
      <c r="I201">
        <f t="shared" si="58"/>
        <v>0</v>
      </c>
      <c r="J201">
        <f t="shared" si="59"/>
        <v>51920.122755914184</v>
      </c>
      <c r="K201">
        <f t="shared" si="60"/>
        <v>51889.860014281687</v>
      </c>
      <c r="L201">
        <f t="shared" si="67"/>
        <v>51889.860014281687</v>
      </c>
      <c r="M201">
        <f t="shared" si="61"/>
        <v>0</v>
      </c>
      <c r="N201" s="29">
        <f t="shared" si="68"/>
        <v>51889.860014281687</v>
      </c>
      <c r="O201" s="29">
        <f t="shared" si="62"/>
        <v>51888.263373592512</v>
      </c>
      <c r="P201" s="29">
        <f t="shared" si="69"/>
        <v>51888.263373592512</v>
      </c>
      <c r="Q201">
        <f t="shared" si="70"/>
        <v>0</v>
      </c>
      <c r="R201" s="29">
        <f t="shared" si="71"/>
        <v>51888.263373592512</v>
      </c>
      <c r="S201" s="29">
        <f t="shared" si="63"/>
        <v>51888.263373592512</v>
      </c>
      <c r="T201" s="29">
        <f t="shared" si="72"/>
        <v>51888.263373592512</v>
      </c>
      <c r="U201">
        <f t="shared" si="73"/>
        <v>0</v>
      </c>
      <c r="V201" s="29">
        <f t="shared" si="74"/>
        <v>51888.263373592512</v>
      </c>
      <c r="W201" s="29">
        <f t="shared" si="64"/>
        <v>51888.263373592512</v>
      </c>
      <c r="X201" s="29">
        <f t="shared" si="75"/>
        <v>51888.263373592512</v>
      </c>
      <c r="Y201">
        <f t="shared" si="76"/>
        <v>0</v>
      </c>
    </row>
    <row r="202" spans="1:25" x14ac:dyDescent="0.25">
      <c r="A202" s="4" t="s">
        <v>1047</v>
      </c>
      <c r="B202" s="7" t="s">
        <v>542</v>
      </c>
      <c r="C202" s="2" t="s">
        <v>1048</v>
      </c>
      <c r="D202">
        <f>VLOOKUP(B202,'Model allocations'!$A$1:$L$316,3,FALSE)</f>
        <v>527478.79069624643</v>
      </c>
      <c r="E202" s="31">
        <f>VLOOKUP(B202,'Initial adjusted formula count'!$A$1:$P$316,12,FALSE)</f>
        <v>0.126034523528021</v>
      </c>
      <c r="F202">
        <f>VLOOKUP(B202,'Model allocations'!$A$1:$L$316,8,FALSE)</f>
        <v>469041.10896444524</v>
      </c>
      <c r="G202" s="30">
        <f t="shared" si="65"/>
        <v>0.85</v>
      </c>
      <c r="H202">
        <f t="shared" si="66"/>
        <v>448356.97209180944</v>
      </c>
      <c r="I202">
        <f t="shared" si="58"/>
        <v>0</v>
      </c>
      <c r="J202">
        <f t="shared" si="59"/>
        <v>469041.10896444524</v>
      </c>
      <c r="K202">
        <f t="shared" si="60"/>
        <v>468767.71843410429</v>
      </c>
      <c r="L202">
        <f t="shared" si="67"/>
        <v>468767.71843410429</v>
      </c>
      <c r="M202">
        <f t="shared" si="61"/>
        <v>0</v>
      </c>
      <c r="N202" s="29">
        <f t="shared" si="68"/>
        <v>468767.71843410429</v>
      </c>
      <c r="O202" s="29">
        <f t="shared" si="62"/>
        <v>468753.29454448848</v>
      </c>
      <c r="P202" s="29">
        <f t="shared" si="69"/>
        <v>468753.29454448848</v>
      </c>
      <c r="Q202">
        <f t="shared" si="70"/>
        <v>0</v>
      </c>
      <c r="R202" s="29">
        <f t="shared" si="71"/>
        <v>468753.29454448848</v>
      </c>
      <c r="S202" s="29">
        <f t="shared" si="63"/>
        <v>468753.29454448848</v>
      </c>
      <c r="T202" s="29">
        <f t="shared" si="72"/>
        <v>468753.29454448848</v>
      </c>
      <c r="U202">
        <f t="shared" si="73"/>
        <v>0</v>
      </c>
      <c r="V202" s="29">
        <f t="shared" si="74"/>
        <v>468753.29454448848</v>
      </c>
      <c r="W202" s="29">
        <f t="shared" si="64"/>
        <v>468753.29454448848</v>
      </c>
      <c r="X202" s="29">
        <f t="shared" si="75"/>
        <v>468753.29454448848</v>
      </c>
      <c r="Y202">
        <f t="shared" si="76"/>
        <v>0</v>
      </c>
    </row>
    <row r="203" spans="1:25" x14ac:dyDescent="0.25">
      <c r="A203" s="4" t="s">
        <v>1049</v>
      </c>
      <c r="B203" s="7" t="s">
        <v>544</v>
      </c>
      <c r="C203" s="2" t="s">
        <v>1050</v>
      </c>
      <c r="D203">
        <f>VLOOKUP(B203,'Model allocations'!$A$1:$L$316,3,FALSE)</f>
        <v>196392.43277982171</v>
      </c>
      <c r="E203" s="31">
        <f>VLOOKUP(B203,'Initial adjusted formula count'!$A$1:$P$316,12,FALSE)</f>
        <v>0.15167682926829301</v>
      </c>
      <c r="F203">
        <f>VLOOKUP(B203,'Model allocations'!$A$1:$L$316,8,FALSE)</f>
        <v>176851.39847065523</v>
      </c>
      <c r="G203" s="30">
        <f t="shared" si="65"/>
        <v>0.9</v>
      </c>
      <c r="H203">
        <f t="shared" si="66"/>
        <v>176753.18950183954</v>
      </c>
      <c r="I203">
        <f t="shared" si="58"/>
        <v>0</v>
      </c>
      <c r="J203">
        <f t="shared" si="59"/>
        <v>176851.39847065523</v>
      </c>
      <c r="K203">
        <f t="shared" si="60"/>
        <v>176748.31689273939</v>
      </c>
      <c r="L203">
        <f t="shared" si="67"/>
        <v>176748.31689273939</v>
      </c>
      <c r="M203">
        <f t="shared" si="61"/>
        <v>176753.18950183954</v>
      </c>
      <c r="N203" s="29">
        <f t="shared" si="68"/>
        <v>0</v>
      </c>
      <c r="O203" s="29">
        <f t="shared" si="62"/>
        <v>0</v>
      </c>
      <c r="P203" s="29">
        <f t="shared" si="69"/>
        <v>176753.18950183954</v>
      </c>
      <c r="Q203">
        <f t="shared" si="70"/>
        <v>0</v>
      </c>
      <c r="R203" s="29">
        <f t="shared" si="71"/>
        <v>0</v>
      </c>
      <c r="S203" s="29">
        <f t="shared" si="63"/>
        <v>0</v>
      </c>
      <c r="T203" s="29">
        <f t="shared" si="72"/>
        <v>176753.18950183954</v>
      </c>
      <c r="U203">
        <f t="shared" si="73"/>
        <v>0</v>
      </c>
      <c r="V203" s="29">
        <f t="shared" si="74"/>
        <v>0</v>
      </c>
      <c r="W203" s="29">
        <f t="shared" si="64"/>
        <v>0</v>
      </c>
      <c r="X203" s="29">
        <f t="shared" si="75"/>
        <v>176753.18950183954</v>
      </c>
      <c r="Y203">
        <f t="shared" si="76"/>
        <v>0</v>
      </c>
    </row>
    <row r="204" spans="1:25" x14ac:dyDescent="0.25">
      <c r="A204" s="4" t="s">
        <v>1051</v>
      </c>
      <c r="B204" s="7" t="s">
        <v>546</v>
      </c>
      <c r="C204" s="2" t="s">
        <v>1052</v>
      </c>
      <c r="D204">
        <f>VLOOKUP(B204,'Model allocations'!$A$1:$L$316,3,FALSE)</f>
        <v>59960.521512423416</v>
      </c>
      <c r="E204" s="31">
        <f>VLOOKUP(B204,'Initial adjusted formula count'!$A$1:$P$316,12,FALSE)</f>
        <v>0.168604651162791</v>
      </c>
      <c r="F204">
        <f>VLOOKUP(B204,'Model allocations'!$A$1:$L$316,8,FALSE)</f>
        <v>53994.453515377027</v>
      </c>
      <c r="G204" s="30">
        <f t="shared" si="65"/>
        <v>0.9</v>
      </c>
      <c r="H204">
        <f t="shared" si="66"/>
        <v>53964.469361181073</v>
      </c>
      <c r="I204">
        <f t="shared" si="58"/>
        <v>0</v>
      </c>
      <c r="J204">
        <f t="shared" si="59"/>
        <v>53994.453515377027</v>
      </c>
      <c r="K204">
        <f t="shared" si="60"/>
        <v>53962.981706190338</v>
      </c>
      <c r="L204">
        <f t="shared" si="67"/>
        <v>53962.981706190338</v>
      </c>
      <c r="M204">
        <f t="shared" si="61"/>
        <v>53964.469361181073</v>
      </c>
      <c r="N204" s="29">
        <f t="shared" si="68"/>
        <v>0</v>
      </c>
      <c r="O204" s="29">
        <f t="shared" si="62"/>
        <v>0</v>
      </c>
      <c r="P204" s="29">
        <f t="shared" si="69"/>
        <v>53964.469361181073</v>
      </c>
      <c r="Q204">
        <f t="shared" si="70"/>
        <v>0</v>
      </c>
      <c r="R204" s="29">
        <f t="shared" si="71"/>
        <v>0</v>
      </c>
      <c r="S204" s="29">
        <f t="shared" si="63"/>
        <v>0</v>
      </c>
      <c r="T204" s="29">
        <f t="shared" si="72"/>
        <v>53964.469361181073</v>
      </c>
      <c r="U204">
        <f t="shared" si="73"/>
        <v>0</v>
      </c>
      <c r="V204" s="29">
        <f t="shared" si="74"/>
        <v>0</v>
      </c>
      <c r="W204" s="29">
        <f t="shared" si="64"/>
        <v>0</v>
      </c>
      <c r="X204" s="29">
        <f t="shared" si="75"/>
        <v>53964.469361181073</v>
      </c>
      <c r="Y204">
        <f t="shared" si="76"/>
        <v>0</v>
      </c>
    </row>
    <row r="205" spans="1:25" x14ac:dyDescent="0.25">
      <c r="A205" s="4" t="s">
        <v>33</v>
      </c>
      <c r="B205" s="7" t="s">
        <v>77</v>
      </c>
      <c r="C205" s="2" t="s">
        <v>1053</v>
      </c>
      <c r="D205">
        <f>VLOOKUP(B205,'Model allocations'!$A$1:$L$316,3,FALSE)</f>
        <v>46802.418223052831</v>
      </c>
      <c r="E205" s="31">
        <f>VLOOKUP(B205,'Initial adjusted formula count'!$A$1:$P$316,12,FALSE)</f>
        <v>8.3709505447087995E-2</v>
      </c>
      <c r="F205">
        <f>VLOOKUP(B205,'Model allocations'!$A$1:$L$316,8,FALSE)</f>
        <v>15489.808086869176</v>
      </c>
      <c r="G205" s="30">
        <f t="shared" si="65"/>
        <v>0.85</v>
      </c>
      <c r="H205">
        <f t="shared" si="66"/>
        <v>39782.055489594903</v>
      </c>
      <c r="I205">
        <f t="shared" si="58"/>
        <v>39782.055489594903</v>
      </c>
      <c r="J205">
        <f t="shared" si="59"/>
        <v>0</v>
      </c>
      <c r="K205">
        <f t="shared" si="60"/>
        <v>0</v>
      </c>
      <c r="L205">
        <f t="shared" si="67"/>
        <v>39782.055489594903</v>
      </c>
      <c r="M205">
        <f t="shared" si="61"/>
        <v>0</v>
      </c>
      <c r="N205" s="29">
        <f t="shared" si="68"/>
        <v>0</v>
      </c>
      <c r="O205" s="29">
        <f t="shared" si="62"/>
        <v>0</v>
      </c>
      <c r="P205" s="29">
        <f t="shared" si="69"/>
        <v>39782.055489594903</v>
      </c>
      <c r="Q205">
        <f t="shared" si="70"/>
        <v>0</v>
      </c>
      <c r="R205" s="29">
        <f t="shared" si="71"/>
        <v>0</v>
      </c>
      <c r="S205" s="29">
        <f t="shared" si="63"/>
        <v>0</v>
      </c>
      <c r="T205" s="29">
        <f t="shared" si="72"/>
        <v>39782.055489594903</v>
      </c>
      <c r="U205">
        <f t="shared" si="73"/>
        <v>0</v>
      </c>
      <c r="V205" s="29">
        <f t="shared" si="74"/>
        <v>0</v>
      </c>
      <c r="W205" s="29">
        <f t="shared" si="64"/>
        <v>0</v>
      </c>
      <c r="X205" s="29">
        <f t="shared" si="75"/>
        <v>39782.055489594903</v>
      </c>
      <c r="Y205">
        <f t="shared" si="76"/>
        <v>0</v>
      </c>
    </row>
    <row r="206" spans="1:25" x14ac:dyDescent="0.25">
      <c r="A206" s="4" t="s">
        <v>1054</v>
      </c>
      <c r="B206" s="7" t="s">
        <v>548</v>
      </c>
      <c r="C206" s="2" t="s">
        <v>1055</v>
      </c>
      <c r="D206">
        <f>VLOOKUP(B206,'Model allocations'!$A$1:$L$316,3,FALSE)</f>
        <v>311099.51741228387</v>
      </c>
      <c r="E206" s="31">
        <f>VLOOKUP(B206,'Initial adjusted formula count'!$A$1:$P$316,12,FALSE)</f>
        <v>9.7660223804679605E-2</v>
      </c>
      <c r="F206">
        <f>VLOOKUP(B206,'Model allocations'!$A$1:$L$316,8,FALSE)</f>
        <v>264581.51698436768</v>
      </c>
      <c r="G206" s="30">
        <f t="shared" si="65"/>
        <v>0.85</v>
      </c>
      <c r="H206">
        <f t="shared" si="66"/>
        <v>264434.58980044129</v>
      </c>
      <c r="I206">
        <f t="shared" si="58"/>
        <v>0</v>
      </c>
      <c r="J206">
        <f t="shared" si="59"/>
        <v>264581.51698436768</v>
      </c>
      <c r="K206">
        <f t="shared" si="60"/>
        <v>264427.30005142873</v>
      </c>
      <c r="L206">
        <f t="shared" si="67"/>
        <v>264427.30005142873</v>
      </c>
      <c r="M206">
        <f t="shared" si="61"/>
        <v>264434.58980044129</v>
      </c>
      <c r="N206" s="29">
        <f t="shared" si="68"/>
        <v>0</v>
      </c>
      <c r="O206" s="29">
        <f t="shared" si="62"/>
        <v>0</v>
      </c>
      <c r="P206" s="29">
        <f t="shared" si="69"/>
        <v>264434.58980044129</v>
      </c>
      <c r="Q206">
        <f t="shared" si="70"/>
        <v>0</v>
      </c>
      <c r="R206" s="29">
        <f t="shared" si="71"/>
        <v>0</v>
      </c>
      <c r="S206" s="29">
        <f t="shared" si="63"/>
        <v>0</v>
      </c>
      <c r="T206" s="29">
        <f t="shared" si="72"/>
        <v>264434.58980044129</v>
      </c>
      <c r="U206">
        <f t="shared" si="73"/>
        <v>0</v>
      </c>
      <c r="V206" s="29">
        <f t="shared" si="74"/>
        <v>0</v>
      </c>
      <c r="W206" s="29">
        <f t="shared" si="64"/>
        <v>0</v>
      </c>
      <c r="X206" s="29">
        <f t="shared" si="75"/>
        <v>264434.58980044129</v>
      </c>
      <c r="Y206">
        <f t="shared" si="76"/>
        <v>0</v>
      </c>
    </row>
    <row r="207" spans="1:25" x14ac:dyDescent="0.25">
      <c r="A207" s="4" t="s">
        <v>20</v>
      </c>
      <c r="B207" s="7" t="s">
        <v>58</v>
      </c>
      <c r="C207" s="2" t="s">
        <v>1056</v>
      </c>
      <c r="D207">
        <f>VLOOKUP(B207,'Model allocations'!$A$1:$L$316,3,FALSE)</f>
        <v>364108.09440152778</v>
      </c>
      <c r="E207" s="31">
        <f>VLOOKUP(B207,'Initial adjusted formula count'!$A$1:$P$316,12,FALSE)</f>
        <v>0.12808320950965801</v>
      </c>
      <c r="F207">
        <f>VLOOKUP(B207,'Model allocations'!$A$1:$L$316,8,FALSE)</f>
        <v>379280.89674235624</v>
      </c>
      <c r="G207" s="30">
        <f t="shared" si="65"/>
        <v>0.85</v>
      </c>
      <c r="H207">
        <f t="shared" si="66"/>
        <v>309491.88024129858</v>
      </c>
      <c r="I207">
        <f t="shared" si="58"/>
        <v>0</v>
      </c>
      <c r="J207">
        <f t="shared" si="59"/>
        <v>379280.89674235624</v>
      </c>
      <c r="K207">
        <f t="shared" si="60"/>
        <v>379059.82485009177</v>
      </c>
      <c r="L207">
        <f t="shared" si="67"/>
        <v>379059.82485009177</v>
      </c>
      <c r="M207">
        <f t="shared" si="61"/>
        <v>0</v>
      </c>
      <c r="N207" s="29">
        <f t="shared" si="68"/>
        <v>379059.82485009177</v>
      </c>
      <c r="O207" s="29">
        <f t="shared" si="62"/>
        <v>379048.16125454882</v>
      </c>
      <c r="P207" s="29">
        <f t="shared" si="69"/>
        <v>379048.16125454882</v>
      </c>
      <c r="Q207">
        <f t="shared" si="70"/>
        <v>0</v>
      </c>
      <c r="R207" s="29">
        <f t="shared" si="71"/>
        <v>379048.16125454882</v>
      </c>
      <c r="S207" s="29">
        <f t="shared" si="63"/>
        <v>379048.16125454882</v>
      </c>
      <c r="T207" s="29">
        <f t="shared" si="72"/>
        <v>379048.16125454882</v>
      </c>
      <c r="U207">
        <f t="shared" si="73"/>
        <v>0</v>
      </c>
      <c r="V207" s="29">
        <f t="shared" si="74"/>
        <v>379048.16125454882</v>
      </c>
      <c r="W207" s="29">
        <f t="shared" si="64"/>
        <v>379048.16125454882</v>
      </c>
      <c r="X207" s="29">
        <f t="shared" si="75"/>
        <v>379048.16125454882</v>
      </c>
      <c r="Y207">
        <f t="shared" si="76"/>
        <v>0</v>
      </c>
    </row>
    <row r="208" spans="1:25" x14ac:dyDescent="0.25">
      <c r="A208" s="4" t="s">
        <v>1057</v>
      </c>
      <c r="B208" s="7" t="s">
        <v>194</v>
      </c>
      <c r="C208" s="2" t="s">
        <v>1058</v>
      </c>
      <c r="D208">
        <f>VLOOKUP(B208,'Model allocations'!$A$1:$L$316,3,FALSE)</f>
        <v>1817933.4928114458</v>
      </c>
      <c r="E208" s="31">
        <f>VLOOKUP(B208,'Initial adjusted formula count'!$A$1:$P$316,12,FALSE)</f>
        <v>9.0887923005277899E-2</v>
      </c>
      <c r="F208">
        <f>VLOOKUP(B208,'Model allocations'!$A$1:$L$316,8,FALSE)</f>
        <v>2060964.8727856106</v>
      </c>
      <c r="G208" s="30">
        <f t="shared" si="65"/>
        <v>0.85</v>
      </c>
      <c r="H208">
        <f t="shared" si="66"/>
        <v>1545243.4688897289</v>
      </c>
      <c r="I208">
        <f t="shared" si="58"/>
        <v>0</v>
      </c>
      <c r="J208">
        <f t="shared" si="59"/>
        <v>2060964.8727856106</v>
      </c>
      <c r="K208">
        <f t="shared" si="60"/>
        <v>2059763.595821148</v>
      </c>
      <c r="L208">
        <f t="shared" si="67"/>
        <v>2059763.595821148</v>
      </c>
      <c r="M208">
        <f t="shared" si="61"/>
        <v>0</v>
      </c>
      <c r="N208" s="29">
        <f t="shared" si="68"/>
        <v>2059763.595821148</v>
      </c>
      <c r="O208" s="29">
        <f t="shared" si="62"/>
        <v>2059700.2173042998</v>
      </c>
      <c r="P208" s="29">
        <f t="shared" si="69"/>
        <v>2059700.2173042998</v>
      </c>
      <c r="Q208">
        <f t="shared" si="70"/>
        <v>0</v>
      </c>
      <c r="R208" s="29">
        <f t="shared" si="71"/>
        <v>2059700.2173042998</v>
      </c>
      <c r="S208" s="29">
        <f t="shared" si="63"/>
        <v>2059700.2173042998</v>
      </c>
      <c r="T208" s="29">
        <f t="shared" si="72"/>
        <v>2059700.2173042998</v>
      </c>
      <c r="U208">
        <f t="shared" si="73"/>
        <v>0</v>
      </c>
      <c r="V208" s="29">
        <f t="shared" si="74"/>
        <v>2059700.2173042998</v>
      </c>
      <c r="W208" s="29">
        <f t="shared" si="64"/>
        <v>2059700.2173042998</v>
      </c>
      <c r="X208" s="29">
        <f t="shared" si="75"/>
        <v>2059700.2173042998</v>
      </c>
      <c r="Y208">
        <f t="shared" si="76"/>
        <v>0</v>
      </c>
    </row>
    <row r="209" spans="1:25" x14ac:dyDescent="0.25">
      <c r="A209" s="4" t="s">
        <v>1059</v>
      </c>
      <c r="B209" s="7" t="s">
        <v>550</v>
      </c>
      <c r="C209" s="2" t="s">
        <v>1060</v>
      </c>
      <c r="D209">
        <f>VLOOKUP(B209,'Model allocations'!$A$1:$L$316,3,FALSE)</f>
        <v>0</v>
      </c>
      <c r="E209" s="31">
        <f>VLOOKUP(B209,'Initial adjusted formula count'!$A$1:$P$316,12,FALSE)</f>
        <v>0.45161290322580599</v>
      </c>
      <c r="F209">
        <f>VLOOKUP(B209,'Model allocations'!$A$1:$L$316,8,FALSE)</f>
        <v>12320.029128522014</v>
      </c>
      <c r="G209" s="30">
        <f t="shared" si="65"/>
        <v>0.95</v>
      </c>
      <c r="H209">
        <f t="shared" si="66"/>
        <v>0</v>
      </c>
      <c r="I209">
        <f t="shared" si="58"/>
        <v>0</v>
      </c>
      <c r="J209">
        <f t="shared" si="59"/>
        <v>12320.029128522014</v>
      </c>
      <c r="K209">
        <f t="shared" si="60"/>
        <v>12312.848138982101</v>
      </c>
      <c r="L209">
        <f t="shared" si="67"/>
        <v>12312.848138982101</v>
      </c>
      <c r="M209">
        <f t="shared" si="61"/>
        <v>0</v>
      </c>
      <c r="N209" s="29">
        <f t="shared" si="68"/>
        <v>12312.848138982101</v>
      </c>
      <c r="O209" s="29">
        <f t="shared" si="62"/>
        <v>12312.469275089752</v>
      </c>
      <c r="P209" s="29">
        <f t="shared" si="69"/>
        <v>12312.469275089752</v>
      </c>
      <c r="Q209">
        <f t="shared" si="70"/>
        <v>0</v>
      </c>
      <c r="R209" s="29">
        <f t="shared" si="71"/>
        <v>12312.469275089752</v>
      </c>
      <c r="S209" s="29">
        <f t="shared" si="63"/>
        <v>12312.469275089752</v>
      </c>
      <c r="T209" s="29">
        <f t="shared" si="72"/>
        <v>12312.469275089752</v>
      </c>
      <c r="U209">
        <f t="shared" si="73"/>
        <v>0</v>
      </c>
      <c r="V209" s="29">
        <f t="shared" si="74"/>
        <v>12312.469275089752</v>
      </c>
      <c r="W209" s="29">
        <f t="shared" si="64"/>
        <v>12312.469275089752</v>
      </c>
      <c r="X209" s="29">
        <f t="shared" si="75"/>
        <v>12312.469275089752</v>
      </c>
      <c r="Y209">
        <f t="shared" si="76"/>
        <v>0</v>
      </c>
    </row>
    <row r="210" spans="1:25" x14ac:dyDescent="0.25">
      <c r="A210" s="4" t="s">
        <v>1061</v>
      </c>
      <c r="B210" s="7" t="s">
        <v>552</v>
      </c>
      <c r="C210" s="2" t="s">
        <v>1062</v>
      </c>
      <c r="D210">
        <f>VLOOKUP(B210,'Model allocations'!$A$1:$L$316,3,FALSE)</f>
        <v>26938.785027320668</v>
      </c>
      <c r="E210" s="31">
        <f>VLOOKUP(B210,'Initial adjusted formula count'!$A$1:$P$316,12,FALSE)</f>
        <v>0.123711340206186</v>
      </c>
      <c r="F210">
        <f>VLOOKUP(B210,'Model allocations'!$A$1:$L$316,8,FALSE)</f>
        <v>22910.690018199432</v>
      </c>
      <c r="G210" s="30">
        <f t="shared" si="65"/>
        <v>0.85</v>
      </c>
      <c r="H210">
        <f t="shared" si="66"/>
        <v>22897.967273222566</v>
      </c>
      <c r="I210">
        <f t="shared" si="58"/>
        <v>0</v>
      </c>
      <c r="J210">
        <f t="shared" si="59"/>
        <v>22910.690018199432</v>
      </c>
      <c r="K210">
        <f t="shared" si="60"/>
        <v>22897.336037972873</v>
      </c>
      <c r="L210">
        <f t="shared" si="67"/>
        <v>22897.336037972873</v>
      </c>
      <c r="M210">
        <f t="shared" si="61"/>
        <v>22897.967273222566</v>
      </c>
      <c r="N210" s="29">
        <f t="shared" si="68"/>
        <v>0</v>
      </c>
      <c r="O210" s="29">
        <f t="shared" si="62"/>
        <v>0</v>
      </c>
      <c r="P210" s="29">
        <f t="shared" si="69"/>
        <v>22897.967273222566</v>
      </c>
      <c r="Q210">
        <f t="shared" si="70"/>
        <v>0</v>
      </c>
      <c r="R210" s="29">
        <f t="shared" si="71"/>
        <v>0</v>
      </c>
      <c r="S210" s="29">
        <f t="shared" si="63"/>
        <v>0</v>
      </c>
      <c r="T210" s="29">
        <f t="shared" si="72"/>
        <v>22897.967273222566</v>
      </c>
      <c r="U210">
        <f t="shared" si="73"/>
        <v>0</v>
      </c>
      <c r="V210" s="29">
        <f t="shared" si="74"/>
        <v>0</v>
      </c>
      <c r="W210" s="29">
        <f t="shared" si="64"/>
        <v>0</v>
      </c>
      <c r="X210" s="29">
        <f t="shared" si="75"/>
        <v>22897.967273222566</v>
      </c>
      <c r="Y210">
        <f t="shared" si="76"/>
        <v>0</v>
      </c>
    </row>
    <row r="211" spans="1:25" x14ac:dyDescent="0.25">
      <c r="A211" s="4" t="s">
        <v>1063</v>
      </c>
      <c r="B211" s="7" t="s">
        <v>554</v>
      </c>
      <c r="C211" s="2" t="s">
        <v>1064</v>
      </c>
      <c r="D211">
        <f>VLOOKUP(B211,'Model allocations'!$A$1:$L$316,3,FALSE)</f>
        <v>221959.46413754844</v>
      </c>
      <c r="E211" s="31">
        <f>VLOOKUP(B211,'Initial adjusted formula count'!$A$1:$P$316,12,FALSE)</f>
        <v>0.14830875975715499</v>
      </c>
      <c r="F211">
        <f>VLOOKUP(B211,'Model allocations'!$A$1:$L$316,8,FALSE)</f>
        <v>188665.54451691615</v>
      </c>
      <c r="G211" s="30">
        <f t="shared" si="65"/>
        <v>0.85</v>
      </c>
      <c r="H211">
        <f t="shared" si="66"/>
        <v>188665.54451691615</v>
      </c>
      <c r="I211">
        <f t="shared" si="58"/>
        <v>0</v>
      </c>
      <c r="J211">
        <f t="shared" si="59"/>
        <v>188665.54451691615</v>
      </c>
      <c r="K211">
        <f t="shared" si="60"/>
        <v>188555.57681411409</v>
      </c>
      <c r="L211">
        <f t="shared" si="67"/>
        <v>188555.57681411409</v>
      </c>
      <c r="M211">
        <f t="shared" si="61"/>
        <v>188665.54451691615</v>
      </c>
      <c r="N211" s="29">
        <f t="shared" si="68"/>
        <v>0</v>
      </c>
      <c r="O211" s="29">
        <f t="shared" si="62"/>
        <v>0</v>
      </c>
      <c r="P211" s="29">
        <f t="shared" si="69"/>
        <v>188665.54451691615</v>
      </c>
      <c r="Q211">
        <f t="shared" si="70"/>
        <v>0</v>
      </c>
      <c r="R211" s="29">
        <f t="shared" si="71"/>
        <v>0</v>
      </c>
      <c r="S211" s="29">
        <f t="shared" si="63"/>
        <v>0</v>
      </c>
      <c r="T211" s="29">
        <f t="shared" si="72"/>
        <v>188665.54451691615</v>
      </c>
      <c r="U211">
        <f t="shared" si="73"/>
        <v>0</v>
      </c>
      <c r="V211" s="29">
        <f t="shared" si="74"/>
        <v>0</v>
      </c>
      <c r="W211" s="29">
        <f t="shared" si="64"/>
        <v>0</v>
      </c>
      <c r="X211" s="29">
        <f t="shared" si="75"/>
        <v>188665.54451691615</v>
      </c>
      <c r="Y211">
        <f t="shared" si="76"/>
        <v>0</v>
      </c>
    </row>
    <row r="212" spans="1:25" x14ac:dyDescent="0.25">
      <c r="A212" s="4" t="s">
        <v>1065</v>
      </c>
      <c r="B212" s="7" t="s">
        <v>444</v>
      </c>
      <c r="C212" s="2" t="s">
        <v>1066</v>
      </c>
      <c r="D212">
        <f>VLOOKUP(B212,'Model allocations'!$A$1:$L$316,3,FALSE)</f>
        <v>30972.619207685653</v>
      </c>
      <c r="E212" s="31">
        <f>VLOOKUP(B212,'Initial adjusted formula count'!$A$1:$P$316,12,FALSE)</f>
        <v>9.8837209302325604E-2</v>
      </c>
      <c r="F212">
        <f>VLOOKUP(B212,'Model allocations'!$A$1:$L$316,8,FALSE)</f>
        <v>26326.726326532804</v>
      </c>
      <c r="G212" s="30">
        <f t="shared" si="65"/>
        <v>0.85</v>
      </c>
      <c r="H212">
        <f t="shared" si="66"/>
        <v>26326.726326532804</v>
      </c>
      <c r="I212">
        <f t="shared" si="58"/>
        <v>0</v>
      </c>
      <c r="J212">
        <f t="shared" si="59"/>
        <v>26326.726326532804</v>
      </c>
      <c r="K212">
        <f t="shared" si="60"/>
        <v>26311.381237296504</v>
      </c>
      <c r="L212">
        <f t="shared" si="67"/>
        <v>26311.381237296504</v>
      </c>
      <c r="M212">
        <f t="shared" si="61"/>
        <v>26326.726326532804</v>
      </c>
      <c r="N212" s="29">
        <f t="shared" si="68"/>
        <v>0</v>
      </c>
      <c r="O212" s="29">
        <f t="shared" si="62"/>
        <v>0</v>
      </c>
      <c r="P212" s="29">
        <f t="shared" si="69"/>
        <v>26326.726326532804</v>
      </c>
      <c r="Q212">
        <f t="shared" si="70"/>
        <v>0</v>
      </c>
      <c r="R212" s="29">
        <f t="shared" si="71"/>
        <v>0</v>
      </c>
      <c r="S212" s="29">
        <f t="shared" si="63"/>
        <v>0</v>
      </c>
      <c r="T212" s="29">
        <f t="shared" si="72"/>
        <v>26326.726326532804</v>
      </c>
      <c r="U212">
        <f t="shared" si="73"/>
        <v>0</v>
      </c>
      <c r="V212" s="29">
        <f t="shared" si="74"/>
        <v>0</v>
      </c>
      <c r="W212" s="29">
        <f t="shared" si="64"/>
        <v>0</v>
      </c>
      <c r="X212" s="29">
        <f t="shared" si="75"/>
        <v>26326.726326532804</v>
      </c>
      <c r="Y212">
        <f t="shared" si="76"/>
        <v>0</v>
      </c>
    </row>
    <row r="213" spans="1:25" x14ac:dyDescent="0.25">
      <c r="A213" s="4" t="s">
        <v>1067</v>
      </c>
      <c r="B213" s="7" t="s">
        <v>556</v>
      </c>
      <c r="C213" s="2" t="s">
        <v>1068</v>
      </c>
      <c r="D213">
        <f>VLOOKUP(B213,'Model allocations'!$A$1:$L$316,3,FALSE)</f>
        <v>383225.94184027147</v>
      </c>
      <c r="E213" s="31">
        <f>VLOOKUP(B213,'Initial adjusted formula count'!$A$1:$P$316,12,FALSE)</f>
        <v>0.19065898912348</v>
      </c>
      <c r="F213">
        <f>VLOOKUP(B213,'Model allocations'!$A$1:$L$316,8,FALSE)</f>
        <v>524481.24004279403</v>
      </c>
      <c r="G213" s="30">
        <f t="shared" si="65"/>
        <v>0.9</v>
      </c>
      <c r="H213">
        <f t="shared" si="66"/>
        <v>344903.34765624435</v>
      </c>
      <c r="I213">
        <f t="shared" si="58"/>
        <v>0</v>
      </c>
      <c r="J213">
        <f t="shared" si="59"/>
        <v>524481.24004279403</v>
      </c>
      <c r="K213">
        <f t="shared" si="60"/>
        <v>524175.53505952336</v>
      </c>
      <c r="L213">
        <f t="shared" si="67"/>
        <v>524175.53505952336</v>
      </c>
      <c r="M213">
        <f t="shared" si="61"/>
        <v>0</v>
      </c>
      <c r="N213" s="29">
        <f t="shared" si="68"/>
        <v>524175.53505952336</v>
      </c>
      <c r="O213" s="29">
        <f t="shared" si="62"/>
        <v>524159.40628239198</v>
      </c>
      <c r="P213" s="29">
        <f t="shared" si="69"/>
        <v>524159.40628239198</v>
      </c>
      <c r="Q213">
        <f t="shared" si="70"/>
        <v>0</v>
      </c>
      <c r="R213" s="29">
        <f t="shared" si="71"/>
        <v>524159.40628239198</v>
      </c>
      <c r="S213" s="29">
        <f t="shared" si="63"/>
        <v>524159.40628239198</v>
      </c>
      <c r="T213" s="29">
        <f t="shared" si="72"/>
        <v>524159.40628239198</v>
      </c>
      <c r="U213">
        <f t="shared" si="73"/>
        <v>0</v>
      </c>
      <c r="V213" s="29">
        <f t="shared" si="74"/>
        <v>524159.40628239198</v>
      </c>
      <c r="W213" s="29">
        <f t="shared" si="64"/>
        <v>524159.40628239198</v>
      </c>
      <c r="X213" s="29">
        <f t="shared" si="75"/>
        <v>524159.40628239198</v>
      </c>
      <c r="Y213">
        <f t="shared" si="76"/>
        <v>0</v>
      </c>
    </row>
    <row r="214" spans="1:25" x14ac:dyDescent="0.25">
      <c r="A214" s="4" t="s">
        <v>1069</v>
      </c>
      <c r="B214" s="7" t="s">
        <v>196</v>
      </c>
      <c r="C214" s="2" t="s">
        <v>1070</v>
      </c>
      <c r="D214">
        <f>VLOOKUP(B214,'Model allocations'!$A$1:$L$316,3,FALSE)</f>
        <v>93979.049962655801</v>
      </c>
      <c r="E214" s="31">
        <f>VLOOKUP(B214,'Initial adjusted formula count'!$A$1:$P$316,12,FALSE)</f>
        <v>5.9280855199222597E-2</v>
      </c>
      <c r="F214">
        <f>VLOOKUP(B214,'Model allocations'!$A$1:$L$316,8,FALSE)</f>
        <v>79795.174829403113</v>
      </c>
      <c r="G214" s="30">
        <f t="shared" si="65"/>
        <v>0.85</v>
      </c>
      <c r="H214">
        <f t="shared" si="66"/>
        <v>79882.192468257432</v>
      </c>
      <c r="I214">
        <f t="shared" si="58"/>
        <v>79882.192468257432</v>
      </c>
      <c r="J214">
        <f t="shared" si="59"/>
        <v>0</v>
      </c>
      <c r="K214">
        <f t="shared" si="60"/>
        <v>0</v>
      </c>
      <c r="L214">
        <f t="shared" si="67"/>
        <v>79882.192468257432</v>
      </c>
      <c r="M214">
        <f t="shared" si="61"/>
        <v>0</v>
      </c>
      <c r="N214" s="29">
        <f t="shared" si="68"/>
        <v>0</v>
      </c>
      <c r="O214" s="29">
        <f t="shared" si="62"/>
        <v>0</v>
      </c>
      <c r="P214" s="29">
        <f t="shared" si="69"/>
        <v>79882.192468257432</v>
      </c>
      <c r="Q214">
        <f t="shared" si="70"/>
        <v>0</v>
      </c>
      <c r="R214" s="29">
        <f t="shared" si="71"/>
        <v>0</v>
      </c>
      <c r="S214" s="29">
        <f t="shared" si="63"/>
        <v>0</v>
      </c>
      <c r="T214" s="29">
        <f t="shared" si="72"/>
        <v>79882.192468257432</v>
      </c>
      <c r="U214">
        <f t="shared" si="73"/>
        <v>0</v>
      </c>
      <c r="V214" s="29">
        <f t="shared" si="74"/>
        <v>0</v>
      </c>
      <c r="W214" s="29">
        <f t="shared" si="64"/>
        <v>0</v>
      </c>
      <c r="X214" s="29">
        <f t="shared" si="75"/>
        <v>79882.192468257432</v>
      </c>
      <c r="Y214">
        <f t="shared" si="76"/>
        <v>0</v>
      </c>
    </row>
    <row r="215" spans="1:25" x14ac:dyDescent="0.25">
      <c r="A215" s="4" t="s">
        <v>15</v>
      </c>
      <c r="B215" s="7" t="s">
        <v>69</v>
      </c>
      <c r="C215" s="2" t="s">
        <v>1071</v>
      </c>
      <c r="D215">
        <f>VLOOKUP(B215,'Model allocations'!$A$1:$L$316,3,FALSE)</f>
        <v>59718.402170953057</v>
      </c>
      <c r="E215" s="31">
        <f>VLOOKUP(B215,'Initial adjusted formula count'!$A$1:$P$316,12,FALSE)</f>
        <v>0.17293702827634</v>
      </c>
      <c r="F215">
        <f>VLOOKUP(B215,'Model allocations'!$A$1:$L$316,8,FALSE)</f>
        <v>60354.736563919032</v>
      </c>
      <c r="G215" s="30">
        <f t="shared" si="65"/>
        <v>0.9</v>
      </c>
      <c r="H215">
        <f t="shared" si="66"/>
        <v>53746.561953857752</v>
      </c>
      <c r="I215">
        <f t="shared" si="58"/>
        <v>0</v>
      </c>
      <c r="J215">
        <f t="shared" si="59"/>
        <v>60354.736563919032</v>
      </c>
      <c r="K215">
        <f t="shared" si="60"/>
        <v>60319.557529240745</v>
      </c>
      <c r="L215">
        <f t="shared" si="67"/>
        <v>60319.557529240745</v>
      </c>
      <c r="M215">
        <f t="shared" si="61"/>
        <v>0</v>
      </c>
      <c r="N215" s="29">
        <f t="shared" si="68"/>
        <v>60319.557529240745</v>
      </c>
      <c r="O215" s="29">
        <f t="shared" si="62"/>
        <v>60317.701508432867</v>
      </c>
      <c r="P215" s="29">
        <f t="shared" si="69"/>
        <v>60317.701508432867</v>
      </c>
      <c r="Q215">
        <f t="shared" si="70"/>
        <v>0</v>
      </c>
      <c r="R215" s="29">
        <f t="shared" si="71"/>
        <v>60317.701508432867</v>
      </c>
      <c r="S215" s="29">
        <f t="shared" si="63"/>
        <v>60317.701508432867</v>
      </c>
      <c r="T215" s="29">
        <f t="shared" si="72"/>
        <v>60317.701508432867</v>
      </c>
      <c r="U215">
        <f t="shared" si="73"/>
        <v>0</v>
      </c>
      <c r="V215" s="29">
        <f t="shared" si="74"/>
        <v>60317.701508432867</v>
      </c>
      <c r="W215" s="29">
        <f t="shared" si="64"/>
        <v>60317.701508432867</v>
      </c>
      <c r="X215" s="29">
        <f t="shared" si="75"/>
        <v>60317.701508432867</v>
      </c>
      <c r="Y215">
        <f t="shared" si="76"/>
        <v>0</v>
      </c>
    </row>
    <row r="216" spans="1:25" x14ac:dyDescent="0.25">
      <c r="A216" s="4" t="s">
        <v>21</v>
      </c>
      <c r="B216" s="7" t="s">
        <v>71</v>
      </c>
      <c r="C216" s="2" t="s">
        <v>1072</v>
      </c>
      <c r="D216">
        <f>VLOOKUP(B216,'Model allocations'!$A$1:$L$316,3,FALSE)</f>
        <v>47665.177245278159</v>
      </c>
      <c r="E216" s="31">
        <f>VLOOKUP(B216,'Initial adjusted formula count'!$A$1:$P$316,12,FALSE)</f>
        <v>0.152332290292609</v>
      </c>
      <c r="F216">
        <f>VLOOKUP(B216,'Model allocations'!$A$1:$L$316,8,FALSE)</f>
        <v>23669.691942259891</v>
      </c>
      <c r="G216" s="30">
        <f t="shared" si="65"/>
        <v>0.9</v>
      </c>
      <c r="H216">
        <f t="shared" si="66"/>
        <v>42898.659520750341</v>
      </c>
      <c r="I216">
        <f t="shared" si="58"/>
        <v>42898.659520750341</v>
      </c>
      <c r="J216">
        <f t="shared" si="59"/>
        <v>0</v>
      </c>
      <c r="K216">
        <f t="shared" si="60"/>
        <v>0</v>
      </c>
      <c r="L216">
        <f t="shared" si="67"/>
        <v>42898.659520750341</v>
      </c>
      <c r="M216">
        <f t="shared" si="61"/>
        <v>0</v>
      </c>
      <c r="N216" s="29">
        <f t="shared" si="68"/>
        <v>0</v>
      </c>
      <c r="O216" s="29">
        <f t="shared" si="62"/>
        <v>0</v>
      </c>
      <c r="P216" s="29">
        <f t="shared" si="69"/>
        <v>42898.659520750341</v>
      </c>
      <c r="Q216">
        <f t="shared" si="70"/>
        <v>0</v>
      </c>
      <c r="R216" s="29">
        <f t="shared" si="71"/>
        <v>0</v>
      </c>
      <c r="S216" s="29">
        <f t="shared" si="63"/>
        <v>0</v>
      </c>
      <c r="T216" s="29">
        <f t="shared" si="72"/>
        <v>42898.659520750341</v>
      </c>
      <c r="U216">
        <f t="shared" si="73"/>
        <v>0</v>
      </c>
      <c r="V216" s="29">
        <f t="shared" si="74"/>
        <v>0</v>
      </c>
      <c r="W216" s="29">
        <f t="shared" si="64"/>
        <v>0</v>
      </c>
      <c r="X216" s="29">
        <f t="shared" si="75"/>
        <v>42898.659520750341</v>
      </c>
      <c r="Y216">
        <f t="shared" si="76"/>
        <v>0</v>
      </c>
    </row>
    <row r="217" spans="1:25" x14ac:dyDescent="0.25">
      <c r="A217" s="4" t="s">
        <v>1073</v>
      </c>
      <c r="B217" s="7" t="s">
        <v>558</v>
      </c>
      <c r="C217" s="2" t="s">
        <v>1074</v>
      </c>
      <c r="D217">
        <f>VLOOKUP(B217,'Model allocations'!$A$1:$L$316,3,FALSE)</f>
        <v>104279.16784769295</v>
      </c>
      <c r="E217" s="31">
        <f>VLOOKUP(B217,'Initial adjusted formula count'!$A$1:$P$316,12,FALSE)</f>
        <v>0.223168654173765</v>
      </c>
      <c r="F217">
        <f>VLOOKUP(B217,'Model allocations'!$A$1:$L$316,8,FALSE)</f>
        <v>115280.2725597417</v>
      </c>
      <c r="G217" s="30">
        <f t="shared" si="65"/>
        <v>0.9</v>
      </c>
      <c r="H217">
        <f t="shared" si="66"/>
        <v>93851.251062923664</v>
      </c>
      <c r="I217">
        <f t="shared" si="58"/>
        <v>0</v>
      </c>
      <c r="J217">
        <f t="shared" si="59"/>
        <v>115280.2725597417</v>
      </c>
      <c r="K217">
        <f t="shared" si="60"/>
        <v>115213.07901476107</v>
      </c>
      <c r="L217">
        <f t="shared" si="67"/>
        <v>115213.07901476107</v>
      </c>
      <c r="M217">
        <f t="shared" si="61"/>
        <v>0</v>
      </c>
      <c r="N217" s="29">
        <f t="shared" si="68"/>
        <v>115213.07901476107</v>
      </c>
      <c r="O217" s="29">
        <f t="shared" si="62"/>
        <v>115209.53393119696</v>
      </c>
      <c r="P217" s="29">
        <f t="shared" si="69"/>
        <v>115209.53393119696</v>
      </c>
      <c r="Q217">
        <f t="shared" si="70"/>
        <v>0</v>
      </c>
      <c r="R217" s="29">
        <f t="shared" si="71"/>
        <v>115209.53393119696</v>
      </c>
      <c r="S217" s="29">
        <f t="shared" si="63"/>
        <v>115209.53393119696</v>
      </c>
      <c r="T217" s="29">
        <f t="shared" si="72"/>
        <v>115209.53393119696</v>
      </c>
      <c r="U217">
        <f t="shared" si="73"/>
        <v>0</v>
      </c>
      <c r="V217" s="29">
        <f t="shared" si="74"/>
        <v>115209.53393119696</v>
      </c>
      <c r="W217" s="29">
        <f t="shared" si="64"/>
        <v>115209.53393119696</v>
      </c>
      <c r="X217" s="29">
        <f t="shared" si="75"/>
        <v>115209.53393119696</v>
      </c>
      <c r="Y217">
        <f t="shared" si="76"/>
        <v>0</v>
      </c>
    </row>
    <row r="218" spans="1:25" x14ac:dyDescent="0.25">
      <c r="A218" s="4" t="s">
        <v>1075</v>
      </c>
      <c r="B218" s="7" t="s">
        <v>560</v>
      </c>
      <c r="C218" s="2" t="s">
        <v>1076</v>
      </c>
      <c r="D218">
        <f>VLOOKUP(B218,'Model allocations'!$A$1:$L$316,3,FALSE)</f>
        <v>93606.138049894391</v>
      </c>
      <c r="E218" s="31">
        <f>VLOOKUP(B218,'Initial adjusted formula count'!$A$1:$P$316,12,FALSE)</f>
        <v>8.1325301204819303E-2</v>
      </c>
      <c r="F218">
        <f>VLOOKUP(B218,'Model allocations'!$A$1:$L$316,8,FALSE)</f>
        <v>79827.734556492462</v>
      </c>
      <c r="G218" s="30">
        <f t="shared" si="65"/>
        <v>0.85</v>
      </c>
      <c r="H218">
        <f t="shared" si="66"/>
        <v>79565.217342410237</v>
      </c>
      <c r="I218">
        <f t="shared" si="58"/>
        <v>0</v>
      </c>
      <c r="J218">
        <f t="shared" si="59"/>
        <v>79827.734556492462</v>
      </c>
      <c r="K218">
        <f t="shared" si="60"/>
        <v>79781.205273090192</v>
      </c>
      <c r="L218">
        <f t="shared" si="67"/>
        <v>79781.205273090192</v>
      </c>
      <c r="M218">
        <f t="shared" si="61"/>
        <v>0</v>
      </c>
      <c r="N218" s="29">
        <f t="shared" si="68"/>
        <v>79781.205273090192</v>
      </c>
      <c r="O218" s="29">
        <f t="shared" si="62"/>
        <v>79778.750421245612</v>
      </c>
      <c r="P218" s="29">
        <f t="shared" si="69"/>
        <v>79778.750421245612</v>
      </c>
      <c r="Q218">
        <f t="shared" si="70"/>
        <v>0</v>
      </c>
      <c r="R218" s="29">
        <f t="shared" si="71"/>
        <v>79778.750421245612</v>
      </c>
      <c r="S218" s="29">
        <f t="shared" si="63"/>
        <v>79778.750421245612</v>
      </c>
      <c r="T218" s="29">
        <f t="shared" si="72"/>
        <v>79778.750421245612</v>
      </c>
      <c r="U218">
        <f t="shared" si="73"/>
        <v>0</v>
      </c>
      <c r="V218" s="29">
        <f t="shared" si="74"/>
        <v>79778.750421245612</v>
      </c>
      <c r="W218" s="29">
        <f t="shared" si="64"/>
        <v>79778.750421245612</v>
      </c>
      <c r="X218" s="29">
        <f t="shared" si="75"/>
        <v>79778.750421245612</v>
      </c>
      <c r="Y218">
        <f t="shared" si="76"/>
        <v>0</v>
      </c>
    </row>
    <row r="219" spans="1:25" x14ac:dyDescent="0.25">
      <c r="A219" s="4" t="s">
        <v>1077</v>
      </c>
      <c r="B219" s="7" t="s">
        <v>562</v>
      </c>
      <c r="C219" s="2" t="s">
        <v>1078</v>
      </c>
      <c r="D219">
        <f>VLOOKUP(B219,'Model allocations'!$A$1:$L$316,3,FALSE)</f>
        <v>2024161.4495529251</v>
      </c>
      <c r="E219" s="31">
        <f>VLOOKUP(B219,'Initial adjusted formula count'!$A$1:$P$316,12,FALSE)</f>
        <v>0.12677871174366601</v>
      </c>
      <c r="F219">
        <f>VLOOKUP(B219,'Model allocations'!$A$1:$L$316,8,FALSE)</f>
        <v>1958149.8052432481</v>
      </c>
      <c r="G219" s="30">
        <f t="shared" si="65"/>
        <v>0.85</v>
      </c>
      <c r="H219">
        <f t="shared" si="66"/>
        <v>1720537.2321199863</v>
      </c>
      <c r="I219">
        <f t="shared" si="58"/>
        <v>0</v>
      </c>
      <c r="J219">
        <f t="shared" si="59"/>
        <v>1958149.8052432481</v>
      </c>
      <c r="K219">
        <f t="shared" si="60"/>
        <v>1957008.4562153886</v>
      </c>
      <c r="L219">
        <f t="shared" si="67"/>
        <v>1957008.4562153886</v>
      </c>
      <c r="M219">
        <f t="shared" si="61"/>
        <v>0</v>
      </c>
      <c r="N219" s="29">
        <f t="shared" si="68"/>
        <v>1957008.4562153886</v>
      </c>
      <c r="O219" s="29">
        <f t="shared" si="62"/>
        <v>1956948.2394537826</v>
      </c>
      <c r="P219" s="29">
        <f t="shared" si="69"/>
        <v>1956948.2394537826</v>
      </c>
      <c r="Q219">
        <f t="shared" si="70"/>
        <v>0</v>
      </c>
      <c r="R219" s="29">
        <f t="shared" si="71"/>
        <v>1956948.2394537826</v>
      </c>
      <c r="S219" s="29">
        <f t="shared" si="63"/>
        <v>1956948.2394537826</v>
      </c>
      <c r="T219" s="29">
        <f t="shared" si="72"/>
        <v>1956948.2394537826</v>
      </c>
      <c r="U219">
        <f t="shared" si="73"/>
        <v>0</v>
      </c>
      <c r="V219" s="29">
        <f t="shared" si="74"/>
        <v>1956948.2394537826</v>
      </c>
      <c r="W219" s="29">
        <f t="shared" si="64"/>
        <v>1956948.2394537826</v>
      </c>
      <c r="X219" s="29">
        <f t="shared" si="75"/>
        <v>1956948.2394537826</v>
      </c>
      <c r="Y219">
        <f t="shared" si="76"/>
        <v>0</v>
      </c>
    </row>
    <row r="220" spans="1:25" x14ac:dyDescent="0.25">
      <c r="A220" s="4" t="s">
        <v>1079</v>
      </c>
      <c r="B220" s="7" t="s">
        <v>563</v>
      </c>
      <c r="C220" s="2" t="s">
        <v>1080</v>
      </c>
      <c r="D220">
        <f>VLOOKUP(B220,'Model allocations'!$A$1:$L$316,3,FALSE)</f>
        <v>82554.341212756932</v>
      </c>
      <c r="E220" s="31">
        <f>VLOOKUP(B220,'Initial adjusted formula count'!$A$1:$P$316,12,FALSE)</f>
        <v>0.213720316622691</v>
      </c>
      <c r="F220">
        <f>VLOOKUP(B220,'Model allocations'!$A$1:$L$316,8,FALSE)</f>
        <v>74340.189622620572</v>
      </c>
      <c r="G220" s="30">
        <f t="shared" si="65"/>
        <v>0.9</v>
      </c>
      <c r="H220">
        <f t="shared" si="66"/>
        <v>74298.907091481247</v>
      </c>
      <c r="I220">
        <f t="shared" si="58"/>
        <v>0</v>
      </c>
      <c r="J220">
        <f t="shared" si="59"/>
        <v>74340.189622620572</v>
      </c>
      <c r="K220">
        <f t="shared" si="60"/>
        <v>74296.858870841796</v>
      </c>
      <c r="L220">
        <f t="shared" si="67"/>
        <v>74296.858870841796</v>
      </c>
      <c r="M220">
        <f t="shared" si="61"/>
        <v>74298.907091481247</v>
      </c>
      <c r="N220" s="29">
        <f t="shared" si="68"/>
        <v>0</v>
      </c>
      <c r="O220" s="29">
        <f t="shared" si="62"/>
        <v>0</v>
      </c>
      <c r="P220" s="29">
        <f t="shared" si="69"/>
        <v>74298.907091481247</v>
      </c>
      <c r="Q220">
        <f t="shared" si="70"/>
        <v>0</v>
      </c>
      <c r="R220" s="29">
        <f t="shared" si="71"/>
        <v>0</v>
      </c>
      <c r="S220" s="29">
        <f t="shared" si="63"/>
        <v>0</v>
      </c>
      <c r="T220" s="29">
        <f t="shared" si="72"/>
        <v>74298.907091481247</v>
      </c>
      <c r="U220">
        <f t="shared" si="73"/>
        <v>0</v>
      </c>
      <c r="V220" s="29">
        <f t="shared" si="74"/>
        <v>0</v>
      </c>
      <c r="W220" s="29">
        <f t="shared" si="64"/>
        <v>0</v>
      </c>
      <c r="X220" s="29">
        <f t="shared" si="75"/>
        <v>74298.907091481247</v>
      </c>
      <c r="Y220">
        <f t="shared" si="76"/>
        <v>0</v>
      </c>
    </row>
    <row r="221" spans="1:25" x14ac:dyDescent="0.25">
      <c r="A221" s="4" t="s">
        <v>1081</v>
      </c>
      <c r="B221" s="7" t="s">
        <v>198</v>
      </c>
      <c r="C221" s="2" t="s">
        <v>1082</v>
      </c>
      <c r="D221">
        <f>VLOOKUP(B221,'Model allocations'!$A$1:$L$316,3,FALSE)</f>
        <v>1318262.4802079184</v>
      </c>
      <c r="E221" s="31">
        <f>VLOOKUP(B221,'Initial adjusted formula count'!$A$1:$P$316,12,FALSE)</f>
        <v>8.0586778433987399E-2</v>
      </c>
      <c r="F221">
        <f>VLOOKUP(B221,'Model allocations'!$A$1:$L$316,8,FALSE)</f>
        <v>1121217.5300686869</v>
      </c>
      <c r="G221" s="30">
        <f t="shared" si="65"/>
        <v>0.85</v>
      </c>
      <c r="H221">
        <f t="shared" si="66"/>
        <v>1120523.1081767306</v>
      </c>
      <c r="I221">
        <f t="shared" si="58"/>
        <v>0</v>
      </c>
      <c r="J221">
        <f t="shared" si="59"/>
        <v>1121217.5300686869</v>
      </c>
      <c r="K221">
        <f t="shared" si="60"/>
        <v>1120564.0047181055</v>
      </c>
      <c r="L221">
        <f t="shared" si="67"/>
        <v>1120564.0047181055</v>
      </c>
      <c r="M221">
        <f t="shared" si="61"/>
        <v>0</v>
      </c>
      <c r="N221" s="29">
        <f t="shared" si="68"/>
        <v>1120564.0047181055</v>
      </c>
      <c r="O221" s="29">
        <f t="shared" si="62"/>
        <v>1120529.5251861841</v>
      </c>
      <c r="P221" s="29">
        <f t="shared" si="69"/>
        <v>1120529.5251861841</v>
      </c>
      <c r="Q221">
        <f t="shared" si="70"/>
        <v>0</v>
      </c>
      <c r="R221" s="29">
        <f t="shared" si="71"/>
        <v>1120529.5251861841</v>
      </c>
      <c r="S221" s="29">
        <f t="shared" si="63"/>
        <v>1120529.5251861841</v>
      </c>
      <c r="T221" s="29">
        <f t="shared" si="72"/>
        <v>1120529.5251861841</v>
      </c>
      <c r="U221">
        <f t="shared" si="73"/>
        <v>0</v>
      </c>
      <c r="V221" s="29">
        <f t="shared" si="74"/>
        <v>1120529.5251861841</v>
      </c>
      <c r="W221" s="29">
        <f t="shared" si="64"/>
        <v>1120529.5251861841</v>
      </c>
      <c r="X221" s="29">
        <f t="shared" si="75"/>
        <v>1120529.5251861841</v>
      </c>
      <c r="Y221">
        <f t="shared" si="76"/>
        <v>0</v>
      </c>
    </row>
    <row r="222" spans="1:25" x14ac:dyDescent="0.25">
      <c r="A222" s="4" t="s">
        <v>1083</v>
      </c>
      <c r="B222" s="7" t="s">
        <v>200</v>
      </c>
      <c r="C222" s="2" t="s">
        <v>1084</v>
      </c>
      <c r="D222">
        <f>VLOOKUP(B222,'Model allocations'!$A$1:$L$316,3,FALSE)</f>
        <v>154686.01391368813</v>
      </c>
      <c r="E222" s="31">
        <f>VLOOKUP(B222,'Initial adjusted formula count'!$A$1:$P$316,12,FALSE)</f>
        <v>3.9120985269258599E-2</v>
      </c>
      <c r="F222">
        <f>VLOOKUP(B222,'Model allocations'!$A$1:$L$316,8,FALSE)</f>
        <v>142560.33705861185</v>
      </c>
      <c r="G222" s="30">
        <f t="shared" si="65"/>
        <v>0.85</v>
      </c>
      <c r="H222">
        <f t="shared" si="66"/>
        <v>131483.11182663491</v>
      </c>
      <c r="I222">
        <f t="shared" si="58"/>
        <v>0</v>
      </c>
      <c r="J222">
        <f t="shared" si="59"/>
        <v>142560.33705861185</v>
      </c>
      <c r="K222">
        <f t="shared" si="60"/>
        <v>142477.24275107856</v>
      </c>
      <c r="L222">
        <f t="shared" si="67"/>
        <v>142477.24275107856</v>
      </c>
      <c r="M222">
        <f t="shared" si="61"/>
        <v>0</v>
      </c>
      <c r="N222" s="29">
        <f t="shared" si="68"/>
        <v>142477.24275107856</v>
      </c>
      <c r="O222" s="29">
        <f t="shared" si="62"/>
        <v>142472.85875460997</v>
      </c>
      <c r="P222" s="29">
        <f t="shared" si="69"/>
        <v>142472.85875460997</v>
      </c>
      <c r="Q222">
        <f t="shared" si="70"/>
        <v>0</v>
      </c>
      <c r="R222" s="29">
        <f t="shared" si="71"/>
        <v>142472.85875460997</v>
      </c>
      <c r="S222" s="29">
        <f t="shared" si="63"/>
        <v>142472.85875460997</v>
      </c>
      <c r="T222" s="29">
        <f t="shared" si="72"/>
        <v>142472.85875460997</v>
      </c>
      <c r="U222">
        <f t="shared" si="73"/>
        <v>0</v>
      </c>
      <c r="V222" s="29">
        <f t="shared" si="74"/>
        <v>142472.85875460997</v>
      </c>
      <c r="W222" s="29">
        <f t="shared" si="64"/>
        <v>142472.85875460997</v>
      </c>
      <c r="X222" s="29">
        <f t="shared" si="75"/>
        <v>142472.85875460997</v>
      </c>
      <c r="Y222">
        <f t="shared" si="76"/>
        <v>0</v>
      </c>
    </row>
    <row r="223" spans="1:25" x14ac:dyDescent="0.25">
      <c r="A223" s="4" t="s">
        <v>1085</v>
      </c>
      <c r="B223" s="7" t="s">
        <v>202</v>
      </c>
      <c r="C223" s="2" t="s">
        <v>1086</v>
      </c>
      <c r="D223">
        <f>VLOOKUP(B223,'Model allocations'!$A$1:$L$316,3,FALSE)</f>
        <v>43146.579257373196</v>
      </c>
      <c r="E223" s="31">
        <f>VLOOKUP(B223,'Initial adjusted formula count'!$A$1:$P$316,12,FALSE)</f>
        <v>0.12980769230769201</v>
      </c>
      <c r="F223">
        <f>VLOOKUP(B223,'Model allocations'!$A$1:$L$316,8,FALSE)</f>
        <v>47520.112352870616</v>
      </c>
      <c r="G223" s="30">
        <f t="shared" si="65"/>
        <v>0.85</v>
      </c>
      <c r="H223">
        <f t="shared" si="66"/>
        <v>36674.592368767218</v>
      </c>
      <c r="I223">
        <f t="shared" si="58"/>
        <v>0</v>
      </c>
      <c r="J223">
        <f t="shared" si="59"/>
        <v>47520.112352870616</v>
      </c>
      <c r="K223">
        <f t="shared" si="60"/>
        <v>47492.414250359521</v>
      </c>
      <c r="L223">
        <f t="shared" si="67"/>
        <v>47492.414250359521</v>
      </c>
      <c r="M223">
        <f t="shared" si="61"/>
        <v>0</v>
      </c>
      <c r="N223" s="29">
        <f t="shared" si="68"/>
        <v>47492.414250359521</v>
      </c>
      <c r="O223" s="29">
        <f t="shared" si="62"/>
        <v>47490.952918203322</v>
      </c>
      <c r="P223" s="29">
        <f t="shared" si="69"/>
        <v>47490.952918203322</v>
      </c>
      <c r="Q223">
        <f t="shared" si="70"/>
        <v>0</v>
      </c>
      <c r="R223" s="29">
        <f t="shared" si="71"/>
        <v>47490.952918203322</v>
      </c>
      <c r="S223" s="29">
        <f t="shared" si="63"/>
        <v>47490.952918203322</v>
      </c>
      <c r="T223" s="29">
        <f t="shared" si="72"/>
        <v>47490.952918203322</v>
      </c>
      <c r="U223">
        <f t="shared" si="73"/>
        <v>0</v>
      </c>
      <c r="V223" s="29">
        <f t="shared" si="74"/>
        <v>47490.952918203322</v>
      </c>
      <c r="W223" s="29">
        <f t="shared" si="64"/>
        <v>47490.952918203322</v>
      </c>
      <c r="X223" s="29">
        <f t="shared" si="75"/>
        <v>47490.952918203322</v>
      </c>
      <c r="Y223">
        <f t="shared" si="76"/>
        <v>0</v>
      </c>
    </row>
    <row r="224" spans="1:25" x14ac:dyDescent="0.25">
      <c r="A224" s="4" t="s">
        <v>1087</v>
      </c>
      <c r="B224" s="7" t="s">
        <v>295</v>
      </c>
      <c r="C224" s="2" t="s">
        <v>1088</v>
      </c>
      <c r="D224">
        <f>VLOOKUP(B224,'Model allocations'!$A$1:$L$316,3,FALSE)</f>
        <v>210296.32182618076</v>
      </c>
      <c r="E224" s="31">
        <f>VLOOKUP(B224,'Initial adjusted formula count'!$A$1:$P$316,12,FALSE)</f>
        <v>0.103750608865076</v>
      </c>
      <c r="F224">
        <f>VLOOKUP(B224,'Model allocations'!$A$1:$L$316,8,FALSE)</f>
        <v>187440.44316965633</v>
      </c>
      <c r="G224" s="30">
        <f t="shared" si="65"/>
        <v>0.85</v>
      </c>
      <c r="H224">
        <f t="shared" si="66"/>
        <v>178751.87355225364</v>
      </c>
      <c r="I224">
        <f t="shared" si="58"/>
        <v>0</v>
      </c>
      <c r="J224">
        <f t="shared" si="59"/>
        <v>187440.44316965633</v>
      </c>
      <c r="K224">
        <f t="shared" si="60"/>
        <v>187331.18954308479</v>
      </c>
      <c r="L224">
        <f t="shared" si="67"/>
        <v>187331.18954308479</v>
      </c>
      <c r="M224">
        <f t="shared" si="61"/>
        <v>0</v>
      </c>
      <c r="N224" s="29">
        <f t="shared" si="68"/>
        <v>187331.18954308479</v>
      </c>
      <c r="O224" s="29">
        <f t="shared" si="62"/>
        <v>187325.42539957981</v>
      </c>
      <c r="P224" s="29">
        <f t="shared" si="69"/>
        <v>187325.42539957981</v>
      </c>
      <c r="Q224">
        <f t="shared" si="70"/>
        <v>0</v>
      </c>
      <c r="R224" s="29">
        <f t="shared" si="71"/>
        <v>187325.42539957981</v>
      </c>
      <c r="S224" s="29">
        <f t="shared" si="63"/>
        <v>187325.42539957981</v>
      </c>
      <c r="T224" s="29">
        <f t="shared" si="72"/>
        <v>187325.42539957981</v>
      </c>
      <c r="U224">
        <f t="shared" si="73"/>
        <v>0</v>
      </c>
      <c r="V224" s="29">
        <f t="shared" si="74"/>
        <v>187325.42539957981</v>
      </c>
      <c r="W224" s="29">
        <f t="shared" si="64"/>
        <v>187325.42539957981</v>
      </c>
      <c r="X224" s="29">
        <f t="shared" si="75"/>
        <v>187325.42539957981</v>
      </c>
      <c r="Y224">
        <f t="shared" si="76"/>
        <v>0</v>
      </c>
    </row>
    <row r="225" spans="1:25" x14ac:dyDescent="0.25">
      <c r="A225" s="4" t="s">
        <v>1089</v>
      </c>
      <c r="B225" s="7" t="s">
        <v>204</v>
      </c>
      <c r="C225" s="2" t="s">
        <v>1090</v>
      </c>
      <c r="D225">
        <f>VLOOKUP(B225,'Model allocations'!$A$1:$L$316,3,FALSE)</f>
        <v>121997.64870928614</v>
      </c>
      <c r="E225" s="31">
        <f>VLOOKUP(B225,'Initial adjusted formula count'!$A$1:$P$316,12,FALSE)</f>
        <v>3.3876389966382203E-2</v>
      </c>
      <c r="F225">
        <f>VLOOKUP(B225,'Model allocations'!$A$1:$L$316,8,FALSE)</f>
        <v>115280.2725597417</v>
      </c>
      <c r="G225" s="30">
        <f t="shared" si="65"/>
        <v>0.85</v>
      </c>
      <c r="H225">
        <f t="shared" si="66"/>
        <v>103698.00140289321</v>
      </c>
      <c r="I225">
        <f t="shared" si="58"/>
        <v>0</v>
      </c>
      <c r="J225">
        <f t="shared" si="59"/>
        <v>115280.2725597417</v>
      </c>
      <c r="K225">
        <f t="shared" si="60"/>
        <v>115213.07901476107</v>
      </c>
      <c r="L225">
        <f t="shared" si="67"/>
        <v>115213.07901476107</v>
      </c>
      <c r="M225">
        <f t="shared" si="61"/>
        <v>0</v>
      </c>
      <c r="N225" s="29">
        <f t="shared" si="68"/>
        <v>115213.07901476107</v>
      </c>
      <c r="O225" s="29">
        <f t="shared" si="62"/>
        <v>115209.53393119696</v>
      </c>
      <c r="P225" s="29">
        <f t="shared" si="69"/>
        <v>115209.53393119696</v>
      </c>
      <c r="Q225">
        <f t="shared" si="70"/>
        <v>0</v>
      </c>
      <c r="R225" s="29">
        <f t="shared" si="71"/>
        <v>115209.53393119696</v>
      </c>
      <c r="S225" s="29">
        <f t="shared" si="63"/>
        <v>115209.53393119696</v>
      </c>
      <c r="T225" s="29">
        <f t="shared" si="72"/>
        <v>115209.53393119696</v>
      </c>
      <c r="U225">
        <f t="shared" si="73"/>
        <v>0</v>
      </c>
      <c r="V225" s="29">
        <f t="shared" si="74"/>
        <v>115209.53393119696</v>
      </c>
      <c r="W225" s="29">
        <f t="shared" si="64"/>
        <v>115209.53393119696</v>
      </c>
      <c r="X225" s="29">
        <f t="shared" si="75"/>
        <v>115209.53393119696</v>
      </c>
      <c r="Y225">
        <f t="shared" si="76"/>
        <v>0</v>
      </c>
    </row>
    <row r="226" spans="1:25" x14ac:dyDescent="0.25">
      <c r="A226" s="4" t="s">
        <v>1091</v>
      </c>
      <c r="B226" s="7" t="s">
        <v>565</v>
      </c>
      <c r="C226" s="2" t="s">
        <v>1092</v>
      </c>
      <c r="D226">
        <f>VLOOKUP(B226,'Model allocations'!$A$1:$L$316,3,FALSE)</f>
        <v>223331.21780714233</v>
      </c>
      <c r="E226" s="31">
        <f>VLOOKUP(B226,'Initial adjusted formula count'!$A$1:$P$316,12,FALSE)</f>
        <v>0.105622489959839</v>
      </c>
      <c r="F226">
        <f>VLOOKUP(B226,'Model allocations'!$A$1:$L$316,8,FALSE)</f>
        <v>231440.54720009211</v>
      </c>
      <c r="G226" s="30">
        <f t="shared" si="65"/>
        <v>0.85</v>
      </c>
      <c r="H226">
        <f t="shared" si="66"/>
        <v>189831.53513607098</v>
      </c>
      <c r="I226">
        <f t="shared" si="58"/>
        <v>0</v>
      </c>
      <c r="J226">
        <f t="shared" si="59"/>
        <v>231440.54720009211</v>
      </c>
      <c r="K226">
        <f t="shared" si="60"/>
        <v>231305.64718230659</v>
      </c>
      <c r="L226">
        <f t="shared" si="67"/>
        <v>231305.64718230659</v>
      </c>
      <c r="M226">
        <f t="shared" si="61"/>
        <v>0</v>
      </c>
      <c r="N226" s="29">
        <f t="shared" si="68"/>
        <v>231305.64718230659</v>
      </c>
      <c r="O226" s="29">
        <f t="shared" si="62"/>
        <v>231298.52995347176</v>
      </c>
      <c r="P226" s="29">
        <f t="shared" si="69"/>
        <v>231298.52995347176</v>
      </c>
      <c r="Q226">
        <f t="shared" si="70"/>
        <v>0</v>
      </c>
      <c r="R226" s="29">
        <f t="shared" si="71"/>
        <v>231298.52995347176</v>
      </c>
      <c r="S226" s="29">
        <f t="shared" si="63"/>
        <v>231298.52995347176</v>
      </c>
      <c r="T226" s="29">
        <f t="shared" si="72"/>
        <v>231298.52995347176</v>
      </c>
      <c r="U226">
        <f t="shared" si="73"/>
        <v>0</v>
      </c>
      <c r="V226" s="29">
        <f t="shared" si="74"/>
        <v>231298.52995347176</v>
      </c>
      <c r="W226" s="29">
        <f t="shared" si="64"/>
        <v>231298.52995347176</v>
      </c>
      <c r="X226" s="29">
        <f t="shared" si="75"/>
        <v>231298.52995347176</v>
      </c>
      <c r="Y226">
        <f t="shared" si="76"/>
        <v>0</v>
      </c>
    </row>
    <row r="227" spans="1:25" x14ac:dyDescent="0.25">
      <c r="A227" s="4" t="s">
        <v>1093</v>
      </c>
      <c r="B227" s="7" t="s">
        <v>297</v>
      </c>
      <c r="C227" s="2" t="s">
        <v>1094</v>
      </c>
      <c r="D227">
        <f>VLOOKUP(B227,'Model allocations'!$A$1:$L$316,3,FALSE)</f>
        <v>0</v>
      </c>
      <c r="E227" s="31">
        <f>VLOOKUP(B227,'Initial adjusted formula count'!$A$1:$P$316,12,FALSE)</f>
        <v>0.116279069767442</v>
      </c>
      <c r="F227">
        <f>VLOOKUP(B227,'Model allocations'!$A$1:$L$316,8,FALSE)</f>
        <v>0</v>
      </c>
      <c r="G227" s="30">
        <f t="shared" si="65"/>
        <v>0.85</v>
      </c>
      <c r="H227">
        <f t="shared" si="66"/>
        <v>0</v>
      </c>
      <c r="I227">
        <f t="shared" si="58"/>
        <v>0</v>
      </c>
      <c r="J227">
        <f t="shared" si="59"/>
        <v>0</v>
      </c>
      <c r="K227">
        <f t="shared" si="60"/>
        <v>0</v>
      </c>
      <c r="L227">
        <f t="shared" si="67"/>
        <v>0</v>
      </c>
      <c r="M227">
        <f t="shared" si="61"/>
        <v>0</v>
      </c>
      <c r="N227" s="29">
        <f t="shared" si="68"/>
        <v>0</v>
      </c>
      <c r="O227" s="29">
        <f t="shared" si="62"/>
        <v>0</v>
      </c>
      <c r="P227" s="29">
        <f t="shared" si="69"/>
        <v>0</v>
      </c>
      <c r="Q227">
        <f t="shared" si="70"/>
        <v>0</v>
      </c>
      <c r="R227" s="29">
        <f t="shared" si="71"/>
        <v>0</v>
      </c>
      <c r="S227" s="29">
        <f t="shared" si="63"/>
        <v>0</v>
      </c>
      <c r="T227" s="29">
        <f t="shared" si="72"/>
        <v>0</v>
      </c>
      <c r="U227">
        <f t="shared" si="73"/>
        <v>0</v>
      </c>
      <c r="V227" s="29">
        <f t="shared" si="74"/>
        <v>0</v>
      </c>
      <c r="W227" s="29">
        <f t="shared" si="64"/>
        <v>0</v>
      </c>
      <c r="X227" s="29">
        <f t="shared" si="75"/>
        <v>0</v>
      </c>
      <c r="Y227">
        <f t="shared" si="76"/>
        <v>0</v>
      </c>
    </row>
    <row r="228" spans="1:25" x14ac:dyDescent="0.25">
      <c r="A228" s="4" t="s">
        <v>1095</v>
      </c>
      <c r="B228" s="7" t="s">
        <v>567</v>
      </c>
      <c r="C228" s="2" t="s">
        <v>1096</v>
      </c>
      <c r="D228">
        <f>VLOOKUP(B228,'Model allocations'!$A$1:$L$316,3,FALSE)</f>
        <v>40842.674073679715</v>
      </c>
      <c r="E228" s="31">
        <f>VLOOKUP(B228,'Initial adjusted formula count'!$A$1:$P$316,12,FALSE)</f>
        <v>0.11740890688259099</v>
      </c>
      <c r="F228">
        <f>VLOOKUP(B228,'Model allocations'!$A$1:$L$316,8,FALSE)</f>
        <v>34735.562285657186</v>
      </c>
      <c r="G228" s="30">
        <f t="shared" si="65"/>
        <v>0.85</v>
      </c>
      <c r="H228">
        <f t="shared" si="66"/>
        <v>34716.272962627758</v>
      </c>
      <c r="I228">
        <f t="shared" si="58"/>
        <v>0</v>
      </c>
      <c r="J228">
        <f t="shared" si="59"/>
        <v>34735.562285657186</v>
      </c>
      <c r="K228">
        <f t="shared" si="60"/>
        <v>34715.315928539501</v>
      </c>
      <c r="L228">
        <f t="shared" si="67"/>
        <v>34715.315928539501</v>
      </c>
      <c r="M228">
        <f t="shared" si="61"/>
        <v>34716.272962627758</v>
      </c>
      <c r="N228" s="29">
        <f t="shared" si="68"/>
        <v>0</v>
      </c>
      <c r="O228" s="29">
        <f t="shared" si="62"/>
        <v>0</v>
      </c>
      <c r="P228" s="29">
        <f t="shared" si="69"/>
        <v>34716.272962627758</v>
      </c>
      <c r="Q228">
        <f t="shared" si="70"/>
        <v>0</v>
      </c>
      <c r="R228" s="29">
        <f t="shared" si="71"/>
        <v>0</v>
      </c>
      <c r="S228" s="29">
        <f t="shared" si="63"/>
        <v>0</v>
      </c>
      <c r="T228" s="29">
        <f t="shared" si="72"/>
        <v>34716.272962627758</v>
      </c>
      <c r="U228">
        <f t="shared" si="73"/>
        <v>0</v>
      </c>
      <c r="V228" s="29">
        <f t="shared" si="74"/>
        <v>0</v>
      </c>
      <c r="W228" s="29">
        <f t="shared" si="64"/>
        <v>0</v>
      </c>
      <c r="X228" s="29">
        <f t="shared" si="75"/>
        <v>34716.272962627758</v>
      </c>
      <c r="Y228">
        <f t="shared" si="76"/>
        <v>0</v>
      </c>
    </row>
    <row r="229" spans="1:25" x14ac:dyDescent="0.25">
      <c r="A229" s="4" t="s">
        <v>1097</v>
      </c>
      <c r="B229" s="7" t="s">
        <v>569</v>
      </c>
      <c r="C229" s="2" t="s">
        <v>1098</v>
      </c>
      <c r="D229">
        <f>VLOOKUP(B229,'Model allocations'!$A$1:$L$316,3,FALSE)</f>
        <v>206820.3495645909</v>
      </c>
      <c r="E229" s="31">
        <f>VLOOKUP(B229,'Initial adjusted formula count'!$A$1:$P$316,12,FALSE)</f>
        <v>0.146951219512195</v>
      </c>
      <c r="F229">
        <f>VLOOKUP(B229,'Model allocations'!$A$1:$L$316,8,FALSE)</f>
        <v>212080.50142670039</v>
      </c>
      <c r="G229" s="30">
        <f t="shared" si="65"/>
        <v>0.85</v>
      </c>
      <c r="H229">
        <f t="shared" si="66"/>
        <v>175797.29712990226</v>
      </c>
      <c r="I229">
        <f t="shared" si="58"/>
        <v>0</v>
      </c>
      <c r="J229">
        <f t="shared" si="59"/>
        <v>212080.50142670039</v>
      </c>
      <c r="K229">
        <f t="shared" si="60"/>
        <v>211956.88582104901</v>
      </c>
      <c r="L229">
        <f t="shared" si="67"/>
        <v>211956.88582104901</v>
      </c>
      <c r="M229">
        <f t="shared" si="61"/>
        <v>0</v>
      </c>
      <c r="N229" s="29">
        <f t="shared" si="68"/>
        <v>211956.88582104901</v>
      </c>
      <c r="O229" s="29">
        <f t="shared" si="62"/>
        <v>211950.36394975931</v>
      </c>
      <c r="P229" s="29">
        <f t="shared" si="69"/>
        <v>211950.36394975931</v>
      </c>
      <c r="Q229">
        <f t="shared" si="70"/>
        <v>0</v>
      </c>
      <c r="R229" s="29">
        <f t="shared" si="71"/>
        <v>211950.36394975931</v>
      </c>
      <c r="S229" s="29">
        <f t="shared" si="63"/>
        <v>211950.36394975931</v>
      </c>
      <c r="T229" s="29">
        <f t="shared" si="72"/>
        <v>211950.36394975931</v>
      </c>
      <c r="U229">
        <f t="shared" si="73"/>
        <v>0</v>
      </c>
      <c r="V229" s="29">
        <f t="shared" si="74"/>
        <v>211950.36394975931</v>
      </c>
      <c r="W229" s="29">
        <f t="shared" si="64"/>
        <v>211950.36394975931</v>
      </c>
      <c r="X229" s="29">
        <f t="shared" si="75"/>
        <v>211950.36394975931</v>
      </c>
      <c r="Y229">
        <f t="shared" si="76"/>
        <v>0</v>
      </c>
    </row>
    <row r="230" spans="1:25" x14ac:dyDescent="0.25">
      <c r="A230" s="4" t="s">
        <v>1099</v>
      </c>
      <c r="B230" s="7" t="s">
        <v>206</v>
      </c>
      <c r="C230" s="2" t="s">
        <v>1100</v>
      </c>
      <c r="D230">
        <f>VLOOKUP(B230,'Model allocations'!$A$1:$L$316,3,FALSE)</f>
        <v>74733.403624179948</v>
      </c>
      <c r="E230" s="31">
        <f>VLOOKUP(B230,'Initial adjusted formula count'!$A$1:$P$316,12,FALSE)</f>
        <v>8.7310826542491296E-2</v>
      </c>
      <c r="F230">
        <f>VLOOKUP(B230,'Model allocations'!$A$1:$L$316,8,FALSE)</f>
        <v>66000.15604565361</v>
      </c>
      <c r="G230" s="30">
        <f t="shared" si="65"/>
        <v>0.85</v>
      </c>
      <c r="H230">
        <f t="shared" si="66"/>
        <v>63523.393080552953</v>
      </c>
      <c r="I230">
        <f t="shared" si="58"/>
        <v>0</v>
      </c>
      <c r="J230">
        <f t="shared" si="59"/>
        <v>66000.15604565361</v>
      </c>
      <c r="K230">
        <f t="shared" si="60"/>
        <v>65961.686458832643</v>
      </c>
      <c r="L230">
        <f t="shared" si="67"/>
        <v>65961.686458832643</v>
      </c>
      <c r="M230">
        <f t="shared" si="61"/>
        <v>0</v>
      </c>
      <c r="N230" s="29">
        <f t="shared" si="68"/>
        <v>65961.686458832643</v>
      </c>
      <c r="O230" s="29">
        <f t="shared" si="62"/>
        <v>65959.656830837921</v>
      </c>
      <c r="P230" s="29">
        <f t="shared" si="69"/>
        <v>65959.656830837921</v>
      </c>
      <c r="Q230">
        <f t="shared" si="70"/>
        <v>0</v>
      </c>
      <c r="R230" s="29">
        <f t="shared" si="71"/>
        <v>65959.656830837921</v>
      </c>
      <c r="S230" s="29">
        <f t="shared" si="63"/>
        <v>65959.656830837921</v>
      </c>
      <c r="T230" s="29">
        <f t="shared" si="72"/>
        <v>65959.656830837921</v>
      </c>
      <c r="U230">
        <f t="shared" si="73"/>
        <v>0</v>
      </c>
      <c r="V230" s="29">
        <f t="shared" si="74"/>
        <v>65959.656830837921</v>
      </c>
      <c r="W230" s="29">
        <f t="shared" si="64"/>
        <v>65959.656830837921</v>
      </c>
      <c r="X230" s="29">
        <f t="shared" si="75"/>
        <v>65959.656830837921</v>
      </c>
      <c r="Y230">
        <f t="shared" si="76"/>
        <v>0</v>
      </c>
    </row>
    <row r="231" spans="1:25" x14ac:dyDescent="0.25">
      <c r="A231" s="4" t="s">
        <v>1101</v>
      </c>
      <c r="B231" s="7" t="s">
        <v>571</v>
      </c>
      <c r="C231" s="2" t="s">
        <v>1102</v>
      </c>
      <c r="D231">
        <f>VLOOKUP(B231,'Model allocations'!$A$1:$L$316,3,FALSE)</f>
        <v>13597.261156452951</v>
      </c>
      <c r="E231" s="31">
        <f>VLOOKUP(B231,'Initial adjusted formula count'!$A$1:$P$316,12,FALSE)</f>
        <v>0.155963302752294</v>
      </c>
      <c r="F231">
        <f>VLOOKUP(B231,'Model allocations'!$A$1:$L$316,8,FALSE)</f>
        <v>14960.035370348154</v>
      </c>
      <c r="G231" s="30">
        <f t="shared" si="65"/>
        <v>0.9</v>
      </c>
      <c r="H231">
        <f t="shared" si="66"/>
        <v>12237.535040807656</v>
      </c>
      <c r="I231">
        <f t="shared" si="58"/>
        <v>0</v>
      </c>
      <c r="J231">
        <f t="shared" si="59"/>
        <v>14960.035370348154</v>
      </c>
      <c r="K231">
        <f t="shared" si="60"/>
        <v>14951.315597335402</v>
      </c>
      <c r="L231">
        <f t="shared" si="67"/>
        <v>14951.315597335402</v>
      </c>
      <c r="M231">
        <f t="shared" si="61"/>
        <v>0</v>
      </c>
      <c r="N231" s="29">
        <f t="shared" si="68"/>
        <v>14951.315597335402</v>
      </c>
      <c r="O231" s="29">
        <f t="shared" si="62"/>
        <v>14950.855548323267</v>
      </c>
      <c r="P231" s="29">
        <f t="shared" si="69"/>
        <v>14950.855548323267</v>
      </c>
      <c r="Q231">
        <f t="shared" si="70"/>
        <v>0</v>
      </c>
      <c r="R231" s="29">
        <f t="shared" si="71"/>
        <v>14950.855548323267</v>
      </c>
      <c r="S231" s="29">
        <f t="shared" si="63"/>
        <v>14950.855548323267</v>
      </c>
      <c r="T231" s="29">
        <f t="shared" si="72"/>
        <v>14950.855548323267</v>
      </c>
      <c r="U231">
        <f t="shared" si="73"/>
        <v>0</v>
      </c>
      <c r="V231" s="29">
        <f t="shared" si="74"/>
        <v>14950.855548323267</v>
      </c>
      <c r="W231" s="29">
        <f t="shared" si="64"/>
        <v>14950.855548323267</v>
      </c>
      <c r="X231" s="29">
        <f t="shared" si="75"/>
        <v>14950.855548323267</v>
      </c>
      <c r="Y231">
        <f t="shared" si="76"/>
        <v>0</v>
      </c>
    </row>
    <row r="232" spans="1:25" x14ac:dyDescent="0.25">
      <c r="A232" s="8" t="s">
        <v>50</v>
      </c>
      <c r="B232" s="7" t="s">
        <v>81</v>
      </c>
      <c r="C232" s="2" t="s">
        <v>1103</v>
      </c>
      <c r="D232">
        <f>VLOOKUP(B232,'Model allocations'!$A$1:$L$316,3,FALSE)</f>
        <v>17446.121632891569</v>
      </c>
      <c r="E232" s="31">
        <f>VLOOKUP(B232,'Initial adjusted formula count'!$A$1:$P$316,12,FALSE)</f>
        <v>0.120764644973055</v>
      </c>
      <c r="F232">
        <f>VLOOKUP(B232,'Model allocations'!$A$1:$L$316,8,FALSE)</f>
        <v>15866.397502582486</v>
      </c>
      <c r="G232" s="30">
        <f t="shared" si="65"/>
        <v>0.85</v>
      </c>
      <c r="H232">
        <f t="shared" si="66"/>
        <v>14829.203387957834</v>
      </c>
      <c r="I232">
        <f t="shared" si="58"/>
        <v>0</v>
      </c>
      <c r="J232">
        <f t="shared" si="59"/>
        <v>15866.397502582486</v>
      </c>
      <c r="K232">
        <f t="shared" si="60"/>
        <v>15857.149437231863</v>
      </c>
      <c r="L232">
        <f t="shared" si="67"/>
        <v>15857.149437231863</v>
      </c>
      <c r="M232">
        <f t="shared" si="61"/>
        <v>0</v>
      </c>
      <c r="N232" s="29">
        <f t="shared" si="68"/>
        <v>15857.149437231863</v>
      </c>
      <c r="O232" s="29">
        <f t="shared" si="62"/>
        <v>15856.661515892338</v>
      </c>
      <c r="P232" s="29">
        <f t="shared" si="69"/>
        <v>15856.661515892338</v>
      </c>
      <c r="Q232">
        <f t="shared" si="70"/>
        <v>0</v>
      </c>
      <c r="R232" s="29">
        <f t="shared" si="71"/>
        <v>15856.661515892338</v>
      </c>
      <c r="S232" s="29">
        <f t="shared" si="63"/>
        <v>15856.661515892338</v>
      </c>
      <c r="T232" s="29">
        <f t="shared" si="72"/>
        <v>15856.661515892338</v>
      </c>
      <c r="U232">
        <f t="shared" si="73"/>
        <v>0</v>
      </c>
      <c r="V232" s="29">
        <f t="shared" si="74"/>
        <v>15856.661515892338</v>
      </c>
      <c r="W232" s="29">
        <f t="shared" si="64"/>
        <v>15856.661515892338</v>
      </c>
      <c r="X232" s="29">
        <f t="shared" si="75"/>
        <v>15856.661515892338</v>
      </c>
      <c r="Y232">
        <f t="shared" si="76"/>
        <v>0</v>
      </c>
    </row>
    <row r="233" spans="1:25" x14ac:dyDescent="0.25">
      <c r="A233" s="4" t="s">
        <v>46</v>
      </c>
      <c r="B233" s="7" t="s">
        <v>80</v>
      </c>
      <c r="C233" s="2" t="s">
        <v>1104</v>
      </c>
      <c r="D233">
        <f>VLOOKUP(B233,'Model allocations'!$A$1:$L$316,3,FALSE)</f>
        <v>0</v>
      </c>
      <c r="E233" s="31">
        <f>VLOOKUP(B233,'Initial adjusted formula count'!$A$1:$P$316,12,FALSE)</f>
        <v>0.104075599186366</v>
      </c>
      <c r="F233">
        <f>VLOOKUP(B233,'Model allocations'!$A$1:$L$316,8,FALSE)</f>
        <v>0</v>
      </c>
      <c r="G233" s="30">
        <f t="shared" si="65"/>
        <v>0.85</v>
      </c>
      <c r="H233">
        <f t="shared" si="66"/>
        <v>0</v>
      </c>
      <c r="I233">
        <f t="shared" si="58"/>
        <v>0</v>
      </c>
      <c r="J233">
        <f t="shared" si="59"/>
        <v>0</v>
      </c>
      <c r="K233">
        <f t="shared" si="60"/>
        <v>0</v>
      </c>
      <c r="L233">
        <f t="shared" si="67"/>
        <v>0</v>
      </c>
      <c r="M233">
        <f t="shared" si="61"/>
        <v>0</v>
      </c>
      <c r="N233" s="29">
        <f t="shared" si="68"/>
        <v>0</v>
      </c>
      <c r="O233" s="29">
        <f t="shared" si="62"/>
        <v>0</v>
      </c>
      <c r="P233" s="29">
        <f t="shared" si="69"/>
        <v>0</v>
      </c>
      <c r="Q233">
        <f t="shared" si="70"/>
        <v>0</v>
      </c>
      <c r="R233" s="29">
        <f t="shared" si="71"/>
        <v>0</v>
      </c>
      <c r="S233" s="29">
        <f t="shared" si="63"/>
        <v>0</v>
      </c>
      <c r="T233" s="29">
        <f t="shared" si="72"/>
        <v>0</v>
      </c>
      <c r="U233">
        <f t="shared" si="73"/>
        <v>0</v>
      </c>
      <c r="V233" s="29">
        <f t="shared" si="74"/>
        <v>0</v>
      </c>
      <c r="W233" s="29">
        <f t="shared" si="64"/>
        <v>0</v>
      </c>
      <c r="X233" s="29">
        <f t="shared" si="75"/>
        <v>0</v>
      </c>
      <c r="Y233">
        <f t="shared" si="76"/>
        <v>0</v>
      </c>
    </row>
    <row r="234" spans="1:25" x14ac:dyDescent="0.25">
      <c r="A234" s="4" t="s">
        <v>24</v>
      </c>
      <c r="B234" s="7" t="s">
        <v>59</v>
      </c>
      <c r="C234" s="2" t="s">
        <v>1105</v>
      </c>
      <c r="D234">
        <f>VLOOKUP(B234,'Model allocations'!$A$1:$L$316,3,FALSE)</f>
        <v>5651489.4695779271</v>
      </c>
      <c r="E234" s="31">
        <f>VLOOKUP(B234,'Initial adjusted formula count'!$A$1:$P$316,12,FALSE)</f>
        <v>8.5865311603711206E-2</v>
      </c>
      <c r="F234">
        <f>VLOOKUP(B234,'Model allocations'!$A$1:$L$316,8,FALSE)</f>
        <v>5228391.1844220888</v>
      </c>
      <c r="G234" s="30">
        <f t="shared" si="65"/>
        <v>0.85</v>
      </c>
      <c r="H234">
        <f t="shared" si="66"/>
        <v>4803766.0491412375</v>
      </c>
      <c r="I234">
        <f t="shared" si="58"/>
        <v>0</v>
      </c>
      <c r="J234">
        <f t="shared" si="59"/>
        <v>5228391.1844220888</v>
      </c>
      <c r="K234">
        <f t="shared" si="60"/>
        <v>5225343.7060424322</v>
      </c>
      <c r="L234">
        <f t="shared" si="67"/>
        <v>5225343.7060424322</v>
      </c>
      <c r="M234">
        <f t="shared" si="61"/>
        <v>0</v>
      </c>
      <c r="N234" s="29">
        <f t="shared" si="68"/>
        <v>5225343.7060424322</v>
      </c>
      <c r="O234" s="29">
        <f t="shared" si="62"/>
        <v>5225182.9232541621</v>
      </c>
      <c r="P234" s="29">
        <f t="shared" si="69"/>
        <v>5225182.9232541621</v>
      </c>
      <c r="Q234">
        <f t="shared" si="70"/>
        <v>0</v>
      </c>
      <c r="R234" s="29">
        <f t="shared" si="71"/>
        <v>5225182.9232541621</v>
      </c>
      <c r="S234" s="29">
        <f t="shared" si="63"/>
        <v>5225182.9232541621</v>
      </c>
      <c r="T234" s="29">
        <f t="shared" si="72"/>
        <v>5225182.9232541621</v>
      </c>
      <c r="U234">
        <f t="shared" si="73"/>
        <v>0</v>
      </c>
      <c r="V234" s="29">
        <f t="shared" si="74"/>
        <v>5225182.9232541621</v>
      </c>
      <c r="W234" s="29">
        <f t="shared" si="64"/>
        <v>5225182.9232541621</v>
      </c>
      <c r="X234" s="29">
        <f t="shared" si="75"/>
        <v>5225182.9232541621</v>
      </c>
      <c r="Y234">
        <f t="shared" si="76"/>
        <v>0</v>
      </c>
    </row>
    <row r="235" spans="1:25" x14ac:dyDescent="0.25">
      <c r="A235" s="4" t="s">
        <v>1106</v>
      </c>
      <c r="B235" s="7" t="s">
        <v>299</v>
      </c>
      <c r="C235" s="2" t="s">
        <v>1107</v>
      </c>
      <c r="D235">
        <f>VLOOKUP(B235,'Model allocations'!$A$1:$L$316,3,FALSE)</f>
        <v>497064.03340733645</v>
      </c>
      <c r="E235" s="31">
        <f>VLOOKUP(B235,'Initial adjusted formula count'!$A$1:$P$316,12,FALSE)</f>
        <v>9.0155849279936903E-2</v>
      </c>
      <c r="F235">
        <f>VLOOKUP(B235,'Model allocations'!$A$1:$L$316,8,FALSE)</f>
        <v>422739.18356161535</v>
      </c>
      <c r="G235" s="30">
        <f t="shared" si="65"/>
        <v>0.85</v>
      </c>
      <c r="H235">
        <f t="shared" si="66"/>
        <v>422504.42839623598</v>
      </c>
      <c r="I235">
        <f t="shared" si="58"/>
        <v>0</v>
      </c>
      <c r="J235">
        <f t="shared" si="59"/>
        <v>422739.18356161535</v>
      </c>
      <c r="K235">
        <f t="shared" si="60"/>
        <v>422492.78108775755</v>
      </c>
      <c r="L235">
        <f t="shared" si="67"/>
        <v>422492.78108775755</v>
      </c>
      <c r="M235">
        <f t="shared" si="61"/>
        <v>422504.42839623598</v>
      </c>
      <c r="N235" s="29">
        <f t="shared" si="68"/>
        <v>0</v>
      </c>
      <c r="O235" s="29">
        <f t="shared" si="62"/>
        <v>0</v>
      </c>
      <c r="P235" s="29">
        <f t="shared" si="69"/>
        <v>422504.42839623598</v>
      </c>
      <c r="Q235">
        <f t="shared" si="70"/>
        <v>0</v>
      </c>
      <c r="R235" s="29">
        <f t="shared" si="71"/>
        <v>0</v>
      </c>
      <c r="S235" s="29">
        <f t="shared" si="63"/>
        <v>0</v>
      </c>
      <c r="T235" s="29">
        <f t="shared" si="72"/>
        <v>422504.42839623598</v>
      </c>
      <c r="U235">
        <f t="shared" si="73"/>
        <v>0</v>
      </c>
      <c r="V235" s="29">
        <f t="shared" si="74"/>
        <v>0</v>
      </c>
      <c r="W235" s="29">
        <f t="shared" si="64"/>
        <v>0</v>
      </c>
      <c r="X235" s="29">
        <f t="shared" si="75"/>
        <v>422504.42839623598</v>
      </c>
      <c r="Y235">
        <f t="shared" si="76"/>
        <v>0</v>
      </c>
    </row>
    <row r="236" spans="1:25" x14ac:dyDescent="0.25">
      <c r="A236" s="4" t="s">
        <v>1108</v>
      </c>
      <c r="B236" s="7" t="s">
        <v>573</v>
      </c>
      <c r="C236" s="2" t="s">
        <v>1109</v>
      </c>
      <c r="D236">
        <f>VLOOKUP(B236,'Model allocations'!$A$1:$L$316,3,FALSE)</f>
        <v>439710.49109110521</v>
      </c>
      <c r="E236" s="31">
        <f>VLOOKUP(B236,'Initial adjusted formula count'!$A$1:$P$316,12,FALSE)</f>
        <v>0.130539499036609</v>
      </c>
      <c r="F236">
        <f>VLOOKUP(B236,'Model allocations'!$A$1:$L$316,8,FALSE)</f>
        <v>476961.12768992357</v>
      </c>
      <c r="G236" s="30">
        <f t="shared" si="65"/>
        <v>0.85</v>
      </c>
      <c r="H236">
        <f t="shared" si="66"/>
        <v>373753.91742743942</v>
      </c>
      <c r="I236">
        <f t="shared" si="58"/>
        <v>0</v>
      </c>
      <c r="J236">
        <f t="shared" si="59"/>
        <v>476961.12768992357</v>
      </c>
      <c r="K236">
        <f t="shared" si="60"/>
        <v>476683.12080916407</v>
      </c>
      <c r="L236">
        <f t="shared" si="67"/>
        <v>476683.12080916407</v>
      </c>
      <c r="M236">
        <f t="shared" si="61"/>
        <v>0</v>
      </c>
      <c r="N236" s="29">
        <f t="shared" si="68"/>
        <v>476683.12080916407</v>
      </c>
      <c r="O236" s="29">
        <f t="shared" si="62"/>
        <v>476668.4533641889</v>
      </c>
      <c r="P236" s="29">
        <f t="shared" si="69"/>
        <v>476668.4533641889</v>
      </c>
      <c r="Q236">
        <f t="shared" si="70"/>
        <v>0</v>
      </c>
      <c r="R236" s="29">
        <f t="shared" si="71"/>
        <v>476668.4533641889</v>
      </c>
      <c r="S236" s="29">
        <f t="shared" si="63"/>
        <v>476668.4533641889</v>
      </c>
      <c r="T236" s="29">
        <f t="shared" si="72"/>
        <v>476668.4533641889</v>
      </c>
      <c r="U236">
        <f t="shared" si="73"/>
        <v>0</v>
      </c>
      <c r="V236" s="29">
        <f t="shared" si="74"/>
        <v>476668.4533641889</v>
      </c>
      <c r="W236" s="29">
        <f t="shared" si="64"/>
        <v>476668.4533641889</v>
      </c>
      <c r="X236" s="29">
        <f t="shared" si="75"/>
        <v>476668.4533641889</v>
      </c>
      <c r="Y236">
        <f t="shared" si="76"/>
        <v>0</v>
      </c>
    </row>
    <row r="237" spans="1:25" x14ac:dyDescent="0.25">
      <c r="A237" s="4" t="s">
        <v>1110</v>
      </c>
      <c r="B237" s="7" t="s">
        <v>575</v>
      </c>
      <c r="C237" s="2" t="s">
        <v>1111</v>
      </c>
      <c r="D237">
        <f>VLOOKUP(B237,'Model allocations'!$A$1:$L$316,3,FALSE)</f>
        <v>72126.424427987542</v>
      </c>
      <c r="E237" s="31">
        <f>VLOOKUP(B237,'Initial adjusted formula count'!$A$1:$P$316,12,FALSE)</f>
        <v>0.341614906832298</v>
      </c>
      <c r="F237">
        <f>VLOOKUP(B237,'Model allocations'!$A$1:$L$316,8,FALSE)</f>
        <v>96800.228866958714</v>
      </c>
      <c r="G237" s="30">
        <f t="shared" si="65"/>
        <v>0.95</v>
      </c>
      <c r="H237">
        <f t="shared" si="66"/>
        <v>68520.103206588159</v>
      </c>
      <c r="I237">
        <f t="shared" si="58"/>
        <v>0</v>
      </c>
      <c r="J237">
        <f t="shared" si="59"/>
        <v>96800.228866958714</v>
      </c>
      <c r="K237">
        <f t="shared" si="60"/>
        <v>96743.806806287961</v>
      </c>
      <c r="L237">
        <f t="shared" si="67"/>
        <v>96743.806806287961</v>
      </c>
      <c r="M237">
        <f t="shared" si="61"/>
        <v>0</v>
      </c>
      <c r="N237" s="29">
        <f t="shared" si="68"/>
        <v>96743.806806287961</v>
      </c>
      <c r="O237" s="29">
        <f t="shared" si="62"/>
        <v>96740.830018562367</v>
      </c>
      <c r="P237" s="29">
        <f t="shared" si="69"/>
        <v>96740.830018562367</v>
      </c>
      <c r="Q237">
        <f t="shared" si="70"/>
        <v>0</v>
      </c>
      <c r="R237" s="29">
        <f t="shared" si="71"/>
        <v>96740.830018562367</v>
      </c>
      <c r="S237" s="29">
        <f t="shared" si="63"/>
        <v>96740.830018562367</v>
      </c>
      <c r="T237" s="29">
        <f t="shared" si="72"/>
        <v>96740.830018562367</v>
      </c>
      <c r="U237">
        <f t="shared" si="73"/>
        <v>0</v>
      </c>
      <c r="V237" s="29">
        <f t="shared" si="74"/>
        <v>96740.830018562367</v>
      </c>
      <c r="W237" s="29">
        <f t="shared" si="64"/>
        <v>96740.830018562367</v>
      </c>
      <c r="X237" s="29">
        <f t="shared" si="75"/>
        <v>96740.830018562367</v>
      </c>
      <c r="Y237">
        <f t="shared" si="76"/>
        <v>0</v>
      </c>
    </row>
    <row r="238" spans="1:25" x14ac:dyDescent="0.25">
      <c r="A238" s="4" t="s">
        <v>1112</v>
      </c>
      <c r="B238" s="7" t="s">
        <v>577</v>
      </c>
      <c r="C238" s="2" t="s">
        <v>1113</v>
      </c>
      <c r="D238">
        <f>VLOOKUP(B238,'Model allocations'!$A$1:$L$316,3,FALSE)</f>
        <v>399736.81008282286</v>
      </c>
      <c r="E238" s="31">
        <f>VLOOKUP(B238,'Initial adjusted formula count'!$A$1:$P$316,12,FALSE)</f>
        <v>0.12733720180528699</v>
      </c>
      <c r="F238">
        <f>VLOOKUP(B238,'Model allocations'!$A$1:$L$316,8,FALSE)</f>
        <v>347600.82184044254</v>
      </c>
      <c r="G238" s="30">
        <f t="shared" si="65"/>
        <v>0.85</v>
      </c>
      <c r="H238">
        <f t="shared" si="66"/>
        <v>339776.2885703994</v>
      </c>
      <c r="I238">
        <f t="shared" si="58"/>
        <v>0</v>
      </c>
      <c r="J238">
        <f t="shared" si="59"/>
        <v>347600.82184044254</v>
      </c>
      <c r="K238">
        <f t="shared" si="60"/>
        <v>347398.21534985211</v>
      </c>
      <c r="L238">
        <f t="shared" si="67"/>
        <v>347398.21534985211</v>
      </c>
      <c r="M238">
        <f t="shared" si="61"/>
        <v>0</v>
      </c>
      <c r="N238" s="29">
        <f t="shared" si="68"/>
        <v>347398.21534985211</v>
      </c>
      <c r="O238" s="29">
        <f t="shared" si="62"/>
        <v>347387.52597574657</v>
      </c>
      <c r="P238" s="29">
        <f t="shared" si="69"/>
        <v>347387.52597574657</v>
      </c>
      <c r="Q238">
        <f t="shared" si="70"/>
        <v>0</v>
      </c>
      <c r="R238" s="29">
        <f t="shared" si="71"/>
        <v>347387.52597574657</v>
      </c>
      <c r="S238" s="29">
        <f t="shared" si="63"/>
        <v>347387.52597574657</v>
      </c>
      <c r="T238" s="29">
        <f t="shared" si="72"/>
        <v>347387.52597574657</v>
      </c>
      <c r="U238">
        <f t="shared" si="73"/>
        <v>0</v>
      </c>
      <c r="V238" s="29">
        <f t="shared" si="74"/>
        <v>347387.52597574657</v>
      </c>
      <c r="W238" s="29">
        <f t="shared" si="64"/>
        <v>347387.52597574657</v>
      </c>
      <c r="X238" s="29">
        <f t="shared" si="75"/>
        <v>347387.52597574657</v>
      </c>
      <c r="Y238">
        <f t="shared" si="76"/>
        <v>0</v>
      </c>
    </row>
    <row r="239" spans="1:25" x14ac:dyDescent="0.25">
      <c r="A239" s="4" t="s">
        <v>1114</v>
      </c>
      <c r="B239" s="7" t="s">
        <v>208</v>
      </c>
      <c r="C239" s="2" t="s">
        <v>1115</v>
      </c>
      <c r="D239">
        <f>VLOOKUP(B239,'Model allocations'!$A$1:$L$316,3,FALSE)</f>
        <v>0</v>
      </c>
      <c r="E239" s="31">
        <f>VLOOKUP(B239,'Initial adjusted formula count'!$A$1:$P$316,12,FALSE)</f>
        <v>9.0909090909090898E-2</v>
      </c>
      <c r="F239">
        <f>VLOOKUP(B239,'Model allocations'!$A$1:$L$316,8,FALSE)</f>
        <v>0</v>
      </c>
      <c r="G239" s="30">
        <f t="shared" si="65"/>
        <v>0.85</v>
      </c>
      <c r="H239">
        <f t="shared" si="66"/>
        <v>0</v>
      </c>
      <c r="I239">
        <f t="shared" si="58"/>
        <v>0</v>
      </c>
      <c r="J239">
        <f t="shared" si="59"/>
        <v>0</v>
      </c>
      <c r="K239">
        <f t="shared" si="60"/>
        <v>0</v>
      </c>
      <c r="L239">
        <f t="shared" si="67"/>
        <v>0</v>
      </c>
      <c r="M239">
        <f t="shared" si="61"/>
        <v>0</v>
      </c>
      <c r="N239" s="29">
        <f t="shared" si="68"/>
        <v>0</v>
      </c>
      <c r="O239" s="29">
        <f t="shared" si="62"/>
        <v>0</v>
      </c>
      <c r="P239" s="29">
        <f t="shared" si="69"/>
        <v>0</v>
      </c>
      <c r="Q239">
        <f t="shared" si="70"/>
        <v>0</v>
      </c>
      <c r="R239" s="29">
        <f t="shared" si="71"/>
        <v>0</v>
      </c>
      <c r="S239" s="29">
        <f t="shared" si="63"/>
        <v>0</v>
      </c>
      <c r="T239" s="29">
        <f t="shared" si="72"/>
        <v>0</v>
      </c>
      <c r="U239">
        <f t="shared" si="73"/>
        <v>0</v>
      </c>
      <c r="V239" s="29">
        <f t="shared" si="74"/>
        <v>0</v>
      </c>
      <c r="W239" s="29">
        <f t="shared" si="64"/>
        <v>0</v>
      </c>
      <c r="X239" s="29">
        <f t="shared" si="75"/>
        <v>0</v>
      </c>
      <c r="Y239">
        <f t="shared" si="76"/>
        <v>0</v>
      </c>
    </row>
    <row r="240" spans="1:25" x14ac:dyDescent="0.25">
      <c r="A240" s="4" t="s">
        <v>1116</v>
      </c>
      <c r="B240" s="7" t="s">
        <v>579</v>
      </c>
      <c r="C240" s="2" t="s">
        <v>1117</v>
      </c>
      <c r="D240">
        <f>VLOOKUP(B240,'Model allocations'!$A$1:$L$316,3,FALSE)</f>
        <v>657827.75050586276</v>
      </c>
      <c r="E240" s="31">
        <f>VLOOKUP(B240,'Initial adjusted formula count'!$A$1:$P$316,12,FALSE)</f>
        <v>0.211978307003065</v>
      </c>
      <c r="F240">
        <f>VLOOKUP(B240,'Model allocations'!$A$1:$L$316,8,FALSE)</f>
        <v>791121.87046723452</v>
      </c>
      <c r="G240" s="30">
        <f t="shared" si="65"/>
        <v>0.9</v>
      </c>
      <c r="H240">
        <f t="shared" si="66"/>
        <v>592044.97545527655</v>
      </c>
      <c r="I240">
        <f t="shared" si="58"/>
        <v>0</v>
      </c>
      <c r="J240">
        <f t="shared" si="59"/>
        <v>791121.87046723452</v>
      </c>
      <c r="K240">
        <f t="shared" si="60"/>
        <v>790660.74835320713</v>
      </c>
      <c r="L240">
        <f t="shared" si="67"/>
        <v>790660.74835320713</v>
      </c>
      <c r="M240">
        <f t="shared" si="61"/>
        <v>0</v>
      </c>
      <c r="N240" s="29">
        <f t="shared" si="68"/>
        <v>790660.74835320713</v>
      </c>
      <c r="O240" s="29">
        <f t="shared" si="62"/>
        <v>790636.41987897712</v>
      </c>
      <c r="P240" s="29">
        <f t="shared" si="69"/>
        <v>790636.41987897712</v>
      </c>
      <c r="Q240">
        <f t="shared" si="70"/>
        <v>0</v>
      </c>
      <c r="R240" s="29">
        <f t="shared" si="71"/>
        <v>790636.41987897712</v>
      </c>
      <c r="S240" s="29">
        <f t="shared" si="63"/>
        <v>790636.41987897712</v>
      </c>
      <c r="T240" s="29">
        <f t="shared" si="72"/>
        <v>790636.41987897712</v>
      </c>
      <c r="U240">
        <f t="shared" si="73"/>
        <v>0</v>
      </c>
      <c r="V240" s="29">
        <f t="shared" si="74"/>
        <v>790636.41987897712</v>
      </c>
      <c r="W240" s="29">
        <f t="shared" si="64"/>
        <v>790636.41987897712</v>
      </c>
      <c r="X240" s="29">
        <f t="shared" si="75"/>
        <v>790636.41987897712</v>
      </c>
      <c r="Y240">
        <f t="shared" si="76"/>
        <v>0</v>
      </c>
    </row>
    <row r="241" spans="1:25" x14ac:dyDescent="0.25">
      <c r="A241" s="4" t="s">
        <v>1118</v>
      </c>
      <c r="B241" s="7" t="s">
        <v>210</v>
      </c>
      <c r="C241" s="2" t="s">
        <v>1119</v>
      </c>
      <c r="D241">
        <f>VLOOKUP(B241,'Model allocations'!$A$1:$L$316,3,FALSE)</f>
        <v>585701.32607787522</v>
      </c>
      <c r="E241" s="31">
        <f>VLOOKUP(B241,'Initial adjusted formula count'!$A$1:$P$316,12,FALSE)</f>
        <v>6.5839694656488604E-2</v>
      </c>
      <c r="F241">
        <f>VLOOKUP(B241,'Model allocations'!$A$1:$L$316,8,FALSE)</f>
        <v>607201.43562001339</v>
      </c>
      <c r="G241" s="30">
        <f t="shared" si="65"/>
        <v>0.85</v>
      </c>
      <c r="H241">
        <f t="shared" si="66"/>
        <v>497846.12716619391</v>
      </c>
      <c r="I241">
        <f t="shared" si="58"/>
        <v>0</v>
      </c>
      <c r="J241">
        <f t="shared" si="59"/>
        <v>607201.43562001339</v>
      </c>
      <c r="K241">
        <f t="shared" si="60"/>
        <v>606847.5154212605</v>
      </c>
      <c r="L241">
        <f t="shared" si="67"/>
        <v>606847.5154212605</v>
      </c>
      <c r="M241">
        <f t="shared" si="61"/>
        <v>0</v>
      </c>
      <c r="N241" s="29">
        <f t="shared" si="68"/>
        <v>606847.5154212605</v>
      </c>
      <c r="O241" s="29">
        <f t="shared" si="62"/>
        <v>606828.84284370905</v>
      </c>
      <c r="P241" s="29">
        <f t="shared" si="69"/>
        <v>606828.84284370905</v>
      </c>
      <c r="Q241">
        <f t="shared" si="70"/>
        <v>0</v>
      </c>
      <c r="R241" s="29">
        <f t="shared" si="71"/>
        <v>606828.84284370905</v>
      </c>
      <c r="S241" s="29">
        <f t="shared" si="63"/>
        <v>606828.84284370905</v>
      </c>
      <c r="T241" s="29">
        <f t="shared" si="72"/>
        <v>606828.84284370905</v>
      </c>
      <c r="U241">
        <f t="shared" si="73"/>
        <v>0</v>
      </c>
      <c r="V241" s="29">
        <f t="shared" si="74"/>
        <v>606828.84284370905</v>
      </c>
      <c r="W241" s="29">
        <f t="shared" si="64"/>
        <v>606828.84284370905</v>
      </c>
      <c r="X241" s="29">
        <f t="shared" si="75"/>
        <v>606828.84284370905</v>
      </c>
      <c r="Y241">
        <f t="shared" si="76"/>
        <v>0</v>
      </c>
    </row>
    <row r="242" spans="1:25" x14ac:dyDescent="0.25">
      <c r="A242" s="4" t="s">
        <v>1120</v>
      </c>
      <c r="B242" s="7" t="s">
        <v>301</v>
      </c>
      <c r="C242" s="2" t="s">
        <v>1121</v>
      </c>
      <c r="D242">
        <f>VLOOKUP(B242,'Model allocations'!$A$1:$L$316,3,FALSE)</f>
        <v>13903.889046359061</v>
      </c>
      <c r="E242" s="31">
        <f>VLOOKUP(B242,'Initial adjusted formula count'!$A$1:$P$316,12,FALSE)</f>
        <v>0.13934426229508201</v>
      </c>
      <c r="F242">
        <f>VLOOKUP(B242,'Model allocations'!$A$1:$L$316,8,FALSE)</f>
        <v>14960.035370348154</v>
      </c>
      <c r="G242" s="30">
        <f t="shared" si="65"/>
        <v>0.85</v>
      </c>
      <c r="H242">
        <f t="shared" si="66"/>
        <v>11818.305689405202</v>
      </c>
      <c r="I242">
        <f t="shared" si="58"/>
        <v>0</v>
      </c>
      <c r="J242">
        <f t="shared" si="59"/>
        <v>14960.035370348154</v>
      </c>
      <c r="K242">
        <f t="shared" si="60"/>
        <v>14951.315597335402</v>
      </c>
      <c r="L242">
        <f t="shared" si="67"/>
        <v>14951.315597335402</v>
      </c>
      <c r="M242">
        <f t="shared" si="61"/>
        <v>0</v>
      </c>
      <c r="N242" s="29">
        <f t="shared" si="68"/>
        <v>14951.315597335402</v>
      </c>
      <c r="O242" s="29">
        <f t="shared" si="62"/>
        <v>14950.855548323267</v>
      </c>
      <c r="P242" s="29">
        <f t="shared" si="69"/>
        <v>14950.855548323267</v>
      </c>
      <c r="Q242">
        <f t="shared" si="70"/>
        <v>0</v>
      </c>
      <c r="R242" s="29">
        <f t="shared" si="71"/>
        <v>14950.855548323267</v>
      </c>
      <c r="S242" s="29">
        <f t="shared" si="63"/>
        <v>14950.855548323267</v>
      </c>
      <c r="T242" s="29">
        <f t="shared" si="72"/>
        <v>14950.855548323267</v>
      </c>
      <c r="U242">
        <f t="shared" si="73"/>
        <v>0</v>
      </c>
      <c r="V242" s="29">
        <f t="shared" si="74"/>
        <v>14950.855548323267</v>
      </c>
      <c r="W242" s="29">
        <f t="shared" si="64"/>
        <v>14950.855548323267</v>
      </c>
      <c r="X242" s="29">
        <f t="shared" si="75"/>
        <v>14950.855548323267</v>
      </c>
      <c r="Y242">
        <f t="shared" si="76"/>
        <v>0</v>
      </c>
    </row>
    <row r="243" spans="1:25" x14ac:dyDescent="0.25">
      <c r="A243" s="4" t="s">
        <v>1122</v>
      </c>
      <c r="B243" s="7" t="s">
        <v>212</v>
      </c>
      <c r="C243" s="2" t="s">
        <v>1123</v>
      </c>
      <c r="D243">
        <f>VLOOKUP(B243,'Model allocations'!$A$1:$L$316,3,FALSE)</f>
        <v>0</v>
      </c>
      <c r="E243" s="31">
        <f>VLOOKUP(B243,'Initial adjusted formula count'!$A$1:$P$316,12,FALSE)</f>
        <v>7.2463768115942004E-2</v>
      </c>
      <c r="F243">
        <f>VLOOKUP(B243,'Model allocations'!$A$1:$L$316,8,FALSE)</f>
        <v>0</v>
      </c>
      <c r="G243" s="30">
        <f t="shared" si="65"/>
        <v>0.85</v>
      </c>
      <c r="H243">
        <f t="shared" si="66"/>
        <v>0</v>
      </c>
      <c r="I243">
        <f t="shared" si="58"/>
        <v>0</v>
      </c>
      <c r="J243">
        <f t="shared" si="59"/>
        <v>0</v>
      </c>
      <c r="K243">
        <f t="shared" si="60"/>
        <v>0</v>
      </c>
      <c r="L243">
        <f t="shared" si="67"/>
        <v>0</v>
      </c>
      <c r="M243">
        <f t="shared" si="61"/>
        <v>0</v>
      </c>
      <c r="N243" s="29">
        <f t="shared" si="68"/>
        <v>0</v>
      </c>
      <c r="O243" s="29">
        <f t="shared" si="62"/>
        <v>0</v>
      </c>
      <c r="P243" s="29">
        <f t="shared" si="69"/>
        <v>0</v>
      </c>
      <c r="Q243">
        <f t="shared" si="70"/>
        <v>0</v>
      </c>
      <c r="R243" s="29">
        <f t="shared" si="71"/>
        <v>0</v>
      </c>
      <c r="S243" s="29">
        <f t="shared" si="63"/>
        <v>0</v>
      </c>
      <c r="T243" s="29">
        <f t="shared" si="72"/>
        <v>0</v>
      </c>
      <c r="U243">
        <f t="shared" si="73"/>
        <v>0</v>
      </c>
      <c r="V243" s="29">
        <f t="shared" si="74"/>
        <v>0</v>
      </c>
      <c r="W243" s="29">
        <f t="shared" si="64"/>
        <v>0</v>
      </c>
      <c r="X243" s="29">
        <f t="shared" si="75"/>
        <v>0</v>
      </c>
      <c r="Y243">
        <f t="shared" si="76"/>
        <v>0</v>
      </c>
    </row>
    <row r="244" spans="1:25" x14ac:dyDescent="0.25">
      <c r="A244" s="4" t="s">
        <v>1124</v>
      </c>
      <c r="B244" s="7" t="s">
        <v>214</v>
      </c>
      <c r="C244" s="2" t="s">
        <v>1125</v>
      </c>
      <c r="D244">
        <f>VLOOKUP(B244,'Model allocations'!$A$1:$L$316,3,FALSE)</f>
        <v>500540.00566892594</v>
      </c>
      <c r="E244" s="31">
        <f>VLOOKUP(B244,'Initial adjusted formula count'!$A$1:$P$316,12,FALSE)</f>
        <v>5.1329224542360399E-2</v>
      </c>
      <c r="F244">
        <f>VLOOKUP(B244,'Model allocations'!$A$1:$L$316,8,FALSE)</f>
        <v>491041.16097966296</v>
      </c>
      <c r="G244" s="30">
        <f t="shared" si="65"/>
        <v>0.85</v>
      </c>
      <c r="H244">
        <f t="shared" si="66"/>
        <v>425459.00481858704</v>
      </c>
      <c r="I244">
        <f t="shared" si="58"/>
        <v>0</v>
      </c>
      <c r="J244">
        <f t="shared" si="59"/>
        <v>491041.16097966296</v>
      </c>
      <c r="K244">
        <f t="shared" si="60"/>
        <v>490754.94725371496</v>
      </c>
      <c r="L244">
        <f t="shared" si="67"/>
        <v>490754.94725371496</v>
      </c>
      <c r="M244">
        <f t="shared" si="61"/>
        <v>0</v>
      </c>
      <c r="N244" s="29">
        <f t="shared" si="68"/>
        <v>490754.94725371496</v>
      </c>
      <c r="O244" s="29">
        <f t="shared" si="62"/>
        <v>490739.84682143421</v>
      </c>
      <c r="P244" s="29">
        <f t="shared" si="69"/>
        <v>490739.84682143421</v>
      </c>
      <c r="Q244">
        <f t="shared" si="70"/>
        <v>0</v>
      </c>
      <c r="R244" s="29">
        <f t="shared" si="71"/>
        <v>490739.84682143421</v>
      </c>
      <c r="S244" s="29">
        <f t="shared" si="63"/>
        <v>490739.84682143421</v>
      </c>
      <c r="T244" s="29">
        <f t="shared" si="72"/>
        <v>490739.84682143421</v>
      </c>
      <c r="U244">
        <f t="shared" si="73"/>
        <v>0</v>
      </c>
      <c r="V244" s="29">
        <f t="shared" si="74"/>
        <v>490739.84682143421</v>
      </c>
      <c r="W244" s="29">
        <f t="shared" si="64"/>
        <v>490739.84682143421</v>
      </c>
      <c r="X244" s="29">
        <f t="shared" si="75"/>
        <v>490739.84682143421</v>
      </c>
      <c r="Y244">
        <f t="shared" si="76"/>
        <v>0</v>
      </c>
    </row>
    <row r="245" spans="1:25" x14ac:dyDescent="0.25">
      <c r="A245" s="8" t="s">
        <v>1126</v>
      </c>
      <c r="B245" s="7" t="s">
        <v>216</v>
      </c>
      <c r="C245" s="2" t="s">
        <v>1127</v>
      </c>
      <c r="D245">
        <f>VLOOKUP(B245,'Model allocations'!$A$1:$L$316,3,FALSE)</f>
        <v>231153.43965970015</v>
      </c>
      <c r="E245" s="31">
        <f>VLOOKUP(B245,'Initial adjusted formula count'!$A$1:$P$316,12,FALSE)</f>
        <v>2.5588796944621298E-2</v>
      </c>
      <c r="F245">
        <f>VLOOKUP(B245,'Model allocations'!$A$1:$L$316,8,FALSE)</f>
        <v>196452.92854929666</v>
      </c>
      <c r="G245" s="30">
        <f t="shared" si="65"/>
        <v>0.85</v>
      </c>
      <c r="H245">
        <f t="shared" si="66"/>
        <v>196480.42371074512</v>
      </c>
      <c r="I245">
        <f t="shared" si="58"/>
        <v>196480.42371074512</v>
      </c>
      <c r="J245">
        <f t="shared" si="59"/>
        <v>0</v>
      </c>
      <c r="K245">
        <f t="shared" si="60"/>
        <v>0</v>
      </c>
      <c r="L245">
        <f t="shared" si="67"/>
        <v>196480.42371074512</v>
      </c>
      <c r="M245">
        <f t="shared" si="61"/>
        <v>0</v>
      </c>
      <c r="N245" s="29">
        <f t="shared" si="68"/>
        <v>0</v>
      </c>
      <c r="O245" s="29">
        <f t="shared" si="62"/>
        <v>0</v>
      </c>
      <c r="P245" s="29">
        <f t="shared" si="69"/>
        <v>196480.42371074512</v>
      </c>
      <c r="Q245">
        <f t="shared" si="70"/>
        <v>0</v>
      </c>
      <c r="R245" s="29">
        <f t="shared" si="71"/>
        <v>0</v>
      </c>
      <c r="S245" s="29">
        <f t="shared" si="63"/>
        <v>0</v>
      </c>
      <c r="T245" s="29">
        <f t="shared" si="72"/>
        <v>196480.42371074512</v>
      </c>
      <c r="U245">
        <f t="shared" si="73"/>
        <v>0</v>
      </c>
      <c r="V245" s="29">
        <f t="shared" si="74"/>
        <v>0</v>
      </c>
      <c r="W245" s="29">
        <f t="shared" si="64"/>
        <v>0</v>
      </c>
      <c r="X245" s="29">
        <f t="shared" si="75"/>
        <v>196480.42371074512</v>
      </c>
      <c r="Y245">
        <f t="shared" si="76"/>
        <v>0</v>
      </c>
    </row>
    <row r="246" spans="1:25" x14ac:dyDescent="0.25">
      <c r="A246" s="4" t="s">
        <v>1128</v>
      </c>
      <c r="B246" s="7" t="s">
        <v>581</v>
      </c>
      <c r="C246" s="2" t="s">
        <v>1129</v>
      </c>
      <c r="D246">
        <f>VLOOKUP(B246,'Model allocations'!$A$1:$L$316,3,FALSE)</f>
        <v>178143.57840647543</v>
      </c>
      <c r="E246" s="31">
        <f>VLOOKUP(B246,'Initial adjusted formula count'!$A$1:$P$316,12,FALSE)</f>
        <v>0.24711696869851699</v>
      </c>
      <c r="F246">
        <f>VLOOKUP(B246,'Model allocations'!$A$1:$L$316,8,FALSE)</f>
        <v>160418.30392249697</v>
      </c>
      <c r="G246" s="30">
        <f t="shared" si="65"/>
        <v>0.9</v>
      </c>
      <c r="H246">
        <f t="shared" si="66"/>
        <v>160329.22056582788</v>
      </c>
      <c r="I246">
        <f t="shared" si="58"/>
        <v>0</v>
      </c>
      <c r="J246">
        <f t="shared" si="59"/>
        <v>160418.30392249697</v>
      </c>
      <c r="K246">
        <f t="shared" si="60"/>
        <v>160324.80072129014</v>
      </c>
      <c r="L246">
        <f t="shared" si="67"/>
        <v>160324.80072129014</v>
      </c>
      <c r="M246">
        <f t="shared" si="61"/>
        <v>160329.22056582788</v>
      </c>
      <c r="N246" s="29">
        <f t="shared" si="68"/>
        <v>0</v>
      </c>
      <c r="O246" s="29">
        <f t="shared" si="62"/>
        <v>0</v>
      </c>
      <c r="P246" s="29">
        <f t="shared" si="69"/>
        <v>160329.22056582788</v>
      </c>
      <c r="Q246">
        <f t="shared" si="70"/>
        <v>0</v>
      </c>
      <c r="R246" s="29">
        <f t="shared" si="71"/>
        <v>0</v>
      </c>
      <c r="S246" s="29">
        <f t="shared" si="63"/>
        <v>0</v>
      </c>
      <c r="T246" s="29">
        <f t="shared" si="72"/>
        <v>160329.22056582788</v>
      </c>
      <c r="U246">
        <f t="shared" si="73"/>
        <v>0</v>
      </c>
      <c r="V246" s="29">
        <f t="shared" si="74"/>
        <v>0</v>
      </c>
      <c r="W246" s="29">
        <f t="shared" si="64"/>
        <v>0</v>
      </c>
      <c r="X246" s="29">
        <f t="shared" si="75"/>
        <v>160329.22056582788</v>
      </c>
      <c r="Y246">
        <f t="shared" si="76"/>
        <v>0</v>
      </c>
    </row>
    <row r="247" spans="1:25" x14ac:dyDescent="0.25">
      <c r="A247" s="4" t="s">
        <v>1130</v>
      </c>
      <c r="B247" s="7" t="s">
        <v>583</v>
      </c>
      <c r="C247" s="2" t="s">
        <v>1131</v>
      </c>
      <c r="D247">
        <f>VLOOKUP(B247,'Model allocations'!$A$1:$L$316,3,FALSE)</f>
        <v>71237.024177676998</v>
      </c>
      <c r="E247" s="31">
        <f>VLOOKUP(B247,'Initial adjusted formula count'!$A$1:$P$316,12,FALSE)</f>
        <v>0.17318435754189901</v>
      </c>
      <c r="F247">
        <f>VLOOKUP(B247,'Model allocations'!$A$1:$L$316,8,FALSE)</f>
        <v>64113.321759909297</v>
      </c>
      <c r="G247" s="30">
        <f t="shared" si="65"/>
        <v>0.9</v>
      </c>
      <c r="H247">
        <f t="shared" si="66"/>
        <v>64113.321759909297</v>
      </c>
      <c r="I247">
        <f t="shared" si="58"/>
        <v>0</v>
      </c>
      <c r="J247">
        <f t="shared" si="59"/>
        <v>64113.321759909297</v>
      </c>
      <c r="K247">
        <f t="shared" si="60"/>
        <v>64075.95195435737</v>
      </c>
      <c r="L247">
        <f t="shared" si="67"/>
        <v>64075.95195435737</v>
      </c>
      <c r="M247">
        <f t="shared" si="61"/>
        <v>64113.321759909297</v>
      </c>
      <c r="N247" s="29">
        <f t="shared" si="68"/>
        <v>0</v>
      </c>
      <c r="O247" s="29">
        <f t="shared" si="62"/>
        <v>0</v>
      </c>
      <c r="P247" s="29">
        <f t="shared" si="69"/>
        <v>64113.321759909297</v>
      </c>
      <c r="Q247">
        <f t="shared" si="70"/>
        <v>0</v>
      </c>
      <c r="R247" s="29">
        <f t="shared" si="71"/>
        <v>0</v>
      </c>
      <c r="S247" s="29">
        <f t="shared" si="63"/>
        <v>0</v>
      </c>
      <c r="T247" s="29">
        <f t="shared" si="72"/>
        <v>64113.321759909297</v>
      </c>
      <c r="U247">
        <f t="shared" si="73"/>
        <v>0</v>
      </c>
      <c r="V247" s="29">
        <f t="shared" si="74"/>
        <v>0</v>
      </c>
      <c r="W247" s="29">
        <f t="shared" si="64"/>
        <v>0</v>
      </c>
      <c r="X247" s="29">
        <f t="shared" si="75"/>
        <v>64113.321759909297</v>
      </c>
      <c r="Y247">
        <f t="shared" si="76"/>
        <v>0</v>
      </c>
    </row>
    <row r="248" spans="1:25" x14ac:dyDescent="0.25">
      <c r="A248" s="4" t="s">
        <v>1132</v>
      </c>
      <c r="B248" s="7" t="s">
        <v>218</v>
      </c>
      <c r="C248" s="2" t="s">
        <v>1133</v>
      </c>
      <c r="D248">
        <f>VLOOKUP(B248,'Model allocations'!$A$1:$L$316,3,FALSE)</f>
        <v>861172.12780886411</v>
      </c>
      <c r="E248" s="31">
        <f>VLOOKUP(B248,'Initial adjusted formula count'!$A$1:$P$316,12,FALSE)</f>
        <v>8.3006312915884603E-2</v>
      </c>
      <c r="F248">
        <f>VLOOKUP(B248,'Model allocations'!$A$1:$L$316,8,FALSE)</f>
        <v>856242.02443227987</v>
      </c>
      <c r="G248" s="30">
        <f t="shared" si="65"/>
        <v>0.85</v>
      </c>
      <c r="H248">
        <f t="shared" si="66"/>
        <v>731996.3086375345</v>
      </c>
      <c r="I248">
        <f t="shared" si="58"/>
        <v>0</v>
      </c>
      <c r="J248">
        <f t="shared" si="59"/>
        <v>856242.02443227987</v>
      </c>
      <c r="K248">
        <f t="shared" si="60"/>
        <v>855742.94565925584</v>
      </c>
      <c r="L248">
        <f t="shared" si="67"/>
        <v>855742.94565925584</v>
      </c>
      <c r="M248">
        <f t="shared" si="61"/>
        <v>0</v>
      </c>
      <c r="N248" s="29">
        <f t="shared" si="68"/>
        <v>855742.94565925584</v>
      </c>
      <c r="O248" s="29">
        <f t="shared" si="62"/>
        <v>855716.61461873772</v>
      </c>
      <c r="P248" s="29">
        <f t="shared" si="69"/>
        <v>855716.61461873772</v>
      </c>
      <c r="Q248">
        <f t="shared" si="70"/>
        <v>0</v>
      </c>
      <c r="R248" s="29">
        <f t="shared" si="71"/>
        <v>855716.61461873772</v>
      </c>
      <c r="S248" s="29">
        <f t="shared" si="63"/>
        <v>855716.61461873772</v>
      </c>
      <c r="T248" s="29">
        <f t="shared" si="72"/>
        <v>855716.61461873772</v>
      </c>
      <c r="U248">
        <f t="shared" si="73"/>
        <v>0</v>
      </c>
      <c r="V248" s="29">
        <f t="shared" si="74"/>
        <v>855716.61461873772</v>
      </c>
      <c r="W248" s="29">
        <f t="shared" si="64"/>
        <v>855716.61461873772</v>
      </c>
      <c r="X248" s="29">
        <f t="shared" si="75"/>
        <v>855716.61461873772</v>
      </c>
      <c r="Y248">
        <f t="shared" si="76"/>
        <v>0</v>
      </c>
    </row>
    <row r="249" spans="1:25" x14ac:dyDescent="0.25">
      <c r="A249" s="4" t="s">
        <v>1134</v>
      </c>
      <c r="B249" s="7" t="s">
        <v>220</v>
      </c>
      <c r="C249" s="2" t="s">
        <v>1135</v>
      </c>
      <c r="D249">
        <f>VLOOKUP(B249,'Model allocations'!$A$1:$L$316,3,FALSE)</f>
        <v>130348.95980961616</v>
      </c>
      <c r="E249" s="31">
        <f>VLOOKUP(B249,'Initial adjusted formula count'!$A$1:$P$316,12,FALSE)</f>
        <v>8.1468732071141706E-2</v>
      </c>
      <c r="F249">
        <f>VLOOKUP(B249,'Model allocations'!$A$1:$L$316,8,FALSE)</f>
        <v>124960.29544643755</v>
      </c>
      <c r="G249" s="30">
        <f t="shared" si="65"/>
        <v>0.85</v>
      </c>
      <c r="H249">
        <f t="shared" si="66"/>
        <v>110796.61583817373</v>
      </c>
      <c r="I249">
        <f t="shared" si="58"/>
        <v>0</v>
      </c>
      <c r="J249">
        <f t="shared" si="59"/>
        <v>124960.29544643755</v>
      </c>
      <c r="K249">
        <f t="shared" si="60"/>
        <v>124887.45969538986</v>
      </c>
      <c r="L249">
        <f t="shared" si="67"/>
        <v>124887.45969538986</v>
      </c>
      <c r="M249">
        <f t="shared" si="61"/>
        <v>0</v>
      </c>
      <c r="N249" s="29">
        <f t="shared" si="68"/>
        <v>124887.45969538986</v>
      </c>
      <c r="O249" s="29">
        <f t="shared" si="62"/>
        <v>124883.61693305318</v>
      </c>
      <c r="P249" s="29">
        <f t="shared" si="69"/>
        <v>124883.61693305318</v>
      </c>
      <c r="Q249">
        <f t="shared" si="70"/>
        <v>0</v>
      </c>
      <c r="R249" s="29">
        <f t="shared" si="71"/>
        <v>124883.61693305318</v>
      </c>
      <c r="S249" s="29">
        <f t="shared" si="63"/>
        <v>124883.61693305318</v>
      </c>
      <c r="T249" s="29">
        <f t="shared" si="72"/>
        <v>124883.61693305318</v>
      </c>
      <c r="U249">
        <f t="shared" si="73"/>
        <v>0</v>
      </c>
      <c r="V249" s="29">
        <f t="shared" si="74"/>
        <v>124883.61693305318</v>
      </c>
      <c r="W249" s="29">
        <f t="shared" si="64"/>
        <v>124883.61693305318</v>
      </c>
      <c r="X249" s="29">
        <f t="shared" si="75"/>
        <v>124883.61693305318</v>
      </c>
      <c r="Y249">
        <f t="shared" si="76"/>
        <v>0</v>
      </c>
    </row>
    <row r="250" spans="1:25" x14ac:dyDescent="0.25">
      <c r="A250" s="4" t="s">
        <v>1136</v>
      </c>
      <c r="B250" s="7" t="s">
        <v>585</v>
      </c>
      <c r="C250" s="2" t="s">
        <v>1137</v>
      </c>
      <c r="D250">
        <f>VLOOKUP(B250,'Model allocations'!$A$1:$L$316,3,FALSE)</f>
        <v>59960.521512423416</v>
      </c>
      <c r="E250" s="31">
        <f>VLOOKUP(B250,'Initial adjusted formula count'!$A$1:$P$316,12,FALSE)</f>
        <v>0.207182320441989</v>
      </c>
      <c r="F250">
        <f>VLOOKUP(B250,'Model allocations'!$A$1:$L$316,8,FALSE)</f>
        <v>66000.15604565361</v>
      </c>
      <c r="G250" s="30">
        <f t="shared" si="65"/>
        <v>0.9</v>
      </c>
      <c r="H250">
        <f t="shared" si="66"/>
        <v>53964.469361181073</v>
      </c>
      <c r="I250">
        <f t="shared" si="58"/>
        <v>0</v>
      </c>
      <c r="J250">
        <f t="shared" si="59"/>
        <v>66000.15604565361</v>
      </c>
      <c r="K250">
        <f t="shared" si="60"/>
        <v>65961.686458832643</v>
      </c>
      <c r="L250">
        <f t="shared" si="67"/>
        <v>65961.686458832643</v>
      </c>
      <c r="M250">
        <f t="shared" si="61"/>
        <v>0</v>
      </c>
      <c r="N250" s="29">
        <f t="shared" si="68"/>
        <v>65961.686458832643</v>
      </c>
      <c r="O250" s="29">
        <f t="shared" si="62"/>
        <v>65959.656830837921</v>
      </c>
      <c r="P250" s="29">
        <f t="shared" si="69"/>
        <v>65959.656830837921</v>
      </c>
      <c r="Q250">
        <f t="shared" si="70"/>
        <v>0</v>
      </c>
      <c r="R250" s="29">
        <f t="shared" si="71"/>
        <v>65959.656830837921</v>
      </c>
      <c r="S250" s="29">
        <f t="shared" si="63"/>
        <v>65959.656830837921</v>
      </c>
      <c r="T250" s="29">
        <f t="shared" si="72"/>
        <v>65959.656830837921</v>
      </c>
      <c r="U250">
        <f t="shared" si="73"/>
        <v>0</v>
      </c>
      <c r="V250" s="29">
        <f t="shared" si="74"/>
        <v>65959.656830837921</v>
      </c>
      <c r="W250" s="29">
        <f t="shared" si="64"/>
        <v>65959.656830837921</v>
      </c>
      <c r="X250" s="29">
        <f t="shared" si="75"/>
        <v>65959.656830837921</v>
      </c>
      <c r="Y250">
        <f t="shared" si="76"/>
        <v>0</v>
      </c>
    </row>
    <row r="251" spans="1:25" x14ac:dyDescent="0.25">
      <c r="A251" s="4" t="s">
        <v>32</v>
      </c>
      <c r="B251" s="7" t="s">
        <v>61</v>
      </c>
      <c r="C251" s="2" t="s">
        <v>1138</v>
      </c>
      <c r="D251">
        <f>VLOOKUP(B251,'Model allocations'!$A$1:$L$316,3,FALSE)</f>
        <v>4414149.4521885253</v>
      </c>
      <c r="E251" s="31">
        <f>VLOOKUP(B251,'Initial adjusted formula count'!$A$1:$P$316,12,FALSE)</f>
        <v>0.116013323751325</v>
      </c>
      <c r="F251">
        <f>VLOOKUP(B251,'Model allocations'!$A$1:$L$316,8,FALSE)</f>
        <v>3738734.3885995536</v>
      </c>
      <c r="G251" s="30">
        <f t="shared" si="65"/>
        <v>0.85</v>
      </c>
      <c r="H251">
        <f t="shared" si="66"/>
        <v>3752027.0343602463</v>
      </c>
      <c r="I251">
        <f t="shared" si="58"/>
        <v>3752027.0343602463</v>
      </c>
      <c r="J251">
        <f t="shared" si="59"/>
        <v>0</v>
      </c>
      <c r="K251">
        <f t="shared" si="60"/>
        <v>0</v>
      </c>
      <c r="L251">
        <f t="shared" si="67"/>
        <v>3752027.0343602463</v>
      </c>
      <c r="M251">
        <f t="shared" si="61"/>
        <v>0</v>
      </c>
      <c r="N251" s="29">
        <f t="shared" si="68"/>
        <v>0</v>
      </c>
      <c r="O251" s="29">
        <f t="shared" si="62"/>
        <v>0</v>
      </c>
      <c r="P251" s="29">
        <f t="shared" si="69"/>
        <v>3752027.0343602463</v>
      </c>
      <c r="Q251">
        <f t="shared" si="70"/>
        <v>0</v>
      </c>
      <c r="R251" s="29">
        <f t="shared" si="71"/>
        <v>0</v>
      </c>
      <c r="S251" s="29">
        <f t="shared" si="63"/>
        <v>0</v>
      </c>
      <c r="T251" s="29">
        <f t="shared" si="72"/>
        <v>3752027.0343602463</v>
      </c>
      <c r="U251">
        <f t="shared" si="73"/>
        <v>0</v>
      </c>
      <c r="V251" s="29">
        <f t="shared" si="74"/>
        <v>0</v>
      </c>
      <c r="W251" s="29">
        <f t="shared" si="64"/>
        <v>0</v>
      </c>
      <c r="X251" s="29">
        <f t="shared" si="75"/>
        <v>3752027.0343602463</v>
      </c>
      <c r="Y251">
        <f t="shared" si="76"/>
        <v>0</v>
      </c>
    </row>
    <row r="252" spans="1:25" x14ac:dyDescent="0.25">
      <c r="A252" s="4" t="s">
        <v>35</v>
      </c>
      <c r="B252" s="7" t="s">
        <v>78</v>
      </c>
      <c r="C252" s="2" t="s">
        <v>1139</v>
      </c>
      <c r="D252">
        <f>VLOOKUP(B252,'Model allocations'!$A$1:$L$316,3,FALSE)</f>
        <v>86915.03389674965</v>
      </c>
      <c r="E252" s="31">
        <f>VLOOKUP(B252,'Initial adjusted formula count'!$A$1:$P$316,12,FALSE)</f>
        <v>0.100417652703664</v>
      </c>
      <c r="F252">
        <f>VLOOKUP(B252,'Model allocations'!$A$1:$L$316,8,FALSE)</f>
        <v>94875.074532073733</v>
      </c>
      <c r="G252" s="30">
        <f t="shared" si="65"/>
        <v>0.85</v>
      </c>
      <c r="H252">
        <f t="shared" si="66"/>
        <v>73877.7788122372</v>
      </c>
      <c r="I252">
        <f t="shared" si="58"/>
        <v>0</v>
      </c>
      <c r="J252">
        <f t="shared" si="59"/>
        <v>94875.074532073733</v>
      </c>
      <c r="K252">
        <f t="shared" si="60"/>
        <v>94819.774588323111</v>
      </c>
      <c r="L252">
        <f t="shared" si="67"/>
        <v>94819.774588323111</v>
      </c>
      <c r="M252">
        <f t="shared" si="61"/>
        <v>0</v>
      </c>
      <c r="N252" s="29">
        <f t="shared" si="68"/>
        <v>94819.774588323111</v>
      </c>
      <c r="O252" s="29">
        <f t="shared" si="62"/>
        <v>94816.857002686826</v>
      </c>
      <c r="P252" s="29">
        <f t="shared" si="69"/>
        <v>94816.857002686826</v>
      </c>
      <c r="Q252">
        <f t="shared" si="70"/>
        <v>0</v>
      </c>
      <c r="R252" s="29">
        <f t="shared" si="71"/>
        <v>94816.857002686826</v>
      </c>
      <c r="S252" s="29">
        <f t="shared" si="63"/>
        <v>94816.857002686826</v>
      </c>
      <c r="T252" s="29">
        <f t="shared" si="72"/>
        <v>94816.857002686826</v>
      </c>
      <c r="U252">
        <f t="shared" si="73"/>
        <v>0</v>
      </c>
      <c r="V252" s="29">
        <f t="shared" si="74"/>
        <v>94816.857002686826</v>
      </c>
      <c r="W252" s="29">
        <f t="shared" si="64"/>
        <v>94816.857002686826</v>
      </c>
      <c r="X252" s="29">
        <f t="shared" si="75"/>
        <v>94816.857002686826</v>
      </c>
      <c r="Y252">
        <f t="shared" si="76"/>
        <v>0</v>
      </c>
    </row>
    <row r="253" spans="1:25" x14ac:dyDescent="0.25">
      <c r="A253" s="4" t="s">
        <v>1140</v>
      </c>
      <c r="B253" s="7" t="s">
        <v>587</v>
      </c>
      <c r="C253" s="2" t="s">
        <v>1141</v>
      </c>
      <c r="D253">
        <f>VLOOKUP(B253,'Model allocations'!$A$1:$L$316,3,FALSE)</f>
        <v>17379.861307948824</v>
      </c>
      <c r="E253" s="31">
        <f>VLOOKUP(B253,'Initial adjusted formula count'!$A$1:$P$316,12,FALSE)</f>
        <v>0.27906976744186002</v>
      </c>
      <c r="F253">
        <f>VLOOKUP(B253,'Model allocations'!$A$1:$L$316,8,FALSE)</f>
        <v>31680.074901913747</v>
      </c>
      <c r="G253" s="30">
        <f t="shared" si="65"/>
        <v>0.9</v>
      </c>
      <c r="H253">
        <f t="shared" si="66"/>
        <v>15641.875177153943</v>
      </c>
      <c r="I253">
        <f t="shared" si="58"/>
        <v>0</v>
      </c>
      <c r="J253">
        <f t="shared" si="59"/>
        <v>31680.074901913747</v>
      </c>
      <c r="K253">
        <f t="shared" si="60"/>
        <v>31661.609500239683</v>
      </c>
      <c r="L253">
        <f t="shared" si="67"/>
        <v>31661.609500239683</v>
      </c>
      <c r="M253">
        <f t="shared" si="61"/>
        <v>0</v>
      </c>
      <c r="N253" s="29">
        <f t="shared" si="68"/>
        <v>31661.609500239683</v>
      </c>
      <c r="O253" s="29">
        <f t="shared" si="62"/>
        <v>31660.63527880222</v>
      </c>
      <c r="P253" s="29">
        <f t="shared" si="69"/>
        <v>31660.63527880222</v>
      </c>
      <c r="Q253">
        <f t="shared" si="70"/>
        <v>0</v>
      </c>
      <c r="R253" s="29">
        <f t="shared" si="71"/>
        <v>31660.63527880222</v>
      </c>
      <c r="S253" s="29">
        <f t="shared" si="63"/>
        <v>31660.63527880222</v>
      </c>
      <c r="T253" s="29">
        <f t="shared" si="72"/>
        <v>31660.63527880222</v>
      </c>
      <c r="U253">
        <f t="shared" si="73"/>
        <v>0</v>
      </c>
      <c r="V253" s="29">
        <f t="shared" si="74"/>
        <v>31660.63527880222</v>
      </c>
      <c r="W253" s="29">
        <f t="shared" si="64"/>
        <v>31660.63527880222</v>
      </c>
      <c r="X253" s="29">
        <f t="shared" si="75"/>
        <v>31660.63527880222</v>
      </c>
      <c r="Y253">
        <f t="shared" si="76"/>
        <v>0</v>
      </c>
    </row>
    <row r="254" spans="1:25" x14ac:dyDescent="0.25">
      <c r="A254" s="4" t="s">
        <v>1142</v>
      </c>
      <c r="B254" s="7" t="s">
        <v>589</v>
      </c>
      <c r="C254" s="2" t="s">
        <v>1143</v>
      </c>
      <c r="D254">
        <f>VLOOKUP(B254,'Model allocations'!$A$1:$L$316,3,FALSE)</f>
        <v>20855.833569538583</v>
      </c>
      <c r="E254" s="31">
        <f>VLOOKUP(B254,'Initial adjusted formula count'!$A$1:$P$316,12,FALSE)</f>
        <v>0.117283950617284</v>
      </c>
      <c r="F254">
        <f>VLOOKUP(B254,'Model allocations'!$A$1:$L$316,8,FALSE)</f>
        <v>17737.308401186659</v>
      </c>
      <c r="G254" s="30">
        <f t="shared" si="65"/>
        <v>0.85</v>
      </c>
      <c r="H254">
        <f t="shared" si="66"/>
        <v>17727.458534107795</v>
      </c>
      <c r="I254">
        <f t="shared" si="58"/>
        <v>0</v>
      </c>
      <c r="J254">
        <f t="shared" si="59"/>
        <v>17737.308401186659</v>
      </c>
      <c r="K254">
        <f t="shared" si="60"/>
        <v>17726.96983584997</v>
      </c>
      <c r="L254">
        <f t="shared" si="67"/>
        <v>17726.96983584997</v>
      </c>
      <c r="M254">
        <f t="shared" si="61"/>
        <v>17727.458534107795</v>
      </c>
      <c r="N254" s="29">
        <f t="shared" si="68"/>
        <v>0</v>
      </c>
      <c r="O254" s="29">
        <f t="shared" si="62"/>
        <v>0</v>
      </c>
      <c r="P254" s="29">
        <f t="shared" si="69"/>
        <v>17727.458534107795</v>
      </c>
      <c r="Q254">
        <f t="shared" si="70"/>
        <v>0</v>
      </c>
      <c r="R254" s="29">
        <f t="shared" si="71"/>
        <v>0</v>
      </c>
      <c r="S254" s="29">
        <f t="shared" si="63"/>
        <v>0</v>
      </c>
      <c r="T254" s="29">
        <f t="shared" si="72"/>
        <v>17727.458534107795</v>
      </c>
      <c r="U254">
        <f t="shared" si="73"/>
        <v>0</v>
      </c>
      <c r="V254" s="29">
        <f t="shared" si="74"/>
        <v>0</v>
      </c>
      <c r="W254" s="29">
        <f t="shared" si="64"/>
        <v>0</v>
      </c>
      <c r="X254" s="29">
        <f t="shared" si="75"/>
        <v>17727.458534107795</v>
      </c>
      <c r="Y254">
        <f t="shared" si="76"/>
        <v>0</v>
      </c>
    </row>
    <row r="255" spans="1:25" x14ac:dyDescent="0.25">
      <c r="A255" s="4" t="s">
        <v>1144</v>
      </c>
      <c r="B255" s="7" t="s">
        <v>222</v>
      </c>
      <c r="C255" s="2" t="s">
        <v>1145</v>
      </c>
      <c r="D255">
        <f>VLOOKUP(B255,'Model allocations'!$A$1:$L$316,3,FALSE)</f>
        <v>371929.0319901047</v>
      </c>
      <c r="E255" s="31">
        <f>VLOOKUP(B255,'Initial adjusted formula count'!$A$1:$P$316,12,FALSE)</f>
        <v>7.4352854782449102E-2</v>
      </c>
      <c r="F255">
        <f>VLOOKUP(B255,'Model allocations'!$A$1:$L$316,8,FALSE)</f>
        <v>356400.84264652972</v>
      </c>
      <c r="G255" s="30">
        <f t="shared" si="65"/>
        <v>0.85</v>
      </c>
      <c r="H255">
        <f t="shared" si="66"/>
        <v>316139.67719158897</v>
      </c>
      <c r="I255">
        <f t="shared" si="58"/>
        <v>0</v>
      </c>
      <c r="J255">
        <f t="shared" si="59"/>
        <v>356400.84264652972</v>
      </c>
      <c r="K255">
        <f t="shared" si="60"/>
        <v>356193.10687769647</v>
      </c>
      <c r="L255">
        <f t="shared" si="67"/>
        <v>356193.10687769647</v>
      </c>
      <c r="M255">
        <f t="shared" si="61"/>
        <v>0</v>
      </c>
      <c r="N255" s="29">
        <f t="shared" si="68"/>
        <v>356193.10687769647</v>
      </c>
      <c r="O255" s="29">
        <f t="shared" si="62"/>
        <v>356182.14688652498</v>
      </c>
      <c r="P255" s="29">
        <f t="shared" si="69"/>
        <v>356182.14688652498</v>
      </c>
      <c r="Q255">
        <f t="shared" si="70"/>
        <v>0</v>
      </c>
      <c r="R255" s="29">
        <f t="shared" si="71"/>
        <v>356182.14688652498</v>
      </c>
      <c r="S255" s="29">
        <f t="shared" si="63"/>
        <v>356182.14688652498</v>
      </c>
      <c r="T255" s="29">
        <f t="shared" si="72"/>
        <v>356182.14688652498</v>
      </c>
      <c r="U255">
        <f t="shared" si="73"/>
        <v>0</v>
      </c>
      <c r="V255" s="29">
        <f t="shared" si="74"/>
        <v>356182.14688652498</v>
      </c>
      <c r="W255" s="29">
        <f t="shared" si="64"/>
        <v>356182.14688652498</v>
      </c>
      <c r="X255" s="29">
        <f t="shared" si="75"/>
        <v>356182.14688652498</v>
      </c>
      <c r="Y255">
        <f t="shared" si="76"/>
        <v>0</v>
      </c>
    </row>
    <row r="256" spans="1:25" x14ac:dyDescent="0.25">
      <c r="A256" s="4" t="s">
        <v>1146</v>
      </c>
      <c r="B256" s="7" t="s">
        <v>224</v>
      </c>
      <c r="C256" s="2" t="s">
        <v>1147</v>
      </c>
      <c r="D256">
        <f>VLOOKUP(B256,'Model allocations'!$A$1:$L$316,3,FALSE)</f>
        <v>0</v>
      </c>
      <c r="E256" s="31">
        <f>VLOOKUP(B256,'Initial adjusted formula count'!$A$1:$P$316,12,FALSE)</f>
        <v>0.08</v>
      </c>
      <c r="F256">
        <f>VLOOKUP(B256,'Model allocations'!$A$1:$L$316,8,FALSE)</f>
        <v>0</v>
      </c>
      <c r="G256" s="30">
        <f t="shared" si="65"/>
        <v>0.85</v>
      </c>
      <c r="H256">
        <f t="shared" si="66"/>
        <v>0</v>
      </c>
      <c r="I256">
        <f t="shared" si="58"/>
        <v>0</v>
      </c>
      <c r="J256">
        <f t="shared" si="59"/>
        <v>0</v>
      </c>
      <c r="K256">
        <f t="shared" si="60"/>
        <v>0</v>
      </c>
      <c r="L256">
        <f t="shared" si="67"/>
        <v>0</v>
      </c>
      <c r="M256">
        <f t="shared" si="61"/>
        <v>0</v>
      </c>
      <c r="N256" s="29">
        <f t="shared" si="68"/>
        <v>0</v>
      </c>
      <c r="O256" s="29">
        <f t="shared" si="62"/>
        <v>0</v>
      </c>
      <c r="P256" s="29">
        <f t="shared" si="69"/>
        <v>0</v>
      </c>
      <c r="Q256">
        <f t="shared" si="70"/>
        <v>0</v>
      </c>
      <c r="R256" s="29">
        <f t="shared" si="71"/>
        <v>0</v>
      </c>
      <c r="S256" s="29">
        <f t="shared" si="63"/>
        <v>0</v>
      </c>
      <c r="T256" s="29">
        <f t="shared" si="72"/>
        <v>0</v>
      </c>
      <c r="U256">
        <f t="shared" si="73"/>
        <v>0</v>
      </c>
      <c r="V256" s="29">
        <f t="shared" si="74"/>
        <v>0</v>
      </c>
      <c r="W256" s="29">
        <f t="shared" si="64"/>
        <v>0</v>
      </c>
      <c r="X256" s="29">
        <f t="shared" si="75"/>
        <v>0</v>
      </c>
      <c r="Y256">
        <f t="shared" si="76"/>
        <v>0</v>
      </c>
    </row>
    <row r="257" spans="1:25" x14ac:dyDescent="0.25">
      <c r="A257" s="4" t="s">
        <v>1148</v>
      </c>
      <c r="B257" s="7" t="s">
        <v>591</v>
      </c>
      <c r="C257" s="2" t="s">
        <v>1149</v>
      </c>
      <c r="D257">
        <f>VLOOKUP(B257,'Model allocations'!$A$1:$L$316,3,FALSE)</f>
        <v>0</v>
      </c>
      <c r="E257" s="31">
        <f>VLOOKUP(B257,'Initial adjusted formula count'!$A$1:$P$316,12,FALSE)</f>
        <v>0.3125</v>
      </c>
      <c r="F257">
        <f>VLOOKUP(B257,'Model allocations'!$A$1:$L$316,8,FALSE)</f>
        <v>0</v>
      </c>
      <c r="G257" s="30">
        <f t="shared" si="65"/>
        <v>0.95</v>
      </c>
      <c r="H257">
        <f t="shared" si="66"/>
        <v>0</v>
      </c>
      <c r="I257">
        <f t="shared" si="58"/>
        <v>0</v>
      </c>
      <c r="J257">
        <f t="shared" si="59"/>
        <v>0</v>
      </c>
      <c r="K257">
        <f t="shared" si="60"/>
        <v>0</v>
      </c>
      <c r="L257">
        <f t="shared" si="67"/>
        <v>0</v>
      </c>
      <c r="M257">
        <f t="shared" si="61"/>
        <v>0</v>
      </c>
      <c r="N257" s="29">
        <f t="shared" si="68"/>
        <v>0</v>
      </c>
      <c r="O257" s="29">
        <f t="shared" si="62"/>
        <v>0</v>
      </c>
      <c r="P257" s="29">
        <f t="shared" si="69"/>
        <v>0</v>
      </c>
      <c r="Q257">
        <f t="shared" si="70"/>
        <v>0</v>
      </c>
      <c r="R257" s="29">
        <f t="shared" si="71"/>
        <v>0</v>
      </c>
      <c r="S257" s="29">
        <f t="shared" si="63"/>
        <v>0</v>
      </c>
      <c r="T257" s="29">
        <f t="shared" si="72"/>
        <v>0</v>
      </c>
      <c r="U257">
        <f t="shared" si="73"/>
        <v>0</v>
      </c>
      <c r="V257" s="29">
        <f t="shared" si="74"/>
        <v>0</v>
      </c>
      <c r="W257" s="29">
        <f t="shared" si="64"/>
        <v>0</v>
      </c>
      <c r="X257" s="29">
        <f t="shared" si="75"/>
        <v>0</v>
      </c>
      <c r="Y257">
        <f t="shared" si="76"/>
        <v>0</v>
      </c>
    </row>
    <row r="258" spans="1:25" x14ac:dyDescent="0.25">
      <c r="A258" s="4" t="s">
        <v>1150</v>
      </c>
      <c r="B258" s="7" t="s">
        <v>226</v>
      </c>
      <c r="C258" s="2" t="s">
        <v>1151</v>
      </c>
      <c r="D258">
        <f>VLOOKUP(B258,'Model allocations'!$A$1:$L$316,3,FALSE)</f>
        <v>0</v>
      </c>
      <c r="E258" s="31">
        <f>VLOOKUP(B258,'Initial adjusted formula count'!$A$1:$P$316,12,FALSE)</f>
        <v>6.6666666666666693E-2</v>
      </c>
      <c r="F258">
        <f>VLOOKUP(B258,'Model allocations'!$A$1:$L$316,8,FALSE)</f>
        <v>0</v>
      </c>
      <c r="G258" s="30">
        <f t="shared" si="65"/>
        <v>0.85</v>
      </c>
      <c r="H258">
        <f t="shared" si="66"/>
        <v>0</v>
      </c>
      <c r="I258">
        <f t="shared" si="58"/>
        <v>0</v>
      </c>
      <c r="J258">
        <f t="shared" si="59"/>
        <v>0</v>
      </c>
      <c r="K258">
        <f t="shared" si="60"/>
        <v>0</v>
      </c>
      <c r="L258">
        <f t="shared" si="67"/>
        <v>0</v>
      </c>
      <c r="M258">
        <f t="shared" si="61"/>
        <v>0</v>
      </c>
      <c r="N258" s="29">
        <f t="shared" si="68"/>
        <v>0</v>
      </c>
      <c r="O258" s="29">
        <f t="shared" si="62"/>
        <v>0</v>
      </c>
      <c r="P258" s="29">
        <f t="shared" si="69"/>
        <v>0</v>
      </c>
      <c r="Q258">
        <f t="shared" si="70"/>
        <v>0</v>
      </c>
      <c r="R258" s="29">
        <f t="shared" si="71"/>
        <v>0</v>
      </c>
      <c r="S258" s="29">
        <f t="shared" si="63"/>
        <v>0</v>
      </c>
      <c r="T258" s="29">
        <f t="shared" si="72"/>
        <v>0</v>
      </c>
      <c r="U258">
        <f t="shared" si="73"/>
        <v>0</v>
      </c>
      <c r="V258" s="29">
        <f t="shared" si="74"/>
        <v>0</v>
      </c>
      <c r="W258" s="29">
        <f t="shared" si="64"/>
        <v>0</v>
      </c>
      <c r="X258" s="29">
        <f t="shared" si="75"/>
        <v>0</v>
      </c>
      <c r="Y258">
        <f t="shared" si="76"/>
        <v>0</v>
      </c>
    </row>
    <row r="259" spans="1:25" x14ac:dyDescent="0.25">
      <c r="A259" s="4" t="s">
        <v>1152</v>
      </c>
      <c r="B259" s="7" t="s">
        <v>228</v>
      </c>
      <c r="C259" s="2" t="s">
        <v>1153</v>
      </c>
      <c r="D259">
        <f>VLOOKUP(B259,'Model allocations'!$A$1:$L$316,3,FALSE)</f>
        <v>217248.26634936035</v>
      </c>
      <c r="E259" s="31">
        <f>VLOOKUP(B259,'Initial adjusted formula count'!$A$1:$P$316,12,FALSE)</f>
        <v>6.6716829696513699E-2</v>
      </c>
      <c r="F259">
        <f>VLOOKUP(B259,'Model allocations'!$A$1:$L$316,8,FALSE)</f>
        <v>234080.55344191825</v>
      </c>
      <c r="G259" s="30">
        <f t="shared" si="65"/>
        <v>0.85</v>
      </c>
      <c r="H259">
        <f t="shared" si="66"/>
        <v>184661.02639695629</v>
      </c>
      <c r="I259">
        <f t="shared" ref="I259:I315" si="77">IF(F259&lt;H259,H259,0)</f>
        <v>0</v>
      </c>
      <c r="J259">
        <f t="shared" ref="J259:J315" si="78">IF(I259=0,F259,0)</f>
        <v>234080.55344191825</v>
      </c>
      <c r="K259">
        <f t="shared" ref="K259:K315" si="79">(J259/$J$3)*($F$3-$I$3)</f>
        <v>233944.11464065989</v>
      </c>
      <c r="L259">
        <f t="shared" si="67"/>
        <v>233944.11464065989</v>
      </c>
      <c r="M259">
        <f t="shared" ref="M259:M315" si="80">IF(L259&lt;H259,H259,0)</f>
        <v>0</v>
      </c>
      <c r="N259" s="29">
        <f t="shared" si="68"/>
        <v>233944.11464065989</v>
      </c>
      <c r="O259" s="29">
        <f t="shared" ref="O259:O315" si="81">((N259/$N$3)*($F$3-$I$3-$M$3))</f>
        <v>233936.9162267053</v>
      </c>
      <c r="P259" s="29">
        <f t="shared" si="69"/>
        <v>233936.9162267053</v>
      </c>
      <c r="Q259">
        <f t="shared" si="70"/>
        <v>0</v>
      </c>
      <c r="R259" s="29">
        <f t="shared" si="71"/>
        <v>233936.9162267053</v>
      </c>
      <c r="S259" s="29">
        <f t="shared" ref="S259:S315" si="82">((R259/$R$3)*($F$3-$I$3-$M$3-$Q$3))</f>
        <v>233936.9162267053</v>
      </c>
      <c r="T259" s="29">
        <f t="shared" si="72"/>
        <v>233936.9162267053</v>
      </c>
      <c r="U259">
        <f t="shared" si="73"/>
        <v>0</v>
      </c>
      <c r="V259" s="29">
        <f t="shared" si="74"/>
        <v>233936.9162267053</v>
      </c>
      <c r="W259" s="29">
        <f t="shared" ref="W259:W315" si="83">((V259/$V$3)*($F$3-$I$3-$M$3-$Q$3-$U$3))</f>
        <v>233936.9162267053</v>
      </c>
      <c r="X259" s="29">
        <f t="shared" si="75"/>
        <v>233936.9162267053</v>
      </c>
      <c r="Y259">
        <f t="shared" si="76"/>
        <v>0</v>
      </c>
    </row>
    <row r="260" spans="1:25" x14ac:dyDescent="0.25">
      <c r="A260" s="4" t="s">
        <v>1154</v>
      </c>
      <c r="B260" s="7" t="s">
        <v>593</v>
      </c>
      <c r="C260" s="2" t="s">
        <v>1155</v>
      </c>
      <c r="D260">
        <f>VLOOKUP(B260,'Model allocations'!$A$1:$L$316,3,FALSE)</f>
        <v>0</v>
      </c>
      <c r="E260" s="31">
        <f>VLOOKUP(B260,'Initial adjusted formula count'!$A$1:$P$316,12,FALSE)</f>
        <v>1.88679245283019E-2</v>
      </c>
      <c r="F260">
        <f>VLOOKUP(B260,'Model allocations'!$A$1:$L$316,8,FALSE)</f>
        <v>0</v>
      </c>
      <c r="G260" s="30">
        <f t="shared" ref="G260:G315" si="84">IF(E260&lt;0.15,0.85,IF(AND(E260&gt;=0.15,E260&lt;0.3),0.9,0.95))</f>
        <v>0.85</v>
      </c>
      <c r="H260">
        <f t="shared" ref="H260:H315" si="85">IF(F260 = 0, 0, D260*G260)</f>
        <v>0</v>
      </c>
      <c r="I260">
        <f t="shared" si="77"/>
        <v>0</v>
      </c>
      <c r="J260">
        <f t="shared" si="78"/>
        <v>0</v>
      </c>
      <c r="K260">
        <f t="shared" si="79"/>
        <v>0</v>
      </c>
      <c r="L260">
        <f t="shared" ref="L260:L315" si="86">I260+K260</f>
        <v>0</v>
      </c>
      <c r="M260">
        <f t="shared" si="80"/>
        <v>0</v>
      </c>
      <c r="N260" s="29">
        <f t="shared" ref="N260:N315" si="87">IF($I260+$M260=0,L260,0)</f>
        <v>0</v>
      </c>
      <c r="O260" s="29">
        <f t="shared" si="81"/>
        <v>0</v>
      </c>
      <c r="P260" s="29">
        <f t="shared" ref="P260:P315" si="88">$I260+$M260+O260</f>
        <v>0</v>
      </c>
      <c r="Q260">
        <f t="shared" ref="Q260:Q315" si="89">IF(P260&lt;H260,H260,0)</f>
        <v>0</v>
      </c>
      <c r="R260" s="29">
        <f t="shared" ref="R260:R315" si="90">IF($I260+$M260+$Q260=0,P260,0)</f>
        <v>0</v>
      </c>
      <c r="S260" s="29">
        <f t="shared" si="82"/>
        <v>0</v>
      </c>
      <c r="T260" s="29">
        <f t="shared" ref="T260:T315" si="91">$I260+$M260+$Q260+S260</f>
        <v>0</v>
      </c>
      <c r="U260">
        <f t="shared" ref="U260:U315" si="92">IF(T260&lt;H260,H260,0)</f>
        <v>0</v>
      </c>
      <c r="V260" s="29">
        <f t="shared" ref="V260:V315" si="93">IF($I260+$M260+$Q260+U260=0,T260,0)</f>
        <v>0</v>
      </c>
      <c r="W260" s="29">
        <f t="shared" si="83"/>
        <v>0</v>
      </c>
      <c r="X260" s="29">
        <f t="shared" ref="X260:X315" si="94">$I260+$M260+$Q260+$U260+W260</f>
        <v>0</v>
      </c>
      <c r="Y260">
        <f t="shared" ref="Y260:Y315" si="95">IF(X260&lt;H260,H260,0)</f>
        <v>0</v>
      </c>
    </row>
    <row r="261" spans="1:25" x14ac:dyDescent="0.25">
      <c r="A261" s="4" t="s">
        <v>1156</v>
      </c>
      <c r="B261" s="7" t="s">
        <v>595</v>
      </c>
      <c r="C261" s="2" t="s">
        <v>1157</v>
      </c>
      <c r="D261">
        <f>VLOOKUP(B261,'Model allocations'!$A$1:$L$316,3,FALSE)</f>
        <v>123397.01528643665</v>
      </c>
      <c r="E261" s="31">
        <f>VLOOKUP(B261,'Initial adjusted formula count'!$A$1:$P$316,12,FALSE)</f>
        <v>0.133333333333333</v>
      </c>
      <c r="F261">
        <f>VLOOKUP(B261,'Model allocations'!$A$1:$L$316,8,FALSE)</f>
        <v>104945.74137368771</v>
      </c>
      <c r="G261" s="30">
        <f t="shared" si="84"/>
        <v>0.85</v>
      </c>
      <c r="H261">
        <f t="shared" si="85"/>
        <v>104887.46299347116</v>
      </c>
      <c r="I261">
        <f t="shared" si="77"/>
        <v>0</v>
      </c>
      <c r="J261">
        <f t="shared" si="78"/>
        <v>104945.74137368771</v>
      </c>
      <c r="K261">
        <f t="shared" si="79"/>
        <v>104884.57152877895</v>
      </c>
      <c r="L261">
        <f t="shared" si="86"/>
        <v>104884.57152877895</v>
      </c>
      <c r="M261">
        <f t="shared" si="80"/>
        <v>104887.46299347116</v>
      </c>
      <c r="N261" s="29">
        <f t="shared" si="87"/>
        <v>0</v>
      </c>
      <c r="O261" s="29">
        <f t="shared" si="81"/>
        <v>0</v>
      </c>
      <c r="P261" s="29">
        <f t="shared" si="88"/>
        <v>104887.46299347116</v>
      </c>
      <c r="Q261">
        <f t="shared" si="89"/>
        <v>0</v>
      </c>
      <c r="R261" s="29">
        <f t="shared" si="90"/>
        <v>0</v>
      </c>
      <c r="S261" s="29">
        <f t="shared" si="82"/>
        <v>0</v>
      </c>
      <c r="T261" s="29">
        <f t="shared" si="91"/>
        <v>104887.46299347116</v>
      </c>
      <c r="U261">
        <f t="shared" si="92"/>
        <v>0</v>
      </c>
      <c r="V261" s="29">
        <f t="shared" si="93"/>
        <v>0</v>
      </c>
      <c r="W261" s="29">
        <f t="shared" si="83"/>
        <v>0</v>
      </c>
      <c r="X261" s="29">
        <f t="shared" si="94"/>
        <v>104887.46299347116</v>
      </c>
      <c r="Y261">
        <f t="shared" si="95"/>
        <v>0</v>
      </c>
    </row>
    <row r="262" spans="1:25" x14ac:dyDescent="0.25">
      <c r="A262" s="4" t="s">
        <v>1158</v>
      </c>
      <c r="B262" s="7" t="s">
        <v>230</v>
      </c>
      <c r="C262" s="2" t="s">
        <v>1159</v>
      </c>
      <c r="D262">
        <f>VLOOKUP(B262,'Model allocations'!$A$1:$L$316,3,FALSE)</f>
        <v>187702.50212584724</v>
      </c>
      <c r="E262" s="31">
        <f>VLOOKUP(B262,'Initial adjusted formula count'!$A$1:$P$316,12,FALSE)</f>
        <v>8.1689029202841407E-2</v>
      </c>
      <c r="F262">
        <f>VLOOKUP(B262,'Model allocations'!$A$1:$L$316,8,FALSE)</f>
        <v>182160.43068600411</v>
      </c>
      <c r="G262" s="30">
        <f t="shared" si="84"/>
        <v>0.85</v>
      </c>
      <c r="H262">
        <f t="shared" si="85"/>
        <v>159547.12680697016</v>
      </c>
      <c r="I262">
        <f t="shared" si="77"/>
        <v>0</v>
      </c>
      <c r="J262">
        <f t="shared" si="78"/>
        <v>182160.43068600411</v>
      </c>
      <c r="K262">
        <f t="shared" si="79"/>
        <v>182054.25462637824</v>
      </c>
      <c r="L262">
        <f t="shared" si="86"/>
        <v>182054.25462637824</v>
      </c>
      <c r="M262">
        <f t="shared" si="80"/>
        <v>0</v>
      </c>
      <c r="N262" s="29">
        <f t="shared" si="87"/>
        <v>182054.25462637824</v>
      </c>
      <c r="O262" s="29">
        <f t="shared" si="81"/>
        <v>182048.65285311281</v>
      </c>
      <c r="P262" s="29">
        <f t="shared" si="88"/>
        <v>182048.65285311281</v>
      </c>
      <c r="Q262">
        <f t="shared" si="89"/>
        <v>0</v>
      </c>
      <c r="R262" s="29">
        <f t="shared" si="90"/>
        <v>182048.65285311281</v>
      </c>
      <c r="S262" s="29">
        <f t="shared" si="82"/>
        <v>182048.65285311281</v>
      </c>
      <c r="T262" s="29">
        <f t="shared" si="91"/>
        <v>182048.65285311281</v>
      </c>
      <c r="U262">
        <f t="shared" si="92"/>
        <v>0</v>
      </c>
      <c r="V262" s="29">
        <f t="shared" si="93"/>
        <v>182048.65285311281</v>
      </c>
      <c r="W262" s="29">
        <f t="shared" si="83"/>
        <v>182048.65285311281</v>
      </c>
      <c r="X262" s="29">
        <f t="shared" si="94"/>
        <v>182048.65285311281</v>
      </c>
      <c r="Y262">
        <f t="shared" si="95"/>
        <v>0</v>
      </c>
    </row>
    <row r="263" spans="1:25" x14ac:dyDescent="0.25">
      <c r="A263" s="4" t="s">
        <v>25</v>
      </c>
      <c r="B263" s="7" t="s">
        <v>72</v>
      </c>
      <c r="C263" s="2" t="s">
        <v>1160</v>
      </c>
      <c r="D263">
        <f>VLOOKUP(B263,'Model allocations'!$A$1:$L$316,3,FALSE)</f>
        <v>87908.76148636383</v>
      </c>
      <c r="E263" s="31">
        <f>VLOOKUP(B263,'Initial adjusted formula count'!$A$1:$P$316,12,FALSE)</f>
        <v>0.118556300717947</v>
      </c>
      <c r="F263">
        <f>VLOOKUP(B263,'Model allocations'!$A$1:$L$316,8,FALSE)</f>
        <v>88281.553730591055</v>
      </c>
      <c r="G263" s="30">
        <f t="shared" si="84"/>
        <v>0.85</v>
      </c>
      <c r="H263">
        <f t="shared" si="85"/>
        <v>74722.447263409253</v>
      </c>
      <c r="I263">
        <f t="shared" si="77"/>
        <v>0</v>
      </c>
      <c r="J263">
        <f t="shared" si="78"/>
        <v>88281.553730591055</v>
      </c>
      <c r="K263">
        <f t="shared" si="79"/>
        <v>88230.096959889182</v>
      </c>
      <c r="L263">
        <f t="shared" si="86"/>
        <v>88230.096959889182</v>
      </c>
      <c r="M263">
        <f t="shared" si="80"/>
        <v>0</v>
      </c>
      <c r="N263" s="29">
        <f t="shared" si="87"/>
        <v>88230.096959889182</v>
      </c>
      <c r="O263" s="29">
        <f t="shared" si="81"/>
        <v>88227.382137325054</v>
      </c>
      <c r="P263" s="29">
        <f t="shared" si="88"/>
        <v>88227.382137325054</v>
      </c>
      <c r="Q263">
        <f t="shared" si="89"/>
        <v>0</v>
      </c>
      <c r="R263" s="29">
        <f t="shared" si="90"/>
        <v>88227.382137325054</v>
      </c>
      <c r="S263" s="29">
        <f t="shared" si="82"/>
        <v>88227.382137325054</v>
      </c>
      <c r="T263" s="29">
        <f t="shared" si="91"/>
        <v>88227.382137325054</v>
      </c>
      <c r="U263">
        <f t="shared" si="92"/>
        <v>0</v>
      </c>
      <c r="V263" s="29">
        <f t="shared" si="93"/>
        <v>88227.382137325054</v>
      </c>
      <c r="W263" s="29">
        <f t="shared" si="83"/>
        <v>88227.382137325054</v>
      </c>
      <c r="X263" s="29">
        <f t="shared" si="94"/>
        <v>88227.382137325054</v>
      </c>
      <c r="Y263">
        <f t="shared" si="95"/>
        <v>0</v>
      </c>
    </row>
    <row r="264" spans="1:25" x14ac:dyDescent="0.25">
      <c r="A264" s="4" t="s">
        <v>27</v>
      </c>
      <c r="B264" s="7" t="s">
        <v>73</v>
      </c>
      <c r="C264" s="2" t="s">
        <v>1161</v>
      </c>
      <c r="D264">
        <f>VLOOKUP(B264,'Model allocations'!$A$1:$L$316,3,FALSE)</f>
        <v>31495.345883755865</v>
      </c>
      <c r="E264" s="31">
        <f>VLOOKUP(B264,'Initial adjusted formula count'!$A$1:$P$316,12,FALSE)</f>
        <v>0.110844701876119</v>
      </c>
      <c r="F264">
        <f>VLOOKUP(B264,'Model allocations'!$A$1:$L$316,8,FALSE)</f>
        <v>22390.249134570171</v>
      </c>
      <c r="G264" s="30">
        <f t="shared" si="84"/>
        <v>0.85</v>
      </c>
      <c r="H264">
        <f t="shared" si="85"/>
        <v>26771.044001192484</v>
      </c>
      <c r="I264">
        <f t="shared" si="77"/>
        <v>26771.044001192484</v>
      </c>
      <c r="J264">
        <f t="shared" si="78"/>
        <v>0</v>
      </c>
      <c r="K264">
        <f t="shared" si="79"/>
        <v>0</v>
      </c>
      <c r="L264">
        <f t="shared" si="86"/>
        <v>26771.044001192484</v>
      </c>
      <c r="M264">
        <f t="shared" si="80"/>
        <v>0</v>
      </c>
      <c r="N264" s="29">
        <f t="shared" si="87"/>
        <v>0</v>
      </c>
      <c r="O264" s="29">
        <f t="shared" si="81"/>
        <v>0</v>
      </c>
      <c r="P264" s="29">
        <f t="shared" si="88"/>
        <v>26771.044001192484</v>
      </c>
      <c r="Q264">
        <f t="shared" si="89"/>
        <v>0</v>
      </c>
      <c r="R264" s="29">
        <f t="shared" si="90"/>
        <v>0</v>
      </c>
      <c r="S264" s="29">
        <f t="shared" si="82"/>
        <v>0</v>
      </c>
      <c r="T264" s="29">
        <f t="shared" si="91"/>
        <v>26771.044001192484</v>
      </c>
      <c r="U264">
        <f t="shared" si="92"/>
        <v>0</v>
      </c>
      <c r="V264" s="29">
        <f t="shared" si="93"/>
        <v>0</v>
      </c>
      <c r="W264" s="29">
        <f t="shared" si="83"/>
        <v>0</v>
      </c>
      <c r="X264" s="29">
        <f t="shared" si="94"/>
        <v>26771.044001192484</v>
      </c>
      <c r="Y264">
        <f t="shared" si="95"/>
        <v>0</v>
      </c>
    </row>
    <row r="265" spans="1:25" x14ac:dyDescent="0.25">
      <c r="A265" s="4" t="s">
        <v>1162</v>
      </c>
      <c r="B265" s="7" t="s">
        <v>597</v>
      </c>
      <c r="C265" s="2" t="s">
        <v>1163</v>
      </c>
      <c r="D265">
        <f>VLOOKUP(B265,'Model allocations'!$A$1:$L$316,3,FALSE)</f>
        <v>22593.819700333479</v>
      </c>
      <c r="E265" s="31">
        <f>VLOOKUP(B265,'Initial adjusted formula count'!$A$1:$P$316,12,FALSE)</f>
        <v>0.23008849557522101</v>
      </c>
      <c r="F265">
        <f>VLOOKUP(B265,'Model allocations'!$A$1:$L$316,8,FALSE)</f>
        <v>22880.054095826603</v>
      </c>
      <c r="G265" s="30">
        <f t="shared" si="84"/>
        <v>0.9</v>
      </c>
      <c r="H265">
        <f t="shared" si="85"/>
        <v>20334.437730300131</v>
      </c>
      <c r="I265">
        <f t="shared" si="77"/>
        <v>0</v>
      </c>
      <c r="J265">
        <f t="shared" si="78"/>
        <v>22880.054095826603</v>
      </c>
      <c r="K265">
        <f t="shared" si="79"/>
        <v>22866.717972395334</v>
      </c>
      <c r="L265">
        <f t="shared" si="86"/>
        <v>22866.717972395334</v>
      </c>
      <c r="M265">
        <f t="shared" si="80"/>
        <v>0</v>
      </c>
      <c r="N265" s="29">
        <f t="shared" si="87"/>
        <v>22866.717972395334</v>
      </c>
      <c r="O265" s="29">
        <f t="shared" si="81"/>
        <v>22866.014368023833</v>
      </c>
      <c r="P265" s="29">
        <f t="shared" si="88"/>
        <v>22866.014368023833</v>
      </c>
      <c r="Q265">
        <f t="shared" si="89"/>
        <v>0</v>
      </c>
      <c r="R265" s="29">
        <f t="shared" si="90"/>
        <v>22866.014368023833</v>
      </c>
      <c r="S265" s="29">
        <f t="shared" si="82"/>
        <v>22866.014368023833</v>
      </c>
      <c r="T265" s="29">
        <f t="shared" si="91"/>
        <v>22866.014368023833</v>
      </c>
      <c r="U265">
        <f t="shared" si="92"/>
        <v>0</v>
      </c>
      <c r="V265" s="29">
        <f t="shared" si="93"/>
        <v>22866.014368023833</v>
      </c>
      <c r="W265" s="29">
        <f t="shared" si="83"/>
        <v>22866.014368023833</v>
      </c>
      <c r="X265" s="29">
        <f t="shared" si="94"/>
        <v>22866.014368023833</v>
      </c>
      <c r="Y265">
        <f t="shared" si="95"/>
        <v>0</v>
      </c>
    </row>
    <row r="266" spans="1:25" x14ac:dyDescent="0.25">
      <c r="A266" s="4" t="s">
        <v>1164</v>
      </c>
      <c r="B266" s="7" t="s">
        <v>232</v>
      </c>
      <c r="C266" s="2" t="s">
        <v>1165</v>
      </c>
      <c r="D266">
        <f>VLOOKUP(B266,'Model allocations'!$A$1:$L$316,3,FALSE)</f>
        <v>486636.11662256706</v>
      </c>
      <c r="E266" s="31">
        <f>VLOOKUP(B266,'Initial adjusted formula count'!$A$1:$P$316,12,FALSE)</f>
        <v>6.0631539611360197E-2</v>
      </c>
      <c r="F266">
        <f>VLOOKUP(B266,'Model allocations'!$A$1:$L$316,8,FALSE)</f>
        <v>571121.35031505616</v>
      </c>
      <c r="G266" s="30">
        <f t="shared" si="84"/>
        <v>0.85</v>
      </c>
      <c r="H266">
        <f t="shared" si="85"/>
        <v>413640.69912918197</v>
      </c>
      <c r="I266">
        <f t="shared" si="77"/>
        <v>0</v>
      </c>
      <c r="J266">
        <f t="shared" si="78"/>
        <v>571121.35031505616</v>
      </c>
      <c r="K266">
        <f t="shared" si="79"/>
        <v>570788.46015709871</v>
      </c>
      <c r="L266">
        <f t="shared" si="86"/>
        <v>570788.46015709871</v>
      </c>
      <c r="M266">
        <f t="shared" si="80"/>
        <v>0</v>
      </c>
      <c r="N266" s="29">
        <f t="shared" si="87"/>
        <v>570788.46015709871</v>
      </c>
      <c r="O266" s="29">
        <f t="shared" si="81"/>
        <v>570770.89710951783</v>
      </c>
      <c r="P266" s="29">
        <f t="shared" si="88"/>
        <v>570770.89710951783</v>
      </c>
      <c r="Q266">
        <f t="shared" si="89"/>
        <v>0</v>
      </c>
      <c r="R266" s="29">
        <f t="shared" si="90"/>
        <v>570770.89710951783</v>
      </c>
      <c r="S266" s="29">
        <f t="shared" si="82"/>
        <v>570770.89710951783</v>
      </c>
      <c r="T266" s="29">
        <f t="shared" si="91"/>
        <v>570770.89710951783</v>
      </c>
      <c r="U266">
        <f t="shared" si="92"/>
        <v>0</v>
      </c>
      <c r="V266" s="29">
        <f t="shared" si="93"/>
        <v>570770.89710951783</v>
      </c>
      <c r="W266" s="29">
        <f t="shared" si="83"/>
        <v>570770.89710951783</v>
      </c>
      <c r="X266" s="29">
        <f t="shared" si="94"/>
        <v>570770.89710951783</v>
      </c>
      <c r="Y266">
        <f t="shared" si="95"/>
        <v>0</v>
      </c>
    </row>
    <row r="267" spans="1:25" x14ac:dyDescent="0.25">
      <c r="A267" s="4" t="s">
        <v>1166</v>
      </c>
      <c r="B267" s="7" t="s">
        <v>599</v>
      </c>
      <c r="C267" s="2" t="s">
        <v>1167</v>
      </c>
      <c r="D267">
        <f>VLOOKUP(B267,'Model allocations'!$A$1:$L$316,3,FALSE)</f>
        <v>1140118.9018014425</v>
      </c>
      <c r="E267" s="31">
        <f>VLOOKUP(B267,'Initial adjusted formula count'!$A$1:$P$316,12,FALSE)</f>
        <v>0.22602628589972401</v>
      </c>
      <c r="F267">
        <f>VLOOKUP(B267,'Model allocations'!$A$1:$L$316,8,FALSE)</f>
        <v>1225842.8982879398</v>
      </c>
      <c r="G267" s="30">
        <f t="shared" si="84"/>
        <v>0.9</v>
      </c>
      <c r="H267">
        <f t="shared" si="85"/>
        <v>1026107.0116212983</v>
      </c>
      <c r="I267">
        <f t="shared" si="77"/>
        <v>0</v>
      </c>
      <c r="J267">
        <f t="shared" si="78"/>
        <v>1225842.8982879398</v>
      </c>
      <c r="K267">
        <f t="shared" si="79"/>
        <v>1225128.3898287185</v>
      </c>
      <c r="L267">
        <f t="shared" si="86"/>
        <v>1225128.3898287185</v>
      </c>
      <c r="M267">
        <f t="shared" si="80"/>
        <v>0</v>
      </c>
      <c r="N267" s="29">
        <f t="shared" si="87"/>
        <v>1225128.3898287185</v>
      </c>
      <c r="O267" s="29">
        <f t="shared" si="81"/>
        <v>1225090.69287143</v>
      </c>
      <c r="P267" s="29">
        <f t="shared" si="88"/>
        <v>1225090.69287143</v>
      </c>
      <c r="Q267">
        <f t="shared" si="89"/>
        <v>0</v>
      </c>
      <c r="R267" s="29">
        <f t="shared" si="90"/>
        <v>1225090.69287143</v>
      </c>
      <c r="S267" s="29">
        <f t="shared" si="82"/>
        <v>1225090.69287143</v>
      </c>
      <c r="T267" s="29">
        <f t="shared" si="91"/>
        <v>1225090.69287143</v>
      </c>
      <c r="U267">
        <f t="shared" si="92"/>
        <v>0</v>
      </c>
      <c r="V267" s="29">
        <f t="shared" si="93"/>
        <v>1225090.69287143</v>
      </c>
      <c r="W267" s="29">
        <f t="shared" si="83"/>
        <v>1225090.69287143</v>
      </c>
      <c r="X267" s="29">
        <f t="shared" si="94"/>
        <v>1225090.69287143</v>
      </c>
      <c r="Y267">
        <f t="shared" si="95"/>
        <v>0</v>
      </c>
    </row>
    <row r="268" spans="1:25" x14ac:dyDescent="0.25">
      <c r="A268" s="4" t="s">
        <v>11</v>
      </c>
      <c r="B268" s="7" t="s">
        <v>67</v>
      </c>
      <c r="C268" s="2" t="s">
        <v>1168</v>
      </c>
      <c r="D268">
        <f>VLOOKUP(B268,'Model allocations'!$A$1:$L$316,3,FALSE)</f>
        <v>14741.468936946862</v>
      </c>
      <c r="E268" s="31">
        <f>VLOOKUP(B268,'Initial adjusted formula count'!$A$1:$P$316,12,FALSE)</f>
        <v>0.20287569859097099</v>
      </c>
      <c r="F268">
        <f>VLOOKUP(B268,'Model allocations'!$A$1:$L$316,8,FALSE)</f>
        <v>16229.439190385176</v>
      </c>
      <c r="G268" s="30">
        <f t="shared" si="84"/>
        <v>0.9</v>
      </c>
      <c r="H268">
        <f t="shared" si="85"/>
        <v>13267.322043252176</v>
      </c>
      <c r="I268">
        <f t="shared" si="77"/>
        <v>0</v>
      </c>
      <c r="J268">
        <f t="shared" si="78"/>
        <v>16229.439190385176</v>
      </c>
      <c r="K268">
        <f t="shared" si="79"/>
        <v>16219.97951850867</v>
      </c>
      <c r="L268">
        <f t="shared" si="86"/>
        <v>16219.97951850867</v>
      </c>
      <c r="M268">
        <f t="shared" si="80"/>
        <v>0</v>
      </c>
      <c r="N268" s="29">
        <f t="shared" si="87"/>
        <v>16219.97951850867</v>
      </c>
      <c r="O268" s="29">
        <f t="shared" si="81"/>
        <v>16219.480432959588</v>
      </c>
      <c r="P268" s="29">
        <f t="shared" si="88"/>
        <v>16219.480432959588</v>
      </c>
      <c r="Q268">
        <f t="shared" si="89"/>
        <v>0</v>
      </c>
      <c r="R268" s="29">
        <f t="shared" si="90"/>
        <v>16219.480432959588</v>
      </c>
      <c r="S268" s="29">
        <f t="shared" si="82"/>
        <v>16219.480432959588</v>
      </c>
      <c r="T268" s="29">
        <f t="shared" si="91"/>
        <v>16219.480432959588</v>
      </c>
      <c r="U268">
        <f t="shared" si="92"/>
        <v>0</v>
      </c>
      <c r="V268" s="29">
        <f t="shared" si="93"/>
        <v>16219.480432959588</v>
      </c>
      <c r="W268" s="29">
        <f t="shared" si="83"/>
        <v>16219.480432959588</v>
      </c>
      <c r="X268" s="29">
        <f t="shared" si="94"/>
        <v>16219.480432959588</v>
      </c>
      <c r="Y268">
        <f t="shared" si="95"/>
        <v>0</v>
      </c>
    </row>
    <row r="269" spans="1:25" x14ac:dyDescent="0.25">
      <c r="A269" s="4" t="s">
        <v>39</v>
      </c>
      <c r="B269" s="7" t="s">
        <v>62</v>
      </c>
      <c r="C269" s="2" t="s">
        <v>1169</v>
      </c>
      <c r="D269">
        <f>VLOOKUP(B269,'Model allocations'!$A$1:$L$316,3,FALSE)</f>
        <v>3824677.3291069693</v>
      </c>
      <c r="E269" s="31">
        <f>VLOOKUP(B269,'Initial adjusted formula count'!$A$1:$P$316,12,FALSE)</f>
        <v>0.14818460413962301</v>
      </c>
      <c r="F269">
        <f>VLOOKUP(B269,'Model allocations'!$A$1:$L$316,8,FALSE)</f>
        <v>4315455.8208886422</v>
      </c>
      <c r="G269" s="30">
        <f t="shared" si="84"/>
        <v>0.85</v>
      </c>
      <c r="H269">
        <f t="shared" si="85"/>
        <v>3250975.7297409237</v>
      </c>
      <c r="I269">
        <f t="shared" si="77"/>
        <v>0</v>
      </c>
      <c r="J269">
        <f t="shared" si="78"/>
        <v>4315455.8208886422</v>
      </c>
      <c r="K269">
        <f t="shared" si="79"/>
        <v>4312940.4661937393</v>
      </c>
      <c r="L269">
        <f t="shared" si="86"/>
        <v>4312940.4661937393</v>
      </c>
      <c r="M269">
        <f t="shared" si="80"/>
        <v>0</v>
      </c>
      <c r="N269" s="29">
        <f t="shared" si="87"/>
        <v>4312940.4661937393</v>
      </c>
      <c r="O269" s="29">
        <f t="shared" si="81"/>
        <v>4312807.7578719892</v>
      </c>
      <c r="P269" s="29">
        <f t="shared" si="88"/>
        <v>4312807.7578719892</v>
      </c>
      <c r="Q269">
        <f t="shared" si="89"/>
        <v>0</v>
      </c>
      <c r="R269" s="29">
        <f t="shared" si="90"/>
        <v>4312807.7578719892</v>
      </c>
      <c r="S269" s="29">
        <f t="shared" si="82"/>
        <v>4312807.7578719892</v>
      </c>
      <c r="T269" s="29">
        <f t="shared" si="91"/>
        <v>4312807.7578719892</v>
      </c>
      <c r="U269">
        <f t="shared" si="92"/>
        <v>0</v>
      </c>
      <c r="V269" s="29">
        <f t="shared" si="93"/>
        <v>4312807.7578719892</v>
      </c>
      <c r="W269" s="29">
        <f t="shared" si="83"/>
        <v>4312807.7578719892</v>
      </c>
      <c r="X269" s="29">
        <f t="shared" si="94"/>
        <v>4312807.7578719892</v>
      </c>
      <c r="Y269">
        <f t="shared" si="95"/>
        <v>0</v>
      </c>
    </row>
    <row r="270" spans="1:25" x14ac:dyDescent="0.25">
      <c r="A270" s="4" t="s">
        <v>1170</v>
      </c>
      <c r="B270" s="7" t="s">
        <v>601</v>
      </c>
      <c r="C270" s="2" t="s">
        <v>1171</v>
      </c>
      <c r="D270">
        <f>VLOOKUP(B270,'Model allocations'!$A$1:$L$316,3,FALSE)</f>
        <v>67365.446776716301</v>
      </c>
      <c r="E270" s="31">
        <f>VLOOKUP(B270,'Initial adjusted formula count'!$A$1:$P$316,12,FALSE)</f>
        <v>0.134110787172012</v>
      </c>
      <c r="F270">
        <f>VLOOKUP(B270,'Model allocations'!$A$1:$L$316,8,FALSE)</f>
        <v>57260.629760208853</v>
      </c>
      <c r="G270" s="30">
        <f t="shared" si="84"/>
        <v>0.85</v>
      </c>
      <c r="H270">
        <f t="shared" si="85"/>
        <v>57260.629760208853</v>
      </c>
      <c r="I270">
        <f t="shared" si="77"/>
        <v>0</v>
      </c>
      <c r="J270">
        <f t="shared" si="78"/>
        <v>57260.629760208853</v>
      </c>
      <c r="K270">
        <f t="shared" si="79"/>
        <v>57227.254191119893</v>
      </c>
      <c r="L270">
        <f t="shared" si="86"/>
        <v>57227.254191119893</v>
      </c>
      <c r="M270">
        <f t="shared" si="80"/>
        <v>57260.629760208853</v>
      </c>
      <c r="N270" s="29">
        <f t="shared" si="87"/>
        <v>0</v>
      </c>
      <c r="O270" s="29">
        <f t="shared" si="81"/>
        <v>0</v>
      </c>
      <c r="P270" s="29">
        <f t="shared" si="88"/>
        <v>57260.629760208853</v>
      </c>
      <c r="Q270">
        <f t="shared" si="89"/>
        <v>0</v>
      </c>
      <c r="R270" s="29">
        <f t="shared" si="90"/>
        <v>0</v>
      </c>
      <c r="S270" s="29">
        <f t="shared" si="82"/>
        <v>0</v>
      </c>
      <c r="T270" s="29">
        <f t="shared" si="91"/>
        <v>57260.629760208853</v>
      </c>
      <c r="U270">
        <f t="shared" si="92"/>
        <v>0</v>
      </c>
      <c r="V270" s="29">
        <f t="shared" si="93"/>
        <v>0</v>
      </c>
      <c r="W270" s="29">
        <f t="shared" si="83"/>
        <v>0</v>
      </c>
      <c r="X270" s="29">
        <f t="shared" si="94"/>
        <v>57260.629760208853</v>
      </c>
      <c r="Y270">
        <f t="shared" si="95"/>
        <v>0</v>
      </c>
    </row>
    <row r="271" spans="1:25" x14ac:dyDescent="0.25">
      <c r="A271" s="4" t="s">
        <v>1172</v>
      </c>
      <c r="B271" s="7" t="s">
        <v>234</v>
      </c>
      <c r="C271" s="2" t="s">
        <v>1173</v>
      </c>
      <c r="D271">
        <f>VLOOKUP(B271,'Model allocations'!$A$1:$L$316,3,FALSE)</f>
        <v>361501.11520533566</v>
      </c>
      <c r="E271" s="31">
        <f>VLOOKUP(B271,'Initial adjusted formula count'!$A$1:$P$316,12,FALSE)</f>
        <v>4.37099054039361E-2</v>
      </c>
      <c r="F271">
        <f>VLOOKUP(B271,'Model allocations'!$A$1:$L$316,8,FALSE)</f>
        <v>353760.83640470367</v>
      </c>
      <c r="G271" s="30">
        <f t="shared" si="84"/>
        <v>0.85</v>
      </c>
      <c r="H271">
        <f t="shared" si="85"/>
        <v>307275.94792453531</v>
      </c>
      <c r="I271">
        <f t="shared" si="77"/>
        <v>0</v>
      </c>
      <c r="J271">
        <f t="shared" si="78"/>
        <v>353760.83640470367</v>
      </c>
      <c r="K271">
        <f t="shared" si="79"/>
        <v>353554.63941934332</v>
      </c>
      <c r="L271">
        <f t="shared" si="86"/>
        <v>353554.63941934332</v>
      </c>
      <c r="M271">
        <f t="shared" si="80"/>
        <v>0</v>
      </c>
      <c r="N271" s="29">
        <f t="shared" si="87"/>
        <v>353554.63941934332</v>
      </c>
      <c r="O271" s="29">
        <f t="shared" si="81"/>
        <v>353543.76061329164</v>
      </c>
      <c r="P271" s="29">
        <f t="shared" si="88"/>
        <v>353543.76061329164</v>
      </c>
      <c r="Q271">
        <f t="shared" si="89"/>
        <v>0</v>
      </c>
      <c r="R271" s="29">
        <f t="shared" si="90"/>
        <v>353543.76061329164</v>
      </c>
      <c r="S271" s="29">
        <f t="shared" si="82"/>
        <v>353543.76061329164</v>
      </c>
      <c r="T271" s="29">
        <f t="shared" si="91"/>
        <v>353543.76061329164</v>
      </c>
      <c r="U271">
        <f t="shared" si="92"/>
        <v>0</v>
      </c>
      <c r="V271" s="29">
        <f t="shared" si="93"/>
        <v>353543.76061329164</v>
      </c>
      <c r="W271" s="29">
        <f t="shared" si="83"/>
        <v>353543.76061329164</v>
      </c>
      <c r="X271" s="29">
        <f t="shared" si="94"/>
        <v>353543.76061329164</v>
      </c>
      <c r="Y271">
        <f t="shared" si="95"/>
        <v>0</v>
      </c>
    </row>
    <row r="272" spans="1:25" x14ac:dyDescent="0.25">
      <c r="A272" s="4" t="s">
        <v>1174</v>
      </c>
      <c r="B272" s="7" t="s">
        <v>236</v>
      </c>
      <c r="C272" s="2" t="s">
        <v>1175</v>
      </c>
      <c r="D272">
        <f>VLOOKUP(B272,'Model allocations'!$A$1:$L$316,3,FALSE)</f>
        <v>20476.342698414395</v>
      </c>
      <c r="E272" s="31">
        <f>VLOOKUP(B272,'Initial adjusted formula count'!$A$1:$P$316,12,FALSE)</f>
        <v>0.100591715976331</v>
      </c>
      <c r="F272">
        <f>VLOOKUP(B272,'Model allocations'!$A$1:$L$316,8,FALSE)</f>
        <v>17404.891293652236</v>
      </c>
      <c r="G272" s="30">
        <f t="shared" si="84"/>
        <v>0.85</v>
      </c>
      <c r="H272">
        <f t="shared" si="85"/>
        <v>17404.891293652236</v>
      </c>
      <c r="I272">
        <f t="shared" si="77"/>
        <v>0</v>
      </c>
      <c r="J272">
        <f t="shared" si="78"/>
        <v>17404.891293652236</v>
      </c>
      <c r="K272">
        <f t="shared" si="79"/>
        <v>17394.746484657124</v>
      </c>
      <c r="L272">
        <f t="shared" si="86"/>
        <v>17394.746484657124</v>
      </c>
      <c r="M272">
        <f t="shared" si="80"/>
        <v>17404.891293652236</v>
      </c>
      <c r="N272" s="29">
        <f t="shared" si="87"/>
        <v>0</v>
      </c>
      <c r="O272" s="29">
        <f t="shared" si="81"/>
        <v>0</v>
      </c>
      <c r="P272" s="29">
        <f t="shared" si="88"/>
        <v>17404.891293652236</v>
      </c>
      <c r="Q272">
        <f t="shared" si="89"/>
        <v>0</v>
      </c>
      <c r="R272" s="29">
        <f t="shared" si="90"/>
        <v>0</v>
      </c>
      <c r="S272" s="29">
        <f t="shared" si="82"/>
        <v>0</v>
      </c>
      <c r="T272" s="29">
        <f t="shared" si="91"/>
        <v>17404.891293652236</v>
      </c>
      <c r="U272">
        <f t="shared" si="92"/>
        <v>0</v>
      </c>
      <c r="V272" s="29">
        <f t="shared" si="93"/>
        <v>0</v>
      </c>
      <c r="W272" s="29">
        <f t="shared" si="83"/>
        <v>0</v>
      </c>
      <c r="X272" s="29">
        <f t="shared" si="94"/>
        <v>17404.891293652236</v>
      </c>
      <c r="Y272">
        <f t="shared" si="95"/>
        <v>0</v>
      </c>
    </row>
    <row r="273" spans="1:25" x14ac:dyDescent="0.25">
      <c r="A273" s="4" t="s">
        <v>1176</v>
      </c>
      <c r="B273" s="7" t="s">
        <v>303</v>
      </c>
      <c r="C273" s="2" t="s">
        <v>1177</v>
      </c>
      <c r="D273">
        <f>VLOOKUP(B273,'Model allocations'!$A$1:$L$316,3,FALSE)</f>
        <v>142603.10093538597</v>
      </c>
      <c r="E273" s="31">
        <f>VLOOKUP(B273,'Initial adjusted formula count'!$A$1:$P$316,12,FALSE)</f>
        <v>9.03693931398417E-2</v>
      </c>
      <c r="F273">
        <f>VLOOKUP(B273,'Model allocations'!$A$1:$L$316,8,FALSE)</f>
        <v>121212.63579507807</v>
      </c>
      <c r="G273" s="30">
        <f t="shared" si="84"/>
        <v>0.85</v>
      </c>
      <c r="H273">
        <f t="shared" si="85"/>
        <v>121212.63579507807</v>
      </c>
      <c r="I273">
        <f t="shared" si="77"/>
        <v>0</v>
      </c>
      <c r="J273">
        <f t="shared" si="78"/>
        <v>121212.63579507807</v>
      </c>
      <c r="K273">
        <f t="shared" si="79"/>
        <v>121141.98444671925</v>
      </c>
      <c r="L273">
        <f t="shared" si="86"/>
        <v>121141.98444671925</v>
      </c>
      <c r="M273">
        <f t="shared" si="80"/>
        <v>121212.63579507807</v>
      </c>
      <c r="N273" s="29">
        <f t="shared" si="87"/>
        <v>0</v>
      </c>
      <c r="O273" s="29">
        <f t="shared" si="81"/>
        <v>0</v>
      </c>
      <c r="P273" s="29">
        <f t="shared" si="88"/>
        <v>121212.63579507807</v>
      </c>
      <c r="Q273">
        <f t="shared" si="89"/>
        <v>0</v>
      </c>
      <c r="R273" s="29">
        <f t="shared" si="90"/>
        <v>0</v>
      </c>
      <c r="S273" s="29">
        <f t="shared" si="82"/>
        <v>0</v>
      </c>
      <c r="T273" s="29">
        <f t="shared" si="91"/>
        <v>121212.63579507807</v>
      </c>
      <c r="U273">
        <f t="shared" si="92"/>
        <v>0</v>
      </c>
      <c r="V273" s="29">
        <f t="shared" si="93"/>
        <v>0</v>
      </c>
      <c r="W273" s="29">
        <f t="shared" si="83"/>
        <v>0</v>
      </c>
      <c r="X273" s="29">
        <f t="shared" si="94"/>
        <v>121212.63579507807</v>
      </c>
      <c r="Y273">
        <f t="shared" si="95"/>
        <v>0</v>
      </c>
    </row>
    <row r="274" spans="1:25" x14ac:dyDescent="0.25">
      <c r="A274" s="4" t="s">
        <v>1178</v>
      </c>
      <c r="B274" s="7" t="s">
        <v>238</v>
      </c>
      <c r="C274" s="2" t="s">
        <v>1179</v>
      </c>
      <c r="D274">
        <f>VLOOKUP(B274,'Model allocations'!$A$1:$L$316,3,FALSE)</f>
        <v>26938.785027320668</v>
      </c>
      <c r="E274" s="31">
        <f>VLOOKUP(B274,'Initial adjusted formula count'!$A$1:$P$316,12,FALSE)</f>
        <v>0.137440758293839</v>
      </c>
      <c r="F274">
        <f>VLOOKUP(B274,'Model allocations'!$A$1:$L$316,8,FALSE)</f>
        <v>25520.06033765274</v>
      </c>
      <c r="G274" s="30">
        <f t="shared" si="84"/>
        <v>0.85</v>
      </c>
      <c r="H274">
        <f t="shared" si="85"/>
        <v>22897.967273222566</v>
      </c>
      <c r="I274">
        <f t="shared" si="77"/>
        <v>0</v>
      </c>
      <c r="J274">
        <f t="shared" si="78"/>
        <v>25520.06033765274</v>
      </c>
      <c r="K274">
        <f t="shared" si="79"/>
        <v>25505.185430748632</v>
      </c>
      <c r="L274">
        <f t="shared" si="86"/>
        <v>25505.185430748632</v>
      </c>
      <c r="M274">
        <f t="shared" si="80"/>
        <v>0</v>
      </c>
      <c r="N274" s="29">
        <f t="shared" si="87"/>
        <v>25505.185430748632</v>
      </c>
      <c r="O274" s="29">
        <f t="shared" si="81"/>
        <v>25504.400641257336</v>
      </c>
      <c r="P274" s="29">
        <f t="shared" si="88"/>
        <v>25504.400641257336</v>
      </c>
      <c r="Q274">
        <f t="shared" si="89"/>
        <v>0</v>
      </c>
      <c r="R274" s="29">
        <f t="shared" si="90"/>
        <v>25504.400641257336</v>
      </c>
      <c r="S274" s="29">
        <f t="shared" si="82"/>
        <v>25504.400641257336</v>
      </c>
      <c r="T274" s="29">
        <f t="shared" si="91"/>
        <v>25504.400641257336</v>
      </c>
      <c r="U274">
        <f t="shared" si="92"/>
        <v>0</v>
      </c>
      <c r="V274" s="29">
        <f t="shared" si="93"/>
        <v>25504.400641257336</v>
      </c>
      <c r="W274" s="29">
        <f t="shared" si="83"/>
        <v>25504.400641257336</v>
      </c>
      <c r="X274" s="29">
        <f t="shared" si="94"/>
        <v>25504.400641257336</v>
      </c>
      <c r="Y274">
        <f t="shared" si="95"/>
        <v>0</v>
      </c>
    </row>
    <row r="275" spans="1:25" x14ac:dyDescent="0.25">
      <c r="A275" s="4" t="s">
        <v>1180</v>
      </c>
      <c r="B275" s="7" t="s">
        <v>240</v>
      </c>
      <c r="C275" s="2" t="s">
        <v>1181</v>
      </c>
      <c r="D275">
        <f>VLOOKUP(B275,'Model allocations'!$A$1:$L$316,3,FALSE)</f>
        <v>66043.472970205519</v>
      </c>
      <c r="E275" s="31">
        <f>VLOOKUP(B275,'Initial adjusted formula count'!$A$1:$P$316,12,FALSE)</f>
        <v>8.3428571428571394E-2</v>
      </c>
      <c r="F275">
        <f>VLOOKUP(B275,'Model allocations'!$A$1:$L$316,8,FALSE)</f>
        <v>64240.1518844362</v>
      </c>
      <c r="G275" s="30">
        <f t="shared" si="84"/>
        <v>0.85</v>
      </c>
      <c r="H275">
        <f t="shared" si="85"/>
        <v>56136.952024674691</v>
      </c>
      <c r="I275">
        <f t="shared" si="77"/>
        <v>0</v>
      </c>
      <c r="J275">
        <f t="shared" si="78"/>
        <v>64240.1518844362</v>
      </c>
      <c r="K275">
        <f t="shared" si="79"/>
        <v>64202.708153263789</v>
      </c>
      <c r="L275">
        <f t="shared" si="86"/>
        <v>64202.708153263789</v>
      </c>
      <c r="M275">
        <f t="shared" si="80"/>
        <v>0</v>
      </c>
      <c r="N275" s="29">
        <f t="shared" si="87"/>
        <v>64202.708153263789</v>
      </c>
      <c r="O275" s="29">
        <f t="shared" si="81"/>
        <v>64200.732648682264</v>
      </c>
      <c r="P275" s="29">
        <f t="shared" si="88"/>
        <v>64200.732648682264</v>
      </c>
      <c r="Q275">
        <f t="shared" si="89"/>
        <v>0</v>
      </c>
      <c r="R275" s="29">
        <f t="shared" si="90"/>
        <v>64200.732648682264</v>
      </c>
      <c r="S275" s="29">
        <f t="shared" si="82"/>
        <v>64200.732648682264</v>
      </c>
      <c r="T275" s="29">
        <f t="shared" si="91"/>
        <v>64200.732648682264</v>
      </c>
      <c r="U275">
        <f t="shared" si="92"/>
        <v>0</v>
      </c>
      <c r="V275" s="29">
        <f t="shared" si="93"/>
        <v>64200.732648682264</v>
      </c>
      <c r="W275" s="29">
        <f t="shared" si="83"/>
        <v>64200.732648682264</v>
      </c>
      <c r="X275" s="29">
        <f t="shared" si="94"/>
        <v>64200.732648682264</v>
      </c>
      <c r="Y275">
        <f t="shared" si="95"/>
        <v>0</v>
      </c>
    </row>
    <row r="276" spans="1:25" x14ac:dyDescent="0.25">
      <c r="A276" s="8" t="s">
        <v>1182</v>
      </c>
      <c r="B276" s="7" t="s">
        <v>603</v>
      </c>
      <c r="C276" s="2" t="s">
        <v>1183</v>
      </c>
      <c r="D276">
        <f>VLOOKUP(B276,'Model allocations'!$A$1:$L$316,3,FALSE)</f>
        <v>233759.13459191163</v>
      </c>
      <c r="E276" s="31">
        <f>VLOOKUP(B276,'Initial adjusted formula count'!$A$1:$P$316,12,FALSE)</f>
        <v>0.25296803652967997</v>
      </c>
      <c r="F276">
        <f>VLOOKUP(B276,'Model allocations'!$A$1:$L$316,8,FALSE)</f>
        <v>243760.57632861409</v>
      </c>
      <c r="G276" s="30">
        <f t="shared" si="84"/>
        <v>0.9</v>
      </c>
      <c r="H276">
        <f t="shared" si="85"/>
        <v>210383.22113272047</v>
      </c>
      <c r="I276">
        <f t="shared" si="77"/>
        <v>0</v>
      </c>
      <c r="J276">
        <f t="shared" si="78"/>
        <v>243760.57632861409</v>
      </c>
      <c r="K276">
        <f t="shared" si="79"/>
        <v>243618.49532128865</v>
      </c>
      <c r="L276">
        <f t="shared" si="86"/>
        <v>243618.49532128865</v>
      </c>
      <c r="M276">
        <f t="shared" si="80"/>
        <v>0</v>
      </c>
      <c r="N276" s="29">
        <f t="shared" si="87"/>
        <v>243618.49532128865</v>
      </c>
      <c r="O276" s="29">
        <f t="shared" si="81"/>
        <v>243610.99922856147</v>
      </c>
      <c r="P276" s="29">
        <f t="shared" si="88"/>
        <v>243610.99922856147</v>
      </c>
      <c r="Q276">
        <f t="shared" si="89"/>
        <v>0</v>
      </c>
      <c r="R276" s="29">
        <f t="shared" si="90"/>
        <v>243610.99922856147</v>
      </c>
      <c r="S276" s="29">
        <f t="shared" si="82"/>
        <v>243610.99922856147</v>
      </c>
      <c r="T276" s="29">
        <f t="shared" si="91"/>
        <v>243610.99922856147</v>
      </c>
      <c r="U276">
        <f t="shared" si="92"/>
        <v>0</v>
      </c>
      <c r="V276" s="29">
        <f t="shared" si="93"/>
        <v>243610.99922856147</v>
      </c>
      <c r="W276" s="29">
        <f t="shared" si="83"/>
        <v>243610.99922856147</v>
      </c>
      <c r="X276" s="29">
        <f t="shared" si="94"/>
        <v>243610.99922856147</v>
      </c>
      <c r="Y276">
        <f t="shared" si="95"/>
        <v>0</v>
      </c>
    </row>
    <row r="277" spans="1:25" x14ac:dyDescent="0.25">
      <c r="A277" s="4" t="s">
        <v>1184</v>
      </c>
      <c r="B277" s="7" t="s">
        <v>605</v>
      </c>
      <c r="C277" s="2" t="s">
        <v>1185</v>
      </c>
      <c r="D277">
        <f>VLOOKUP(B277,'Model allocations'!$A$1:$L$316,3,FALSE)</f>
        <v>585701.32607787522</v>
      </c>
      <c r="E277" s="31">
        <f>VLOOKUP(B277,'Initial adjusted formula count'!$A$1:$P$316,12,FALSE)</f>
        <v>0.20956521739130399</v>
      </c>
      <c r="F277">
        <f>VLOOKUP(B277,'Model allocations'!$A$1:$L$316,8,FALSE)</f>
        <v>636241.50428010116</v>
      </c>
      <c r="G277" s="30">
        <f t="shared" si="84"/>
        <v>0.9</v>
      </c>
      <c r="H277">
        <f t="shared" si="85"/>
        <v>527131.19347008772</v>
      </c>
      <c r="I277">
        <f t="shared" si="77"/>
        <v>0</v>
      </c>
      <c r="J277">
        <f t="shared" si="78"/>
        <v>636241.50428010116</v>
      </c>
      <c r="K277">
        <f t="shared" si="79"/>
        <v>635870.65746314707</v>
      </c>
      <c r="L277">
        <f t="shared" si="86"/>
        <v>635870.65746314707</v>
      </c>
      <c r="M277">
        <f t="shared" si="80"/>
        <v>0</v>
      </c>
      <c r="N277" s="29">
        <f t="shared" si="87"/>
        <v>635870.65746314707</v>
      </c>
      <c r="O277" s="29">
        <f t="shared" si="81"/>
        <v>635851.09184927796</v>
      </c>
      <c r="P277" s="29">
        <f t="shared" si="88"/>
        <v>635851.09184927796</v>
      </c>
      <c r="Q277">
        <f t="shared" si="89"/>
        <v>0</v>
      </c>
      <c r="R277" s="29">
        <f t="shared" si="90"/>
        <v>635851.09184927796</v>
      </c>
      <c r="S277" s="29">
        <f t="shared" si="82"/>
        <v>635851.09184927796</v>
      </c>
      <c r="T277" s="29">
        <f t="shared" si="91"/>
        <v>635851.09184927796</v>
      </c>
      <c r="U277">
        <f t="shared" si="92"/>
        <v>0</v>
      </c>
      <c r="V277" s="29">
        <f t="shared" si="93"/>
        <v>635851.09184927796</v>
      </c>
      <c r="W277" s="29">
        <f t="shared" si="83"/>
        <v>635851.09184927796</v>
      </c>
      <c r="X277" s="29">
        <f t="shared" si="94"/>
        <v>635851.09184927796</v>
      </c>
      <c r="Y277">
        <f t="shared" si="95"/>
        <v>0</v>
      </c>
    </row>
    <row r="278" spans="1:25" x14ac:dyDescent="0.25">
      <c r="A278" s="4" t="s">
        <v>1186</v>
      </c>
      <c r="B278" s="7" t="s">
        <v>242</v>
      </c>
      <c r="C278" s="2" t="s">
        <v>1187</v>
      </c>
      <c r="D278">
        <f>VLOOKUP(B278,'Model allocations'!$A$1:$L$316,3,FALSE)</f>
        <v>20855.833569538583</v>
      </c>
      <c r="E278" s="31">
        <f>VLOOKUP(B278,'Initial adjusted formula count'!$A$1:$P$316,12,FALSE)</f>
        <v>9.6330275229357804E-2</v>
      </c>
      <c r="F278">
        <f>VLOOKUP(B278,'Model allocations'!$A$1:$L$316,8,FALSE)</f>
        <v>18480.04369278302</v>
      </c>
      <c r="G278" s="30">
        <f t="shared" si="84"/>
        <v>0.85</v>
      </c>
      <c r="H278">
        <f t="shared" si="85"/>
        <v>17727.458534107795</v>
      </c>
      <c r="I278">
        <f t="shared" si="77"/>
        <v>0</v>
      </c>
      <c r="J278">
        <f t="shared" si="78"/>
        <v>18480.04369278302</v>
      </c>
      <c r="K278">
        <f t="shared" si="79"/>
        <v>18469.27220847315</v>
      </c>
      <c r="L278">
        <f t="shared" si="86"/>
        <v>18469.27220847315</v>
      </c>
      <c r="M278">
        <f t="shared" si="80"/>
        <v>0</v>
      </c>
      <c r="N278" s="29">
        <f t="shared" si="87"/>
        <v>18469.27220847315</v>
      </c>
      <c r="O278" s="29">
        <f t="shared" si="81"/>
        <v>18468.703912634628</v>
      </c>
      <c r="P278" s="29">
        <f t="shared" si="88"/>
        <v>18468.703912634628</v>
      </c>
      <c r="Q278">
        <f t="shared" si="89"/>
        <v>0</v>
      </c>
      <c r="R278" s="29">
        <f t="shared" si="90"/>
        <v>18468.703912634628</v>
      </c>
      <c r="S278" s="29">
        <f t="shared" si="82"/>
        <v>18468.703912634628</v>
      </c>
      <c r="T278" s="29">
        <f t="shared" si="91"/>
        <v>18468.703912634628</v>
      </c>
      <c r="U278">
        <f t="shared" si="92"/>
        <v>0</v>
      </c>
      <c r="V278" s="29">
        <f t="shared" si="93"/>
        <v>18468.703912634628</v>
      </c>
      <c r="W278" s="29">
        <f t="shared" si="83"/>
        <v>18468.703912634628</v>
      </c>
      <c r="X278" s="29">
        <f t="shared" si="94"/>
        <v>18468.703912634628</v>
      </c>
      <c r="Y278">
        <f t="shared" si="95"/>
        <v>0</v>
      </c>
    </row>
    <row r="279" spans="1:25" x14ac:dyDescent="0.25">
      <c r="A279" s="4" t="s">
        <v>1188</v>
      </c>
      <c r="B279" s="7" t="s">
        <v>244</v>
      </c>
      <c r="C279" s="2" t="s">
        <v>1189</v>
      </c>
      <c r="D279">
        <f>VLOOKUP(B279,'Model allocations'!$A$1:$L$316,3,FALSE)</f>
        <v>63436.493774013201</v>
      </c>
      <c r="E279" s="31">
        <f>VLOOKUP(B279,'Initial adjusted formula count'!$A$1:$P$316,12,FALSE)</f>
        <v>0.102564102564103</v>
      </c>
      <c r="F279">
        <f>VLOOKUP(B279,'Model allocations'!$A$1:$L$316,8,FALSE)</f>
        <v>70400.1664486972</v>
      </c>
      <c r="G279" s="30">
        <f t="shared" si="84"/>
        <v>0.85</v>
      </c>
      <c r="H279">
        <f t="shared" si="85"/>
        <v>53921.019707911219</v>
      </c>
      <c r="I279">
        <f t="shared" si="77"/>
        <v>0</v>
      </c>
      <c r="J279">
        <f t="shared" si="78"/>
        <v>70400.1664486972</v>
      </c>
      <c r="K279">
        <f t="shared" si="79"/>
        <v>70359.132222754837</v>
      </c>
      <c r="L279">
        <f t="shared" si="86"/>
        <v>70359.132222754837</v>
      </c>
      <c r="M279">
        <f t="shared" si="80"/>
        <v>0</v>
      </c>
      <c r="N279" s="29">
        <f t="shared" si="87"/>
        <v>70359.132222754837</v>
      </c>
      <c r="O279" s="29">
        <f t="shared" si="81"/>
        <v>70356.96728622714</v>
      </c>
      <c r="P279" s="29">
        <f t="shared" si="88"/>
        <v>70356.96728622714</v>
      </c>
      <c r="Q279">
        <f t="shared" si="89"/>
        <v>0</v>
      </c>
      <c r="R279" s="29">
        <f t="shared" si="90"/>
        <v>70356.96728622714</v>
      </c>
      <c r="S279" s="29">
        <f t="shared" si="82"/>
        <v>70356.96728622714</v>
      </c>
      <c r="T279" s="29">
        <f t="shared" si="91"/>
        <v>70356.96728622714</v>
      </c>
      <c r="U279">
        <f t="shared" si="92"/>
        <v>0</v>
      </c>
      <c r="V279" s="29">
        <f t="shared" si="93"/>
        <v>70356.96728622714</v>
      </c>
      <c r="W279" s="29">
        <f t="shared" si="83"/>
        <v>70356.96728622714</v>
      </c>
      <c r="X279" s="29">
        <f t="shared" si="94"/>
        <v>70356.96728622714</v>
      </c>
      <c r="Y279">
        <f t="shared" si="95"/>
        <v>0</v>
      </c>
    </row>
    <row r="280" spans="1:25" x14ac:dyDescent="0.25">
      <c r="A280" s="4" t="s">
        <v>1190</v>
      </c>
      <c r="B280" s="7" t="s">
        <v>607</v>
      </c>
      <c r="C280" s="2" t="s">
        <v>1191</v>
      </c>
      <c r="D280">
        <f>VLOOKUP(B280,'Model allocations'!$A$1:$L$316,3,FALSE)</f>
        <v>39104.68794288487</v>
      </c>
      <c r="E280" s="31">
        <f>VLOOKUP(B280,'Initial adjusted formula count'!$A$1:$P$316,12,FALSE)</f>
        <v>0.173267326732673</v>
      </c>
      <c r="F280">
        <f>VLOOKUP(B280,'Model allocations'!$A$1:$L$316,8,FALSE)</f>
        <v>35213.774031767643</v>
      </c>
      <c r="G280" s="30">
        <f t="shared" si="84"/>
        <v>0.9</v>
      </c>
      <c r="H280">
        <f t="shared" si="85"/>
        <v>35194.219148596385</v>
      </c>
      <c r="I280">
        <f t="shared" si="77"/>
        <v>0</v>
      </c>
      <c r="J280">
        <f t="shared" si="78"/>
        <v>35213.774031767643</v>
      </c>
      <c r="K280">
        <f t="shared" si="79"/>
        <v>35193.248938819801</v>
      </c>
      <c r="L280">
        <f t="shared" si="86"/>
        <v>35193.248938819801</v>
      </c>
      <c r="M280">
        <f t="shared" si="80"/>
        <v>35194.219148596385</v>
      </c>
      <c r="N280" s="29">
        <f t="shared" si="87"/>
        <v>0</v>
      </c>
      <c r="O280" s="29">
        <f t="shared" si="81"/>
        <v>0</v>
      </c>
      <c r="P280" s="29">
        <f t="shared" si="88"/>
        <v>35194.219148596385</v>
      </c>
      <c r="Q280">
        <f t="shared" si="89"/>
        <v>0</v>
      </c>
      <c r="R280" s="29">
        <f t="shared" si="90"/>
        <v>0</v>
      </c>
      <c r="S280" s="29">
        <f t="shared" si="82"/>
        <v>0</v>
      </c>
      <c r="T280" s="29">
        <f t="shared" si="91"/>
        <v>35194.219148596385</v>
      </c>
      <c r="U280">
        <f t="shared" si="92"/>
        <v>0</v>
      </c>
      <c r="V280" s="29">
        <f t="shared" si="93"/>
        <v>0</v>
      </c>
      <c r="W280" s="29">
        <f t="shared" si="83"/>
        <v>0</v>
      </c>
      <c r="X280" s="29">
        <f t="shared" si="94"/>
        <v>35194.219148596385</v>
      </c>
      <c r="Y280">
        <f t="shared" si="95"/>
        <v>0</v>
      </c>
    </row>
    <row r="281" spans="1:25" x14ac:dyDescent="0.25">
      <c r="A281" s="4" t="s">
        <v>43</v>
      </c>
      <c r="B281" s="7" t="s">
        <v>60</v>
      </c>
      <c r="C281" s="2" t="s">
        <v>1192</v>
      </c>
      <c r="D281">
        <f>VLOOKUP(B281,'Model allocations'!$A$1:$L$316,3,FALSE)</f>
        <v>438743.81415792613</v>
      </c>
      <c r="E281" s="31">
        <f>VLOOKUP(B281,'Initial adjusted formula count'!$A$1:$P$316,12,FALSE)</f>
        <v>0.210333702778842</v>
      </c>
      <c r="F281">
        <f>VLOOKUP(B281,'Model allocations'!$A$1:$L$316,8,FALSE)</f>
        <v>403455.72032556549</v>
      </c>
      <c r="G281" s="30">
        <f t="shared" si="84"/>
        <v>0.9</v>
      </c>
      <c r="H281">
        <f t="shared" si="85"/>
        <v>394869.4327421335</v>
      </c>
      <c r="I281">
        <f t="shared" si="77"/>
        <v>0</v>
      </c>
      <c r="J281">
        <f t="shared" si="78"/>
        <v>403455.72032556549</v>
      </c>
      <c r="K281">
        <f t="shared" si="79"/>
        <v>403220.5576260903</v>
      </c>
      <c r="L281">
        <f t="shared" si="86"/>
        <v>403220.5576260903</v>
      </c>
      <c r="M281">
        <f t="shared" si="80"/>
        <v>0</v>
      </c>
      <c r="N281" s="29">
        <f t="shared" si="87"/>
        <v>403220.5576260903</v>
      </c>
      <c r="O281" s="29">
        <f t="shared" si="81"/>
        <v>403208.15060959721</v>
      </c>
      <c r="P281" s="29">
        <f t="shared" si="88"/>
        <v>403208.15060959721</v>
      </c>
      <c r="Q281">
        <f t="shared" si="89"/>
        <v>0</v>
      </c>
      <c r="R281" s="29">
        <f t="shared" si="90"/>
        <v>403208.15060959721</v>
      </c>
      <c r="S281" s="29">
        <f t="shared" si="82"/>
        <v>403208.15060959721</v>
      </c>
      <c r="T281" s="29">
        <f t="shared" si="91"/>
        <v>403208.15060959721</v>
      </c>
      <c r="U281">
        <f t="shared" si="92"/>
        <v>0</v>
      </c>
      <c r="V281" s="29">
        <f t="shared" si="93"/>
        <v>403208.15060959721</v>
      </c>
      <c r="W281" s="29">
        <f t="shared" si="83"/>
        <v>403208.15060959721</v>
      </c>
      <c r="X281" s="29">
        <f t="shared" si="94"/>
        <v>403208.15060959721</v>
      </c>
      <c r="Y281">
        <f t="shared" si="95"/>
        <v>0</v>
      </c>
    </row>
    <row r="282" spans="1:25" x14ac:dyDescent="0.25">
      <c r="A282" s="4" t="s">
        <v>1193</v>
      </c>
      <c r="B282" s="7" t="s">
        <v>246</v>
      </c>
      <c r="C282" s="2" t="s">
        <v>1194</v>
      </c>
      <c r="D282">
        <f>VLOOKUP(B282,'Model allocations'!$A$1:$L$316,3,FALSE)</f>
        <v>556155.56185436237</v>
      </c>
      <c r="E282" s="31">
        <f>VLOOKUP(B282,'Initial adjusted formula count'!$A$1:$P$316,12,FALSE)</f>
        <v>7.9849558802256596E-2</v>
      </c>
      <c r="F282">
        <f>VLOOKUP(B282,'Model allocations'!$A$1:$L$316,8,FALSE)</f>
        <v>485761.14849601063</v>
      </c>
      <c r="G282" s="30">
        <f t="shared" si="84"/>
        <v>0.85</v>
      </c>
      <c r="H282">
        <f t="shared" si="85"/>
        <v>472732.22757620801</v>
      </c>
      <c r="I282">
        <f t="shared" si="77"/>
        <v>0</v>
      </c>
      <c r="J282">
        <f t="shared" si="78"/>
        <v>485761.14849601063</v>
      </c>
      <c r="K282">
        <f t="shared" si="79"/>
        <v>485478.01233700826</v>
      </c>
      <c r="L282">
        <f t="shared" si="86"/>
        <v>485478.01233700826</v>
      </c>
      <c r="M282">
        <f t="shared" si="80"/>
        <v>0</v>
      </c>
      <c r="N282" s="29">
        <f t="shared" si="87"/>
        <v>485478.01233700826</v>
      </c>
      <c r="O282" s="29">
        <f t="shared" si="81"/>
        <v>485463.07427496719</v>
      </c>
      <c r="P282" s="29">
        <f t="shared" si="88"/>
        <v>485463.07427496719</v>
      </c>
      <c r="Q282">
        <f t="shared" si="89"/>
        <v>0</v>
      </c>
      <c r="R282" s="29">
        <f t="shared" si="90"/>
        <v>485463.07427496719</v>
      </c>
      <c r="S282" s="29">
        <f t="shared" si="82"/>
        <v>485463.07427496719</v>
      </c>
      <c r="T282" s="29">
        <f t="shared" si="91"/>
        <v>485463.07427496719</v>
      </c>
      <c r="U282">
        <f t="shared" si="92"/>
        <v>0</v>
      </c>
      <c r="V282" s="29">
        <f t="shared" si="93"/>
        <v>485463.07427496719</v>
      </c>
      <c r="W282" s="29">
        <f t="shared" si="83"/>
        <v>485463.07427496719</v>
      </c>
      <c r="X282" s="29">
        <f t="shared" si="94"/>
        <v>485463.07427496719</v>
      </c>
      <c r="Y282">
        <f t="shared" si="95"/>
        <v>0</v>
      </c>
    </row>
    <row r="283" spans="1:25" x14ac:dyDescent="0.25">
      <c r="A283" s="4" t="s">
        <v>1195</v>
      </c>
      <c r="B283" s="7" t="s">
        <v>609</v>
      </c>
      <c r="C283" s="2" t="s">
        <v>1196</v>
      </c>
      <c r="D283">
        <f>VLOOKUP(B283,'Model allocations'!$A$1:$L$316,3,FALSE)</f>
        <v>220724.23861095007</v>
      </c>
      <c r="E283" s="31">
        <f>VLOOKUP(B283,'Initial adjusted formula count'!$A$1:$P$316,12,FALSE)</f>
        <v>0.314285714285714</v>
      </c>
      <c r="F283">
        <f>VLOOKUP(B283,'Model allocations'!$A$1:$L$316,8,FALSE)</f>
        <v>222640.52639400493</v>
      </c>
      <c r="G283" s="30">
        <f t="shared" si="84"/>
        <v>0.95</v>
      </c>
      <c r="H283">
        <f t="shared" si="85"/>
        <v>209688.02668040255</v>
      </c>
      <c r="I283">
        <f t="shared" si="77"/>
        <v>0</v>
      </c>
      <c r="J283">
        <f t="shared" si="78"/>
        <v>222640.52639400493</v>
      </c>
      <c r="K283">
        <f t="shared" si="79"/>
        <v>222510.75565446221</v>
      </c>
      <c r="L283">
        <f t="shared" si="86"/>
        <v>222510.75565446221</v>
      </c>
      <c r="M283">
        <f t="shared" si="80"/>
        <v>0</v>
      </c>
      <c r="N283" s="29">
        <f t="shared" si="87"/>
        <v>222510.75565446221</v>
      </c>
      <c r="O283" s="29">
        <f t="shared" si="81"/>
        <v>222503.90904269335</v>
      </c>
      <c r="P283" s="29">
        <f t="shared" si="88"/>
        <v>222503.90904269335</v>
      </c>
      <c r="Q283">
        <f t="shared" si="89"/>
        <v>0</v>
      </c>
      <c r="R283" s="29">
        <f t="shared" si="90"/>
        <v>222503.90904269335</v>
      </c>
      <c r="S283" s="29">
        <f t="shared" si="82"/>
        <v>222503.90904269335</v>
      </c>
      <c r="T283" s="29">
        <f t="shared" si="91"/>
        <v>222503.90904269335</v>
      </c>
      <c r="U283">
        <f t="shared" si="92"/>
        <v>0</v>
      </c>
      <c r="V283" s="29">
        <f t="shared" si="93"/>
        <v>222503.90904269335</v>
      </c>
      <c r="W283" s="29">
        <f t="shared" si="83"/>
        <v>222503.90904269335</v>
      </c>
      <c r="X283" s="29">
        <f t="shared" si="94"/>
        <v>222503.90904269335</v>
      </c>
      <c r="Y283">
        <f t="shared" si="95"/>
        <v>0</v>
      </c>
    </row>
    <row r="284" spans="1:25" x14ac:dyDescent="0.25">
      <c r="A284" s="4" t="s">
        <v>1197</v>
      </c>
      <c r="B284" s="7" t="s">
        <v>248</v>
      </c>
      <c r="C284" s="2" t="s">
        <v>1198</v>
      </c>
      <c r="D284">
        <f>VLOOKUP(B284,'Model allocations'!$A$1:$L$316,3,FALSE)</f>
        <v>412771.70606378443</v>
      </c>
      <c r="E284" s="31">
        <f>VLOOKUP(B284,'Initial adjusted formula count'!$A$1:$P$316,12,FALSE)</f>
        <v>9.6267875828391997E-2</v>
      </c>
      <c r="F284">
        <f>VLOOKUP(B284,'Model allocations'!$A$1:$L$316,8,FALSE)</f>
        <v>485761.14849601063</v>
      </c>
      <c r="G284" s="30">
        <f t="shared" si="84"/>
        <v>0.85</v>
      </c>
      <c r="H284">
        <f t="shared" si="85"/>
        <v>350855.95015421673</v>
      </c>
      <c r="I284">
        <f t="shared" si="77"/>
        <v>0</v>
      </c>
      <c r="J284">
        <f t="shared" si="78"/>
        <v>485761.14849601063</v>
      </c>
      <c r="K284">
        <f t="shared" si="79"/>
        <v>485478.01233700826</v>
      </c>
      <c r="L284">
        <f t="shared" si="86"/>
        <v>485478.01233700826</v>
      </c>
      <c r="M284">
        <f t="shared" si="80"/>
        <v>0</v>
      </c>
      <c r="N284" s="29">
        <f t="shared" si="87"/>
        <v>485478.01233700826</v>
      </c>
      <c r="O284" s="29">
        <f t="shared" si="81"/>
        <v>485463.07427496719</v>
      </c>
      <c r="P284" s="29">
        <f t="shared" si="88"/>
        <v>485463.07427496719</v>
      </c>
      <c r="Q284">
        <f t="shared" si="89"/>
        <v>0</v>
      </c>
      <c r="R284" s="29">
        <f t="shared" si="90"/>
        <v>485463.07427496719</v>
      </c>
      <c r="S284" s="29">
        <f t="shared" si="82"/>
        <v>485463.07427496719</v>
      </c>
      <c r="T284" s="29">
        <f t="shared" si="91"/>
        <v>485463.07427496719</v>
      </c>
      <c r="U284">
        <f t="shared" si="92"/>
        <v>0</v>
      </c>
      <c r="V284" s="29">
        <f t="shared" si="93"/>
        <v>485463.07427496719</v>
      </c>
      <c r="W284" s="29">
        <f t="shared" si="83"/>
        <v>485463.07427496719</v>
      </c>
      <c r="X284" s="29">
        <f t="shared" si="94"/>
        <v>485463.07427496719</v>
      </c>
      <c r="Y284">
        <f t="shared" si="95"/>
        <v>0</v>
      </c>
    </row>
    <row r="285" spans="1:25" x14ac:dyDescent="0.25">
      <c r="A285" s="4" t="s">
        <v>1199</v>
      </c>
      <c r="B285" s="7" t="s">
        <v>611</v>
      </c>
      <c r="C285" s="2" t="s">
        <v>1200</v>
      </c>
      <c r="D285">
        <f>VLOOKUP(B285,'Model allocations'!$A$1:$L$316,3,FALSE)</f>
        <v>66912.466035602949</v>
      </c>
      <c r="E285" s="31">
        <f>VLOOKUP(B285,'Initial adjusted formula count'!$A$1:$P$316,12,FALSE)</f>
        <v>0.243055555555556</v>
      </c>
      <c r="F285">
        <f>VLOOKUP(B285,'Model allocations'!$A$1:$L$316,8,FALSE)</f>
        <v>61600.145642610056</v>
      </c>
      <c r="G285" s="30">
        <f t="shared" si="84"/>
        <v>0.9</v>
      </c>
      <c r="H285">
        <f t="shared" si="85"/>
        <v>60221.219432042657</v>
      </c>
      <c r="I285">
        <f t="shared" si="77"/>
        <v>0</v>
      </c>
      <c r="J285">
        <f t="shared" si="78"/>
        <v>61600.145642610056</v>
      </c>
      <c r="K285">
        <f t="shared" si="79"/>
        <v>61564.240694910484</v>
      </c>
      <c r="L285">
        <f t="shared" si="86"/>
        <v>61564.240694910484</v>
      </c>
      <c r="M285">
        <f t="shared" si="80"/>
        <v>0</v>
      </c>
      <c r="N285" s="29">
        <f t="shared" si="87"/>
        <v>61564.240694910484</v>
      </c>
      <c r="O285" s="29">
        <f t="shared" si="81"/>
        <v>61562.346375448746</v>
      </c>
      <c r="P285" s="29">
        <f t="shared" si="88"/>
        <v>61562.346375448746</v>
      </c>
      <c r="Q285">
        <f t="shared" si="89"/>
        <v>0</v>
      </c>
      <c r="R285" s="29">
        <f t="shared" si="90"/>
        <v>61562.346375448746</v>
      </c>
      <c r="S285" s="29">
        <f t="shared" si="82"/>
        <v>61562.346375448746</v>
      </c>
      <c r="T285" s="29">
        <f t="shared" si="91"/>
        <v>61562.346375448746</v>
      </c>
      <c r="U285">
        <f t="shared" si="92"/>
        <v>0</v>
      </c>
      <c r="V285" s="29">
        <f t="shared" si="93"/>
        <v>61562.346375448746</v>
      </c>
      <c r="W285" s="29">
        <f t="shared" si="83"/>
        <v>61562.346375448746</v>
      </c>
      <c r="X285" s="29">
        <f t="shared" si="94"/>
        <v>61562.346375448746</v>
      </c>
      <c r="Y285">
        <f t="shared" si="95"/>
        <v>0</v>
      </c>
    </row>
    <row r="286" spans="1:25" x14ac:dyDescent="0.25">
      <c r="A286" s="4" t="s">
        <v>49</v>
      </c>
      <c r="B286" s="7" t="s">
        <v>63</v>
      </c>
      <c r="C286" s="2" t="s">
        <v>1201</v>
      </c>
      <c r="D286">
        <f>VLOOKUP(B286,'Model allocations'!$A$1:$L$316,3,FALSE)</f>
        <v>2367199.2490119534</v>
      </c>
      <c r="E286" s="31">
        <f>VLOOKUP(B286,'Initial adjusted formula count'!$A$1:$P$316,12,FALSE)</f>
        <v>0.11281099129941199</v>
      </c>
      <c r="F286">
        <f>VLOOKUP(B286,'Model allocations'!$A$1:$L$316,8,FALSE)</f>
        <v>2428775.3813491641</v>
      </c>
      <c r="G286" s="30">
        <f t="shared" si="84"/>
        <v>0.85</v>
      </c>
      <c r="H286">
        <f t="shared" si="85"/>
        <v>2012119.3616601604</v>
      </c>
      <c r="I286">
        <f t="shared" si="77"/>
        <v>0</v>
      </c>
      <c r="J286">
        <f t="shared" si="78"/>
        <v>2428775.3813491641</v>
      </c>
      <c r="K286">
        <f t="shared" si="79"/>
        <v>2427359.7182507794</v>
      </c>
      <c r="L286">
        <f t="shared" si="86"/>
        <v>2427359.7182507794</v>
      </c>
      <c r="M286">
        <f t="shared" si="80"/>
        <v>0</v>
      </c>
      <c r="N286" s="29">
        <f t="shared" si="87"/>
        <v>2427359.7182507794</v>
      </c>
      <c r="O286" s="29">
        <f t="shared" si="81"/>
        <v>2427285.0288742352</v>
      </c>
      <c r="P286" s="29">
        <f t="shared" si="88"/>
        <v>2427285.0288742352</v>
      </c>
      <c r="Q286">
        <f t="shared" si="89"/>
        <v>0</v>
      </c>
      <c r="R286" s="29">
        <f t="shared" si="90"/>
        <v>2427285.0288742352</v>
      </c>
      <c r="S286" s="29">
        <f t="shared" si="82"/>
        <v>2427285.0288742352</v>
      </c>
      <c r="T286" s="29">
        <f t="shared" si="91"/>
        <v>2427285.0288742352</v>
      </c>
      <c r="U286">
        <f t="shared" si="92"/>
        <v>0</v>
      </c>
      <c r="V286" s="29">
        <f t="shared" si="93"/>
        <v>2427285.0288742352</v>
      </c>
      <c r="W286" s="29">
        <f t="shared" si="83"/>
        <v>2427285.0288742352</v>
      </c>
      <c r="X286" s="29">
        <f t="shared" si="94"/>
        <v>2427285.0288742352</v>
      </c>
      <c r="Y286">
        <f t="shared" si="95"/>
        <v>0</v>
      </c>
    </row>
    <row r="287" spans="1:25" x14ac:dyDescent="0.25">
      <c r="A287" s="4" t="s">
        <v>1202</v>
      </c>
      <c r="B287" s="7" t="s">
        <v>250</v>
      </c>
      <c r="C287" s="2" t="s">
        <v>1203</v>
      </c>
      <c r="D287">
        <f>VLOOKUP(B287,'Model allocations'!$A$1:$L$316,3,FALSE)</f>
        <v>99065.209455308272</v>
      </c>
      <c r="E287" s="31">
        <f>VLOOKUP(B287,'Initial adjusted formula count'!$A$1:$P$316,12,FALSE)</f>
        <v>7.9608938547486005E-2</v>
      </c>
      <c r="F287">
        <f>VLOOKUP(B287,'Model allocations'!$A$1:$L$316,8,FALSE)</f>
        <v>100320.23718939352</v>
      </c>
      <c r="G287" s="30">
        <f t="shared" si="84"/>
        <v>0.85</v>
      </c>
      <c r="H287">
        <f t="shared" si="85"/>
        <v>84205.428037012025</v>
      </c>
      <c r="I287">
        <f t="shared" si="77"/>
        <v>0</v>
      </c>
      <c r="J287">
        <f t="shared" si="78"/>
        <v>100320.23718939352</v>
      </c>
      <c r="K287">
        <f t="shared" si="79"/>
        <v>100261.76341742565</v>
      </c>
      <c r="L287">
        <f t="shared" si="86"/>
        <v>100261.76341742565</v>
      </c>
      <c r="M287">
        <f t="shared" si="80"/>
        <v>0</v>
      </c>
      <c r="N287" s="29">
        <f t="shared" si="87"/>
        <v>100261.76341742565</v>
      </c>
      <c r="O287" s="29">
        <f t="shared" si="81"/>
        <v>100258.67838287368</v>
      </c>
      <c r="P287" s="29">
        <f t="shared" si="88"/>
        <v>100258.67838287368</v>
      </c>
      <c r="Q287">
        <f t="shared" si="89"/>
        <v>0</v>
      </c>
      <c r="R287" s="29">
        <f t="shared" si="90"/>
        <v>100258.67838287368</v>
      </c>
      <c r="S287" s="29">
        <f t="shared" si="82"/>
        <v>100258.67838287368</v>
      </c>
      <c r="T287" s="29">
        <f t="shared" si="91"/>
        <v>100258.67838287368</v>
      </c>
      <c r="U287">
        <f t="shared" si="92"/>
        <v>0</v>
      </c>
      <c r="V287" s="29">
        <f t="shared" si="93"/>
        <v>100258.67838287368</v>
      </c>
      <c r="W287" s="29">
        <f t="shared" si="83"/>
        <v>100258.67838287368</v>
      </c>
      <c r="X287" s="29">
        <f t="shared" si="94"/>
        <v>100258.67838287368</v>
      </c>
      <c r="Y287">
        <f t="shared" si="95"/>
        <v>0</v>
      </c>
    </row>
    <row r="288" spans="1:25" x14ac:dyDescent="0.25">
      <c r="A288" s="4" t="s">
        <v>1204</v>
      </c>
      <c r="B288" s="7" t="s">
        <v>613</v>
      </c>
      <c r="C288" s="2" t="s">
        <v>1205</v>
      </c>
      <c r="D288">
        <f>VLOOKUP(B288,'Model allocations'!$A$1:$L$316,3,FALSE)</f>
        <v>85174.702821135521</v>
      </c>
      <c r="E288" s="31">
        <f>VLOOKUP(B288,'Initial adjusted formula count'!$A$1:$P$316,12,FALSE)</f>
        <v>0.158</v>
      </c>
      <c r="F288">
        <f>VLOOKUP(B288,'Model allocations'!$A$1:$L$316,8,FALSE)</f>
        <v>76657.232539021978</v>
      </c>
      <c r="G288" s="30">
        <f t="shared" si="84"/>
        <v>0.9</v>
      </c>
      <c r="H288">
        <f t="shared" si="85"/>
        <v>76657.232539021978</v>
      </c>
      <c r="I288">
        <f t="shared" si="77"/>
        <v>0</v>
      </c>
      <c r="J288">
        <f t="shared" si="78"/>
        <v>76657.232539021978</v>
      </c>
      <c r="K288">
        <f t="shared" si="79"/>
        <v>76612.55124977509</v>
      </c>
      <c r="L288">
        <f t="shared" si="86"/>
        <v>76612.55124977509</v>
      </c>
      <c r="M288">
        <f t="shared" si="80"/>
        <v>76657.232539021978</v>
      </c>
      <c r="N288" s="29">
        <f t="shared" si="87"/>
        <v>0</v>
      </c>
      <c r="O288" s="29">
        <f t="shared" si="81"/>
        <v>0</v>
      </c>
      <c r="P288" s="29">
        <f t="shared" si="88"/>
        <v>76657.232539021978</v>
      </c>
      <c r="Q288">
        <f t="shared" si="89"/>
        <v>0</v>
      </c>
      <c r="R288" s="29">
        <f t="shared" si="90"/>
        <v>0</v>
      </c>
      <c r="S288" s="29">
        <f t="shared" si="82"/>
        <v>0</v>
      </c>
      <c r="T288" s="29">
        <f t="shared" si="91"/>
        <v>76657.232539021978</v>
      </c>
      <c r="U288">
        <f t="shared" si="92"/>
        <v>0</v>
      </c>
      <c r="V288" s="29">
        <f t="shared" si="93"/>
        <v>0</v>
      </c>
      <c r="W288" s="29">
        <f t="shared" si="83"/>
        <v>0</v>
      </c>
      <c r="X288" s="29">
        <f t="shared" si="94"/>
        <v>76657.232539021978</v>
      </c>
      <c r="Y288">
        <f t="shared" si="95"/>
        <v>0</v>
      </c>
    </row>
    <row r="289" spans="1:25" x14ac:dyDescent="0.25">
      <c r="A289" s="4" t="s">
        <v>1206</v>
      </c>
      <c r="B289" s="7" t="s">
        <v>615</v>
      </c>
      <c r="C289" s="2" t="s">
        <v>1207</v>
      </c>
      <c r="D289">
        <f>VLOOKUP(B289,'Model allocations'!$A$1:$L$316,3,FALSE)</f>
        <v>271784.73354744149</v>
      </c>
      <c r="E289" s="31">
        <f>VLOOKUP(B289,'Initial adjusted formula count'!$A$1:$P$316,12,FALSE)</f>
        <v>0.176558603491272</v>
      </c>
      <c r="F289">
        <f>VLOOKUP(B289,'Model allocations'!$A$1:$L$316,8,FALSE)</f>
        <v>311520.73653548514</v>
      </c>
      <c r="G289" s="30">
        <f t="shared" si="84"/>
        <v>0.9</v>
      </c>
      <c r="H289">
        <f t="shared" si="85"/>
        <v>244606.26019269734</v>
      </c>
      <c r="I289">
        <f t="shared" si="77"/>
        <v>0</v>
      </c>
      <c r="J289">
        <f t="shared" si="78"/>
        <v>311520.73653548514</v>
      </c>
      <c r="K289">
        <f t="shared" si="79"/>
        <v>311339.16008569021</v>
      </c>
      <c r="L289">
        <f t="shared" si="86"/>
        <v>311339.16008569021</v>
      </c>
      <c r="M289">
        <f t="shared" si="80"/>
        <v>0</v>
      </c>
      <c r="N289" s="29">
        <f t="shared" si="87"/>
        <v>311339.16008569021</v>
      </c>
      <c r="O289" s="29">
        <f t="shared" si="81"/>
        <v>311329.58024155512</v>
      </c>
      <c r="P289" s="29">
        <f t="shared" si="88"/>
        <v>311329.58024155512</v>
      </c>
      <c r="Q289">
        <f t="shared" si="89"/>
        <v>0</v>
      </c>
      <c r="R289" s="29">
        <f t="shared" si="90"/>
        <v>311329.58024155512</v>
      </c>
      <c r="S289" s="29">
        <f t="shared" si="82"/>
        <v>311329.58024155512</v>
      </c>
      <c r="T289" s="29">
        <f t="shared" si="91"/>
        <v>311329.58024155512</v>
      </c>
      <c r="U289">
        <f t="shared" si="92"/>
        <v>0</v>
      </c>
      <c r="V289" s="29">
        <f t="shared" si="93"/>
        <v>311329.58024155512</v>
      </c>
      <c r="W289" s="29">
        <f t="shared" si="83"/>
        <v>311329.58024155512</v>
      </c>
      <c r="X289" s="29">
        <f t="shared" si="94"/>
        <v>311329.58024155512</v>
      </c>
      <c r="Y289">
        <f t="shared" si="95"/>
        <v>0</v>
      </c>
    </row>
    <row r="290" spans="1:25" x14ac:dyDescent="0.25">
      <c r="A290" s="4" t="s">
        <v>1208</v>
      </c>
      <c r="B290" s="7" t="s">
        <v>617</v>
      </c>
      <c r="C290" s="2" t="s">
        <v>1209</v>
      </c>
      <c r="D290">
        <f>VLOOKUP(B290,'Model allocations'!$A$1:$L$316,3,FALSE)</f>
        <v>32152.743419705315</v>
      </c>
      <c r="E290" s="31">
        <f>VLOOKUP(B290,'Initial adjusted formula count'!$A$1:$P$316,12,FALSE)</f>
        <v>5.4945054945054903E-2</v>
      </c>
      <c r="F290">
        <f>VLOOKUP(B290,'Model allocations'!$A$1:$L$316,8,FALSE)</f>
        <v>27345.017118496093</v>
      </c>
      <c r="G290" s="30">
        <f t="shared" si="84"/>
        <v>0.85</v>
      </c>
      <c r="H290">
        <f t="shared" si="85"/>
        <v>27329.831906749518</v>
      </c>
      <c r="I290">
        <f t="shared" si="77"/>
        <v>0</v>
      </c>
      <c r="J290">
        <f t="shared" si="78"/>
        <v>27345.017118496093</v>
      </c>
      <c r="K290">
        <f t="shared" si="79"/>
        <v>27329.078496935363</v>
      </c>
      <c r="L290">
        <f t="shared" si="86"/>
        <v>27329.078496935363</v>
      </c>
      <c r="M290">
        <f t="shared" si="80"/>
        <v>27329.831906749518</v>
      </c>
      <c r="N290" s="29">
        <f t="shared" si="87"/>
        <v>0</v>
      </c>
      <c r="O290" s="29">
        <f t="shared" si="81"/>
        <v>0</v>
      </c>
      <c r="P290" s="29">
        <f t="shared" si="88"/>
        <v>27329.831906749518</v>
      </c>
      <c r="Q290">
        <f t="shared" si="89"/>
        <v>0</v>
      </c>
      <c r="R290" s="29">
        <f t="shared" si="90"/>
        <v>0</v>
      </c>
      <c r="S290" s="29">
        <f t="shared" si="82"/>
        <v>0</v>
      </c>
      <c r="T290" s="29">
        <f t="shared" si="91"/>
        <v>27329.831906749518</v>
      </c>
      <c r="U290">
        <f t="shared" si="92"/>
        <v>0</v>
      </c>
      <c r="V290" s="29">
        <f t="shared" si="93"/>
        <v>0</v>
      </c>
      <c r="W290" s="29">
        <f t="shared" si="83"/>
        <v>0</v>
      </c>
      <c r="X290" s="29">
        <f t="shared" si="94"/>
        <v>27329.831906749518</v>
      </c>
      <c r="Y290">
        <f t="shared" si="95"/>
        <v>0</v>
      </c>
    </row>
    <row r="291" spans="1:25" x14ac:dyDescent="0.25">
      <c r="A291" s="4" t="s">
        <v>1210</v>
      </c>
      <c r="B291" s="7" t="s">
        <v>619</v>
      </c>
      <c r="C291" s="2" t="s">
        <v>1211</v>
      </c>
      <c r="D291">
        <f>VLOOKUP(B291,'Model allocations'!$A$1:$L$316,3,FALSE)</f>
        <v>924608.62158287689</v>
      </c>
      <c r="E291" s="31">
        <f>VLOOKUP(B291,'Initial adjusted formula count'!$A$1:$P$316,12,FALSE)</f>
        <v>0.134801016088061</v>
      </c>
      <c r="F291">
        <f>VLOOKUP(B291,'Model allocations'!$A$1:$L$316,8,FALSE)</f>
        <v>786354.0057859415</v>
      </c>
      <c r="G291" s="30">
        <f t="shared" si="84"/>
        <v>0.85</v>
      </c>
      <c r="H291">
        <f t="shared" si="85"/>
        <v>785917.32834544533</v>
      </c>
      <c r="I291">
        <f t="shared" si="77"/>
        <v>0</v>
      </c>
      <c r="J291">
        <f t="shared" si="78"/>
        <v>786354.0057859415</v>
      </c>
      <c r="K291">
        <f t="shared" si="79"/>
        <v>785895.66272268165</v>
      </c>
      <c r="L291">
        <f t="shared" si="86"/>
        <v>785895.66272268165</v>
      </c>
      <c r="M291">
        <f t="shared" si="80"/>
        <v>785917.32834544533</v>
      </c>
      <c r="N291" s="29">
        <f t="shared" si="87"/>
        <v>0</v>
      </c>
      <c r="O291" s="29">
        <f t="shared" si="81"/>
        <v>0</v>
      </c>
      <c r="P291" s="29">
        <f t="shared" si="88"/>
        <v>785917.32834544533</v>
      </c>
      <c r="Q291">
        <f t="shared" si="89"/>
        <v>0</v>
      </c>
      <c r="R291" s="29">
        <f t="shared" si="90"/>
        <v>0</v>
      </c>
      <c r="S291" s="29">
        <f t="shared" si="82"/>
        <v>0</v>
      </c>
      <c r="T291" s="29">
        <f t="shared" si="91"/>
        <v>785917.32834544533</v>
      </c>
      <c r="U291">
        <f t="shared" si="92"/>
        <v>0</v>
      </c>
      <c r="V291" s="29">
        <f t="shared" si="93"/>
        <v>0</v>
      </c>
      <c r="W291" s="29">
        <f t="shared" si="83"/>
        <v>0</v>
      </c>
      <c r="X291" s="29">
        <f t="shared" si="94"/>
        <v>785917.32834544533</v>
      </c>
      <c r="Y291">
        <f t="shared" si="95"/>
        <v>0</v>
      </c>
    </row>
    <row r="292" spans="1:25" x14ac:dyDescent="0.25">
      <c r="A292" s="4" t="s">
        <v>1212</v>
      </c>
      <c r="B292" s="7" t="s">
        <v>620</v>
      </c>
      <c r="C292" s="2" t="s">
        <v>1213</v>
      </c>
      <c r="D292">
        <f>VLOOKUP(B292,'Model allocations'!$A$1:$L$316,3,FALSE)</f>
        <v>661265.42008408858</v>
      </c>
      <c r="E292" s="31">
        <f>VLOOKUP(B292,'Initial adjusted formula count'!$A$1:$P$316,12,FALSE)</f>
        <v>0.25252234073219898</v>
      </c>
      <c r="F292">
        <f>VLOOKUP(B292,'Model allocations'!$A$1:$L$316,8,FALSE)</f>
        <v>770881.82261323475</v>
      </c>
      <c r="G292" s="30">
        <f t="shared" si="84"/>
        <v>0.9</v>
      </c>
      <c r="H292">
        <f t="shared" si="85"/>
        <v>595138.87807567976</v>
      </c>
      <c r="I292">
        <f t="shared" si="77"/>
        <v>0</v>
      </c>
      <c r="J292">
        <f t="shared" si="78"/>
        <v>770881.82261323475</v>
      </c>
      <c r="K292">
        <f t="shared" si="79"/>
        <v>770432.49783916585</v>
      </c>
      <c r="L292">
        <f t="shared" si="86"/>
        <v>770432.49783916585</v>
      </c>
      <c r="M292">
        <f t="shared" si="80"/>
        <v>0</v>
      </c>
      <c r="N292" s="29">
        <f t="shared" si="87"/>
        <v>770432.49783916585</v>
      </c>
      <c r="O292" s="29">
        <f t="shared" si="81"/>
        <v>770408.79178418755</v>
      </c>
      <c r="P292" s="29">
        <f t="shared" si="88"/>
        <v>770408.79178418755</v>
      </c>
      <c r="Q292">
        <f t="shared" si="89"/>
        <v>0</v>
      </c>
      <c r="R292" s="29">
        <f t="shared" si="90"/>
        <v>770408.79178418755</v>
      </c>
      <c r="S292" s="29">
        <f t="shared" si="82"/>
        <v>770408.79178418755</v>
      </c>
      <c r="T292" s="29">
        <f t="shared" si="91"/>
        <v>770408.79178418755</v>
      </c>
      <c r="U292">
        <f t="shared" si="92"/>
        <v>0</v>
      </c>
      <c r="V292" s="29">
        <f t="shared" si="93"/>
        <v>770408.79178418755</v>
      </c>
      <c r="W292" s="29">
        <f t="shared" si="83"/>
        <v>770408.79178418755</v>
      </c>
      <c r="X292" s="29">
        <f t="shared" si="94"/>
        <v>770408.79178418755</v>
      </c>
      <c r="Y292">
        <f t="shared" si="95"/>
        <v>0</v>
      </c>
    </row>
    <row r="293" spans="1:25" x14ac:dyDescent="0.25">
      <c r="A293" s="4" t="s">
        <v>1214</v>
      </c>
      <c r="B293" s="7" t="s">
        <v>622</v>
      </c>
      <c r="C293" s="2" t="s">
        <v>1215</v>
      </c>
      <c r="D293">
        <f>VLOOKUP(B293,'Model allocations'!$A$1:$L$316,3,FALSE)</f>
        <v>175536.59921028311</v>
      </c>
      <c r="E293" s="31">
        <f>VLOOKUP(B293,'Initial adjusted formula count'!$A$1:$P$316,12,FALSE)</f>
        <v>0.19351100811124</v>
      </c>
      <c r="F293">
        <f>VLOOKUP(B293,'Model allocations'!$A$1:$L$316,8,FALSE)</f>
        <v>158070.71898704581</v>
      </c>
      <c r="G293" s="30">
        <f t="shared" si="84"/>
        <v>0.9</v>
      </c>
      <c r="H293">
        <f t="shared" si="85"/>
        <v>157982.93928925481</v>
      </c>
      <c r="I293">
        <f t="shared" si="77"/>
        <v>0</v>
      </c>
      <c r="J293">
        <f t="shared" si="78"/>
        <v>158070.71898704581</v>
      </c>
      <c r="K293">
        <f t="shared" si="79"/>
        <v>157978.58412536883</v>
      </c>
      <c r="L293">
        <f t="shared" si="86"/>
        <v>157978.58412536883</v>
      </c>
      <c r="M293">
        <f t="shared" si="80"/>
        <v>157982.93928925481</v>
      </c>
      <c r="N293" s="29">
        <f t="shared" si="87"/>
        <v>0</v>
      </c>
      <c r="O293" s="29">
        <f t="shared" si="81"/>
        <v>0</v>
      </c>
      <c r="P293" s="29">
        <f t="shared" si="88"/>
        <v>157982.93928925481</v>
      </c>
      <c r="Q293">
        <f t="shared" si="89"/>
        <v>0</v>
      </c>
      <c r="R293" s="29">
        <f t="shared" si="90"/>
        <v>0</v>
      </c>
      <c r="S293" s="29">
        <f t="shared" si="82"/>
        <v>0</v>
      </c>
      <c r="T293" s="29">
        <f t="shared" si="91"/>
        <v>157982.93928925481</v>
      </c>
      <c r="U293">
        <f t="shared" si="92"/>
        <v>0</v>
      </c>
      <c r="V293" s="29">
        <f t="shared" si="93"/>
        <v>0</v>
      </c>
      <c r="W293" s="29">
        <f t="shared" si="83"/>
        <v>0</v>
      </c>
      <c r="X293" s="29">
        <f t="shared" si="94"/>
        <v>157982.93928925481</v>
      </c>
      <c r="Y293">
        <f t="shared" si="95"/>
        <v>0</v>
      </c>
    </row>
    <row r="294" spans="1:25" x14ac:dyDescent="0.25">
      <c r="A294" s="4" t="s">
        <v>1216</v>
      </c>
      <c r="B294" s="7" t="s">
        <v>252</v>
      </c>
      <c r="C294" s="2" t="s">
        <v>1217</v>
      </c>
      <c r="D294">
        <f>VLOOKUP(B294,'Model allocations'!$A$1:$L$316,3,FALSE)</f>
        <v>221593.23167634747</v>
      </c>
      <c r="E294" s="31">
        <f>VLOOKUP(B294,'Initial adjusted formula count'!$A$1:$P$316,12,FALSE)</f>
        <v>7.3478144274604404E-2</v>
      </c>
      <c r="F294">
        <f>VLOOKUP(B294,'Model allocations'!$A$1:$L$316,8,FALSE)</f>
        <v>241120.57008678786</v>
      </c>
      <c r="G294" s="30">
        <f t="shared" si="84"/>
        <v>0.85</v>
      </c>
      <c r="H294">
        <f t="shared" si="85"/>
        <v>188354.24692489533</v>
      </c>
      <c r="I294">
        <f t="shared" si="77"/>
        <v>0</v>
      </c>
      <c r="J294">
        <f t="shared" si="78"/>
        <v>241120.57008678786</v>
      </c>
      <c r="K294">
        <f t="shared" si="79"/>
        <v>240980.02786293527</v>
      </c>
      <c r="L294">
        <f t="shared" si="86"/>
        <v>240980.02786293527</v>
      </c>
      <c r="M294">
        <f t="shared" si="80"/>
        <v>0</v>
      </c>
      <c r="N294" s="29">
        <f t="shared" si="87"/>
        <v>240980.02786293527</v>
      </c>
      <c r="O294" s="29">
        <f t="shared" si="81"/>
        <v>240972.6129553279</v>
      </c>
      <c r="P294" s="29">
        <f t="shared" si="88"/>
        <v>240972.6129553279</v>
      </c>
      <c r="Q294">
        <f t="shared" si="89"/>
        <v>0</v>
      </c>
      <c r="R294" s="29">
        <f t="shared" si="90"/>
        <v>240972.6129553279</v>
      </c>
      <c r="S294" s="29">
        <f t="shared" si="82"/>
        <v>240972.6129553279</v>
      </c>
      <c r="T294" s="29">
        <f t="shared" si="91"/>
        <v>240972.6129553279</v>
      </c>
      <c r="U294">
        <f t="shared" si="92"/>
        <v>0</v>
      </c>
      <c r="V294" s="29">
        <f t="shared" si="93"/>
        <v>240972.6129553279</v>
      </c>
      <c r="W294" s="29">
        <f t="shared" si="83"/>
        <v>240972.6129553279</v>
      </c>
      <c r="X294" s="29">
        <f t="shared" si="94"/>
        <v>240972.6129553279</v>
      </c>
      <c r="Y294">
        <f t="shared" si="95"/>
        <v>0</v>
      </c>
    </row>
    <row r="295" spans="1:25" x14ac:dyDescent="0.25">
      <c r="A295" s="4" t="s">
        <v>1218</v>
      </c>
      <c r="B295" s="7" t="s">
        <v>624</v>
      </c>
      <c r="C295" s="2" t="s">
        <v>1219</v>
      </c>
      <c r="D295">
        <f>VLOOKUP(B295,'Model allocations'!$A$1:$L$316,3,FALSE)</f>
        <v>0</v>
      </c>
      <c r="E295" s="31">
        <f>VLOOKUP(B295,'Initial adjusted formula count'!$A$1:$P$316,12,FALSE)</f>
        <v>7.5757575757575801E-2</v>
      </c>
      <c r="F295">
        <f>VLOOKUP(B295,'Model allocations'!$A$1:$L$316,8,FALSE)</f>
        <v>0</v>
      </c>
      <c r="G295" s="30">
        <f t="shared" si="84"/>
        <v>0.85</v>
      </c>
      <c r="H295">
        <f t="shared" si="85"/>
        <v>0</v>
      </c>
      <c r="I295">
        <f t="shared" si="77"/>
        <v>0</v>
      </c>
      <c r="J295">
        <f t="shared" si="78"/>
        <v>0</v>
      </c>
      <c r="K295">
        <f t="shared" si="79"/>
        <v>0</v>
      </c>
      <c r="L295">
        <f t="shared" si="86"/>
        <v>0</v>
      </c>
      <c r="M295">
        <f t="shared" si="80"/>
        <v>0</v>
      </c>
      <c r="N295" s="29">
        <f t="shared" si="87"/>
        <v>0</v>
      </c>
      <c r="O295" s="29">
        <f t="shared" si="81"/>
        <v>0</v>
      </c>
      <c r="P295" s="29">
        <f t="shared" si="88"/>
        <v>0</v>
      </c>
      <c r="Q295">
        <f t="shared" si="89"/>
        <v>0</v>
      </c>
      <c r="R295" s="29">
        <f t="shared" si="90"/>
        <v>0</v>
      </c>
      <c r="S295" s="29">
        <f t="shared" si="82"/>
        <v>0</v>
      </c>
      <c r="T295" s="29">
        <f t="shared" si="91"/>
        <v>0</v>
      </c>
      <c r="U295">
        <f t="shared" si="92"/>
        <v>0</v>
      </c>
      <c r="V295" s="29">
        <f t="shared" si="93"/>
        <v>0</v>
      </c>
      <c r="W295" s="29">
        <f t="shared" si="83"/>
        <v>0</v>
      </c>
      <c r="X295" s="29">
        <f t="shared" si="94"/>
        <v>0</v>
      </c>
      <c r="Y295">
        <f t="shared" si="95"/>
        <v>0</v>
      </c>
    </row>
    <row r="296" spans="1:25" x14ac:dyDescent="0.25">
      <c r="A296" s="4" t="s">
        <v>1220</v>
      </c>
      <c r="B296" s="7" t="s">
        <v>626</v>
      </c>
      <c r="C296" s="2" t="s">
        <v>1221</v>
      </c>
      <c r="D296">
        <f>VLOOKUP(B296,'Model allocations'!$A$1:$L$316,3,FALSE)</f>
        <v>33890.729550500218</v>
      </c>
      <c r="E296" s="31">
        <f>VLOOKUP(B296,'Initial adjusted formula count'!$A$1:$P$316,12,FALSE)</f>
        <v>0.13803680981595101</v>
      </c>
      <c r="F296">
        <f>VLOOKUP(B296,'Model allocations'!$A$1:$L$316,8,FALSE)</f>
        <v>39600.093627392176</v>
      </c>
      <c r="G296" s="30">
        <f t="shared" si="84"/>
        <v>0.85</v>
      </c>
      <c r="H296">
        <f t="shared" si="85"/>
        <v>28807.120117925184</v>
      </c>
      <c r="I296">
        <f t="shared" si="77"/>
        <v>0</v>
      </c>
      <c r="J296">
        <f t="shared" si="78"/>
        <v>39600.093627392176</v>
      </c>
      <c r="K296">
        <f t="shared" si="79"/>
        <v>39577.011875299591</v>
      </c>
      <c r="L296">
        <f t="shared" si="86"/>
        <v>39577.011875299591</v>
      </c>
      <c r="M296">
        <f t="shared" si="80"/>
        <v>0</v>
      </c>
      <c r="N296" s="29">
        <f t="shared" si="87"/>
        <v>39577.011875299591</v>
      </c>
      <c r="O296" s="29">
        <f t="shared" si="81"/>
        <v>39575.79409850276</v>
      </c>
      <c r="P296" s="29">
        <f t="shared" si="88"/>
        <v>39575.79409850276</v>
      </c>
      <c r="Q296">
        <f t="shared" si="89"/>
        <v>0</v>
      </c>
      <c r="R296" s="29">
        <f t="shared" si="90"/>
        <v>39575.79409850276</v>
      </c>
      <c r="S296" s="29">
        <f t="shared" si="82"/>
        <v>39575.79409850276</v>
      </c>
      <c r="T296" s="29">
        <f t="shared" si="91"/>
        <v>39575.79409850276</v>
      </c>
      <c r="U296">
        <f t="shared" si="92"/>
        <v>0</v>
      </c>
      <c r="V296" s="29">
        <f t="shared" si="93"/>
        <v>39575.79409850276</v>
      </c>
      <c r="W296" s="29">
        <f t="shared" si="83"/>
        <v>39575.79409850276</v>
      </c>
      <c r="X296" s="29">
        <f t="shared" si="94"/>
        <v>39575.79409850276</v>
      </c>
      <c r="Y296">
        <f t="shared" si="95"/>
        <v>0</v>
      </c>
    </row>
    <row r="297" spans="1:25" x14ac:dyDescent="0.25">
      <c r="A297" s="4" t="s">
        <v>1222</v>
      </c>
      <c r="B297" s="7" t="s">
        <v>628</v>
      </c>
      <c r="C297" s="2" t="s">
        <v>1223</v>
      </c>
      <c r="D297">
        <f>VLOOKUP(B297,'Model allocations'!$A$1:$L$316,3,FALSE)</f>
        <v>72995.41749338503</v>
      </c>
      <c r="E297" s="31">
        <f>VLOOKUP(B297,'Initial adjusted formula count'!$A$1:$P$316,12,FALSE)</f>
        <v>0.22539682539682501</v>
      </c>
      <c r="F297">
        <f>VLOOKUP(B297,'Model allocations'!$A$1:$L$316,8,FALSE)</f>
        <v>65732.37819263291</v>
      </c>
      <c r="G297" s="30">
        <f t="shared" si="84"/>
        <v>0.9</v>
      </c>
      <c r="H297">
        <f t="shared" si="85"/>
        <v>65695.875744046527</v>
      </c>
      <c r="I297">
        <f t="shared" si="77"/>
        <v>0</v>
      </c>
      <c r="J297">
        <f t="shared" si="78"/>
        <v>65732.37819263291</v>
      </c>
      <c r="K297">
        <f t="shared" si="79"/>
        <v>65694.06468579694</v>
      </c>
      <c r="L297">
        <f t="shared" si="86"/>
        <v>65694.06468579694</v>
      </c>
      <c r="M297">
        <f t="shared" si="80"/>
        <v>65695.875744046527</v>
      </c>
      <c r="N297" s="29">
        <f t="shared" si="87"/>
        <v>0</v>
      </c>
      <c r="O297" s="29">
        <f t="shared" si="81"/>
        <v>0</v>
      </c>
      <c r="P297" s="29">
        <f t="shared" si="88"/>
        <v>65695.875744046527</v>
      </c>
      <c r="Q297">
        <f t="shared" si="89"/>
        <v>0</v>
      </c>
      <c r="R297" s="29">
        <f t="shared" si="90"/>
        <v>0</v>
      </c>
      <c r="S297" s="29">
        <f t="shared" si="82"/>
        <v>0</v>
      </c>
      <c r="T297" s="29">
        <f t="shared" si="91"/>
        <v>65695.875744046527</v>
      </c>
      <c r="U297">
        <f t="shared" si="92"/>
        <v>0</v>
      </c>
      <c r="V297" s="29">
        <f t="shared" si="93"/>
        <v>0</v>
      </c>
      <c r="W297" s="29">
        <f t="shared" si="83"/>
        <v>0</v>
      </c>
      <c r="X297" s="29">
        <f t="shared" si="94"/>
        <v>65695.875744046527</v>
      </c>
      <c r="Y297">
        <f t="shared" si="95"/>
        <v>0</v>
      </c>
    </row>
    <row r="298" spans="1:25" x14ac:dyDescent="0.25">
      <c r="A298" s="4" t="s">
        <v>53</v>
      </c>
      <c r="B298" s="7" t="s">
        <v>64</v>
      </c>
      <c r="C298" s="2" t="s">
        <v>1224</v>
      </c>
      <c r="D298">
        <f>VLOOKUP(B298,'Model allocations'!$A$1:$L$316,3,FALSE)</f>
        <v>928474.19965927966</v>
      </c>
      <c r="E298" s="31">
        <f>VLOOKUP(B298,'Initial adjusted formula count'!$A$1:$P$316,12,FALSE)</f>
        <v>0.123566627364634</v>
      </c>
      <c r="F298">
        <f>VLOOKUP(B298,'Model allocations'!$A$1:$L$316,8,FALSE)</f>
        <v>885936.81464034063</v>
      </c>
      <c r="G298" s="30">
        <f t="shared" si="84"/>
        <v>0.85</v>
      </c>
      <c r="H298">
        <f t="shared" si="85"/>
        <v>789203.06971038773</v>
      </c>
      <c r="I298">
        <f t="shared" si="77"/>
        <v>0</v>
      </c>
      <c r="J298">
        <f t="shared" si="78"/>
        <v>885936.81464034063</v>
      </c>
      <c r="K298">
        <f t="shared" si="79"/>
        <v>885420.42763081403</v>
      </c>
      <c r="L298">
        <f t="shared" si="86"/>
        <v>885420.42763081403</v>
      </c>
      <c r="M298">
        <f t="shared" si="80"/>
        <v>0</v>
      </c>
      <c r="N298" s="29">
        <f t="shared" si="87"/>
        <v>885420.42763081403</v>
      </c>
      <c r="O298" s="29">
        <f t="shared" si="81"/>
        <v>885393.18342006847</v>
      </c>
      <c r="P298" s="29">
        <f t="shared" si="88"/>
        <v>885393.18342006847</v>
      </c>
      <c r="Q298">
        <f t="shared" si="89"/>
        <v>0</v>
      </c>
      <c r="R298" s="29">
        <f t="shared" si="90"/>
        <v>885393.18342006847</v>
      </c>
      <c r="S298" s="29">
        <f t="shared" si="82"/>
        <v>885393.18342006847</v>
      </c>
      <c r="T298" s="29">
        <f t="shared" si="91"/>
        <v>885393.18342006847</v>
      </c>
      <c r="U298">
        <f t="shared" si="92"/>
        <v>0</v>
      </c>
      <c r="V298" s="29">
        <f t="shared" si="93"/>
        <v>885393.18342006847</v>
      </c>
      <c r="W298" s="29">
        <f t="shared" si="83"/>
        <v>885393.18342006847</v>
      </c>
      <c r="X298" s="29">
        <f t="shared" si="94"/>
        <v>885393.18342006847</v>
      </c>
      <c r="Y298">
        <f t="shared" si="95"/>
        <v>0</v>
      </c>
    </row>
    <row r="299" spans="1:25" x14ac:dyDescent="0.25">
      <c r="A299" s="4" t="s">
        <v>1225</v>
      </c>
      <c r="B299" s="7" t="s">
        <v>305</v>
      </c>
      <c r="C299" s="2" t="s">
        <v>1226</v>
      </c>
      <c r="D299">
        <f>VLOOKUP(B299,'Model allocations'!$A$1:$L$316,3,FALSE)</f>
        <v>318114.609778938</v>
      </c>
      <c r="E299" s="31">
        <f>VLOOKUP(B299,'Initial adjusted formula count'!$A$1:$P$316,12,FALSE)</f>
        <v>8.4472049689440998E-2</v>
      </c>
      <c r="F299">
        <f>VLOOKUP(B299,'Model allocations'!$A$1:$L$316,8,FALSE)</f>
        <v>270737.56707876752</v>
      </c>
      <c r="G299" s="30">
        <f t="shared" si="84"/>
        <v>0.85</v>
      </c>
      <c r="H299">
        <f t="shared" si="85"/>
        <v>270397.41831209732</v>
      </c>
      <c r="I299">
        <f t="shared" si="77"/>
        <v>0</v>
      </c>
      <c r="J299">
        <f t="shared" si="78"/>
        <v>270737.56707876752</v>
      </c>
      <c r="K299">
        <f t="shared" si="79"/>
        <v>270579.76196183375</v>
      </c>
      <c r="L299">
        <f t="shared" si="86"/>
        <v>270579.76196183375</v>
      </c>
      <c r="M299">
        <f t="shared" si="80"/>
        <v>0</v>
      </c>
      <c r="N299" s="29">
        <f t="shared" si="87"/>
        <v>270579.76196183375</v>
      </c>
      <c r="O299" s="29">
        <f t="shared" si="81"/>
        <v>270571.43627628562</v>
      </c>
      <c r="P299" s="29">
        <f t="shared" si="88"/>
        <v>270571.43627628562</v>
      </c>
      <c r="Q299">
        <f t="shared" si="89"/>
        <v>0</v>
      </c>
      <c r="R299" s="29">
        <f t="shared" si="90"/>
        <v>270571.43627628562</v>
      </c>
      <c r="S299" s="29">
        <f t="shared" si="82"/>
        <v>270571.43627628562</v>
      </c>
      <c r="T299" s="29">
        <f t="shared" si="91"/>
        <v>270571.43627628562</v>
      </c>
      <c r="U299">
        <f t="shared" si="92"/>
        <v>0</v>
      </c>
      <c r="V299" s="29">
        <f t="shared" si="93"/>
        <v>270571.43627628562</v>
      </c>
      <c r="W299" s="29">
        <f t="shared" si="83"/>
        <v>270571.43627628562</v>
      </c>
      <c r="X299" s="29">
        <f t="shared" si="94"/>
        <v>270571.43627628562</v>
      </c>
      <c r="Y299">
        <f t="shared" si="95"/>
        <v>0</v>
      </c>
    </row>
    <row r="300" spans="1:25" x14ac:dyDescent="0.25">
      <c r="A300" s="4" t="s">
        <v>1227</v>
      </c>
      <c r="B300" s="7" t="s">
        <v>254</v>
      </c>
      <c r="C300" s="2" t="s">
        <v>1228</v>
      </c>
      <c r="D300">
        <f>VLOOKUP(B300,'Model allocations'!$A$1:$L$316,3,FALSE)</f>
        <v>636971.91693632398</v>
      </c>
      <c r="E300" s="31">
        <f>VLOOKUP(B300,'Initial adjusted formula count'!$A$1:$P$316,12,FALSE)</f>
        <v>0.12175999999999999</v>
      </c>
      <c r="F300">
        <f>VLOOKUP(B300,'Model allocations'!$A$1:$L$316,8,FALSE)</f>
        <v>669681.5833432324</v>
      </c>
      <c r="G300" s="30">
        <f t="shared" si="84"/>
        <v>0.85</v>
      </c>
      <c r="H300">
        <f t="shared" si="85"/>
        <v>541426.12939587538</v>
      </c>
      <c r="I300">
        <f t="shared" si="77"/>
        <v>0</v>
      </c>
      <c r="J300">
        <f t="shared" si="78"/>
        <v>669681.5833432324</v>
      </c>
      <c r="K300">
        <f t="shared" si="79"/>
        <v>669291.24526895559</v>
      </c>
      <c r="L300">
        <f t="shared" si="86"/>
        <v>669291.24526895559</v>
      </c>
      <c r="M300">
        <f t="shared" si="80"/>
        <v>0</v>
      </c>
      <c r="N300" s="29">
        <f t="shared" si="87"/>
        <v>669291.24526895559</v>
      </c>
      <c r="O300" s="29">
        <f t="shared" si="81"/>
        <v>669270.65131023584</v>
      </c>
      <c r="P300" s="29">
        <f t="shared" si="88"/>
        <v>669270.65131023584</v>
      </c>
      <c r="Q300">
        <f t="shared" si="89"/>
        <v>0</v>
      </c>
      <c r="R300" s="29">
        <f t="shared" si="90"/>
        <v>669270.65131023584</v>
      </c>
      <c r="S300" s="29">
        <f t="shared" si="82"/>
        <v>669270.65131023584</v>
      </c>
      <c r="T300" s="29">
        <f t="shared" si="91"/>
        <v>669270.65131023584</v>
      </c>
      <c r="U300">
        <f t="shared" si="92"/>
        <v>0</v>
      </c>
      <c r="V300" s="29">
        <f t="shared" si="93"/>
        <v>669270.65131023584</v>
      </c>
      <c r="W300" s="29">
        <f t="shared" si="83"/>
        <v>669270.65131023584</v>
      </c>
      <c r="X300" s="29">
        <f t="shared" si="94"/>
        <v>669270.65131023584</v>
      </c>
      <c r="Y300">
        <f t="shared" si="95"/>
        <v>0</v>
      </c>
    </row>
    <row r="301" spans="1:25" x14ac:dyDescent="0.25">
      <c r="A301" s="4" t="s">
        <v>13</v>
      </c>
      <c r="B301" s="7" t="s">
        <v>68</v>
      </c>
      <c r="C301" s="2" t="s">
        <v>1229</v>
      </c>
      <c r="D301">
        <f>VLOOKUP(B301,'Model allocations'!$A$1:$L$316,3,FALSE)</f>
        <v>0</v>
      </c>
      <c r="E301" s="31">
        <f>VLOOKUP(B301,'Initial adjusted formula count'!$A$1:$P$316,12,FALSE)</f>
        <v>6.5912500308918501E-2</v>
      </c>
      <c r="F301">
        <f>VLOOKUP(B301,'Model allocations'!$A$1:$L$316,8,FALSE)</f>
        <v>0</v>
      </c>
      <c r="G301" s="30">
        <f t="shared" si="84"/>
        <v>0.85</v>
      </c>
      <c r="H301">
        <f t="shared" si="85"/>
        <v>0</v>
      </c>
      <c r="I301">
        <f t="shared" si="77"/>
        <v>0</v>
      </c>
      <c r="J301">
        <f t="shared" si="78"/>
        <v>0</v>
      </c>
      <c r="K301">
        <f t="shared" si="79"/>
        <v>0</v>
      </c>
      <c r="L301">
        <f t="shared" si="86"/>
        <v>0</v>
      </c>
      <c r="M301">
        <f t="shared" si="80"/>
        <v>0</v>
      </c>
      <c r="N301" s="29">
        <f t="shared" si="87"/>
        <v>0</v>
      </c>
      <c r="O301" s="29">
        <f t="shared" si="81"/>
        <v>0</v>
      </c>
      <c r="P301" s="29">
        <f t="shared" si="88"/>
        <v>0</v>
      </c>
      <c r="Q301">
        <f t="shared" si="89"/>
        <v>0</v>
      </c>
      <c r="R301" s="29">
        <f t="shared" si="90"/>
        <v>0</v>
      </c>
      <c r="S301" s="29">
        <f t="shared" si="82"/>
        <v>0</v>
      </c>
      <c r="T301" s="29">
        <f t="shared" si="91"/>
        <v>0</v>
      </c>
      <c r="U301">
        <f t="shared" si="92"/>
        <v>0</v>
      </c>
      <c r="V301" s="29">
        <f t="shared" si="93"/>
        <v>0</v>
      </c>
      <c r="W301" s="29">
        <f t="shared" si="83"/>
        <v>0</v>
      </c>
      <c r="X301" s="29">
        <f t="shared" si="94"/>
        <v>0</v>
      </c>
      <c r="Y301">
        <f t="shared" si="95"/>
        <v>0</v>
      </c>
    </row>
    <row r="302" spans="1:25" x14ac:dyDescent="0.25">
      <c r="A302" s="4" t="s">
        <v>1230</v>
      </c>
      <c r="B302" s="7" t="s">
        <v>630</v>
      </c>
      <c r="C302" s="2" t="s">
        <v>1231</v>
      </c>
      <c r="D302">
        <f>VLOOKUP(B302,'Model allocations'!$A$1:$L$316,3,FALSE)</f>
        <v>84292.327343551762</v>
      </c>
      <c r="E302" s="31">
        <f>VLOOKUP(B302,'Initial adjusted formula count'!$A$1:$P$316,12,FALSE)</f>
        <v>0.166320166320166</v>
      </c>
      <c r="F302">
        <f>VLOOKUP(B302,'Model allocations'!$A$1:$L$316,8,FALSE)</f>
        <v>75905.246246254668</v>
      </c>
      <c r="G302" s="30">
        <f t="shared" si="84"/>
        <v>0.9</v>
      </c>
      <c r="H302">
        <f t="shared" si="85"/>
        <v>75863.094609196589</v>
      </c>
      <c r="I302">
        <f t="shared" si="77"/>
        <v>0</v>
      </c>
      <c r="J302">
        <f t="shared" si="78"/>
        <v>75905.246246254668</v>
      </c>
      <c r="K302">
        <f t="shared" si="79"/>
        <v>75861.003268122658</v>
      </c>
      <c r="L302">
        <f t="shared" si="86"/>
        <v>75861.003268122658</v>
      </c>
      <c r="M302">
        <f t="shared" si="80"/>
        <v>75863.094609196589</v>
      </c>
      <c r="N302" s="29">
        <f t="shared" si="87"/>
        <v>0</v>
      </c>
      <c r="O302" s="29">
        <f t="shared" si="81"/>
        <v>0</v>
      </c>
      <c r="P302" s="29">
        <f t="shared" si="88"/>
        <v>75863.094609196589</v>
      </c>
      <c r="Q302">
        <f t="shared" si="89"/>
        <v>0</v>
      </c>
      <c r="R302" s="29">
        <f t="shared" si="90"/>
        <v>0</v>
      </c>
      <c r="S302" s="29">
        <f t="shared" si="82"/>
        <v>0</v>
      </c>
      <c r="T302" s="29">
        <f t="shared" si="91"/>
        <v>75863.094609196589</v>
      </c>
      <c r="U302">
        <f t="shared" si="92"/>
        <v>0</v>
      </c>
      <c r="V302" s="29">
        <f t="shared" si="93"/>
        <v>0</v>
      </c>
      <c r="W302" s="29">
        <f t="shared" si="83"/>
        <v>0</v>
      </c>
      <c r="X302" s="29">
        <f t="shared" si="94"/>
        <v>75863.094609196589</v>
      </c>
      <c r="Y302">
        <f t="shared" si="95"/>
        <v>0</v>
      </c>
    </row>
    <row r="303" spans="1:25" x14ac:dyDescent="0.25">
      <c r="A303" s="4" t="s">
        <v>1232</v>
      </c>
      <c r="B303" s="7" t="s">
        <v>255</v>
      </c>
      <c r="C303" s="2" t="s">
        <v>1233</v>
      </c>
      <c r="D303">
        <f>VLOOKUP(B303,'Model allocations'!$A$1:$L$316,3,FALSE)</f>
        <v>172929.62001409073</v>
      </c>
      <c r="E303" s="31">
        <f>VLOOKUP(B303,'Initial adjusted formula count'!$A$1:$P$316,12,FALSE)</f>
        <v>5.1731418918918901E-2</v>
      </c>
      <c r="F303">
        <f>VLOOKUP(B303,'Model allocations'!$A$1:$L$316,8,FALSE)</f>
        <v>215600.50974913524</v>
      </c>
      <c r="G303" s="30">
        <f t="shared" si="84"/>
        <v>0.85</v>
      </c>
      <c r="H303">
        <f t="shared" si="85"/>
        <v>146990.17701197712</v>
      </c>
      <c r="I303">
        <f t="shared" si="77"/>
        <v>0</v>
      </c>
      <c r="J303">
        <f t="shared" si="78"/>
        <v>215600.50974913524</v>
      </c>
      <c r="K303">
        <f t="shared" si="79"/>
        <v>215474.84243218676</v>
      </c>
      <c r="L303">
        <f t="shared" si="86"/>
        <v>215474.84243218676</v>
      </c>
      <c r="M303">
        <f t="shared" si="80"/>
        <v>0</v>
      </c>
      <c r="N303" s="29">
        <f t="shared" si="87"/>
        <v>215474.84243218676</v>
      </c>
      <c r="O303" s="29">
        <f t="shared" si="81"/>
        <v>215468.2123140707</v>
      </c>
      <c r="P303" s="29">
        <f t="shared" si="88"/>
        <v>215468.2123140707</v>
      </c>
      <c r="Q303">
        <f t="shared" si="89"/>
        <v>0</v>
      </c>
      <c r="R303" s="29">
        <f t="shared" si="90"/>
        <v>215468.2123140707</v>
      </c>
      <c r="S303" s="29">
        <f t="shared" si="82"/>
        <v>215468.2123140707</v>
      </c>
      <c r="T303" s="29">
        <f t="shared" si="91"/>
        <v>215468.2123140707</v>
      </c>
      <c r="U303">
        <f t="shared" si="92"/>
        <v>0</v>
      </c>
      <c r="V303" s="29">
        <f t="shared" si="93"/>
        <v>215468.2123140707</v>
      </c>
      <c r="W303" s="29">
        <f t="shared" si="83"/>
        <v>215468.2123140707</v>
      </c>
      <c r="X303" s="29">
        <f t="shared" si="94"/>
        <v>215468.2123140707</v>
      </c>
      <c r="Y303">
        <f t="shared" si="95"/>
        <v>0</v>
      </c>
    </row>
    <row r="304" spans="1:25" x14ac:dyDescent="0.25">
      <c r="A304" s="4" t="s">
        <v>1234</v>
      </c>
      <c r="B304" s="7" t="s">
        <v>306</v>
      </c>
      <c r="C304" s="2" t="s">
        <v>1235</v>
      </c>
      <c r="D304">
        <f>VLOOKUP(B304,'Model allocations'!$A$1:$L$316,3,FALSE)</f>
        <v>131217.95287501361</v>
      </c>
      <c r="E304" s="31">
        <f>VLOOKUP(B304,'Initial adjusted formula count'!$A$1:$P$316,12,FALSE)</f>
        <v>0.113821138211382</v>
      </c>
      <c r="F304">
        <f>VLOOKUP(B304,'Model allocations'!$A$1:$L$316,8,FALSE)</f>
        <v>123200.29128522011</v>
      </c>
      <c r="G304" s="30">
        <f t="shared" si="84"/>
        <v>0.85</v>
      </c>
      <c r="H304">
        <f t="shared" si="85"/>
        <v>111535.25994376157</v>
      </c>
      <c r="I304">
        <f t="shared" si="77"/>
        <v>0</v>
      </c>
      <c r="J304">
        <f t="shared" si="78"/>
        <v>123200.29128522011</v>
      </c>
      <c r="K304">
        <f t="shared" si="79"/>
        <v>123128.48138982097</v>
      </c>
      <c r="L304">
        <f t="shared" si="86"/>
        <v>123128.48138982097</v>
      </c>
      <c r="M304">
        <f t="shared" si="80"/>
        <v>0</v>
      </c>
      <c r="N304" s="29">
        <f t="shared" si="87"/>
        <v>123128.48138982097</v>
      </c>
      <c r="O304" s="29">
        <f t="shared" si="81"/>
        <v>123124.69275089749</v>
      </c>
      <c r="P304" s="29">
        <f t="shared" si="88"/>
        <v>123124.69275089749</v>
      </c>
      <c r="Q304">
        <f t="shared" si="89"/>
        <v>0</v>
      </c>
      <c r="R304" s="29">
        <f t="shared" si="90"/>
        <v>123124.69275089749</v>
      </c>
      <c r="S304" s="29">
        <f t="shared" si="82"/>
        <v>123124.69275089749</v>
      </c>
      <c r="T304" s="29">
        <f t="shared" si="91"/>
        <v>123124.69275089749</v>
      </c>
      <c r="U304">
        <f t="shared" si="92"/>
        <v>0</v>
      </c>
      <c r="V304" s="29">
        <f t="shared" si="93"/>
        <v>123124.69275089749</v>
      </c>
      <c r="W304" s="29">
        <f t="shared" si="83"/>
        <v>123124.69275089749</v>
      </c>
      <c r="X304" s="29">
        <f t="shared" si="94"/>
        <v>123124.69275089749</v>
      </c>
      <c r="Y304">
        <f t="shared" si="95"/>
        <v>0</v>
      </c>
    </row>
    <row r="305" spans="1:25" x14ac:dyDescent="0.25">
      <c r="A305" s="4" t="s">
        <v>1237</v>
      </c>
      <c r="B305" s="7" t="s">
        <v>257</v>
      </c>
      <c r="C305" s="2" t="s">
        <v>1238</v>
      </c>
      <c r="D305">
        <f>VLOOKUP(B305,'Model allocations'!$A$1:$L$316,3,FALSE)</f>
        <v>25200.798896525794</v>
      </c>
      <c r="E305" s="31">
        <f>VLOOKUP(B305,'Initial adjusted formula count'!$A$1:$P$316,12,FALSE)</f>
        <v>0.172566371681416</v>
      </c>
      <c r="F305">
        <f>VLOOKUP(B305,'Model allocations'!$A$1:$L$316,8,FALSE)</f>
        <v>34320.081143739888</v>
      </c>
      <c r="G305" s="30">
        <f t="shared" si="84"/>
        <v>0.9</v>
      </c>
      <c r="H305">
        <f t="shared" si="85"/>
        <v>22680.719006873216</v>
      </c>
      <c r="I305">
        <f t="shared" si="77"/>
        <v>0</v>
      </c>
      <c r="J305">
        <f t="shared" si="78"/>
        <v>34320.081143739888</v>
      </c>
      <c r="K305">
        <f t="shared" si="79"/>
        <v>34300.076958592988</v>
      </c>
      <c r="L305">
        <f t="shared" si="86"/>
        <v>34300.076958592988</v>
      </c>
      <c r="M305">
        <f t="shared" si="80"/>
        <v>0</v>
      </c>
      <c r="N305" s="29">
        <f t="shared" si="87"/>
        <v>34300.076958592988</v>
      </c>
      <c r="O305" s="29">
        <f t="shared" si="81"/>
        <v>34299.021552035738</v>
      </c>
      <c r="P305" s="29">
        <f t="shared" si="88"/>
        <v>34299.021552035738</v>
      </c>
      <c r="Q305">
        <f t="shared" si="89"/>
        <v>0</v>
      </c>
      <c r="R305" s="29">
        <f t="shared" si="90"/>
        <v>34299.021552035738</v>
      </c>
      <c r="S305" s="29">
        <f t="shared" si="82"/>
        <v>34299.021552035738</v>
      </c>
      <c r="T305" s="29">
        <f t="shared" si="91"/>
        <v>34299.021552035738</v>
      </c>
      <c r="U305">
        <f t="shared" si="92"/>
        <v>0</v>
      </c>
      <c r="V305" s="29">
        <f t="shared" si="93"/>
        <v>34299.021552035738</v>
      </c>
      <c r="W305" s="29">
        <f t="shared" si="83"/>
        <v>34299.021552035738</v>
      </c>
      <c r="X305" s="29">
        <f t="shared" si="94"/>
        <v>34299.021552035738</v>
      </c>
      <c r="Y305">
        <f t="shared" si="95"/>
        <v>0</v>
      </c>
    </row>
    <row r="306" spans="1:25" x14ac:dyDescent="0.25">
      <c r="A306" s="4" t="s">
        <v>1239</v>
      </c>
      <c r="B306" s="7" t="s">
        <v>632</v>
      </c>
      <c r="C306" s="2" t="s">
        <v>1240</v>
      </c>
      <c r="D306">
        <f>VLOOKUP(B306,'Model allocations'!$A$1:$L$316,3,FALSE)</f>
        <v>37011.539395834203</v>
      </c>
      <c r="E306" s="31">
        <f>VLOOKUP(B306,'Initial adjusted formula count'!$A$1:$P$316,12,FALSE)</f>
        <v>0.124590163934426</v>
      </c>
      <c r="F306">
        <f>VLOOKUP(B306,'Model allocations'!$A$1:$L$316,8,FALSE)</f>
        <v>33440.079063131161</v>
      </c>
      <c r="G306" s="30">
        <f t="shared" si="84"/>
        <v>0.85</v>
      </c>
      <c r="H306">
        <f t="shared" si="85"/>
        <v>31459.808486459071</v>
      </c>
      <c r="I306">
        <f t="shared" si="77"/>
        <v>0</v>
      </c>
      <c r="J306">
        <f t="shared" si="78"/>
        <v>33440.079063131161</v>
      </c>
      <c r="K306">
        <f t="shared" si="79"/>
        <v>33420.587805808536</v>
      </c>
      <c r="L306">
        <f t="shared" si="86"/>
        <v>33420.587805808536</v>
      </c>
      <c r="M306">
        <f t="shared" si="80"/>
        <v>0</v>
      </c>
      <c r="N306" s="29">
        <f t="shared" si="87"/>
        <v>33420.587805808536</v>
      </c>
      <c r="O306" s="29">
        <f t="shared" si="81"/>
        <v>33419.559460957877</v>
      </c>
      <c r="P306" s="29">
        <f t="shared" si="88"/>
        <v>33419.559460957877</v>
      </c>
      <c r="Q306">
        <f t="shared" si="89"/>
        <v>0</v>
      </c>
      <c r="R306" s="29">
        <f t="shared" si="90"/>
        <v>33419.559460957877</v>
      </c>
      <c r="S306" s="29">
        <f t="shared" si="82"/>
        <v>33419.559460957877</v>
      </c>
      <c r="T306" s="29">
        <f t="shared" si="91"/>
        <v>33419.559460957877</v>
      </c>
      <c r="U306">
        <f t="shared" si="92"/>
        <v>0</v>
      </c>
      <c r="V306" s="29">
        <f t="shared" si="93"/>
        <v>33419.559460957877</v>
      </c>
      <c r="W306" s="29">
        <f t="shared" si="83"/>
        <v>33419.559460957877</v>
      </c>
      <c r="X306" s="29">
        <f t="shared" si="94"/>
        <v>33419.559460957877</v>
      </c>
      <c r="Y306">
        <f t="shared" si="95"/>
        <v>0</v>
      </c>
    </row>
    <row r="307" spans="1:25" x14ac:dyDescent="0.25">
      <c r="A307" s="4" t="s">
        <v>1241</v>
      </c>
      <c r="B307" s="7" t="s">
        <v>634</v>
      </c>
      <c r="C307" s="2" t="s">
        <v>1242</v>
      </c>
      <c r="D307">
        <f>VLOOKUP(B307,'Model allocations'!$A$1:$L$316,3,FALSE)</f>
        <v>13903.889046359061</v>
      </c>
      <c r="E307" s="31">
        <f>VLOOKUP(B307,'Initial adjusted formula count'!$A$1:$P$316,12,FALSE)</f>
        <v>0.22522522522522501</v>
      </c>
      <c r="F307">
        <f>VLOOKUP(B307,'Model allocations'!$A$1:$L$316,8,FALSE)</f>
        <v>22000.052015217883</v>
      </c>
      <c r="G307" s="30">
        <f t="shared" si="84"/>
        <v>0.9</v>
      </c>
      <c r="H307">
        <f t="shared" si="85"/>
        <v>12513.500141723156</v>
      </c>
      <c r="I307">
        <f t="shared" si="77"/>
        <v>0</v>
      </c>
      <c r="J307">
        <f t="shared" si="78"/>
        <v>22000.052015217883</v>
      </c>
      <c r="K307">
        <f t="shared" si="79"/>
        <v>21987.228819610897</v>
      </c>
      <c r="L307">
        <f t="shared" si="86"/>
        <v>21987.228819610897</v>
      </c>
      <c r="M307">
        <f t="shared" si="80"/>
        <v>0</v>
      </c>
      <c r="N307" s="29">
        <f t="shared" si="87"/>
        <v>21987.228819610897</v>
      </c>
      <c r="O307" s="29">
        <f t="shared" si="81"/>
        <v>21986.552276945989</v>
      </c>
      <c r="P307" s="29">
        <f t="shared" si="88"/>
        <v>21986.552276945989</v>
      </c>
      <c r="Q307">
        <f t="shared" si="89"/>
        <v>0</v>
      </c>
      <c r="R307" s="29">
        <f t="shared" si="90"/>
        <v>21986.552276945989</v>
      </c>
      <c r="S307" s="29">
        <f t="shared" si="82"/>
        <v>21986.552276945989</v>
      </c>
      <c r="T307" s="29">
        <f t="shared" si="91"/>
        <v>21986.552276945989</v>
      </c>
      <c r="U307">
        <f t="shared" si="92"/>
        <v>0</v>
      </c>
      <c r="V307" s="29">
        <f t="shared" si="93"/>
        <v>21986.552276945989</v>
      </c>
      <c r="W307" s="29">
        <f t="shared" si="83"/>
        <v>21986.552276945989</v>
      </c>
      <c r="X307" s="29">
        <f t="shared" si="94"/>
        <v>21986.552276945989</v>
      </c>
      <c r="Y307">
        <f t="shared" si="95"/>
        <v>0</v>
      </c>
    </row>
    <row r="308" spans="1:25" x14ac:dyDescent="0.25">
      <c r="A308" s="4" t="s">
        <v>1243</v>
      </c>
      <c r="B308" s="7" t="s">
        <v>636</v>
      </c>
      <c r="C308" s="2" t="s">
        <v>1244</v>
      </c>
      <c r="D308">
        <f>VLOOKUP(B308,'Model allocations'!$A$1:$L$316,3,FALSE)</f>
        <v>86899.306539744139</v>
      </c>
      <c r="E308" s="31">
        <f>VLOOKUP(B308,'Initial adjusted formula count'!$A$1:$P$316,12,FALSE)</f>
        <v>0.102040816326531</v>
      </c>
      <c r="F308">
        <f>VLOOKUP(B308,'Model allocations'!$A$1:$L$316,8,FALSE)</f>
        <v>74800.176851740805</v>
      </c>
      <c r="G308" s="30">
        <f t="shared" si="84"/>
        <v>0.85</v>
      </c>
      <c r="H308">
        <f t="shared" si="85"/>
        <v>73864.410558782518</v>
      </c>
      <c r="I308">
        <f t="shared" si="77"/>
        <v>0</v>
      </c>
      <c r="J308">
        <f t="shared" si="78"/>
        <v>74800.176851740805</v>
      </c>
      <c r="K308">
        <f t="shared" si="79"/>
        <v>74756.577986677046</v>
      </c>
      <c r="L308">
        <f t="shared" si="86"/>
        <v>74756.577986677046</v>
      </c>
      <c r="M308">
        <f t="shared" si="80"/>
        <v>0</v>
      </c>
      <c r="N308" s="29">
        <f t="shared" si="87"/>
        <v>74756.577986677046</v>
      </c>
      <c r="O308" s="29">
        <f t="shared" si="81"/>
        <v>74754.277741616359</v>
      </c>
      <c r="P308" s="29">
        <f t="shared" si="88"/>
        <v>74754.277741616359</v>
      </c>
      <c r="Q308">
        <f t="shared" si="89"/>
        <v>0</v>
      </c>
      <c r="R308" s="29">
        <f t="shared" si="90"/>
        <v>74754.277741616359</v>
      </c>
      <c r="S308" s="29">
        <f t="shared" si="82"/>
        <v>74754.277741616359</v>
      </c>
      <c r="T308" s="29">
        <f t="shared" si="91"/>
        <v>74754.277741616359</v>
      </c>
      <c r="U308">
        <f t="shared" si="92"/>
        <v>0</v>
      </c>
      <c r="V308" s="29">
        <f t="shared" si="93"/>
        <v>74754.277741616359</v>
      </c>
      <c r="W308" s="29">
        <f t="shared" si="83"/>
        <v>74754.277741616359</v>
      </c>
      <c r="X308" s="29">
        <f t="shared" si="94"/>
        <v>74754.277741616359</v>
      </c>
      <c r="Y308">
        <f t="shared" si="95"/>
        <v>0</v>
      </c>
    </row>
    <row r="309" spans="1:25" x14ac:dyDescent="0.25">
      <c r="A309" s="4" t="s">
        <v>1245</v>
      </c>
      <c r="B309" s="7" t="s">
        <v>638</v>
      </c>
      <c r="C309" s="2" t="s">
        <v>1246</v>
      </c>
      <c r="D309">
        <f>VLOOKUP(B309,'Model allocations'!$A$1:$L$316,3,FALSE)</f>
        <v>24331.805831128342</v>
      </c>
      <c r="E309" s="31">
        <f>VLOOKUP(B309,'Initial adjusted formula count'!$A$1:$P$316,12,FALSE)</f>
        <v>0.15862068965517201</v>
      </c>
      <c r="F309">
        <f>VLOOKUP(B309,'Model allocations'!$A$1:$L$316,8,FALSE)</f>
        <v>21910.792730877627</v>
      </c>
      <c r="G309" s="30">
        <f t="shared" si="84"/>
        <v>0.9</v>
      </c>
      <c r="H309">
        <f t="shared" si="85"/>
        <v>21898.625248015509</v>
      </c>
      <c r="I309">
        <f t="shared" si="77"/>
        <v>0</v>
      </c>
      <c r="J309">
        <f t="shared" si="78"/>
        <v>21910.792730877627</v>
      </c>
      <c r="K309">
        <f t="shared" si="79"/>
        <v>21898.021561932306</v>
      </c>
      <c r="L309">
        <f t="shared" si="86"/>
        <v>21898.021561932306</v>
      </c>
      <c r="M309">
        <f t="shared" si="80"/>
        <v>21898.625248015509</v>
      </c>
      <c r="N309" s="29">
        <f t="shared" si="87"/>
        <v>0</v>
      </c>
      <c r="O309" s="29">
        <f t="shared" si="81"/>
        <v>0</v>
      </c>
      <c r="P309" s="29">
        <f t="shared" si="88"/>
        <v>21898.625248015509</v>
      </c>
      <c r="Q309">
        <f t="shared" si="89"/>
        <v>0</v>
      </c>
      <c r="R309" s="29">
        <f t="shared" si="90"/>
        <v>0</v>
      </c>
      <c r="S309" s="29">
        <f t="shared" si="82"/>
        <v>0</v>
      </c>
      <c r="T309" s="29">
        <f t="shared" si="91"/>
        <v>21898.625248015509</v>
      </c>
      <c r="U309">
        <f t="shared" si="92"/>
        <v>0</v>
      </c>
      <c r="V309" s="29">
        <f t="shared" si="93"/>
        <v>0</v>
      </c>
      <c r="W309" s="29">
        <f t="shared" si="83"/>
        <v>0</v>
      </c>
      <c r="X309" s="29">
        <f t="shared" si="94"/>
        <v>21898.625248015509</v>
      </c>
      <c r="Y309">
        <f t="shared" si="95"/>
        <v>0</v>
      </c>
    </row>
    <row r="310" spans="1:25" x14ac:dyDescent="0.25">
      <c r="A310" s="4" t="s">
        <v>1247</v>
      </c>
      <c r="B310" s="7" t="s">
        <v>640</v>
      </c>
      <c r="C310" s="2" t="s">
        <v>1248</v>
      </c>
      <c r="D310">
        <f>VLOOKUP(B310,'Model allocations'!$A$1:$L$316,3,FALSE)</f>
        <v>26938.785027320668</v>
      </c>
      <c r="E310" s="31">
        <f>VLOOKUP(B310,'Initial adjusted formula count'!$A$1:$P$316,12,FALSE)</f>
        <v>0.47727272727272702</v>
      </c>
      <c r="F310">
        <f>VLOOKUP(B310,'Model allocations'!$A$1:$L$316,8,FALSE)</f>
        <v>25606.065314458188</v>
      </c>
      <c r="G310" s="30">
        <f t="shared" si="84"/>
        <v>0.95</v>
      </c>
      <c r="H310">
        <f t="shared" si="85"/>
        <v>25591.845775954633</v>
      </c>
      <c r="I310">
        <f t="shared" si="77"/>
        <v>0</v>
      </c>
      <c r="J310">
        <f t="shared" si="78"/>
        <v>25606.065314458188</v>
      </c>
      <c r="K310">
        <f t="shared" si="79"/>
        <v>25591.140277734386</v>
      </c>
      <c r="L310">
        <f t="shared" si="86"/>
        <v>25591.140277734386</v>
      </c>
      <c r="M310">
        <f t="shared" si="80"/>
        <v>25591.845775954633</v>
      </c>
      <c r="N310" s="29">
        <f t="shared" si="87"/>
        <v>0</v>
      </c>
      <c r="O310" s="29">
        <f t="shared" si="81"/>
        <v>0</v>
      </c>
      <c r="P310" s="29">
        <f t="shared" si="88"/>
        <v>25591.845775954633</v>
      </c>
      <c r="Q310">
        <f t="shared" si="89"/>
        <v>0</v>
      </c>
      <c r="R310" s="29">
        <f t="shared" si="90"/>
        <v>0</v>
      </c>
      <c r="S310" s="29">
        <f t="shared" si="82"/>
        <v>0</v>
      </c>
      <c r="T310" s="29">
        <f t="shared" si="91"/>
        <v>25591.845775954633</v>
      </c>
      <c r="U310">
        <f t="shared" si="92"/>
        <v>0</v>
      </c>
      <c r="V310" s="29">
        <f t="shared" si="93"/>
        <v>0</v>
      </c>
      <c r="W310" s="29">
        <f t="shared" si="83"/>
        <v>0</v>
      </c>
      <c r="X310" s="29">
        <f t="shared" si="94"/>
        <v>25591.845775954633</v>
      </c>
      <c r="Y310">
        <f t="shared" si="95"/>
        <v>0</v>
      </c>
    </row>
    <row r="311" spans="1:25" x14ac:dyDescent="0.25">
      <c r="A311" s="4" t="s">
        <v>1249</v>
      </c>
      <c r="B311" s="7" t="s">
        <v>642</v>
      </c>
      <c r="C311" s="2" t="s">
        <v>1250</v>
      </c>
      <c r="D311">
        <f>VLOOKUP(B311,'Model allocations'!$A$1:$L$316,3,FALSE)</f>
        <v>232021.14846111674</v>
      </c>
      <c r="E311" s="31">
        <f>VLOOKUP(B311,'Initial adjusted formula count'!$A$1:$P$316,12,FALSE)</f>
        <v>8.0506895266492698E-2</v>
      </c>
      <c r="F311">
        <f>VLOOKUP(B311,'Model allocations'!$A$1:$L$316,8,FALSE)</f>
        <v>197327.55596320151</v>
      </c>
      <c r="G311" s="30">
        <f t="shared" si="84"/>
        <v>0.85</v>
      </c>
      <c r="H311">
        <f t="shared" si="85"/>
        <v>197217.97619194922</v>
      </c>
      <c r="I311">
        <f t="shared" si="77"/>
        <v>0</v>
      </c>
      <c r="J311">
        <f t="shared" si="78"/>
        <v>197327.55596320151</v>
      </c>
      <c r="K311">
        <f t="shared" si="79"/>
        <v>197212.53942383084</v>
      </c>
      <c r="L311">
        <f t="shared" si="86"/>
        <v>197212.53942383084</v>
      </c>
      <c r="M311">
        <f t="shared" si="80"/>
        <v>197217.97619194922</v>
      </c>
      <c r="N311" s="29">
        <f t="shared" si="87"/>
        <v>0</v>
      </c>
      <c r="O311" s="29">
        <f t="shared" si="81"/>
        <v>0</v>
      </c>
      <c r="P311" s="29">
        <f t="shared" si="88"/>
        <v>197217.97619194922</v>
      </c>
      <c r="Q311">
        <f t="shared" si="89"/>
        <v>0</v>
      </c>
      <c r="R311" s="29">
        <f t="shared" si="90"/>
        <v>0</v>
      </c>
      <c r="S311" s="29">
        <f t="shared" si="82"/>
        <v>0</v>
      </c>
      <c r="T311" s="29">
        <f t="shared" si="91"/>
        <v>197217.97619194922</v>
      </c>
      <c r="U311">
        <f t="shared" si="92"/>
        <v>0</v>
      </c>
      <c r="V311" s="29">
        <f t="shared" si="93"/>
        <v>0</v>
      </c>
      <c r="W311" s="29">
        <f t="shared" si="83"/>
        <v>0</v>
      </c>
      <c r="X311" s="29">
        <f t="shared" si="94"/>
        <v>197217.97619194922</v>
      </c>
      <c r="Y311">
        <f t="shared" si="95"/>
        <v>0</v>
      </c>
    </row>
    <row r="312" spans="1:25" x14ac:dyDescent="0.25">
      <c r="A312" s="4" t="s">
        <v>1251</v>
      </c>
      <c r="B312" s="7" t="s">
        <v>644</v>
      </c>
      <c r="C312" s="2" t="s">
        <v>1252</v>
      </c>
      <c r="D312">
        <f>VLOOKUP(B312,'Model allocations'!$A$1:$L$316,3,FALSE)</f>
        <v>3867888.1340840105</v>
      </c>
      <c r="E312" s="31">
        <f>VLOOKUP(B312,'Initial adjusted formula count'!$A$1:$P$316,12,FALSE)</f>
        <v>0.28777635665996698</v>
      </c>
      <c r="F312">
        <f>VLOOKUP(B312,'Model allocations'!$A$1:$L$316,8,FALSE)</f>
        <v>4158009.8308761795</v>
      </c>
      <c r="G312" s="30">
        <f t="shared" si="84"/>
        <v>0.9</v>
      </c>
      <c r="H312">
        <f t="shared" si="85"/>
        <v>3481099.3206756096</v>
      </c>
      <c r="I312">
        <f t="shared" si="77"/>
        <v>0</v>
      </c>
      <c r="J312">
        <f t="shared" si="78"/>
        <v>4158009.8308761795</v>
      </c>
      <c r="K312">
        <f t="shared" si="79"/>
        <v>4155586.2469064584</v>
      </c>
      <c r="L312">
        <f t="shared" si="86"/>
        <v>4155586.2469064584</v>
      </c>
      <c r="M312">
        <f t="shared" si="80"/>
        <v>0</v>
      </c>
      <c r="N312" s="29">
        <f t="shared" si="87"/>
        <v>4155586.2469064584</v>
      </c>
      <c r="O312" s="29">
        <f t="shared" si="81"/>
        <v>4155458.3803427913</v>
      </c>
      <c r="P312" s="29">
        <f t="shared" si="88"/>
        <v>4155458.3803427913</v>
      </c>
      <c r="Q312">
        <f t="shared" si="89"/>
        <v>0</v>
      </c>
      <c r="R312" s="29">
        <f t="shared" si="90"/>
        <v>4155458.3803427913</v>
      </c>
      <c r="S312" s="29">
        <f t="shared" si="82"/>
        <v>4155458.3803427913</v>
      </c>
      <c r="T312" s="29">
        <f t="shared" si="91"/>
        <v>4155458.3803427913</v>
      </c>
      <c r="U312">
        <f t="shared" si="92"/>
        <v>0</v>
      </c>
      <c r="V312" s="29">
        <f t="shared" si="93"/>
        <v>4155458.3803427913</v>
      </c>
      <c r="W312" s="29">
        <f t="shared" si="83"/>
        <v>4155458.3803427913</v>
      </c>
      <c r="X312" s="29">
        <f t="shared" si="94"/>
        <v>4155458.3803427913</v>
      </c>
      <c r="Y312">
        <f t="shared" si="95"/>
        <v>0</v>
      </c>
    </row>
    <row r="313" spans="1:25" x14ac:dyDescent="0.25">
      <c r="A313" s="4" t="s">
        <v>1253</v>
      </c>
      <c r="B313" s="7" t="s">
        <v>646</v>
      </c>
      <c r="C313" s="2" t="s">
        <v>1254</v>
      </c>
      <c r="D313">
        <f>VLOOKUP(B313,'Model allocations'!$A$1:$L$316,3,FALSE)</f>
        <v>468387.26224922074</v>
      </c>
      <c r="E313" s="31">
        <f>VLOOKUP(B313,'Initial adjusted formula count'!$A$1:$P$316,12,FALSE)</f>
        <v>8.4590763603109298E-2</v>
      </c>
      <c r="F313">
        <f>VLOOKUP(B313,'Model allocations'!$A$1:$L$316,8,FALSE)</f>
        <v>488401.15473783686</v>
      </c>
      <c r="G313" s="30">
        <f t="shared" si="84"/>
        <v>0.85</v>
      </c>
      <c r="H313">
        <f t="shared" si="85"/>
        <v>398129.17291183764</v>
      </c>
      <c r="I313">
        <f t="shared" si="77"/>
        <v>0</v>
      </c>
      <c r="J313">
        <f t="shared" si="78"/>
        <v>488401.15473783686</v>
      </c>
      <c r="K313">
        <f t="shared" si="79"/>
        <v>488116.47979536169</v>
      </c>
      <c r="L313">
        <f t="shared" si="86"/>
        <v>488116.47979536169</v>
      </c>
      <c r="M313">
        <f t="shared" si="80"/>
        <v>0</v>
      </c>
      <c r="N313" s="29">
        <f t="shared" si="87"/>
        <v>488116.47979536169</v>
      </c>
      <c r="O313" s="29">
        <f t="shared" si="81"/>
        <v>488101.46054820076</v>
      </c>
      <c r="P313" s="29">
        <f t="shared" si="88"/>
        <v>488101.46054820076</v>
      </c>
      <c r="Q313">
        <f t="shared" si="89"/>
        <v>0</v>
      </c>
      <c r="R313" s="29">
        <f t="shared" si="90"/>
        <v>488101.46054820076</v>
      </c>
      <c r="S313" s="29">
        <f t="shared" si="82"/>
        <v>488101.46054820076</v>
      </c>
      <c r="T313" s="29">
        <f t="shared" si="91"/>
        <v>488101.46054820076</v>
      </c>
      <c r="U313">
        <f t="shared" si="92"/>
        <v>0</v>
      </c>
      <c r="V313" s="29">
        <f t="shared" si="93"/>
        <v>488101.46054820076</v>
      </c>
      <c r="W313" s="29">
        <f t="shared" si="83"/>
        <v>488101.46054820076</v>
      </c>
      <c r="X313" s="29">
        <f t="shared" si="94"/>
        <v>488101.46054820076</v>
      </c>
      <c r="Y313">
        <f t="shared" si="95"/>
        <v>0</v>
      </c>
    </row>
    <row r="314" spans="1:25" x14ac:dyDescent="0.25">
      <c r="A314" s="4" t="s">
        <v>1255</v>
      </c>
      <c r="B314" s="7" t="s">
        <v>648</v>
      </c>
      <c r="C314" s="2" t="s">
        <v>1256</v>
      </c>
      <c r="D314">
        <f>VLOOKUP(B314,'Model allocations'!$A$1:$L$316,3,FALSE)</f>
        <v>139038.89046359059</v>
      </c>
      <c r="E314" s="31">
        <f>VLOOKUP(B314,'Initial adjusted formula count'!$A$1:$P$316,12,FALSE)</f>
        <v>0.112876254180602</v>
      </c>
      <c r="F314">
        <f>VLOOKUP(B314,'Model allocations'!$A$1:$L$316,8,FALSE)</f>
        <v>118800.28088217655</v>
      </c>
      <c r="G314" s="30">
        <f t="shared" si="84"/>
        <v>0.85</v>
      </c>
      <c r="H314">
        <f t="shared" si="85"/>
        <v>118183.056894052</v>
      </c>
      <c r="I314">
        <f t="shared" si="77"/>
        <v>0</v>
      </c>
      <c r="J314">
        <f t="shared" si="78"/>
        <v>118800.28088217655</v>
      </c>
      <c r="K314">
        <f t="shared" si="79"/>
        <v>118731.03562589882</v>
      </c>
      <c r="L314">
        <f t="shared" si="86"/>
        <v>118731.03562589882</v>
      </c>
      <c r="M314">
        <f t="shared" si="80"/>
        <v>0</v>
      </c>
      <c r="N314" s="29">
        <f t="shared" si="87"/>
        <v>118731.03562589882</v>
      </c>
      <c r="O314" s="29">
        <f t="shared" si="81"/>
        <v>118727.38229550832</v>
      </c>
      <c r="P314" s="29">
        <f t="shared" si="88"/>
        <v>118727.38229550832</v>
      </c>
      <c r="Q314">
        <f t="shared" si="89"/>
        <v>0</v>
      </c>
      <c r="R314" s="29">
        <f t="shared" si="90"/>
        <v>118727.38229550832</v>
      </c>
      <c r="S314" s="29">
        <f t="shared" si="82"/>
        <v>118727.38229550832</v>
      </c>
      <c r="T314" s="29">
        <f t="shared" si="91"/>
        <v>118727.38229550832</v>
      </c>
      <c r="U314">
        <f t="shared" si="92"/>
        <v>0</v>
      </c>
      <c r="V314" s="29">
        <f t="shared" si="93"/>
        <v>118727.38229550832</v>
      </c>
      <c r="W314" s="29">
        <f t="shared" si="83"/>
        <v>118727.38229550832</v>
      </c>
      <c r="X314" s="29">
        <f t="shared" si="94"/>
        <v>118727.38229550832</v>
      </c>
      <c r="Y314">
        <f t="shared" si="95"/>
        <v>0</v>
      </c>
    </row>
    <row r="315" spans="1:25" x14ac:dyDescent="0.25">
      <c r="A315" s="1"/>
      <c r="B315" s="7" t="s">
        <v>650</v>
      </c>
      <c r="C315" s="2" t="s">
        <v>651</v>
      </c>
      <c r="D315">
        <f>VLOOKUP(B315,'Model allocations'!$A$1:$L$316,3,FALSE)</f>
        <v>823555.38067352574</v>
      </c>
      <c r="E315" s="31">
        <f>VLOOKUP(B315,'Initial adjusted formula count'!$A$1:$P$316,12,FALSE)</f>
        <v>1</v>
      </c>
      <c r="F315">
        <f>VLOOKUP(B315,'Model allocations'!$A$1:$L$316,8,FALSE)</f>
        <v>782377.61163984938</v>
      </c>
      <c r="G315" s="30">
        <f t="shared" si="84"/>
        <v>0.95</v>
      </c>
      <c r="H315">
        <f t="shared" si="85"/>
        <v>782377.61163984938</v>
      </c>
      <c r="I315">
        <f t="shared" si="77"/>
        <v>0</v>
      </c>
      <c r="J315">
        <f t="shared" si="78"/>
        <v>782377.61163984938</v>
      </c>
      <c r="K315">
        <f t="shared" si="79"/>
        <v>781921.58630201628</v>
      </c>
      <c r="L315">
        <f t="shared" si="86"/>
        <v>781921.58630201628</v>
      </c>
      <c r="M315">
        <f t="shared" si="80"/>
        <v>782377.61163984938</v>
      </c>
      <c r="N315" s="29">
        <f t="shared" si="87"/>
        <v>0</v>
      </c>
      <c r="O315" s="29">
        <f t="shared" si="81"/>
        <v>0</v>
      </c>
      <c r="P315" s="29">
        <f t="shared" si="88"/>
        <v>782377.61163984938</v>
      </c>
      <c r="Q315">
        <f t="shared" si="89"/>
        <v>0</v>
      </c>
      <c r="R315" s="29">
        <f t="shared" si="90"/>
        <v>0</v>
      </c>
      <c r="S315" s="29">
        <f t="shared" si="82"/>
        <v>0</v>
      </c>
      <c r="T315" s="29">
        <f t="shared" si="91"/>
        <v>782377.61163984938</v>
      </c>
      <c r="U315">
        <f t="shared" si="92"/>
        <v>0</v>
      </c>
      <c r="V315" s="29">
        <f t="shared" si="93"/>
        <v>0</v>
      </c>
      <c r="W315" s="29">
        <f t="shared" si="83"/>
        <v>0</v>
      </c>
      <c r="X315" s="29">
        <f t="shared" si="94"/>
        <v>782377.61163984938</v>
      </c>
      <c r="Y315">
        <f t="shared" si="95"/>
        <v>0</v>
      </c>
    </row>
    <row r="316" spans="1:25" x14ac:dyDescent="0.25">
      <c r="A316" t="s">
        <v>1425</v>
      </c>
      <c r="B316" t="s">
        <v>1418</v>
      </c>
      <c r="C316" t="s">
        <v>1419</v>
      </c>
      <c r="D316">
        <f>VLOOKUP(B316,'Model allocations'!$A$1:$L$316,3,FALSE)</f>
        <v>63810.010122208274</v>
      </c>
      <c r="E316" s="31">
        <f>VLOOKUP(B316,'Initial adjusted formula count'!$A$1:$P$316,12,FALSE)</f>
        <v>0.16428460450292401</v>
      </c>
      <c r="F316">
        <f>VLOOKUP(B316,'Model allocations'!$A$1:$L$316,8,FALSE)</f>
        <v>64974.97807618761</v>
      </c>
      <c r="G316" s="30">
        <f t="shared" ref="G316:G317" si="96">IF(E316&lt;0.15,0.85,IF(AND(E316&gt;=0.15,E316&lt;0.3),0.9,0.95))</f>
        <v>0.9</v>
      </c>
      <c r="H316">
        <f t="shared" ref="H316:H317" si="97">IF(F316 = 0, 0, D316*G316)</f>
        <v>57429.009109987448</v>
      </c>
      <c r="I316">
        <f t="shared" ref="I316:I317" si="98">IF(F316&lt;H316,H316,0)</f>
        <v>0</v>
      </c>
      <c r="J316">
        <f t="shared" ref="J316:J317" si="99">IF(I316=0,F316,0)</f>
        <v>64974.97807618761</v>
      </c>
      <c r="K316">
        <f t="shared" ref="K316:K317" si="100">(J316/$J$3)*($F$3-$I$3)</f>
        <v>64937.106036028141</v>
      </c>
      <c r="L316">
        <f t="shared" ref="L316:L317" si="101">I316+K316</f>
        <v>64937.106036028141</v>
      </c>
      <c r="M316">
        <f t="shared" ref="M316:M317" si="102">IF(L316&lt;H316,H316,0)</f>
        <v>0</v>
      </c>
      <c r="N316" s="29">
        <f t="shared" ref="N316:N317" si="103">IF($I316+$M316=0,L316,0)</f>
        <v>64937.106036028141</v>
      </c>
      <c r="O316" s="29">
        <f t="shared" ref="O316:O317" si="104">((N316/$N$3)*($F$3-$I$3-$M$3))</f>
        <v>64935.107934169588</v>
      </c>
      <c r="P316" s="29">
        <f t="shared" ref="P316:P317" si="105">$I316+$M316+O316</f>
        <v>64935.107934169588</v>
      </c>
      <c r="Q316">
        <f t="shared" ref="Q316:Q317" si="106">IF(P316&lt;H316,H316,0)</f>
        <v>0</v>
      </c>
      <c r="R316" s="29">
        <f t="shared" ref="R316:R317" si="107">IF($I316+$M316+$Q316=0,P316,0)</f>
        <v>64935.107934169588</v>
      </c>
      <c r="S316" s="29">
        <f t="shared" ref="S316:S317" si="108">((R316/$R$3)*($F$3-$I$3-$M$3-$Q$3))</f>
        <v>64935.107934169588</v>
      </c>
      <c r="T316" s="29">
        <f t="shared" ref="T316:T317" si="109">$I316+$M316+$Q316+S316</f>
        <v>64935.107934169588</v>
      </c>
      <c r="U316">
        <f t="shared" ref="U316:U317" si="110">IF(T316&lt;H316,H316,0)</f>
        <v>0</v>
      </c>
      <c r="V316" s="29">
        <f t="shared" ref="V316:V317" si="111">IF($I316+$M316+$Q316+U316=0,T316,0)</f>
        <v>64935.107934169588</v>
      </c>
      <c r="W316" s="29">
        <f t="shared" ref="W316:W317" si="112">((V316/$V$3)*($F$3-$I$3-$M$3-$Q$3-$U$3))</f>
        <v>64935.107934169588</v>
      </c>
      <c r="X316" s="29">
        <f t="shared" ref="X316:X317" si="113">$I316+$M316+$Q316+$U316+W316</f>
        <v>64935.107934169588</v>
      </c>
      <c r="Y316">
        <f t="shared" ref="Y316:Y317" si="114">IF(X316&lt;H316,H316,0)</f>
        <v>0</v>
      </c>
    </row>
    <row r="317" spans="1:25" x14ac:dyDescent="0.25">
      <c r="A317" t="s">
        <v>1426</v>
      </c>
      <c r="B317" t="s">
        <v>1420</v>
      </c>
      <c r="C317" t="s">
        <v>1421</v>
      </c>
      <c r="D317">
        <f>VLOOKUP(B317,'Model allocations'!$A$1:$L$316,3,FALSE)</f>
        <v>0</v>
      </c>
      <c r="E317" s="31">
        <f>VLOOKUP(B317,'Initial adjusted formula count'!$A$1:$P$316,12,FALSE)</f>
        <v>0.10607705301687299</v>
      </c>
      <c r="F317">
        <f>VLOOKUP(B317,'Model allocations'!$A$1:$L$316,8,FALSE)</f>
        <v>11149.360407220123</v>
      </c>
      <c r="G317" s="30">
        <f t="shared" si="96"/>
        <v>0.85</v>
      </c>
      <c r="H317">
        <f t="shared" si="97"/>
        <v>0</v>
      </c>
      <c r="I317">
        <f t="shared" si="98"/>
        <v>0</v>
      </c>
      <c r="J317">
        <f t="shared" si="99"/>
        <v>11149.360407220123</v>
      </c>
      <c r="K317">
        <f t="shared" si="100"/>
        <v>11142.861766703469</v>
      </c>
      <c r="L317">
        <f t="shared" si="101"/>
        <v>11142.861766703469</v>
      </c>
      <c r="M317">
        <f t="shared" si="102"/>
        <v>0</v>
      </c>
      <c r="N317" s="29">
        <f t="shared" si="103"/>
        <v>11142.861766703469</v>
      </c>
      <c r="O317" s="29">
        <f t="shared" si="104"/>
        <v>11142.518903059479</v>
      </c>
      <c r="P317" s="29">
        <f t="shared" si="105"/>
        <v>11142.518903059479</v>
      </c>
      <c r="Q317">
        <f t="shared" si="106"/>
        <v>0</v>
      </c>
      <c r="R317" s="29">
        <f t="shared" si="107"/>
        <v>11142.518903059479</v>
      </c>
      <c r="S317" s="29">
        <f t="shared" si="108"/>
        <v>11142.518903059479</v>
      </c>
      <c r="T317" s="29">
        <f t="shared" si="109"/>
        <v>11142.518903059479</v>
      </c>
      <c r="U317">
        <f t="shared" si="110"/>
        <v>0</v>
      </c>
      <c r="V317" s="29">
        <f t="shared" si="111"/>
        <v>11142.518903059479</v>
      </c>
      <c r="W317" s="29">
        <f t="shared" si="112"/>
        <v>11142.518903059479</v>
      </c>
      <c r="X317" s="29">
        <f t="shared" si="113"/>
        <v>11142.518903059479</v>
      </c>
      <c r="Y317">
        <f t="shared" si="114"/>
        <v>0</v>
      </c>
    </row>
  </sheetData>
  <sheetProtection algorithmName="SHA-512" hashValue="ZI6++YHIMuxQpEtXI9KddG0zlEoLyU2OlFOCtsQ2hbYnvRm7pSSIm575LLlX8A8zkc6H9yUo8ptjyELeB25sMg==" saltValue="ideN8wmXp1Fjd5PeMcDWoQ==" spinCount="100000" sheet="1" objects="1" scenarios="1"/>
  <conditionalFormatting sqref="B1:B315 C1:Y1">
    <cfRule type="duplicateValues" dxfId="3" priority="1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0794-1783-4202-AA7F-A166F63BFA92}">
  <dimension ref="A1:Z317"/>
  <sheetViews>
    <sheetView topLeftCell="G1" workbookViewId="0">
      <selection activeCell="Z3" sqref="Z3"/>
    </sheetView>
    <sheetView workbookViewId="1"/>
  </sheetViews>
  <sheetFormatPr defaultRowHeight="15" x14ac:dyDescent="0.25"/>
  <cols>
    <col min="3" max="3" width="20.28515625" customWidth="1"/>
    <col min="4" max="4" width="19.28515625" customWidth="1"/>
    <col min="5" max="5" width="16.5703125" customWidth="1"/>
    <col min="6" max="6" width="14.7109375" customWidth="1"/>
    <col min="7" max="7" width="12.85546875" customWidth="1"/>
    <col min="8" max="8" width="16.5703125" customWidth="1"/>
    <col min="9" max="9" width="12.7109375" customWidth="1"/>
    <col min="10" max="10" width="16.140625" customWidth="1"/>
    <col min="11" max="11" width="13.28515625" customWidth="1"/>
    <col min="12" max="12" width="16.42578125" customWidth="1"/>
    <col min="13" max="13" width="12.5703125" bestFit="1" customWidth="1"/>
    <col min="14" max="14" width="17.42578125" customWidth="1"/>
    <col min="15" max="15" width="16.42578125" customWidth="1"/>
    <col min="16" max="16" width="14.28515625" customWidth="1"/>
    <col min="18" max="18" width="11.140625" customWidth="1"/>
    <col min="19" max="19" width="12.5703125" bestFit="1" customWidth="1"/>
    <col min="20" max="20" width="12.7109375" customWidth="1"/>
    <col min="22" max="22" width="13.85546875" customWidth="1"/>
    <col min="23" max="23" width="11.85546875" customWidth="1"/>
    <col min="24" max="24" width="12" customWidth="1"/>
    <col min="25" max="25" width="8.85546875" customWidth="1"/>
    <col min="26" max="26" width="10.7109375" customWidth="1"/>
  </cols>
  <sheetData>
    <row r="1" spans="1:26" x14ac:dyDescent="0.25">
      <c r="A1" s="1"/>
      <c r="B1" s="5"/>
      <c r="C1" s="4"/>
      <c r="F1" s="79" t="str">
        <f>IF($F$3 = SUM(Model_allocations[Conc. Allocation]), "Good", "Check district list")</f>
        <v>Good</v>
      </c>
      <c r="Z1" s="46"/>
    </row>
    <row r="2" spans="1:26" ht="76.5" x14ac:dyDescent="0.25">
      <c r="A2" s="1" t="s">
        <v>0</v>
      </c>
      <c r="B2" s="5" t="s">
        <v>4</v>
      </c>
      <c r="C2" s="3" t="s">
        <v>1277</v>
      </c>
      <c r="D2" s="33" t="s">
        <v>1378</v>
      </c>
      <c r="E2" s="36" t="s">
        <v>1294</v>
      </c>
      <c r="F2" s="33" t="s">
        <v>1377</v>
      </c>
      <c r="G2" s="35" t="s">
        <v>653</v>
      </c>
      <c r="H2" s="34" t="s">
        <v>1373</v>
      </c>
      <c r="I2" s="34" t="s">
        <v>1366</v>
      </c>
      <c r="J2" s="34" t="s">
        <v>1367</v>
      </c>
      <c r="K2" s="34" t="s">
        <v>1368</v>
      </c>
      <c r="L2" s="34" t="s">
        <v>1369</v>
      </c>
      <c r="M2" s="32" t="s">
        <v>1291</v>
      </c>
      <c r="N2" s="34" t="s">
        <v>1367</v>
      </c>
      <c r="O2" s="32" t="s">
        <v>1368</v>
      </c>
      <c r="P2" s="32" t="s">
        <v>1369</v>
      </c>
      <c r="Q2" s="32" t="s">
        <v>1370</v>
      </c>
      <c r="R2" s="32" t="s">
        <v>1367</v>
      </c>
      <c r="S2" s="32" t="s">
        <v>1368</v>
      </c>
      <c r="T2" s="32" t="s">
        <v>1369</v>
      </c>
      <c r="U2" s="32" t="s">
        <v>1371</v>
      </c>
      <c r="V2" s="32" t="s">
        <v>1367</v>
      </c>
      <c r="W2" s="32" t="s">
        <v>1368</v>
      </c>
      <c r="X2" s="32" t="s">
        <v>1369</v>
      </c>
      <c r="Y2" s="32" t="s">
        <v>1372</v>
      </c>
    </row>
    <row r="3" spans="1:26" x14ac:dyDescent="0.25">
      <c r="A3" s="1"/>
      <c r="B3" s="5"/>
      <c r="C3" s="6"/>
      <c r="D3" s="33">
        <f>SUM(D4:D317)</f>
        <v>15023536.085270731</v>
      </c>
      <c r="E3" s="33"/>
      <c r="F3" s="33" cm="1">
        <f t="array" ref="F3">SUM(IF(ISERROR($F$4:$F$317),"",$F$4:$F$317))</f>
        <v>14792207.733204203</v>
      </c>
      <c r="G3" s="33"/>
      <c r="H3" s="33" cm="1">
        <f t="array" ref="H3">SUM(IF(ISERROR($H$4:$H$317),"",$H$4:$H$317))</f>
        <v>13265557.984058117</v>
      </c>
      <c r="I3" s="33" cm="1">
        <f t="array" ref="I3">SUM(IF(ISERROR($I$4:$I$317),"",$I$4:$I$317))</f>
        <v>1376950.1010485026</v>
      </c>
      <c r="J3" s="33" cm="1">
        <f t="array" ref="J3">SUM(IF(ISERROR($J$4:$J$317),"",$J$4:$J$317))</f>
        <v>13429921.117093261</v>
      </c>
      <c r="K3" s="33" cm="1">
        <f t="array" ref="K3">SUM(IF(ISERROR($K$4:$K$317),"",$K$4:$K$317))</f>
        <v>13415257.632155702</v>
      </c>
      <c r="L3" s="33" cm="1">
        <f t="array" ref="L3">SUM(IF(ISERROR($L$4:$L$317),0,$L$4:$L$317))</f>
        <v>14792207.733204201</v>
      </c>
      <c r="M3" s="33" cm="1">
        <f t="array" ref="M3">SUM(IF(ISERROR($M$4:$M$317),0,$M$4:$M$317))</f>
        <v>2811786.8315309272</v>
      </c>
      <c r="N3" s="33" cm="1">
        <f t="array" ref="N3">SUM(IF(ISERROR($N$4:$N$317),"",$N$4:$N$317))</f>
        <v>10606308.868402919</v>
      </c>
      <c r="O3" s="33" cm="1">
        <f t="array" ref="O3">SUM(IF(ISERROR($O$4:$O$317),0,$O$4:$O$317))</f>
        <v>10603470.800624775</v>
      </c>
      <c r="P3" s="33" cm="1">
        <f t="array" ref="P3">SUM(IF(ISERROR($P$4:$P$317),0,$P$4:$P$317))</f>
        <v>14792207.733204205</v>
      </c>
      <c r="Q3" s="33" cm="1">
        <f t="array" ref="Q3">SUM(IF(ISERROR($Q$4:$Q$317),0,$Q$4:$Q$317))</f>
        <v>1682865.0462687341</v>
      </c>
      <c r="R3" s="33" cm="1">
        <f t="array" ref="R3">SUM(IF(ISERROR($R$4:$R$317),0,$R$4:$R$317))</f>
        <v>8920876.6675701905</v>
      </c>
      <c r="S3" s="33" cm="1">
        <f t="array" ref="S3">SUM(IF(ISERROR($S$4:$S$317),0,$S$4:$S$317))</f>
        <v>8920605.7543560378</v>
      </c>
      <c r="T3" s="33" cm="1">
        <f t="array" ref="T3">SUM(IF(ISERROR($T$4:$T$317),0,$T$4:$T$317))</f>
        <v>14792207.733204195</v>
      </c>
      <c r="U3" s="33" cm="1">
        <f t="array" ref="U3">SUM(IF(ISERROR($U$4:$U$317),0,$U$4:$U$317))</f>
        <v>0</v>
      </c>
      <c r="V3" s="33" cm="1">
        <f t="array" ref="V3">SUM(IF(ISERROR($V$4:$V$317),0,$V$4:$V$317))</f>
        <v>8920605.7543560378</v>
      </c>
      <c r="W3" s="33" cm="1">
        <f t="array" ref="W3">SUM(IF(ISERROR($W$4:$W$317),0,$W$4:$W$317))</f>
        <v>8920605.7543560378</v>
      </c>
      <c r="X3" s="33" cm="1">
        <f t="array" ref="X3">SUM(IF(ISERROR($X$4:$X$317),0,$X$4:$X$317))</f>
        <v>14792207.733204195</v>
      </c>
      <c r="Y3" s="33" cm="1">
        <f t="array" ref="Y3">SUM(IF(ISERROR($Y$4:$Y$317),0,$Y$4:$Y$317))</f>
        <v>0</v>
      </c>
    </row>
    <row r="4" spans="1:26" x14ac:dyDescent="0.25">
      <c r="A4" s="4" t="s">
        <v>660</v>
      </c>
      <c r="B4" s="7" t="s">
        <v>308</v>
      </c>
      <c r="C4" s="2" t="s">
        <v>661</v>
      </c>
      <c r="D4">
        <f>VLOOKUP(B4,'Model allocations'!$A$1:$L$316,4,FALSE)</f>
        <v>167295.88148094981</v>
      </c>
      <c r="E4" s="31">
        <f>VLOOKUP(B4,'Initial adjusted formula count'!$A$1:$P$316,12,FALSE)</f>
        <v>0.209235209235209</v>
      </c>
      <c r="F4">
        <f>VLOOKUP(B4,'Model allocations'!$A$1:$L$316,9,FALSE)</f>
        <v>172122.16183293046</v>
      </c>
      <c r="G4" s="30">
        <f>IF(E4&lt;0.15,0.85,IF(AND(E4&gt;=0.15,E4&lt;0.3),0.9,0.95))</f>
        <v>0.9</v>
      </c>
      <c r="H4">
        <f>IF(F4 = 0, 0, D4*G4)</f>
        <v>150566.29333285484</v>
      </c>
      <c r="I4">
        <f t="shared" ref="I4:I67" si="0">IF(F4&lt;H4,H4,0)</f>
        <v>0</v>
      </c>
      <c r="J4">
        <f t="shared" ref="J4:J67" si="1">IF(I4=0,F4,0)</f>
        <v>172122.16183293046</v>
      </c>
      <c r="K4">
        <f t="shared" ref="K4:K67" si="2">(J4/$J$3)*($F$3-$I$3)</f>
        <v>171934.22992287288</v>
      </c>
      <c r="L4">
        <f>I4+K4</f>
        <v>171934.22992287288</v>
      </c>
      <c r="M4">
        <f t="shared" ref="M4:M67" si="3">IF(L4&lt;H4,H4,0)</f>
        <v>0</v>
      </c>
      <c r="N4" s="29">
        <f>IF(I4+M4=0,L4,0)</f>
        <v>171934.22992287288</v>
      </c>
      <c r="O4" s="29">
        <f t="shared" ref="O4:O67" si="4">((N4/$N$3)*($F$3-$I$3-$M$3))</f>
        <v>171888.22324854738</v>
      </c>
      <c r="P4" s="29">
        <f>$I4+$M4+O4</f>
        <v>171888.22324854738</v>
      </c>
      <c r="Q4">
        <f>IF(P4&lt;H4,H4,0)</f>
        <v>0</v>
      </c>
      <c r="R4" s="29">
        <f>IF($I4+$M4+$Q4=0,P4,0)</f>
        <v>171888.22324854738</v>
      </c>
      <c r="S4" s="29">
        <f t="shared" ref="S4:S67" si="5">((R4/$R$3)*($F$3-$I$3-$M$3-$Q$3))</f>
        <v>171883.00326930426</v>
      </c>
      <c r="T4" s="29">
        <f>$I4+$M4+$Q4+S4</f>
        <v>171883.00326930426</v>
      </c>
      <c r="U4">
        <f>IF(T4&lt;H4,H4,0)</f>
        <v>0</v>
      </c>
      <c r="V4" s="29">
        <f>IF($I4+$M4+$Q4+U4=0,T4,0)</f>
        <v>171883.00326930426</v>
      </c>
      <c r="W4" s="29">
        <f t="shared" ref="W4:W67" si="6">((V4/$V$3)*($F$3-$I$3-$M$3-$Q$3-$U$3))</f>
        <v>171883.00326930426</v>
      </c>
      <c r="X4" s="29">
        <f>$I4+$M4+$Q4+$U4+W4</f>
        <v>171883.00326930426</v>
      </c>
      <c r="Y4">
        <f>IF(X4&lt;H4,H4,0)</f>
        <v>0</v>
      </c>
    </row>
    <row r="5" spans="1:26" x14ac:dyDescent="0.25">
      <c r="A5" s="4" t="s">
        <v>662</v>
      </c>
      <c r="B5" s="7" t="s">
        <v>259</v>
      </c>
      <c r="C5" s="2" t="s">
        <v>663</v>
      </c>
      <c r="D5">
        <f>VLOOKUP(B5,'Model allocations'!$A$1:$L$316,4,FALSE)</f>
        <v>0</v>
      </c>
      <c r="E5" s="31">
        <f>VLOOKUP(B5,'Initial adjusted formula count'!$A$1:$P$316,12,FALSE)</f>
        <v>6.3324538258575203E-2</v>
      </c>
      <c r="F5">
        <f>VLOOKUP(B5,'Model allocations'!$A$1:$L$316,9,FALSE)</f>
        <v>0</v>
      </c>
      <c r="G5" s="30">
        <f t="shared" ref="G5:G68" si="7">IF(E5&lt;0.15,0.85,IF(AND(E5&gt;=0.15,E5&lt;0.3),0.9,0.95))</f>
        <v>0.85</v>
      </c>
      <c r="H5">
        <f t="shared" ref="H5:H68" si="8">IF(F5 = 0, 0, D5*G5)</f>
        <v>0</v>
      </c>
      <c r="I5">
        <f t="shared" si="0"/>
        <v>0</v>
      </c>
      <c r="J5" s="48">
        <f t="shared" si="1"/>
        <v>0</v>
      </c>
      <c r="K5">
        <f t="shared" si="2"/>
        <v>0</v>
      </c>
      <c r="L5">
        <f t="shared" ref="L5:L68" si="9">I5+K5</f>
        <v>0</v>
      </c>
      <c r="M5">
        <f t="shared" si="3"/>
        <v>0</v>
      </c>
      <c r="N5" s="29">
        <f t="shared" ref="N5:N68" si="10">IF(I5+M5=0,L5,0)</f>
        <v>0</v>
      </c>
      <c r="O5" s="29">
        <f t="shared" si="4"/>
        <v>0</v>
      </c>
      <c r="P5" s="29">
        <f t="shared" ref="P5:P68" si="11">$I5+$M5+O5</f>
        <v>0</v>
      </c>
      <c r="Q5">
        <f t="shared" ref="Q5:Q68" si="12">IF(P5&lt;H5,H5,0)</f>
        <v>0</v>
      </c>
      <c r="R5" s="29">
        <f t="shared" ref="R5:R68" si="13">IF($I5+$M5+$Q5=0,P5,0)</f>
        <v>0</v>
      </c>
      <c r="S5" s="29">
        <f t="shared" si="5"/>
        <v>0</v>
      </c>
      <c r="T5" s="29">
        <f t="shared" ref="T5:T68" si="14">$I5+$M5+$Q5+S5</f>
        <v>0</v>
      </c>
      <c r="U5">
        <f t="shared" ref="U5:U68" si="15">IF(T5&lt;H5,H5,0)</f>
        <v>0</v>
      </c>
      <c r="V5" s="29">
        <f t="shared" ref="V5:V68" si="16">IF($I5+$M5+$Q5+U5=0,T5,0)</f>
        <v>0</v>
      </c>
      <c r="W5" s="29">
        <f t="shared" si="6"/>
        <v>0</v>
      </c>
      <c r="X5" s="29">
        <f t="shared" ref="X5:X68" si="17">$I5+$M5+$Q5+$U5+W5</f>
        <v>0</v>
      </c>
      <c r="Y5">
        <f t="shared" ref="Y5:Y68" si="18">IF(X5&lt;H5,H5,0)</f>
        <v>0</v>
      </c>
    </row>
    <row r="6" spans="1:26" x14ac:dyDescent="0.25">
      <c r="A6" s="4" t="s">
        <v>664</v>
      </c>
      <c r="B6" s="7" t="s">
        <v>261</v>
      </c>
      <c r="C6" s="2" t="s">
        <v>665</v>
      </c>
      <c r="D6">
        <f>VLOOKUP(B6,'Model allocations'!$A$1:$L$316,4,FALSE)</f>
        <v>4208.2731321928313</v>
      </c>
      <c r="E6" s="31">
        <f>VLOOKUP(B6,'Initial adjusted formula count'!$A$1:$P$316,12,FALSE)</f>
        <v>0.11224489795918401</v>
      </c>
      <c r="F6">
        <f>VLOOKUP(B6,'Model allocations'!$A$1:$L$316,9,FALSE)</f>
        <v>3581.3238500886937</v>
      </c>
      <c r="G6" s="30">
        <f t="shared" si="7"/>
        <v>0.85</v>
      </c>
      <c r="H6">
        <f t="shared" si="8"/>
        <v>3577.0321623639065</v>
      </c>
      <c r="I6">
        <f t="shared" si="0"/>
        <v>0</v>
      </c>
      <c r="J6" s="48">
        <f t="shared" si="1"/>
        <v>3581.3238500886937</v>
      </c>
      <c r="K6">
        <f t="shared" si="2"/>
        <v>3577.4135748253884</v>
      </c>
      <c r="L6">
        <f t="shared" si="9"/>
        <v>3577.4135748253884</v>
      </c>
      <c r="M6">
        <f t="shared" si="3"/>
        <v>0</v>
      </c>
      <c r="N6" s="29">
        <f t="shared" si="10"/>
        <v>3577.4135748253884</v>
      </c>
      <c r="O6" s="29">
        <f t="shared" si="4"/>
        <v>3576.4563198253895</v>
      </c>
      <c r="P6" s="29">
        <f t="shared" si="11"/>
        <v>3576.4563198253895</v>
      </c>
      <c r="Q6">
        <f t="shared" si="12"/>
        <v>3577.0321623639065</v>
      </c>
      <c r="R6" s="29">
        <f t="shared" si="13"/>
        <v>0</v>
      </c>
      <c r="S6" s="29">
        <f t="shared" si="5"/>
        <v>0</v>
      </c>
      <c r="T6" s="29">
        <f t="shared" si="14"/>
        <v>3577.0321623639065</v>
      </c>
      <c r="U6">
        <f t="shared" si="15"/>
        <v>0</v>
      </c>
      <c r="V6" s="29">
        <f t="shared" si="16"/>
        <v>0</v>
      </c>
      <c r="W6" s="29">
        <f t="shared" si="6"/>
        <v>0</v>
      </c>
      <c r="X6" s="29">
        <f t="shared" si="17"/>
        <v>3577.0321623639065</v>
      </c>
      <c r="Y6">
        <f t="shared" si="18"/>
        <v>0</v>
      </c>
    </row>
    <row r="7" spans="1:26" x14ac:dyDescent="0.25">
      <c r="A7" s="4" t="s">
        <v>666</v>
      </c>
      <c r="B7" s="7" t="s">
        <v>88</v>
      </c>
      <c r="C7" s="2" t="s">
        <v>667</v>
      </c>
      <c r="D7">
        <f>VLOOKUP(B7,'Model allocations'!$A$1:$L$316,4,FALSE)</f>
        <v>0</v>
      </c>
      <c r="E7" s="31">
        <f>VLOOKUP(B7,'Initial adjusted formula count'!$A$1:$P$316,12,FALSE)</f>
        <v>7.3249551166965896E-2</v>
      </c>
      <c r="F7">
        <f>VLOOKUP(B7,'Model allocations'!$A$1:$L$316,9,FALSE)</f>
        <v>0</v>
      </c>
      <c r="G7" s="30">
        <f t="shared" si="7"/>
        <v>0.85</v>
      </c>
      <c r="H7">
        <f t="shared" si="8"/>
        <v>0</v>
      </c>
      <c r="I7">
        <f t="shared" si="0"/>
        <v>0</v>
      </c>
      <c r="J7" s="48">
        <f t="shared" si="1"/>
        <v>0</v>
      </c>
      <c r="K7">
        <f t="shared" si="2"/>
        <v>0</v>
      </c>
      <c r="L7">
        <f t="shared" si="9"/>
        <v>0</v>
      </c>
      <c r="M7">
        <f t="shared" si="3"/>
        <v>0</v>
      </c>
      <c r="N7" s="29">
        <f t="shared" si="10"/>
        <v>0</v>
      </c>
      <c r="O7" s="29">
        <f t="shared" si="4"/>
        <v>0</v>
      </c>
      <c r="P7" s="29">
        <f t="shared" si="11"/>
        <v>0</v>
      </c>
      <c r="Q7">
        <f t="shared" si="12"/>
        <v>0</v>
      </c>
      <c r="R7" s="29">
        <f t="shared" si="13"/>
        <v>0</v>
      </c>
      <c r="S7" s="29">
        <f t="shared" si="5"/>
        <v>0</v>
      </c>
      <c r="T7" s="29">
        <f t="shared" si="14"/>
        <v>0</v>
      </c>
      <c r="U7">
        <f t="shared" si="15"/>
        <v>0</v>
      </c>
      <c r="V7" s="29">
        <f t="shared" si="16"/>
        <v>0</v>
      </c>
      <c r="W7" s="29">
        <f t="shared" si="6"/>
        <v>0</v>
      </c>
      <c r="X7" s="29">
        <f t="shared" si="17"/>
        <v>0</v>
      </c>
      <c r="Y7">
        <f t="shared" si="18"/>
        <v>0</v>
      </c>
    </row>
    <row r="8" spans="1:26" x14ac:dyDescent="0.25">
      <c r="A8" s="4" t="s">
        <v>668</v>
      </c>
      <c r="B8" s="7" t="s">
        <v>90</v>
      </c>
      <c r="C8" s="2" t="s">
        <v>669</v>
      </c>
      <c r="D8">
        <f>VLOOKUP(B8,'Model allocations'!$A$1:$L$316,4,FALSE)</f>
        <v>0</v>
      </c>
      <c r="E8" s="31">
        <f>VLOOKUP(B8,'Initial adjusted formula count'!$A$1:$P$316,12,FALSE)</f>
        <v>8.9803398867044304E-2</v>
      </c>
      <c r="F8">
        <f>VLOOKUP(B8,'Model allocations'!$A$1:$L$316,9,FALSE)</f>
        <v>0</v>
      </c>
      <c r="G8" s="30">
        <f t="shared" si="7"/>
        <v>0.85</v>
      </c>
      <c r="H8">
        <f t="shared" si="8"/>
        <v>0</v>
      </c>
      <c r="I8">
        <f t="shared" si="0"/>
        <v>0</v>
      </c>
      <c r="J8" s="48">
        <f t="shared" si="1"/>
        <v>0</v>
      </c>
      <c r="K8">
        <f t="shared" si="2"/>
        <v>0</v>
      </c>
      <c r="L8">
        <f t="shared" si="9"/>
        <v>0</v>
      </c>
      <c r="M8">
        <f t="shared" si="3"/>
        <v>0</v>
      </c>
      <c r="N8" s="29">
        <f t="shared" si="10"/>
        <v>0</v>
      </c>
      <c r="O8" s="29">
        <f t="shared" si="4"/>
        <v>0</v>
      </c>
      <c r="P8" s="29">
        <f t="shared" si="11"/>
        <v>0</v>
      </c>
      <c r="Q8">
        <f t="shared" si="12"/>
        <v>0</v>
      </c>
      <c r="R8" s="29">
        <f t="shared" si="13"/>
        <v>0</v>
      </c>
      <c r="S8" s="29">
        <f t="shared" si="5"/>
        <v>0</v>
      </c>
      <c r="T8" s="29">
        <f t="shared" si="14"/>
        <v>0</v>
      </c>
      <c r="U8">
        <f t="shared" si="15"/>
        <v>0</v>
      </c>
      <c r="V8" s="29">
        <f t="shared" si="16"/>
        <v>0</v>
      </c>
      <c r="W8" s="29">
        <f t="shared" si="6"/>
        <v>0</v>
      </c>
      <c r="X8" s="29">
        <f t="shared" si="17"/>
        <v>0</v>
      </c>
      <c r="Y8">
        <f t="shared" si="18"/>
        <v>0</v>
      </c>
    </row>
    <row r="9" spans="1:26" x14ac:dyDescent="0.25">
      <c r="A9" s="4" t="s">
        <v>670</v>
      </c>
      <c r="B9" s="7" t="s">
        <v>309</v>
      </c>
      <c r="C9" s="2" t="s">
        <v>671</v>
      </c>
      <c r="D9">
        <f>VLOOKUP(B9,'Model allocations'!$A$1:$L$316,4,FALSE)</f>
        <v>0</v>
      </c>
      <c r="E9" s="31">
        <f>VLOOKUP(B9,'Initial adjusted formula count'!$A$1:$P$316,12,FALSE)</f>
        <v>6.18556701030928E-2</v>
      </c>
      <c r="F9">
        <f>VLOOKUP(B9,'Model allocations'!$A$1:$L$316,9,FALSE)</f>
        <v>0</v>
      </c>
      <c r="G9" s="30">
        <f t="shared" si="7"/>
        <v>0.85</v>
      </c>
      <c r="H9">
        <f t="shared" si="8"/>
        <v>0</v>
      </c>
      <c r="I9">
        <f t="shared" si="0"/>
        <v>0</v>
      </c>
      <c r="J9">
        <f t="shared" si="1"/>
        <v>0</v>
      </c>
      <c r="K9">
        <f t="shared" si="2"/>
        <v>0</v>
      </c>
      <c r="L9">
        <f t="shared" si="9"/>
        <v>0</v>
      </c>
      <c r="M9">
        <f t="shared" si="3"/>
        <v>0</v>
      </c>
      <c r="N9" s="29">
        <f t="shared" si="10"/>
        <v>0</v>
      </c>
      <c r="O9" s="29">
        <f t="shared" si="4"/>
        <v>0</v>
      </c>
      <c r="P9" s="29">
        <f t="shared" si="11"/>
        <v>0</v>
      </c>
      <c r="Q9">
        <f t="shared" si="12"/>
        <v>0</v>
      </c>
      <c r="R9" s="29">
        <f t="shared" si="13"/>
        <v>0</v>
      </c>
      <c r="S9" s="29">
        <f t="shared" si="5"/>
        <v>0</v>
      </c>
      <c r="T9" s="29">
        <f t="shared" si="14"/>
        <v>0</v>
      </c>
      <c r="U9">
        <f t="shared" si="15"/>
        <v>0</v>
      </c>
      <c r="V9" s="29">
        <f t="shared" si="16"/>
        <v>0</v>
      </c>
      <c r="W9" s="29">
        <f t="shared" si="6"/>
        <v>0</v>
      </c>
      <c r="X9" s="29">
        <f t="shared" si="17"/>
        <v>0</v>
      </c>
      <c r="Y9">
        <f t="shared" si="18"/>
        <v>0</v>
      </c>
    </row>
    <row r="10" spans="1:26" x14ac:dyDescent="0.25">
      <c r="A10" s="4" t="s">
        <v>672</v>
      </c>
      <c r="B10" s="7" t="s">
        <v>311</v>
      </c>
      <c r="C10" s="2" t="s">
        <v>673</v>
      </c>
      <c r="D10">
        <f>VLOOKUP(B10,'Model allocations'!$A$1:$L$316,4,FALSE)</f>
        <v>656958.1945256585</v>
      </c>
      <c r="E10" s="31">
        <f>VLOOKUP(B10,'Initial adjusted formula count'!$A$1:$P$316,12,FALSE)</f>
        <v>0.16016150740242299</v>
      </c>
      <c r="F10">
        <f>VLOOKUP(B10,'Model allocations'!$A$1:$L$316,9,FALSE)</f>
        <v>706294.38821099047</v>
      </c>
      <c r="G10" s="30">
        <f t="shared" si="7"/>
        <v>0.9</v>
      </c>
      <c r="H10">
        <f t="shared" si="8"/>
        <v>591262.37507309264</v>
      </c>
      <c r="I10">
        <f t="shared" si="0"/>
        <v>0</v>
      </c>
      <c r="J10">
        <f t="shared" si="1"/>
        <v>706294.38821099047</v>
      </c>
      <c r="K10">
        <f t="shared" si="2"/>
        <v>705523.21933868539</v>
      </c>
      <c r="L10">
        <f t="shared" si="9"/>
        <v>705523.21933868539</v>
      </c>
      <c r="M10">
        <f t="shared" si="3"/>
        <v>0</v>
      </c>
      <c r="N10" s="29">
        <f t="shared" si="10"/>
        <v>705523.21933868539</v>
      </c>
      <c r="O10" s="29">
        <f t="shared" si="4"/>
        <v>705334.43333024613</v>
      </c>
      <c r="P10" s="29">
        <f t="shared" si="11"/>
        <v>705334.43333024613</v>
      </c>
      <c r="Q10">
        <f t="shared" si="12"/>
        <v>0</v>
      </c>
      <c r="R10" s="29">
        <f t="shared" si="13"/>
        <v>705334.43333024613</v>
      </c>
      <c r="S10" s="29">
        <f t="shared" si="5"/>
        <v>705313.01341542078</v>
      </c>
      <c r="T10" s="29">
        <f t="shared" si="14"/>
        <v>705313.01341542078</v>
      </c>
      <c r="U10">
        <f t="shared" si="15"/>
        <v>0</v>
      </c>
      <c r="V10" s="29">
        <f t="shared" si="16"/>
        <v>705313.01341542078</v>
      </c>
      <c r="W10" s="29">
        <f t="shared" si="6"/>
        <v>705313.01341542078</v>
      </c>
      <c r="X10" s="29">
        <f t="shared" si="17"/>
        <v>705313.01341542078</v>
      </c>
      <c r="Y10">
        <f t="shared" si="18"/>
        <v>0</v>
      </c>
    </row>
    <row r="11" spans="1:26" x14ac:dyDescent="0.25">
      <c r="A11" s="4" t="s">
        <v>674</v>
      </c>
      <c r="B11" s="7" t="s">
        <v>92</v>
      </c>
      <c r="C11" s="2" t="s">
        <v>675</v>
      </c>
      <c r="D11">
        <f>VLOOKUP(B11,'Model allocations'!$A$1:$L$316,4,FALSE)</f>
        <v>0</v>
      </c>
      <c r="E11" s="31">
        <f>VLOOKUP(B11,'Initial adjusted formula count'!$A$1:$P$316,12,FALSE)</f>
        <v>3.75469336670839E-2</v>
      </c>
      <c r="F11">
        <f>VLOOKUP(B11,'Model allocations'!$A$1:$L$316,9,FALSE)</f>
        <v>0</v>
      </c>
      <c r="G11" s="30">
        <f t="shared" si="7"/>
        <v>0.85</v>
      </c>
      <c r="H11">
        <f t="shared" si="8"/>
        <v>0</v>
      </c>
      <c r="I11">
        <f t="shared" si="0"/>
        <v>0</v>
      </c>
      <c r="J11">
        <f t="shared" si="1"/>
        <v>0</v>
      </c>
      <c r="K11">
        <f t="shared" si="2"/>
        <v>0</v>
      </c>
      <c r="L11">
        <f t="shared" si="9"/>
        <v>0</v>
      </c>
      <c r="M11">
        <f t="shared" si="3"/>
        <v>0</v>
      </c>
      <c r="N11" s="29">
        <f t="shared" si="10"/>
        <v>0</v>
      </c>
      <c r="O11" s="29">
        <f t="shared" si="4"/>
        <v>0</v>
      </c>
      <c r="P11" s="29">
        <f t="shared" si="11"/>
        <v>0</v>
      </c>
      <c r="Q11">
        <f t="shared" si="12"/>
        <v>0</v>
      </c>
      <c r="R11" s="29">
        <f t="shared" si="13"/>
        <v>0</v>
      </c>
      <c r="S11" s="29">
        <f t="shared" si="5"/>
        <v>0</v>
      </c>
      <c r="T11" s="29">
        <f t="shared" si="14"/>
        <v>0</v>
      </c>
      <c r="U11">
        <f t="shared" si="15"/>
        <v>0</v>
      </c>
      <c r="V11" s="29">
        <f t="shared" si="16"/>
        <v>0</v>
      </c>
      <c r="W11" s="29">
        <f t="shared" si="6"/>
        <v>0</v>
      </c>
      <c r="X11" s="29">
        <f t="shared" si="17"/>
        <v>0</v>
      </c>
      <c r="Y11">
        <f t="shared" si="18"/>
        <v>0</v>
      </c>
    </row>
    <row r="12" spans="1:26" x14ac:dyDescent="0.25">
      <c r="A12" s="4" t="s">
        <v>676</v>
      </c>
      <c r="B12" s="7" t="s">
        <v>94</v>
      </c>
      <c r="C12" s="2" t="s">
        <v>677</v>
      </c>
      <c r="D12">
        <f>VLOOKUP(B12,'Model allocations'!$A$1:$L$316,4,FALSE)</f>
        <v>0</v>
      </c>
      <c r="E12" s="31">
        <f>VLOOKUP(B12,'Initial adjusted formula count'!$A$1:$P$316,12,FALSE)</f>
        <v>6.4799040948955805E-2</v>
      </c>
      <c r="F12">
        <f>VLOOKUP(B12,'Model allocations'!$A$1:$L$316,9,FALSE)</f>
        <v>0</v>
      </c>
      <c r="G12" s="30">
        <f t="shared" si="7"/>
        <v>0.85</v>
      </c>
      <c r="H12">
        <f t="shared" si="8"/>
        <v>0</v>
      </c>
      <c r="I12">
        <f t="shared" si="0"/>
        <v>0</v>
      </c>
      <c r="J12">
        <f t="shared" si="1"/>
        <v>0</v>
      </c>
      <c r="K12">
        <f t="shared" si="2"/>
        <v>0</v>
      </c>
      <c r="L12">
        <f t="shared" si="9"/>
        <v>0</v>
      </c>
      <c r="M12">
        <f t="shared" si="3"/>
        <v>0</v>
      </c>
      <c r="N12" s="29">
        <f t="shared" si="10"/>
        <v>0</v>
      </c>
      <c r="O12" s="29">
        <f t="shared" si="4"/>
        <v>0</v>
      </c>
      <c r="P12" s="29">
        <f t="shared" si="11"/>
        <v>0</v>
      </c>
      <c r="Q12">
        <f t="shared" si="12"/>
        <v>0</v>
      </c>
      <c r="R12" s="29">
        <f t="shared" si="13"/>
        <v>0</v>
      </c>
      <c r="S12" s="29">
        <f t="shared" si="5"/>
        <v>0</v>
      </c>
      <c r="T12" s="29">
        <f t="shared" si="14"/>
        <v>0</v>
      </c>
      <c r="U12">
        <f t="shared" si="15"/>
        <v>0</v>
      </c>
      <c r="V12" s="29">
        <f t="shared" si="16"/>
        <v>0</v>
      </c>
      <c r="W12" s="29">
        <f t="shared" si="6"/>
        <v>0</v>
      </c>
      <c r="X12" s="29">
        <f t="shared" si="17"/>
        <v>0</v>
      </c>
      <c r="Y12">
        <f t="shared" si="18"/>
        <v>0</v>
      </c>
    </row>
    <row r="13" spans="1:26" x14ac:dyDescent="0.25">
      <c r="A13" s="4" t="s">
        <v>678</v>
      </c>
      <c r="B13" s="7" t="s">
        <v>96</v>
      </c>
      <c r="C13" s="2" t="s">
        <v>679</v>
      </c>
      <c r="D13">
        <f>VLOOKUP(B13,'Model allocations'!$A$1:$L$316,4,FALSE)</f>
        <v>0</v>
      </c>
      <c r="E13" s="31">
        <f>VLOOKUP(B13,'Initial adjusted formula count'!$A$1:$P$316,12,FALSE)</f>
        <v>6.2019251901015301E-2</v>
      </c>
      <c r="F13">
        <f>VLOOKUP(B13,'Model allocations'!$A$1:$L$316,9,FALSE)</f>
        <v>0</v>
      </c>
      <c r="G13" s="30">
        <f t="shared" si="7"/>
        <v>0.85</v>
      </c>
      <c r="H13">
        <f t="shared" si="8"/>
        <v>0</v>
      </c>
      <c r="I13">
        <f t="shared" si="0"/>
        <v>0</v>
      </c>
      <c r="J13">
        <f t="shared" si="1"/>
        <v>0</v>
      </c>
      <c r="K13">
        <f t="shared" si="2"/>
        <v>0</v>
      </c>
      <c r="L13">
        <f t="shared" si="9"/>
        <v>0</v>
      </c>
      <c r="M13">
        <f t="shared" si="3"/>
        <v>0</v>
      </c>
      <c r="N13" s="29">
        <f t="shared" si="10"/>
        <v>0</v>
      </c>
      <c r="O13" s="29">
        <f t="shared" si="4"/>
        <v>0</v>
      </c>
      <c r="P13" s="29">
        <f t="shared" si="11"/>
        <v>0</v>
      </c>
      <c r="Q13">
        <f t="shared" si="12"/>
        <v>0</v>
      </c>
      <c r="R13" s="29">
        <f t="shared" si="13"/>
        <v>0</v>
      </c>
      <c r="S13" s="29">
        <f t="shared" si="5"/>
        <v>0</v>
      </c>
      <c r="T13" s="29">
        <f t="shared" si="14"/>
        <v>0</v>
      </c>
      <c r="U13">
        <f t="shared" si="15"/>
        <v>0</v>
      </c>
      <c r="V13" s="29">
        <f t="shared" si="16"/>
        <v>0</v>
      </c>
      <c r="W13" s="29">
        <f t="shared" si="6"/>
        <v>0</v>
      </c>
      <c r="X13" s="29">
        <f t="shared" si="17"/>
        <v>0</v>
      </c>
      <c r="Y13">
        <f t="shared" si="18"/>
        <v>0</v>
      </c>
    </row>
    <row r="14" spans="1:26" x14ac:dyDescent="0.25">
      <c r="A14" s="4" t="s">
        <v>14</v>
      </c>
      <c r="B14" s="7" t="s">
        <v>56</v>
      </c>
      <c r="C14" s="2" t="s">
        <v>680</v>
      </c>
      <c r="D14">
        <f>VLOOKUP(B14,'Model allocations'!$A$1:$L$316,4,FALSE)</f>
        <v>0</v>
      </c>
      <c r="E14" s="31">
        <f>VLOOKUP(B14,'Initial adjusted formula count'!$A$1:$P$316,12,FALSE)</f>
        <v>7.70696540197192E-2</v>
      </c>
      <c r="F14">
        <f>VLOOKUP(B14,'Model allocations'!$A$1:$L$316,9,FALSE)</f>
        <v>0</v>
      </c>
      <c r="G14" s="30">
        <f t="shared" si="7"/>
        <v>0.85</v>
      </c>
      <c r="H14">
        <f t="shared" si="8"/>
        <v>0</v>
      </c>
      <c r="I14">
        <f t="shared" si="0"/>
        <v>0</v>
      </c>
      <c r="J14">
        <f t="shared" si="1"/>
        <v>0</v>
      </c>
      <c r="K14">
        <f t="shared" si="2"/>
        <v>0</v>
      </c>
      <c r="L14">
        <f t="shared" si="9"/>
        <v>0</v>
      </c>
      <c r="M14">
        <f t="shared" si="3"/>
        <v>0</v>
      </c>
      <c r="N14" s="29">
        <f t="shared" si="10"/>
        <v>0</v>
      </c>
      <c r="O14" s="29">
        <f t="shared" si="4"/>
        <v>0</v>
      </c>
      <c r="P14" s="29">
        <f t="shared" si="11"/>
        <v>0</v>
      </c>
      <c r="Q14">
        <f t="shared" si="12"/>
        <v>0</v>
      </c>
      <c r="R14" s="29">
        <f t="shared" si="13"/>
        <v>0</v>
      </c>
      <c r="S14" s="29">
        <f t="shared" si="5"/>
        <v>0</v>
      </c>
      <c r="T14" s="29">
        <f t="shared" si="14"/>
        <v>0</v>
      </c>
      <c r="U14">
        <f t="shared" si="15"/>
        <v>0</v>
      </c>
      <c r="V14" s="29">
        <f t="shared" si="16"/>
        <v>0</v>
      </c>
      <c r="W14" s="29">
        <f t="shared" si="6"/>
        <v>0</v>
      </c>
      <c r="X14" s="29">
        <f t="shared" si="17"/>
        <v>0</v>
      </c>
      <c r="Y14">
        <f t="shared" si="18"/>
        <v>0</v>
      </c>
    </row>
    <row r="15" spans="1:26" x14ac:dyDescent="0.25">
      <c r="A15" s="4" t="s">
        <v>681</v>
      </c>
      <c r="B15" s="7" t="s">
        <v>98</v>
      </c>
      <c r="C15" s="2" t="s">
        <v>682</v>
      </c>
      <c r="D15">
        <f>VLOOKUP(B15,'Model allocations'!$A$1:$L$316,4,FALSE)</f>
        <v>0</v>
      </c>
      <c r="E15" s="31">
        <f>VLOOKUP(B15,'Initial adjusted formula count'!$A$1:$P$316,12,FALSE)</f>
        <v>6.25E-2</v>
      </c>
      <c r="F15">
        <f>VLOOKUP(B15,'Model allocations'!$A$1:$L$316,9,FALSE)</f>
        <v>0</v>
      </c>
      <c r="G15" s="30">
        <f t="shared" si="7"/>
        <v>0.85</v>
      </c>
      <c r="H15">
        <f t="shared" si="8"/>
        <v>0</v>
      </c>
      <c r="I15">
        <f t="shared" si="0"/>
        <v>0</v>
      </c>
      <c r="J15">
        <f t="shared" si="1"/>
        <v>0</v>
      </c>
      <c r="K15">
        <f t="shared" si="2"/>
        <v>0</v>
      </c>
      <c r="L15">
        <f t="shared" si="9"/>
        <v>0</v>
      </c>
      <c r="M15">
        <f t="shared" si="3"/>
        <v>0</v>
      </c>
      <c r="N15" s="29">
        <f t="shared" si="10"/>
        <v>0</v>
      </c>
      <c r="O15" s="29">
        <f t="shared" si="4"/>
        <v>0</v>
      </c>
      <c r="P15" s="29">
        <f t="shared" si="11"/>
        <v>0</v>
      </c>
      <c r="Q15">
        <f t="shared" si="12"/>
        <v>0</v>
      </c>
      <c r="R15" s="29">
        <f t="shared" si="13"/>
        <v>0</v>
      </c>
      <c r="S15" s="29">
        <f t="shared" si="5"/>
        <v>0</v>
      </c>
      <c r="T15" s="29">
        <f t="shared" si="14"/>
        <v>0</v>
      </c>
      <c r="U15">
        <f t="shared" si="15"/>
        <v>0</v>
      </c>
      <c r="V15" s="29">
        <f t="shared" si="16"/>
        <v>0</v>
      </c>
      <c r="W15" s="29">
        <f t="shared" si="6"/>
        <v>0</v>
      </c>
      <c r="X15" s="29">
        <f t="shared" si="17"/>
        <v>0</v>
      </c>
      <c r="Y15">
        <f t="shared" si="18"/>
        <v>0</v>
      </c>
    </row>
    <row r="16" spans="1:26" x14ac:dyDescent="0.25">
      <c r="A16" s="4" t="s">
        <v>683</v>
      </c>
      <c r="B16" s="7" t="s">
        <v>263</v>
      </c>
      <c r="C16" s="2" t="s">
        <v>684</v>
      </c>
      <c r="D16">
        <f>VLOOKUP(B16,'Model allocations'!$A$1:$L$316,4,FALSE)</f>
        <v>0</v>
      </c>
      <c r="E16" s="31">
        <f>VLOOKUP(B16,'Initial adjusted formula count'!$A$1:$P$316,12,FALSE)</f>
        <v>0.114406605595038</v>
      </c>
      <c r="F16">
        <f>VLOOKUP(B16,'Model allocations'!$A$1:$L$316,9,FALSE)</f>
        <v>0</v>
      </c>
      <c r="G16" s="30">
        <f t="shared" si="7"/>
        <v>0.85</v>
      </c>
      <c r="H16">
        <f t="shared" si="8"/>
        <v>0</v>
      </c>
      <c r="I16">
        <f t="shared" si="0"/>
        <v>0</v>
      </c>
      <c r="J16">
        <f t="shared" si="1"/>
        <v>0</v>
      </c>
      <c r="K16">
        <f t="shared" si="2"/>
        <v>0</v>
      </c>
      <c r="L16">
        <f t="shared" si="9"/>
        <v>0</v>
      </c>
      <c r="M16">
        <f t="shared" si="3"/>
        <v>0</v>
      </c>
      <c r="N16" s="29">
        <f t="shared" si="10"/>
        <v>0</v>
      </c>
      <c r="O16" s="29">
        <f t="shared" si="4"/>
        <v>0</v>
      </c>
      <c r="P16" s="29">
        <f t="shared" si="11"/>
        <v>0</v>
      </c>
      <c r="Q16">
        <f t="shared" si="12"/>
        <v>0</v>
      </c>
      <c r="R16" s="29">
        <f t="shared" si="13"/>
        <v>0</v>
      </c>
      <c r="S16" s="29">
        <f t="shared" si="5"/>
        <v>0</v>
      </c>
      <c r="T16" s="29">
        <f t="shared" si="14"/>
        <v>0</v>
      </c>
      <c r="U16">
        <f t="shared" si="15"/>
        <v>0</v>
      </c>
      <c r="V16" s="29">
        <f t="shared" si="16"/>
        <v>0</v>
      </c>
      <c r="W16" s="29">
        <f t="shared" si="6"/>
        <v>0</v>
      </c>
      <c r="X16" s="29">
        <f t="shared" si="17"/>
        <v>0</v>
      </c>
      <c r="Y16">
        <f t="shared" si="18"/>
        <v>0</v>
      </c>
    </row>
    <row r="17" spans="1:25" x14ac:dyDescent="0.25">
      <c r="A17" s="4" t="s">
        <v>685</v>
      </c>
      <c r="B17" s="7" t="s">
        <v>313</v>
      </c>
      <c r="C17" s="2" t="s">
        <v>686</v>
      </c>
      <c r="D17">
        <f>VLOOKUP(B17,'Model allocations'!$A$1:$L$316,4,FALSE)</f>
        <v>2428.0895098544547</v>
      </c>
      <c r="E17" s="31">
        <f>VLOOKUP(B17,'Initial adjusted formula count'!$A$1:$P$316,12,FALSE)</f>
        <v>0.126582278481013</v>
      </c>
      <c r="F17">
        <f>VLOOKUP(B17,'Model allocations'!$A$1:$L$316,9,FALSE)</f>
        <v>2063.8760833762863</v>
      </c>
      <c r="G17" s="30">
        <f t="shared" si="7"/>
        <v>0.85</v>
      </c>
      <c r="H17">
        <f t="shared" si="8"/>
        <v>2063.8760833762863</v>
      </c>
      <c r="I17">
        <f t="shared" si="0"/>
        <v>0</v>
      </c>
      <c r="J17">
        <f t="shared" si="1"/>
        <v>2063.8760833762863</v>
      </c>
      <c r="K17">
        <f t="shared" si="2"/>
        <v>2061.6226363457549</v>
      </c>
      <c r="L17">
        <f t="shared" si="9"/>
        <v>2061.6226363457549</v>
      </c>
      <c r="M17">
        <f t="shared" si="3"/>
        <v>2063.8760833762863</v>
      </c>
      <c r="N17" s="29">
        <f t="shared" si="10"/>
        <v>0</v>
      </c>
      <c r="O17" s="29">
        <f t="shared" si="4"/>
        <v>0</v>
      </c>
      <c r="P17" s="29">
        <f t="shared" si="11"/>
        <v>2063.8760833762863</v>
      </c>
      <c r="Q17">
        <f t="shared" si="12"/>
        <v>0</v>
      </c>
      <c r="R17" s="29">
        <f t="shared" si="13"/>
        <v>0</v>
      </c>
      <c r="S17" s="29">
        <f t="shared" si="5"/>
        <v>0</v>
      </c>
      <c r="T17" s="29">
        <f t="shared" si="14"/>
        <v>2063.8760833762863</v>
      </c>
      <c r="U17">
        <f t="shared" si="15"/>
        <v>0</v>
      </c>
      <c r="V17" s="29">
        <f t="shared" si="16"/>
        <v>0</v>
      </c>
      <c r="W17" s="29">
        <f t="shared" si="6"/>
        <v>0</v>
      </c>
      <c r="X17" s="29">
        <f t="shared" si="17"/>
        <v>2063.8760833762863</v>
      </c>
      <c r="Y17">
        <f t="shared" si="18"/>
        <v>0</v>
      </c>
    </row>
    <row r="18" spans="1:25" x14ac:dyDescent="0.25">
      <c r="A18" s="4" t="s">
        <v>687</v>
      </c>
      <c r="B18" s="7" t="s">
        <v>315</v>
      </c>
      <c r="C18" s="2" t="s">
        <v>688</v>
      </c>
      <c r="D18">
        <f>VLOOKUP(B18,'Model allocations'!$A$1:$L$316,4,FALSE)</f>
        <v>59470.207143212981</v>
      </c>
      <c r="E18" s="31">
        <f>VLOOKUP(B18,'Initial adjusted formula count'!$A$1:$P$316,12,FALSE)</f>
        <v>8.6530612244897998E-2</v>
      </c>
      <c r="F18">
        <f>VLOOKUP(B18,'Model allocations'!$A$1:$L$316,9,FALSE)</f>
        <v>50549.676071731032</v>
      </c>
      <c r="G18" s="30">
        <f t="shared" si="7"/>
        <v>0.85</v>
      </c>
      <c r="H18">
        <f t="shared" si="8"/>
        <v>50549.676071731032</v>
      </c>
      <c r="I18">
        <f t="shared" si="0"/>
        <v>0</v>
      </c>
      <c r="J18">
        <f t="shared" si="1"/>
        <v>50549.676071731032</v>
      </c>
      <c r="K18">
        <f t="shared" si="2"/>
        <v>50494.483311683245</v>
      </c>
      <c r="L18">
        <f t="shared" si="9"/>
        <v>50494.483311683245</v>
      </c>
      <c r="M18">
        <f t="shared" si="3"/>
        <v>50549.676071731032</v>
      </c>
      <c r="N18" s="29">
        <f t="shared" si="10"/>
        <v>0</v>
      </c>
      <c r="O18" s="29">
        <f t="shared" si="4"/>
        <v>0</v>
      </c>
      <c r="P18" s="29">
        <f t="shared" si="11"/>
        <v>50549.676071731032</v>
      </c>
      <c r="Q18">
        <f t="shared" si="12"/>
        <v>0</v>
      </c>
      <c r="R18" s="29">
        <f t="shared" si="13"/>
        <v>0</v>
      </c>
      <c r="S18" s="29">
        <f t="shared" si="5"/>
        <v>0</v>
      </c>
      <c r="T18" s="29">
        <f t="shared" si="14"/>
        <v>50549.676071731032</v>
      </c>
      <c r="U18">
        <f t="shared" si="15"/>
        <v>0</v>
      </c>
      <c r="V18" s="29">
        <f t="shared" si="16"/>
        <v>0</v>
      </c>
      <c r="W18" s="29">
        <f t="shared" si="6"/>
        <v>0</v>
      </c>
      <c r="X18" s="29">
        <f t="shared" si="17"/>
        <v>50549.676071731032</v>
      </c>
      <c r="Y18">
        <f t="shared" si="18"/>
        <v>0</v>
      </c>
    </row>
    <row r="19" spans="1:25" x14ac:dyDescent="0.25">
      <c r="A19" s="4" t="s">
        <v>689</v>
      </c>
      <c r="B19" s="7" t="s">
        <v>317</v>
      </c>
      <c r="C19" s="2" t="s">
        <v>690</v>
      </c>
      <c r="D19">
        <f>VLOOKUP(B19,'Model allocations'!$A$1:$L$316,4,FALSE)</f>
        <v>0</v>
      </c>
      <c r="E19" s="31">
        <f>VLOOKUP(B19,'Initial adjusted formula count'!$A$1:$P$316,12,FALSE)</f>
        <v>0.108597285067873</v>
      </c>
      <c r="F19">
        <f>VLOOKUP(B19,'Model allocations'!$A$1:$L$316,9,FALSE)</f>
        <v>0</v>
      </c>
      <c r="G19" s="30">
        <f t="shared" si="7"/>
        <v>0.85</v>
      </c>
      <c r="H19">
        <f t="shared" si="8"/>
        <v>0</v>
      </c>
      <c r="I19">
        <f t="shared" si="0"/>
        <v>0</v>
      </c>
      <c r="J19">
        <f t="shared" si="1"/>
        <v>0</v>
      </c>
      <c r="K19">
        <f t="shared" si="2"/>
        <v>0</v>
      </c>
      <c r="L19">
        <f t="shared" si="9"/>
        <v>0</v>
      </c>
      <c r="M19">
        <f t="shared" si="3"/>
        <v>0</v>
      </c>
      <c r="N19" s="29">
        <f t="shared" si="10"/>
        <v>0</v>
      </c>
      <c r="O19" s="29">
        <f t="shared" si="4"/>
        <v>0</v>
      </c>
      <c r="P19" s="29">
        <f t="shared" si="11"/>
        <v>0</v>
      </c>
      <c r="Q19">
        <f t="shared" si="12"/>
        <v>0</v>
      </c>
      <c r="R19" s="29">
        <f t="shared" si="13"/>
        <v>0</v>
      </c>
      <c r="S19" s="29">
        <f t="shared" si="5"/>
        <v>0</v>
      </c>
      <c r="T19" s="29">
        <f t="shared" si="14"/>
        <v>0</v>
      </c>
      <c r="U19">
        <f t="shared" si="15"/>
        <v>0</v>
      </c>
      <c r="V19" s="29">
        <f t="shared" si="16"/>
        <v>0</v>
      </c>
      <c r="W19" s="29">
        <f t="shared" si="6"/>
        <v>0</v>
      </c>
      <c r="X19" s="29">
        <f t="shared" si="17"/>
        <v>0</v>
      </c>
      <c r="Y19">
        <f t="shared" si="18"/>
        <v>0</v>
      </c>
    </row>
    <row r="20" spans="1:25" x14ac:dyDescent="0.25">
      <c r="A20" s="4" t="s">
        <v>10</v>
      </c>
      <c r="B20" s="7" t="s">
        <v>55</v>
      </c>
      <c r="C20" s="2" t="s">
        <v>691</v>
      </c>
      <c r="D20">
        <f>VLOOKUP(B20,'Model allocations'!$A$1:$L$316,4,FALSE)</f>
        <v>194243.15712184162</v>
      </c>
      <c r="E20" s="31">
        <f>VLOOKUP(B20,'Initial adjusted formula count'!$A$1:$P$316,12,FALSE)</f>
        <v>0.16819916138648799</v>
      </c>
      <c r="F20">
        <f>VLOOKUP(B20,'Model allocations'!$A$1:$L$316,9,FALSE)</f>
        <v>194857.40473495636</v>
      </c>
      <c r="G20" s="30">
        <f t="shared" si="7"/>
        <v>0.9</v>
      </c>
      <c r="H20">
        <f t="shared" si="8"/>
        <v>174818.84140965747</v>
      </c>
      <c r="I20">
        <f t="shared" si="0"/>
        <v>0</v>
      </c>
      <c r="J20">
        <f t="shared" si="1"/>
        <v>194857.40473495636</v>
      </c>
      <c r="K20">
        <f t="shared" si="2"/>
        <v>194644.6493066563</v>
      </c>
      <c r="L20">
        <f t="shared" si="9"/>
        <v>194644.6493066563</v>
      </c>
      <c r="M20">
        <f t="shared" si="3"/>
        <v>0</v>
      </c>
      <c r="N20" s="29">
        <f t="shared" si="10"/>
        <v>194644.6493066563</v>
      </c>
      <c r="O20" s="29">
        <f t="shared" si="4"/>
        <v>194592.5657105401</v>
      </c>
      <c r="P20" s="29">
        <f t="shared" si="11"/>
        <v>194592.5657105401</v>
      </c>
      <c r="Q20">
        <f t="shared" si="12"/>
        <v>0</v>
      </c>
      <c r="R20" s="29">
        <f t="shared" si="13"/>
        <v>194592.5657105401</v>
      </c>
      <c r="S20" s="29">
        <f t="shared" si="5"/>
        <v>194586.65623556456</v>
      </c>
      <c r="T20" s="29">
        <f t="shared" si="14"/>
        <v>194586.65623556456</v>
      </c>
      <c r="U20">
        <f t="shared" si="15"/>
        <v>0</v>
      </c>
      <c r="V20" s="29">
        <f t="shared" si="16"/>
        <v>194586.65623556456</v>
      </c>
      <c r="W20" s="29">
        <f t="shared" si="6"/>
        <v>194586.65623556456</v>
      </c>
      <c r="X20" s="29">
        <f t="shared" si="17"/>
        <v>194586.65623556456</v>
      </c>
      <c r="Y20">
        <f t="shared" si="18"/>
        <v>0</v>
      </c>
    </row>
    <row r="21" spans="1:25" x14ac:dyDescent="0.25">
      <c r="A21" s="4" t="s">
        <v>692</v>
      </c>
      <c r="B21" s="7" t="s">
        <v>319</v>
      </c>
      <c r="C21" s="2" t="s">
        <v>693</v>
      </c>
      <c r="D21">
        <f>VLOOKUP(B21,'Model allocations'!$A$1:$L$316,4,FALSE)</f>
        <v>56577.894332814707</v>
      </c>
      <c r="E21" s="31">
        <f>VLOOKUP(B21,'Initial adjusted formula count'!$A$1:$P$316,12,FALSE)</f>
        <v>0.227176220806794</v>
      </c>
      <c r="F21">
        <f>VLOOKUP(B21,'Model allocations'!$A$1:$L$316,9,FALSE)</f>
        <v>50981.198336556678</v>
      </c>
      <c r="G21" s="30">
        <f t="shared" si="7"/>
        <v>0.9</v>
      </c>
      <c r="H21">
        <f t="shared" si="8"/>
        <v>50920.104899533238</v>
      </c>
      <c r="I21">
        <f t="shared" si="0"/>
        <v>0</v>
      </c>
      <c r="J21">
        <f t="shared" si="1"/>
        <v>50981.198336556678</v>
      </c>
      <c r="K21">
        <f t="shared" si="2"/>
        <v>50925.534418102572</v>
      </c>
      <c r="L21">
        <f t="shared" si="9"/>
        <v>50925.534418102572</v>
      </c>
      <c r="M21">
        <f t="shared" si="3"/>
        <v>0</v>
      </c>
      <c r="N21" s="29">
        <f t="shared" si="10"/>
        <v>50925.534418102572</v>
      </c>
      <c r="O21" s="29">
        <f t="shared" si="4"/>
        <v>50911.907611631992</v>
      </c>
      <c r="P21" s="29">
        <f t="shared" si="11"/>
        <v>50911.907611631992</v>
      </c>
      <c r="Q21">
        <f t="shared" si="12"/>
        <v>50920.104899533238</v>
      </c>
      <c r="R21" s="29">
        <f t="shared" si="13"/>
        <v>0</v>
      </c>
      <c r="S21" s="29">
        <f t="shared" si="5"/>
        <v>0</v>
      </c>
      <c r="T21" s="29">
        <f t="shared" si="14"/>
        <v>50920.104899533238</v>
      </c>
      <c r="U21">
        <f t="shared" si="15"/>
        <v>0</v>
      </c>
      <c r="V21" s="29">
        <f t="shared" si="16"/>
        <v>0</v>
      </c>
      <c r="W21" s="29">
        <f t="shared" si="6"/>
        <v>0</v>
      </c>
      <c r="X21" s="29">
        <f t="shared" si="17"/>
        <v>50920.104899533238</v>
      </c>
      <c r="Y21">
        <f t="shared" si="18"/>
        <v>0</v>
      </c>
    </row>
    <row r="22" spans="1:25" x14ac:dyDescent="0.25">
      <c r="A22" s="4" t="s">
        <v>694</v>
      </c>
      <c r="B22" s="7" t="s">
        <v>321</v>
      </c>
      <c r="C22" s="2" t="s">
        <v>695</v>
      </c>
      <c r="D22">
        <f>VLOOKUP(B22,'Model allocations'!$A$1:$L$316,4,FALSE)</f>
        <v>36237.907527216048</v>
      </c>
      <c r="E22" s="31">
        <f>VLOOKUP(B22,'Initial adjusted formula count'!$A$1:$P$316,12,FALSE)</f>
        <v>0.12184249628528999</v>
      </c>
      <c r="F22">
        <f>VLOOKUP(B22,'Model allocations'!$A$1:$L$316,9,FALSE)</f>
        <v>30839.177597985978</v>
      </c>
      <c r="G22" s="30">
        <f t="shared" si="7"/>
        <v>0.85</v>
      </c>
      <c r="H22">
        <f t="shared" si="8"/>
        <v>30802.221398133639</v>
      </c>
      <c r="I22">
        <f t="shared" si="0"/>
        <v>0</v>
      </c>
      <c r="J22">
        <f t="shared" si="1"/>
        <v>30839.177597985978</v>
      </c>
      <c r="K22">
        <f t="shared" si="2"/>
        <v>30805.505783218628</v>
      </c>
      <c r="L22">
        <f t="shared" si="9"/>
        <v>30805.505783218628</v>
      </c>
      <c r="M22">
        <f t="shared" si="3"/>
        <v>0</v>
      </c>
      <c r="N22" s="29">
        <f t="shared" si="10"/>
        <v>30805.505783218628</v>
      </c>
      <c r="O22" s="29">
        <f t="shared" si="4"/>
        <v>30797.262754051972</v>
      </c>
      <c r="P22" s="29">
        <f t="shared" si="11"/>
        <v>30797.262754051972</v>
      </c>
      <c r="Q22">
        <f t="shared" si="12"/>
        <v>30802.221398133639</v>
      </c>
      <c r="R22" s="29">
        <f t="shared" si="13"/>
        <v>0</v>
      </c>
      <c r="S22" s="29">
        <f t="shared" si="5"/>
        <v>0</v>
      </c>
      <c r="T22" s="29">
        <f t="shared" si="14"/>
        <v>30802.221398133639</v>
      </c>
      <c r="U22">
        <f t="shared" si="15"/>
        <v>0</v>
      </c>
      <c r="V22" s="29">
        <f t="shared" si="16"/>
        <v>0</v>
      </c>
      <c r="W22" s="29">
        <f t="shared" si="6"/>
        <v>0</v>
      </c>
      <c r="X22" s="29">
        <f t="shared" si="17"/>
        <v>30802.221398133639</v>
      </c>
      <c r="Y22">
        <f t="shared" si="18"/>
        <v>0</v>
      </c>
    </row>
    <row r="23" spans="1:25" x14ac:dyDescent="0.25">
      <c r="A23" s="4" t="s">
        <v>696</v>
      </c>
      <c r="B23" s="7" t="s">
        <v>323</v>
      </c>
      <c r="C23" s="2" t="s">
        <v>697</v>
      </c>
      <c r="D23">
        <f>VLOOKUP(B23,'Model allocations'!$A$1:$L$316,4,FALSE)</f>
        <v>6078.6167465007529</v>
      </c>
      <c r="E23" s="31">
        <f>VLOOKUP(B23,'Initial adjusted formula count'!$A$1:$P$316,12,FALSE)</f>
        <v>0.11504424778761101</v>
      </c>
      <c r="F23">
        <f>VLOOKUP(B23,'Model allocations'!$A$1:$L$316,9,FALSE)</f>
        <v>5173.0233390170006</v>
      </c>
      <c r="G23" s="30">
        <f t="shared" si="7"/>
        <v>0.85</v>
      </c>
      <c r="H23">
        <f t="shared" si="8"/>
        <v>5166.8242345256394</v>
      </c>
      <c r="I23">
        <f t="shared" si="0"/>
        <v>0</v>
      </c>
      <c r="J23">
        <f t="shared" si="1"/>
        <v>5173.0233390170006</v>
      </c>
      <c r="K23">
        <f t="shared" si="2"/>
        <v>5167.3751636366715</v>
      </c>
      <c r="L23">
        <f t="shared" si="9"/>
        <v>5167.3751636366715</v>
      </c>
      <c r="M23">
        <f t="shared" si="3"/>
        <v>0</v>
      </c>
      <c r="N23" s="29">
        <f t="shared" si="10"/>
        <v>5167.3751636366715</v>
      </c>
      <c r="O23" s="29">
        <f t="shared" si="4"/>
        <v>5165.9924619700059</v>
      </c>
      <c r="P23" s="29">
        <f t="shared" si="11"/>
        <v>5165.9924619700059</v>
      </c>
      <c r="Q23">
        <f t="shared" si="12"/>
        <v>5166.8242345256394</v>
      </c>
      <c r="R23" s="29">
        <f t="shared" si="13"/>
        <v>0</v>
      </c>
      <c r="S23" s="29">
        <f t="shared" si="5"/>
        <v>0</v>
      </c>
      <c r="T23" s="29">
        <f t="shared" si="14"/>
        <v>5166.8242345256394</v>
      </c>
      <c r="U23">
        <f t="shared" si="15"/>
        <v>0</v>
      </c>
      <c r="V23" s="29">
        <f t="shared" si="16"/>
        <v>0</v>
      </c>
      <c r="W23" s="29">
        <f t="shared" si="6"/>
        <v>0</v>
      </c>
      <c r="X23" s="29">
        <f t="shared" si="17"/>
        <v>5166.8242345256394</v>
      </c>
      <c r="Y23">
        <f t="shared" si="18"/>
        <v>0</v>
      </c>
    </row>
    <row r="24" spans="1:25" x14ac:dyDescent="0.25">
      <c r="A24" s="4" t="s">
        <v>698</v>
      </c>
      <c r="B24" s="7" t="s">
        <v>325</v>
      </c>
      <c r="C24" s="2" t="s">
        <v>699</v>
      </c>
      <c r="D24">
        <f>VLOOKUP(B24,'Model allocations'!$A$1:$L$316,4,FALSE)</f>
        <v>0</v>
      </c>
      <c r="E24" s="31">
        <f>VLOOKUP(B24,'Initial adjusted formula count'!$A$1:$P$316,12,FALSE)</f>
        <v>9.8526200873362405E-2</v>
      </c>
      <c r="F24">
        <f>VLOOKUP(B24,'Model allocations'!$A$1:$L$316,9,FALSE)</f>
        <v>0</v>
      </c>
      <c r="G24" s="30">
        <f t="shared" si="7"/>
        <v>0.85</v>
      </c>
      <c r="H24">
        <f t="shared" si="8"/>
        <v>0</v>
      </c>
      <c r="I24">
        <f t="shared" si="0"/>
        <v>0</v>
      </c>
      <c r="J24">
        <f t="shared" si="1"/>
        <v>0</v>
      </c>
      <c r="K24">
        <f t="shared" si="2"/>
        <v>0</v>
      </c>
      <c r="L24">
        <f t="shared" si="9"/>
        <v>0</v>
      </c>
      <c r="M24">
        <f t="shared" si="3"/>
        <v>0</v>
      </c>
      <c r="N24" s="29">
        <f t="shared" si="10"/>
        <v>0</v>
      </c>
      <c r="O24" s="29">
        <f t="shared" si="4"/>
        <v>0</v>
      </c>
      <c r="P24" s="29">
        <f t="shared" si="11"/>
        <v>0</v>
      </c>
      <c r="Q24">
        <f t="shared" si="12"/>
        <v>0</v>
      </c>
      <c r="R24" s="29">
        <f t="shared" si="13"/>
        <v>0</v>
      </c>
      <c r="S24" s="29">
        <f t="shared" si="5"/>
        <v>0</v>
      </c>
      <c r="T24" s="29">
        <f t="shared" si="14"/>
        <v>0</v>
      </c>
      <c r="U24">
        <f t="shared" si="15"/>
        <v>0</v>
      </c>
      <c r="V24" s="29">
        <f t="shared" si="16"/>
        <v>0</v>
      </c>
      <c r="W24" s="29">
        <f t="shared" si="6"/>
        <v>0</v>
      </c>
      <c r="X24" s="29">
        <f t="shared" si="17"/>
        <v>0</v>
      </c>
      <c r="Y24">
        <f t="shared" si="18"/>
        <v>0</v>
      </c>
    </row>
    <row r="25" spans="1:25" x14ac:dyDescent="0.25">
      <c r="A25" s="4" t="s">
        <v>700</v>
      </c>
      <c r="B25" s="7" t="s">
        <v>100</v>
      </c>
      <c r="C25" s="2" t="s">
        <v>701</v>
      </c>
      <c r="D25">
        <f>VLOOKUP(B25,'Model allocations'!$A$1:$L$316,4,FALSE)</f>
        <v>0</v>
      </c>
      <c r="E25" s="31">
        <f>VLOOKUP(B25,'Initial adjusted formula count'!$A$1:$P$316,12,FALSE)</f>
        <v>3.8010513546300001E-2</v>
      </c>
      <c r="F25">
        <f>VLOOKUP(B25,'Model allocations'!$A$1:$L$316,9,FALSE)</f>
        <v>0</v>
      </c>
      <c r="G25" s="30">
        <f t="shared" si="7"/>
        <v>0.85</v>
      </c>
      <c r="H25">
        <f t="shared" si="8"/>
        <v>0</v>
      </c>
      <c r="I25">
        <f t="shared" si="0"/>
        <v>0</v>
      </c>
      <c r="J25">
        <f t="shared" si="1"/>
        <v>0</v>
      </c>
      <c r="K25">
        <f t="shared" si="2"/>
        <v>0</v>
      </c>
      <c r="L25">
        <f t="shared" si="9"/>
        <v>0</v>
      </c>
      <c r="M25">
        <f t="shared" si="3"/>
        <v>0</v>
      </c>
      <c r="N25" s="29">
        <f t="shared" si="10"/>
        <v>0</v>
      </c>
      <c r="O25" s="29">
        <f t="shared" si="4"/>
        <v>0</v>
      </c>
      <c r="P25" s="29">
        <f t="shared" si="11"/>
        <v>0</v>
      </c>
      <c r="Q25">
        <f t="shared" si="12"/>
        <v>0</v>
      </c>
      <c r="R25" s="29">
        <f t="shared" si="13"/>
        <v>0</v>
      </c>
      <c r="S25" s="29">
        <f t="shared" si="5"/>
        <v>0</v>
      </c>
      <c r="T25" s="29">
        <f t="shared" si="14"/>
        <v>0</v>
      </c>
      <c r="U25">
        <f t="shared" si="15"/>
        <v>0</v>
      </c>
      <c r="V25" s="29">
        <f t="shared" si="16"/>
        <v>0</v>
      </c>
      <c r="W25" s="29">
        <f t="shared" si="6"/>
        <v>0</v>
      </c>
      <c r="X25" s="29">
        <f t="shared" si="17"/>
        <v>0</v>
      </c>
      <c r="Y25">
        <f t="shared" si="18"/>
        <v>0</v>
      </c>
    </row>
    <row r="26" spans="1:25" x14ac:dyDescent="0.25">
      <c r="A26" s="4" t="s">
        <v>702</v>
      </c>
      <c r="B26" s="7" t="s">
        <v>327</v>
      </c>
      <c r="C26" s="2" t="s">
        <v>703</v>
      </c>
      <c r="D26">
        <f>VLOOKUP(B26,'Model allocations'!$A$1:$L$316,4,FALSE)</f>
        <v>22850.169177885848</v>
      </c>
      <c r="E26" s="31">
        <f>VLOOKUP(B26,'Initial adjusted formula count'!$A$1:$P$316,12,FALSE)</f>
        <v>0.149722735674677</v>
      </c>
      <c r="F26">
        <f>VLOOKUP(B26,'Model allocations'!$A$1:$L$316,9,FALSE)</f>
        <v>19422.643801202968</v>
      </c>
      <c r="G26" s="30">
        <f t="shared" si="7"/>
        <v>0.85</v>
      </c>
      <c r="H26">
        <f t="shared" si="8"/>
        <v>19422.643801202968</v>
      </c>
      <c r="I26">
        <f t="shared" si="0"/>
        <v>0</v>
      </c>
      <c r="J26">
        <f t="shared" si="1"/>
        <v>19422.643801202968</v>
      </c>
      <c r="K26">
        <f t="shared" si="2"/>
        <v>19401.437150594717</v>
      </c>
      <c r="L26">
        <f t="shared" si="9"/>
        <v>19401.437150594717</v>
      </c>
      <c r="M26">
        <f t="shared" si="3"/>
        <v>19422.643801202968</v>
      </c>
      <c r="N26" s="29">
        <f t="shared" si="10"/>
        <v>0</v>
      </c>
      <c r="O26" s="29">
        <f t="shared" si="4"/>
        <v>0</v>
      </c>
      <c r="P26" s="29">
        <f t="shared" si="11"/>
        <v>19422.643801202968</v>
      </c>
      <c r="Q26">
        <f t="shared" si="12"/>
        <v>0</v>
      </c>
      <c r="R26" s="29">
        <f t="shared" si="13"/>
        <v>0</v>
      </c>
      <c r="S26" s="29">
        <f t="shared" si="5"/>
        <v>0</v>
      </c>
      <c r="T26" s="29">
        <f t="shared" si="14"/>
        <v>19422.643801202968</v>
      </c>
      <c r="U26">
        <f t="shared" si="15"/>
        <v>0</v>
      </c>
      <c r="V26" s="29">
        <f t="shared" si="16"/>
        <v>0</v>
      </c>
      <c r="W26" s="29">
        <f t="shared" si="6"/>
        <v>0</v>
      </c>
      <c r="X26" s="29">
        <f t="shared" si="17"/>
        <v>19422.643801202968</v>
      </c>
      <c r="Y26">
        <f t="shared" si="18"/>
        <v>0</v>
      </c>
    </row>
    <row r="27" spans="1:25" x14ac:dyDescent="0.25">
      <c r="A27" s="4" t="s">
        <v>704</v>
      </c>
      <c r="B27" s="7" t="s">
        <v>102</v>
      </c>
      <c r="C27" s="2" t="s">
        <v>705</v>
      </c>
      <c r="D27">
        <f>VLOOKUP(B27,'Model allocations'!$A$1:$L$316,4,FALSE)</f>
        <v>0</v>
      </c>
      <c r="E27" s="31">
        <f>VLOOKUP(B27,'Initial adjusted formula count'!$A$1:$P$316,12,FALSE)</f>
        <v>1.9047619047619001E-2</v>
      </c>
      <c r="F27">
        <f>VLOOKUP(B27,'Model allocations'!$A$1:$L$316,9,FALSE)</f>
        <v>0</v>
      </c>
      <c r="G27" s="30">
        <f t="shared" si="7"/>
        <v>0.85</v>
      </c>
      <c r="H27">
        <f t="shared" si="8"/>
        <v>0</v>
      </c>
      <c r="I27">
        <f t="shared" si="0"/>
        <v>0</v>
      </c>
      <c r="J27">
        <f t="shared" si="1"/>
        <v>0</v>
      </c>
      <c r="K27">
        <f t="shared" si="2"/>
        <v>0</v>
      </c>
      <c r="L27">
        <f t="shared" si="9"/>
        <v>0</v>
      </c>
      <c r="M27">
        <f t="shared" si="3"/>
        <v>0</v>
      </c>
      <c r="N27" s="29">
        <f t="shared" si="10"/>
        <v>0</v>
      </c>
      <c r="O27" s="29">
        <f t="shared" si="4"/>
        <v>0</v>
      </c>
      <c r="P27" s="29">
        <f t="shared" si="11"/>
        <v>0</v>
      </c>
      <c r="Q27">
        <f t="shared" si="12"/>
        <v>0</v>
      </c>
      <c r="R27" s="29">
        <f t="shared" si="13"/>
        <v>0</v>
      </c>
      <c r="S27" s="29">
        <f t="shared" si="5"/>
        <v>0</v>
      </c>
      <c r="T27" s="29">
        <f t="shared" si="14"/>
        <v>0</v>
      </c>
      <c r="U27">
        <f t="shared" si="15"/>
        <v>0</v>
      </c>
      <c r="V27" s="29">
        <f t="shared" si="16"/>
        <v>0</v>
      </c>
      <c r="W27" s="29">
        <f t="shared" si="6"/>
        <v>0</v>
      </c>
      <c r="X27" s="29">
        <f t="shared" si="17"/>
        <v>0</v>
      </c>
      <c r="Y27">
        <f t="shared" si="18"/>
        <v>0</v>
      </c>
    </row>
    <row r="28" spans="1:25" x14ac:dyDescent="0.25">
      <c r="A28" s="4" t="s">
        <v>706</v>
      </c>
      <c r="B28" s="7" t="s">
        <v>329</v>
      </c>
      <c r="C28" s="2" t="s">
        <v>707</v>
      </c>
      <c r="D28">
        <f>VLOOKUP(B28,'Model allocations'!$A$1:$L$316,4,FALSE)</f>
        <v>0</v>
      </c>
      <c r="E28" s="31">
        <f>VLOOKUP(B28,'Initial adjusted formula count'!$A$1:$P$316,12,FALSE)</f>
        <v>7.7067669172932299E-2</v>
      </c>
      <c r="F28">
        <f>VLOOKUP(B28,'Model allocations'!$A$1:$L$316,9,FALSE)</f>
        <v>0</v>
      </c>
      <c r="G28" s="30">
        <f t="shared" si="7"/>
        <v>0.85</v>
      </c>
      <c r="H28">
        <f t="shared" si="8"/>
        <v>0</v>
      </c>
      <c r="I28">
        <f t="shared" si="0"/>
        <v>0</v>
      </c>
      <c r="J28">
        <f t="shared" si="1"/>
        <v>0</v>
      </c>
      <c r="K28">
        <f t="shared" si="2"/>
        <v>0</v>
      </c>
      <c r="L28">
        <f t="shared" si="9"/>
        <v>0</v>
      </c>
      <c r="M28">
        <f t="shared" si="3"/>
        <v>0</v>
      </c>
      <c r="N28" s="29">
        <f t="shared" si="10"/>
        <v>0</v>
      </c>
      <c r="O28" s="29">
        <f t="shared" si="4"/>
        <v>0</v>
      </c>
      <c r="P28" s="29">
        <f t="shared" si="11"/>
        <v>0</v>
      </c>
      <c r="Q28">
        <f t="shared" si="12"/>
        <v>0</v>
      </c>
      <c r="R28" s="29">
        <f t="shared" si="13"/>
        <v>0</v>
      </c>
      <c r="S28" s="29">
        <f t="shared" si="5"/>
        <v>0</v>
      </c>
      <c r="T28" s="29">
        <f t="shared" si="14"/>
        <v>0</v>
      </c>
      <c r="U28">
        <f t="shared" si="15"/>
        <v>0</v>
      </c>
      <c r="V28" s="29">
        <f t="shared" si="16"/>
        <v>0</v>
      </c>
      <c r="W28" s="29">
        <f t="shared" si="6"/>
        <v>0</v>
      </c>
      <c r="X28" s="29">
        <f t="shared" si="17"/>
        <v>0</v>
      </c>
      <c r="Y28">
        <f t="shared" si="18"/>
        <v>0</v>
      </c>
    </row>
    <row r="29" spans="1:25" x14ac:dyDescent="0.25">
      <c r="A29" s="4" t="s">
        <v>708</v>
      </c>
      <c r="B29" s="7" t="s">
        <v>331</v>
      </c>
      <c r="C29" s="2" t="s">
        <v>709</v>
      </c>
      <c r="D29">
        <f>VLOOKUP(B29,'Model allocations'!$A$1:$L$316,4,FALSE)</f>
        <v>0</v>
      </c>
      <c r="E29" s="31">
        <f>VLOOKUP(B29,'Initial adjusted formula count'!$A$1:$P$316,12,FALSE)</f>
        <v>8.7890625E-2</v>
      </c>
      <c r="F29">
        <f>VLOOKUP(B29,'Model allocations'!$A$1:$L$316,9,FALSE)</f>
        <v>0</v>
      </c>
      <c r="G29" s="30">
        <f t="shared" si="7"/>
        <v>0.85</v>
      </c>
      <c r="H29">
        <f t="shared" si="8"/>
        <v>0</v>
      </c>
      <c r="I29">
        <f t="shared" si="0"/>
        <v>0</v>
      </c>
      <c r="J29">
        <f t="shared" si="1"/>
        <v>0</v>
      </c>
      <c r="K29">
        <f t="shared" si="2"/>
        <v>0</v>
      </c>
      <c r="L29">
        <f t="shared" si="9"/>
        <v>0</v>
      </c>
      <c r="M29">
        <f t="shared" si="3"/>
        <v>0</v>
      </c>
      <c r="N29" s="29">
        <f t="shared" si="10"/>
        <v>0</v>
      </c>
      <c r="O29" s="29">
        <f t="shared" si="4"/>
        <v>0</v>
      </c>
      <c r="P29" s="29">
        <f t="shared" si="11"/>
        <v>0</v>
      </c>
      <c r="Q29">
        <f t="shared" si="12"/>
        <v>0</v>
      </c>
      <c r="R29" s="29">
        <f t="shared" si="13"/>
        <v>0</v>
      </c>
      <c r="S29" s="29">
        <f t="shared" si="5"/>
        <v>0</v>
      </c>
      <c r="T29" s="29">
        <f t="shared" si="14"/>
        <v>0</v>
      </c>
      <c r="U29">
        <f t="shared" si="15"/>
        <v>0</v>
      </c>
      <c r="V29" s="29">
        <f t="shared" si="16"/>
        <v>0</v>
      </c>
      <c r="W29" s="29">
        <f t="shared" si="6"/>
        <v>0</v>
      </c>
      <c r="X29" s="29">
        <f t="shared" si="17"/>
        <v>0</v>
      </c>
      <c r="Y29">
        <f t="shared" si="18"/>
        <v>0</v>
      </c>
    </row>
    <row r="30" spans="1:25" x14ac:dyDescent="0.25">
      <c r="A30" s="4" t="s">
        <v>710</v>
      </c>
      <c r="B30" s="7" t="s">
        <v>104</v>
      </c>
      <c r="C30" s="2" t="s">
        <v>711</v>
      </c>
      <c r="D30">
        <f>VLOOKUP(B30,'Model allocations'!$A$1:$L$316,4,FALSE)</f>
        <v>0</v>
      </c>
      <c r="E30" s="31">
        <f>VLOOKUP(B30,'Initial adjusted formula count'!$A$1:$P$316,12,FALSE)</f>
        <v>9.8074608904933802E-2</v>
      </c>
      <c r="F30">
        <f>VLOOKUP(B30,'Model allocations'!$A$1:$L$316,9,FALSE)</f>
        <v>0</v>
      </c>
      <c r="G30" s="30">
        <f t="shared" si="7"/>
        <v>0.85</v>
      </c>
      <c r="H30">
        <f t="shared" si="8"/>
        <v>0</v>
      </c>
      <c r="I30">
        <f t="shared" si="0"/>
        <v>0</v>
      </c>
      <c r="J30">
        <f t="shared" si="1"/>
        <v>0</v>
      </c>
      <c r="K30">
        <f t="shared" si="2"/>
        <v>0</v>
      </c>
      <c r="L30">
        <f t="shared" si="9"/>
        <v>0</v>
      </c>
      <c r="M30">
        <f t="shared" si="3"/>
        <v>0</v>
      </c>
      <c r="N30" s="29">
        <f t="shared" si="10"/>
        <v>0</v>
      </c>
      <c r="O30" s="29">
        <f t="shared" si="4"/>
        <v>0</v>
      </c>
      <c r="P30" s="29">
        <f t="shared" si="11"/>
        <v>0</v>
      </c>
      <c r="Q30">
        <f t="shared" si="12"/>
        <v>0</v>
      </c>
      <c r="R30" s="29">
        <f t="shared" si="13"/>
        <v>0</v>
      </c>
      <c r="S30" s="29">
        <f t="shared" si="5"/>
        <v>0</v>
      </c>
      <c r="T30" s="29">
        <f t="shared" si="14"/>
        <v>0</v>
      </c>
      <c r="U30">
        <f t="shared" si="15"/>
        <v>0</v>
      </c>
      <c r="V30" s="29">
        <f t="shared" si="16"/>
        <v>0</v>
      </c>
      <c r="W30" s="29">
        <f t="shared" si="6"/>
        <v>0</v>
      </c>
      <c r="X30" s="29">
        <f t="shared" si="17"/>
        <v>0</v>
      </c>
      <c r="Y30">
        <f t="shared" si="18"/>
        <v>0</v>
      </c>
    </row>
    <row r="31" spans="1:25" x14ac:dyDescent="0.25">
      <c r="A31" s="4" t="s">
        <v>8</v>
      </c>
      <c r="B31" s="7" t="s">
        <v>66</v>
      </c>
      <c r="C31" s="2" t="s">
        <v>712</v>
      </c>
      <c r="D31">
        <f>VLOOKUP(B31,'Model allocations'!$A$1:$L$316,4,FALSE)</f>
        <v>0</v>
      </c>
      <c r="E31" s="31">
        <f>VLOOKUP(B31,'Initial adjusted formula count'!$A$1:$P$316,12,FALSE)</f>
        <v>0.12580234706885199</v>
      </c>
      <c r="F31">
        <f>VLOOKUP(B31,'Model allocations'!$A$1:$L$316,9,FALSE)</f>
        <v>0</v>
      </c>
      <c r="G31" s="30">
        <f t="shared" si="7"/>
        <v>0.85</v>
      </c>
      <c r="H31">
        <f t="shared" si="8"/>
        <v>0</v>
      </c>
      <c r="I31">
        <f t="shared" si="0"/>
        <v>0</v>
      </c>
      <c r="J31">
        <f t="shared" si="1"/>
        <v>0</v>
      </c>
      <c r="K31">
        <f t="shared" si="2"/>
        <v>0</v>
      </c>
      <c r="L31">
        <f t="shared" si="9"/>
        <v>0</v>
      </c>
      <c r="M31">
        <f t="shared" si="3"/>
        <v>0</v>
      </c>
      <c r="N31" s="29">
        <f t="shared" si="10"/>
        <v>0</v>
      </c>
      <c r="O31" s="29">
        <f t="shared" si="4"/>
        <v>0</v>
      </c>
      <c r="P31" s="29">
        <f t="shared" si="11"/>
        <v>0</v>
      </c>
      <c r="Q31">
        <f t="shared" si="12"/>
        <v>0</v>
      </c>
      <c r="R31" s="29">
        <f t="shared" si="13"/>
        <v>0</v>
      </c>
      <c r="S31" s="29">
        <f t="shared" si="5"/>
        <v>0</v>
      </c>
      <c r="T31" s="29">
        <f t="shared" si="14"/>
        <v>0</v>
      </c>
      <c r="U31">
        <f t="shared" si="15"/>
        <v>0</v>
      </c>
      <c r="V31" s="29">
        <f t="shared" si="16"/>
        <v>0</v>
      </c>
      <c r="W31" s="29">
        <f t="shared" si="6"/>
        <v>0</v>
      </c>
      <c r="X31" s="29">
        <f t="shared" si="17"/>
        <v>0</v>
      </c>
      <c r="Y31">
        <f t="shared" si="18"/>
        <v>0</v>
      </c>
    </row>
    <row r="32" spans="1:25" x14ac:dyDescent="0.25">
      <c r="A32" s="4" t="s">
        <v>713</v>
      </c>
      <c r="B32" s="7" t="s">
        <v>333</v>
      </c>
      <c r="C32" s="2" t="s">
        <v>714</v>
      </c>
      <c r="D32">
        <f>VLOOKUP(B32,'Model allocations'!$A$1:$L$316,4,FALSE)</f>
        <v>5611.0308429237757</v>
      </c>
      <c r="E32" s="31">
        <f>VLOOKUP(B32,'Initial adjusted formula count'!$A$1:$P$316,12,FALSE)</f>
        <v>0.38297872340425498</v>
      </c>
      <c r="F32">
        <f>VLOOKUP(B32,'Model allocations'!$A$1:$L$316,9,FALSE)</f>
        <v>8546.7556220489623</v>
      </c>
      <c r="G32" s="30">
        <f t="shared" si="7"/>
        <v>0.95</v>
      </c>
      <c r="H32">
        <f t="shared" si="8"/>
        <v>5330.479300777587</v>
      </c>
      <c r="I32">
        <f t="shared" si="0"/>
        <v>0</v>
      </c>
      <c r="J32">
        <f t="shared" si="1"/>
        <v>8546.7556220489623</v>
      </c>
      <c r="K32">
        <f t="shared" si="2"/>
        <v>8537.4238306530006</v>
      </c>
      <c r="L32">
        <f t="shared" si="9"/>
        <v>8537.4238306530006</v>
      </c>
      <c r="M32">
        <f t="shared" si="3"/>
        <v>0</v>
      </c>
      <c r="N32" s="29">
        <f t="shared" si="10"/>
        <v>8537.4238306530006</v>
      </c>
      <c r="O32" s="29">
        <f t="shared" si="4"/>
        <v>8535.1393613071832</v>
      </c>
      <c r="P32" s="29">
        <f t="shared" si="11"/>
        <v>8535.1393613071832</v>
      </c>
      <c r="Q32">
        <f t="shared" si="12"/>
        <v>0</v>
      </c>
      <c r="R32" s="29">
        <f t="shared" si="13"/>
        <v>8535.1393613071832</v>
      </c>
      <c r="S32" s="29">
        <f t="shared" si="5"/>
        <v>8534.8801623378695</v>
      </c>
      <c r="T32" s="29">
        <f t="shared" si="14"/>
        <v>8534.8801623378695</v>
      </c>
      <c r="U32">
        <f t="shared" si="15"/>
        <v>0</v>
      </c>
      <c r="V32" s="29">
        <f t="shared" si="16"/>
        <v>8534.8801623378695</v>
      </c>
      <c r="W32" s="29">
        <f t="shared" si="6"/>
        <v>8534.8801623378695</v>
      </c>
      <c r="X32" s="29">
        <f t="shared" si="17"/>
        <v>8534.8801623378695</v>
      </c>
      <c r="Y32">
        <f t="shared" si="18"/>
        <v>0</v>
      </c>
    </row>
    <row r="33" spans="1:25" x14ac:dyDescent="0.25">
      <c r="A33" s="4" t="s">
        <v>715</v>
      </c>
      <c r="B33" s="7" t="s">
        <v>106</v>
      </c>
      <c r="C33" s="2" t="s">
        <v>716</v>
      </c>
      <c r="D33">
        <f>VLOOKUP(B33,'Model allocations'!$A$1:$L$316,4,FALSE)</f>
        <v>0</v>
      </c>
      <c r="E33" s="31">
        <f>VLOOKUP(B33,'Initial adjusted formula count'!$A$1:$P$316,12,FALSE)</f>
        <v>7.3902177793645094E-2</v>
      </c>
      <c r="F33">
        <f>VLOOKUP(B33,'Model allocations'!$A$1:$L$316,9,FALSE)</f>
        <v>0</v>
      </c>
      <c r="G33" s="30">
        <f t="shared" si="7"/>
        <v>0.85</v>
      </c>
      <c r="H33">
        <f t="shared" si="8"/>
        <v>0</v>
      </c>
      <c r="I33">
        <f t="shared" si="0"/>
        <v>0</v>
      </c>
      <c r="J33">
        <f t="shared" si="1"/>
        <v>0</v>
      </c>
      <c r="K33">
        <f t="shared" si="2"/>
        <v>0</v>
      </c>
      <c r="L33">
        <f t="shared" si="9"/>
        <v>0</v>
      </c>
      <c r="M33">
        <f t="shared" si="3"/>
        <v>0</v>
      </c>
      <c r="N33" s="29">
        <f t="shared" si="10"/>
        <v>0</v>
      </c>
      <c r="O33" s="29">
        <f t="shared" si="4"/>
        <v>0</v>
      </c>
      <c r="P33" s="29">
        <f t="shared" si="11"/>
        <v>0</v>
      </c>
      <c r="Q33">
        <f t="shared" si="12"/>
        <v>0</v>
      </c>
      <c r="R33" s="29">
        <f t="shared" si="13"/>
        <v>0</v>
      </c>
      <c r="S33" s="29">
        <f t="shared" si="5"/>
        <v>0</v>
      </c>
      <c r="T33" s="29">
        <f t="shared" si="14"/>
        <v>0</v>
      </c>
      <c r="U33">
        <f t="shared" si="15"/>
        <v>0</v>
      </c>
      <c r="V33" s="29">
        <f t="shared" si="16"/>
        <v>0</v>
      </c>
      <c r="W33" s="29">
        <f t="shared" si="6"/>
        <v>0</v>
      </c>
      <c r="X33" s="29">
        <f t="shared" si="17"/>
        <v>0</v>
      </c>
      <c r="Y33">
        <f t="shared" si="18"/>
        <v>0</v>
      </c>
    </row>
    <row r="34" spans="1:25" x14ac:dyDescent="0.25">
      <c r="A34" s="4" t="s">
        <v>717</v>
      </c>
      <c r="B34" s="7" t="s">
        <v>265</v>
      </c>
      <c r="C34" s="2" t="s">
        <v>718</v>
      </c>
      <c r="D34">
        <f>VLOOKUP(B34,'Model allocations'!$A$1:$L$316,4,FALSE)</f>
        <v>0</v>
      </c>
      <c r="E34" s="31">
        <f>VLOOKUP(B34,'Initial adjusted formula count'!$A$1:$P$316,12,FALSE)</f>
        <v>7.6382791922739196E-2</v>
      </c>
      <c r="F34">
        <f>VLOOKUP(B34,'Model allocations'!$A$1:$L$316,9,FALSE)</f>
        <v>0</v>
      </c>
      <c r="G34" s="30">
        <f t="shared" si="7"/>
        <v>0.85</v>
      </c>
      <c r="H34">
        <f t="shared" si="8"/>
        <v>0</v>
      </c>
      <c r="I34">
        <f t="shared" si="0"/>
        <v>0</v>
      </c>
      <c r="J34">
        <f t="shared" si="1"/>
        <v>0</v>
      </c>
      <c r="K34">
        <f t="shared" si="2"/>
        <v>0</v>
      </c>
      <c r="L34">
        <f t="shared" si="9"/>
        <v>0</v>
      </c>
      <c r="M34">
        <f t="shared" si="3"/>
        <v>0</v>
      </c>
      <c r="N34" s="29">
        <f t="shared" si="10"/>
        <v>0</v>
      </c>
      <c r="O34" s="29">
        <f t="shared" si="4"/>
        <v>0</v>
      </c>
      <c r="P34" s="29">
        <f t="shared" si="11"/>
        <v>0</v>
      </c>
      <c r="Q34">
        <f t="shared" si="12"/>
        <v>0</v>
      </c>
      <c r="R34" s="29">
        <f t="shared" si="13"/>
        <v>0</v>
      </c>
      <c r="S34" s="29">
        <f t="shared" si="5"/>
        <v>0</v>
      </c>
      <c r="T34" s="29">
        <f t="shared" si="14"/>
        <v>0</v>
      </c>
      <c r="U34">
        <f t="shared" si="15"/>
        <v>0</v>
      </c>
      <c r="V34" s="29">
        <f t="shared" si="16"/>
        <v>0</v>
      </c>
      <c r="W34" s="29">
        <f t="shared" si="6"/>
        <v>0</v>
      </c>
      <c r="X34" s="29">
        <f t="shared" si="17"/>
        <v>0</v>
      </c>
      <c r="Y34">
        <f t="shared" si="18"/>
        <v>0</v>
      </c>
    </row>
    <row r="35" spans="1:25" x14ac:dyDescent="0.25">
      <c r="A35" s="4" t="s">
        <v>719</v>
      </c>
      <c r="B35" s="7" t="s">
        <v>335</v>
      </c>
      <c r="C35" s="2" t="s">
        <v>720</v>
      </c>
      <c r="D35">
        <f>VLOOKUP(B35,'Model allocations'!$A$1:$L$316,4,FALSE)</f>
        <v>200828.14558631339</v>
      </c>
      <c r="E35" s="31">
        <f>VLOOKUP(B35,'Initial adjusted formula count'!$A$1:$P$316,12,FALSE)</f>
        <v>0.178010471204188</v>
      </c>
      <c r="F35">
        <f>VLOOKUP(B35,'Model allocations'!$A$1:$L$316,9,FALSE)</f>
        <v>185654.52490117465</v>
      </c>
      <c r="G35" s="30">
        <f t="shared" si="7"/>
        <v>0.9</v>
      </c>
      <c r="H35">
        <f t="shared" si="8"/>
        <v>180745.33102768206</v>
      </c>
      <c r="I35">
        <f t="shared" si="0"/>
        <v>0</v>
      </c>
      <c r="J35">
        <f t="shared" si="1"/>
        <v>185654.52490117465</v>
      </c>
      <c r="K35">
        <f t="shared" si="2"/>
        <v>185451.81765474015</v>
      </c>
      <c r="L35">
        <f t="shared" si="9"/>
        <v>185451.81765474015</v>
      </c>
      <c r="M35">
        <f t="shared" si="3"/>
        <v>0</v>
      </c>
      <c r="N35" s="29">
        <f t="shared" si="10"/>
        <v>185451.81765474015</v>
      </c>
      <c r="O35" s="29">
        <f t="shared" si="4"/>
        <v>185402.19390395042</v>
      </c>
      <c r="P35" s="29">
        <f t="shared" si="11"/>
        <v>185402.19390395042</v>
      </c>
      <c r="Q35">
        <f t="shared" si="12"/>
        <v>0</v>
      </c>
      <c r="R35" s="29">
        <f t="shared" si="13"/>
        <v>185402.19390395042</v>
      </c>
      <c r="S35" s="29">
        <f t="shared" si="5"/>
        <v>185396.56352633919</v>
      </c>
      <c r="T35" s="29">
        <f t="shared" si="14"/>
        <v>185396.56352633919</v>
      </c>
      <c r="U35">
        <f t="shared" si="15"/>
        <v>0</v>
      </c>
      <c r="V35" s="29">
        <f t="shared" si="16"/>
        <v>185396.56352633919</v>
      </c>
      <c r="W35" s="29">
        <f t="shared" si="6"/>
        <v>185396.56352633919</v>
      </c>
      <c r="X35" s="29">
        <f t="shared" si="17"/>
        <v>185396.56352633919</v>
      </c>
      <c r="Y35">
        <f t="shared" si="18"/>
        <v>0</v>
      </c>
    </row>
    <row r="36" spans="1:25" x14ac:dyDescent="0.25">
      <c r="A36" s="4" t="s">
        <v>721</v>
      </c>
      <c r="B36" s="7" t="s">
        <v>337</v>
      </c>
      <c r="C36" s="2" t="s">
        <v>722</v>
      </c>
      <c r="D36">
        <f>VLOOKUP(B36,'Model allocations'!$A$1:$L$316,4,FALSE)</f>
        <v>0</v>
      </c>
      <c r="E36" s="31">
        <f>VLOOKUP(B36,'Initial adjusted formula count'!$A$1:$P$316,12,FALSE)</f>
        <v>0.112919633774161</v>
      </c>
      <c r="F36">
        <f>VLOOKUP(B36,'Model allocations'!$A$1:$L$316,9,FALSE)</f>
        <v>0</v>
      </c>
      <c r="G36" s="30">
        <f t="shared" si="7"/>
        <v>0.85</v>
      </c>
      <c r="H36">
        <f t="shared" si="8"/>
        <v>0</v>
      </c>
      <c r="I36">
        <f t="shared" si="0"/>
        <v>0</v>
      </c>
      <c r="J36">
        <f t="shared" si="1"/>
        <v>0</v>
      </c>
      <c r="K36">
        <f t="shared" si="2"/>
        <v>0</v>
      </c>
      <c r="L36">
        <f t="shared" si="9"/>
        <v>0</v>
      </c>
      <c r="M36">
        <f t="shared" si="3"/>
        <v>0</v>
      </c>
      <c r="N36" s="29">
        <f t="shared" si="10"/>
        <v>0</v>
      </c>
      <c r="O36" s="29">
        <f t="shared" si="4"/>
        <v>0</v>
      </c>
      <c r="P36" s="29">
        <f t="shared" si="11"/>
        <v>0</v>
      </c>
      <c r="Q36">
        <f t="shared" si="12"/>
        <v>0</v>
      </c>
      <c r="R36" s="29">
        <f t="shared" si="13"/>
        <v>0</v>
      </c>
      <c r="S36" s="29">
        <f t="shared" si="5"/>
        <v>0</v>
      </c>
      <c r="T36" s="29">
        <f t="shared" si="14"/>
        <v>0</v>
      </c>
      <c r="U36">
        <f t="shared" si="15"/>
        <v>0</v>
      </c>
      <c r="V36" s="29">
        <f t="shared" si="16"/>
        <v>0</v>
      </c>
      <c r="W36" s="29">
        <f t="shared" si="6"/>
        <v>0</v>
      </c>
      <c r="X36" s="29">
        <f t="shared" si="17"/>
        <v>0</v>
      </c>
      <c r="Y36">
        <f t="shared" si="18"/>
        <v>0</v>
      </c>
    </row>
    <row r="37" spans="1:25" x14ac:dyDescent="0.25">
      <c r="A37" s="4" t="s">
        <v>723</v>
      </c>
      <c r="B37" s="7" t="s">
        <v>267</v>
      </c>
      <c r="C37" s="2" t="s">
        <v>724</v>
      </c>
      <c r="D37">
        <f>VLOOKUP(B37,'Model allocations'!$A$1:$L$316,4,FALSE)</f>
        <v>0</v>
      </c>
      <c r="E37" s="31">
        <f>VLOOKUP(B37,'Initial adjusted formula count'!$A$1:$P$316,12,FALSE)</f>
        <v>9.5435684647302899E-2</v>
      </c>
      <c r="F37">
        <f>VLOOKUP(B37,'Model allocations'!$A$1:$L$316,9,FALSE)</f>
        <v>0</v>
      </c>
      <c r="G37" s="30">
        <f t="shared" si="7"/>
        <v>0.85</v>
      </c>
      <c r="H37">
        <f t="shared" si="8"/>
        <v>0</v>
      </c>
      <c r="I37">
        <f t="shared" si="0"/>
        <v>0</v>
      </c>
      <c r="J37">
        <f t="shared" si="1"/>
        <v>0</v>
      </c>
      <c r="K37">
        <f t="shared" si="2"/>
        <v>0</v>
      </c>
      <c r="L37">
        <f t="shared" si="9"/>
        <v>0</v>
      </c>
      <c r="M37">
        <f t="shared" si="3"/>
        <v>0</v>
      </c>
      <c r="N37" s="29">
        <f t="shared" si="10"/>
        <v>0</v>
      </c>
      <c r="O37" s="29">
        <f t="shared" si="4"/>
        <v>0</v>
      </c>
      <c r="P37" s="29">
        <f t="shared" si="11"/>
        <v>0</v>
      </c>
      <c r="Q37">
        <f t="shared" si="12"/>
        <v>0</v>
      </c>
      <c r="R37" s="29">
        <f t="shared" si="13"/>
        <v>0</v>
      </c>
      <c r="S37" s="29">
        <f t="shared" si="5"/>
        <v>0</v>
      </c>
      <c r="T37" s="29">
        <f t="shared" si="14"/>
        <v>0</v>
      </c>
      <c r="U37">
        <f t="shared" si="15"/>
        <v>0</v>
      </c>
      <c r="V37" s="29">
        <f t="shared" si="16"/>
        <v>0</v>
      </c>
      <c r="W37" s="29">
        <f t="shared" si="6"/>
        <v>0</v>
      </c>
      <c r="X37" s="29">
        <f t="shared" si="17"/>
        <v>0</v>
      </c>
      <c r="Y37">
        <f t="shared" si="18"/>
        <v>0</v>
      </c>
    </row>
    <row r="38" spans="1:25" x14ac:dyDescent="0.25">
      <c r="A38" s="4" t="s">
        <v>725</v>
      </c>
      <c r="B38" s="7" t="s">
        <v>339</v>
      </c>
      <c r="C38" s="2" t="s">
        <v>726</v>
      </c>
      <c r="D38">
        <f>VLOOKUP(B38,'Model allocations'!$A$1:$L$316,4,FALSE)</f>
        <v>35770.321623639065</v>
      </c>
      <c r="E38" s="31">
        <f>VLOOKUP(B38,'Initial adjusted formula count'!$A$1:$P$316,12,FALSE)</f>
        <v>0.144076840981857</v>
      </c>
      <c r="F38">
        <f>VLOOKUP(B38,'Model allocations'!$A$1:$L$316,9,FALSE)</f>
        <v>30441.252725753897</v>
      </c>
      <c r="G38" s="30">
        <f t="shared" si="7"/>
        <v>0.85</v>
      </c>
      <c r="H38">
        <f t="shared" si="8"/>
        <v>30404.773380093204</v>
      </c>
      <c r="I38">
        <f t="shared" si="0"/>
        <v>0</v>
      </c>
      <c r="J38">
        <f t="shared" si="1"/>
        <v>30441.252725753897</v>
      </c>
      <c r="K38">
        <f t="shared" si="2"/>
        <v>30408.015386015803</v>
      </c>
      <c r="L38">
        <f t="shared" si="9"/>
        <v>30408.015386015803</v>
      </c>
      <c r="M38">
        <f t="shared" si="3"/>
        <v>0</v>
      </c>
      <c r="N38" s="29">
        <f t="shared" si="10"/>
        <v>30408.015386015803</v>
      </c>
      <c r="O38" s="29">
        <f t="shared" si="4"/>
        <v>30399.878718515811</v>
      </c>
      <c r="P38" s="29">
        <f t="shared" si="11"/>
        <v>30399.878718515811</v>
      </c>
      <c r="Q38">
        <f t="shared" si="12"/>
        <v>30404.773380093204</v>
      </c>
      <c r="R38" s="29">
        <f t="shared" si="13"/>
        <v>0</v>
      </c>
      <c r="S38" s="29">
        <f t="shared" si="5"/>
        <v>0</v>
      </c>
      <c r="T38" s="29">
        <f t="shared" si="14"/>
        <v>30404.773380093204</v>
      </c>
      <c r="U38">
        <f t="shared" si="15"/>
        <v>0</v>
      </c>
      <c r="V38" s="29">
        <f t="shared" si="16"/>
        <v>0</v>
      </c>
      <c r="W38" s="29">
        <f t="shared" si="6"/>
        <v>0</v>
      </c>
      <c r="X38" s="29">
        <f t="shared" si="17"/>
        <v>30404.773380093204</v>
      </c>
      <c r="Y38">
        <f t="shared" si="18"/>
        <v>0</v>
      </c>
    </row>
    <row r="39" spans="1:25" x14ac:dyDescent="0.25">
      <c r="A39" s="4" t="s">
        <v>727</v>
      </c>
      <c r="B39" s="7" t="s">
        <v>108</v>
      </c>
      <c r="C39" s="2" t="s">
        <v>728</v>
      </c>
      <c r="D39">
        <f>VLOOKUP(B39,'Model allocations'!$A$1:$L$316,4,FALSE)</f>
        <v>33831.380503972068</v>
      </c>
      <c r="E39" s="31">
        <f>VLOOKUP(B39,'Initial adjusted formula count'!$A$1:$P$316,12,FALSE)</f>
        <v>0.16459074733096099</v>
      </c>
      <c r="F39">
        <f>VLOOKUP(B39,'Model allocations'!$A$1:$L$316,9,FALSE)</f>
        <v>43920.827502196051</v>
      </c>
      <c r="G39" s="30">
        <f t="shared" si="7"/>
        <v>0.9</v>
      </c>
      <c r="H39">
        <f t="shared" si="8"/>
        <v>30448.242453574861</v>
      </c>
      <c r="I39">
        <f t="shared" si="0"/>
        <v>0</v>
      </c>
      <c r="J39">
        <f t="shared" si="1"/>
        <v>43920.827502196051</v>
      </c>
      <c r="K39">
        <f t="shared" si="2"/>
        <v>43872.872463077911</v>
      </c>
      <c r="L39">
        <f t="shared" si="9"/>
        <v>43872.872463077911</v>
      </c>
      <c r="M39">
        <f t="shared" si="3"/>
        <v>0</v>
      </c>
      <c r="N39" s="29">
        <f t="shared" si="10"/>
        <v>43872.872463077911</v>
      </c>
      <c r="O39" s="29">
        <f t="shared" si="4"/>
        <v>43861.132828939677</v>
      </c>
      <c r="P39" s="29">
        <f t="shared" si="11"/>
        <v>43861.132828939677</v>
      </c>
      <c r="Q39">
        <f t="shared" si="12"/>
        <v>0</v>
      </c>
      <c r="R39" s="29">
        <f t="shared" si="13"/>
        <v>43861.132828939677</v>
      </c>
      <c r="S39" s="29">
        <f t="shared" si="5"/>
        <v>43859.800834236259</v>
      </c>
      <c r="T39" s="29">
        <f t="shared" si="14"/>
        <v>43859.800834236259</v>
      </c>
      <c r="U39">
        <f t="shared" si="15"/>
        <v>0</v>
      </c>
      <c r="V39" s="29">
        <f t="shared" si="16"/>
        <v>43859.800834236259</v>
      </c>
      <c r="W39" s="29">
        <f t="shared" si="6"/>
        <v>43859.800834236259</v>
      </c>
      <c r="X39" s="29">
        <f t="shared" si="17"/>
        <v>43859.800834236259</v>
      </c>
      <c r="Y39">
        <f t="shared" si="18"/>
        <v>0</v>
      </c>
    </row>
    <row r="40" spans="1:25" x14ac:dyDescent="0.25">
      <c r="A40" s="4" t="s">
        <v>729</v>
      </c>
      <c r="B40" s="7" t="s">
        <v>341</v>
      </c>
      <c r="C40" s="2" t="s">
        <v>730</v>
      </c>
      <c r="D40">
        <f>VLOOKUP(B40,'Model allocations'!$A$1:$L$316,4,FALSE)</f>
        <v>123635.73680177514</v>
      </c>
      <c r="E40" s="31">
        <f>VLOOKUP(B40,'Initial adjusted formula count'!$A$1:$P$316,12,FALSE)</f>
        <v>0.182115594329335</v>
      </c>
      <c r="F40">
        <f>VLOOKUP(B40,'Model allocations'!$A$1:$L$316,9,FALSE)</f>
        <v>118942.34907351469</v>
      </c>
      <c r="G40" s="30">
        <f t="shared" si="7"/>
        <v>0.9</v>
      </c>
      <c r="H40">
        <f t="shared" si="8"/>
        <v>111272.16312159764</v>
      </c>
      <c r="I40">
        <f t="shared" si="0"/>
        <v>0</v>
      </c>
      <c r="J40">
        <f t="shared" si="1"/>
        <v>118942.34907351469</v>
      </c>
      <c r="K40">
        <f t="shared" si="2"/>
        <v>118812.48164325423</v>
      </c>
      <c r="L40">
        <f t="shared" si="9"/>
        <v>118812.48164325423</v>
      </c>
      <c r="M40">
        <f t="shared" si="3"/>
        <v>0</v>
      </c>
      <c r="N40" s="29">
        <f t="shared" si="10"/>
        <v>118812.48164325423</v>
      </c>
      <c r="O40" s="29">
        <f t="shared" si="4"/>
        <v>118780.68944485825</v>
      </c>
      <c r="P40" s="29">
        <f t="shared" si="11"/>
        <v>118780.68944485825</v>
      </c>
      <c r="Q40">
        <f t="shared" si="12"/>
        <v>0</v>
      </c>
      <c r="R40" s="29">
        <f t="shared" si="13"/>
        <v>118780.68944485825</v>
      </c>
      <c r="S40" s="29">
        <f t="shared" si="5"/>
        <v>118777.08225920197</v>
      </c>
      <c r="T40" s="29">
        <f t="shared" si="14"/>
        <v>118777.08225920197</v>
      </c>
      <c r="U40">
        <f t="shared" si="15"/>
        <v>0</v>
      </c>
      <c r="V40" s="29">
        <f t="shared" si="16"/>
        <v>118777.08225920197</v>
      </c>
      <c r="W40" s="29">
        <f t="shared" si="6"/>
        <v>118777.08225920197</v>
      </c>
      <c r="X40" s="29">
        <f t="shared" si="17"/>
        <v>118777.08225920197</v>
      </c>
      <c r="Y40">
        <f t="shared" si="18"/>
        <v>0</v>
      </c>
    </row>
    <row r="41" spans="1:25" x14ac:dyDescent="0.25">
      <c r="A41" s="4" t="s">
        <v>731</v>
      </c>
      <c r="B41" s="7" t="s">
        <v>343</v>
      </c>
      <c r="C41" s="2" t="s">
        <v>732</v>
      </c>
      <c r="D41">
        <f>VLOOKUP(B41,'Model allocations'!$A$1:$L$316,4,FALSE)</f>
        <v>0</v>
      </c>
      <c r="E41" s="31">
        <f>VLOOKUP(B41,'Initial adjusted formula count'!$A$1:$P$316,12,FALSE)</f>
        <v>0.117593436645397</v>
      </c>
      <c r="F41">
        <f>VLOOKUP(B41,'Model allocations'!$A$1:$L$316,9,FALSE)</f>
        <v>0</v>
      </c>
      <c r="G41" s="30">
        <f t="shared" si="7"/>
        <v>0.85</v>
      </c>
      <c r="H41">
        <f t="shared" si="8"/>
        <v>0</v>
      </c>
      <c r="I41">
        <f t="shared" si="0"/>
        <v>0</v>
      </c>
      <c r="J41">
        <f t="shared" si="1"/>
        <v>0</v>
      </c>
      <c r="K41">
        <f t="shared" si="2"/>
        <v>0</v>
      </c>
      <c r="L41">
        <f t="shared" si="9"/>
        <v>0</v>
      </c>
      <c r="M41">
        <f t="shared" si="3"/>
        <v>0</v>
      </c>
      <c r="N41" s="29">
        <f t="shared" si="10"/>
        <v>0</v>
      </c>
      <c r="O41" s="29">
        <f t="shared" si="4"/>
        <v>0</v>
      </c>
      <c r="P41" s="29">
        <f t="shared" si="11"/>
        <v>0</v>
      </c>
      <c r="Q41">
        <f t="shared" si="12"/>
        <v>0</v>
      </c>
      <c r="R41" s="29">
        <f t="shared" si="13"/>
        <v>0</v>
      </c>
      <c r="S41" s="29">
        <f t="shared" si="5"/>
        <v>0</v>
      </c>
      <c r="T41" s="29">
        <f t="shared" si="14"/>
        <v>0</v>
      </c>
      <c r="U41">
        <f t="shared" si="15"/>
        <v>0</v>
      </c>
      <c r="V41" s="29">
        <f t="shared" si="16"/>
        <v>0</v>
      </c>
      <c r="W41" s="29">
        <f t="shared" si="6"/>
        <v>0</v>
      </c>
      <c r="X41" s="29">
        <f t="shared" si="17"/>
        <v>0</v>
      </c>
      <c r="Y41">
        <f t="shared" si="18"/>
        <v>0</v>
      </c>
    </row>
    <row r="42" spans="1:25" x14ac:dyDescent="0.25">
      <c r="A42" s="4" t="s">
        <v>733</v>
      </c>
      <c r="B42" s="7" t="s">
        <v>345</v>
      </c>
      <c r="C42" s="2" t="s">
        <v>734</v>
      </c>
      <c r="D42">
        <f>VLOOKUP(B42,'Model allocations'!$A$1:$L$316,4,FALSE)</f>
        <v>489562.44104509923</v>
      </c>
      <c r="E42" s="31">
        <f>VLOOKUP(B42,'Initial adjusted formula count'!$A$1:$P$316,12,FALSE)</f>
        <v>0.14892383506051199</v>
      </c>
      <c r="F42">
        <f>VLOOKUP(B42,'Model allocations'!$A$1:$L$316,9,FALSE)</f>
        <v>416627.34122698457</v>
      </c>
      <c r="G42" s="30">
        <f t="shared" si="7"/>
        <v>0.85</v>
      </c>
      <c r="H42">
        <f t="shared" si="8"/>
        <v>416128.07488833432</v>
      </c>
      <c r="I42">
        <f t="shared" si="0"/>
        <v>0</v>
      </c>
      <c r="J42">
        <f t="shared" si="1"/>
        <v>416627.34122698457</v>
      </c>
      <c r="K42">
        <f t="shared" si="2"/>
        <v>416172.44587135344</v>
      </c>
      <c r="L42">
        <f t="shared" si="9"/>
        <v>416172.44587135344</v>
      </c>
      <c r="M42">
        <f t="shared" si="3"/>
        <v>0</v>
      </c>
      <c r="N42" s="29">
        <f t="shared" si="10"/>
        <v>416172.44587135344</v>
      </c>
      <c r="O42" s="29">
        <f t="shared" si="4"/>
        <v>416061.08520635357</v>
      </c>
      <c r="P42" s="29">
        <f t="shared" si="11"/>
        <v>416061.08520635357</v>
      </c>
      <c r="Q42">
        <f t="shared" si="12"/>
        <v>416128.07488833432</v>
      </c>
      <c r="R42" s="29">
        <f t="shared" si="13"/>
        <v>0</v>
      </c>
      <c r="S42" s="29">
        <f t="shared" si="5"/>
        <v>0</v>
      </c>
      <c r="T42" s="29">
        <f t="shared" si="14"/>
        <v>416128.07488833432</v>
      </c>
      <c r="U42">
        <f t="shared" si="15"/>
        <v>0</v>
      </c>
      <c r="V42" s="29">
        <f t="shared" si="16"/>
        <v>0</v>
      </c>
      <c r="W42" s="29">
        <f t="shared" si="6"/>
        <v>0</v>
      </c>
      <c r="X42" s="29">
        <f t="shared" si="17"/>
        <v>416128.07488833432</v>
      </c>
      <c r="Y42">
        <f t="shared" si="18"/>
        <v>0</v>
      </c>
    </row>
    <row r="43" spans="1:25" x14ac:dyDescent="0.25">
      <c r="A43" s="4" t="s">
        <v>735</v>
      </c>
      <c r="B43" s="7" t="s">
        <v>269</v>
      </c>
      <c r="C43" s="2" t="s">
        <v>736</v>
      </c>
      <c r="D43">
        <f>VLOOKUP(B43,'Model allocations'!$A$1:$L$316,4,FALSE)</f>
        <v>0</v>
      </c>
      <c r="E43" s="31">
        <f>VLOOKUP(B43,'Initial adjusted formula count'!$A$1:$P$316,12,FALSE)</f>
        <v>0.10466988727858299</v>
      </c>
      <c r="F43">
        <f>VLOOKUP(B43,'Model allocations'!$A$1:$L$316,9,FALSE)</f>
        <v>0</v>
      </c>
      <c r="G43" s="30">
        <f t="shared" si="7"/>
        <v>0.85</v>
      </c>
      <c r="H43">
        <f t="shared" si="8"/>
        <v>0</v>
      </c>
      <c r="I43">
        <f t="shared" si="0"/>
        <v>0</v>
      </c>
      <c r="J43">
        <f t="shared" si="1"/>
        <v>0</v>
      </c>
      <c r="K43">
        <f t="shared" si="2"/>
        <v>0</v>
      </c>
      <c r="L43">
        <f t="shared" si="9"/>
        <v>0</v>
      </c>
      <c r="M43">
        <f t="shared" si="3"/>
        <v>0</v>
      </c>
      <c r="N43" s="29">
        <f t="shared" si="10"/>
        <v>0</v>
      </c>
      <c r="O43" s="29">
        <f t="shared" si="4"/>
        <v>0</v>
      </c>
      <c r="P43" s="29">
        <f t="shared" si="11"/>
        <v>0</v>
      </c>
      <c r="Q43">
        <f t="shared" si="12"/>
        <v>0</v>
      </c>
      <c r="R43" s="29">
        <f t="shared" si="13"/>
        <v>0</v>
      </c>
      <c r="S43" s="29">
        <f t="shared" si="5"/>
        <v>0</v>
      </c>
      <c r="T43" s="29">
        <f t="shared" si="14"/>
        <v>0</v>
      </c>
      <c r="U43">
        <f t="shared" si="15"/>
        <v>0</v>
      </c>
      <c r="V43" s="29">
        <f t="shared" si="16"/>
        <v>0</v>
      </c>
      <c r="W43" s="29">
        <f t="shared" si="6"/>
        <v>0</v>
      </c>
      <c r="X43" s="29">
        <f t="shared" si="17"/>
        <v>0</v>
      </c>
      <c r="Y43">
        <f t="shared" si="18"/>
        <v>0</v>
      </c>
    </row>
    <row r="44" spans="1:25" x14ac:dyDescent="0.25">
      <c r="A44" s="4" t="s">
        <v>737</v>
      </c>
      <c r="B44" s="7" t="s">
        <v>347</v>
      </c>
      <c r="C44" s="2" t="s">
        <v>738</v>
      </c>
      <c r="D44">
        <f>VLOOKUP(B44,'Model allocations'!$A$1:$L$316,4,FALSE)</f>
        <v>0</v>
      </c>
      <c r="E44" s="31">
        <f>VLOOKUP(B44,'Initial adjusted formula count'!$A$1:$P$316,12,FALSE)</f>
        <v>0.12376725838264301</v>
      </c>
      <c r="F44">
        <f>VLOOKUP(B44,'Model allocations'!$A$1:$L$316,9,FALSE)</f>
        <v>0</v>
      </c>
      <c r="G44" s="30">
        <f t="shared" si="7"/>
        <v>0.85</v>
      </c>
      <c r="H44">
        <f t="shared" si="8"/>
        <v>0</v>
      </c>
      <c r="I44">
        <f t="shared" si="0"/>
        <v>0</v>
      </c>
      <c r="J44">
        <f t="shared" si="1"/>
        <v>0</v>
      </c>
      <c r="K44">
        <f t="shared" si="2"/>
        <v>0</v>
      </c>
      <c r="L44">
        <f t="shared" si="9"/>
        <v>0</v>
      </c>
      <c r="M44">
        <f t="shared" si="3"/>
        <v>0</v>
      </c>
      <c r="N44" s="29">
        <f t="shared" si="10"/>
        <v>0</v>
      </c>
      <c r="O44" s="29">
        <f t="shared" si="4"/>
        <v>0</v>
      </c>
      <c r="P44" s="29">
        <f t="shared" si="11"/>
        <v>0</v>
      </c>
      <c r="Q44">
        <f t="shared" si="12"/>
        <v>0</v>
      </c>
      <c r="R44" s="29">
        <f t="shared" si="13"/>
        <v>0</v>
      </c>
      <c r="S44" s="29">
        <f t="shared" si="5"/>
        <v>0</v>
      </c>
      <c r="T44" s="29">
        <f t="shared" si="14"/>
        <v>0</v>
      </c>
      <c r="U44">
        <f t="shared" si="15"/>
        <v>0</v>
      </c>
      <c r="V44" s="29">
        <f t="shared" si="16"/>
        <v>0</v>
      </c>
      <c r="W44" s="29">
        <f t="shared" si="6"/>
        <v>0</v>
      </c>
      <c r="X44" s="29">
        <f t="shared" si="17"/>
        <v>0</v>
      </c>
      <c r="Y44">
        <f t="shared" si="18"/>
        <v>0</v>
      </c>
    </row>
    <row r="45" spans="1:25" x14ac:dyDescent="0.25">
      <c r="A45" s="4" t="s">
        <v>739</v>
      </c>
      <c r="B45" s="7" t="s">
        <v>349</v>
      </c>
      <c r="C45" s="2" t="s">
        <v>740</v>
      </c>
      <c r="D45">
        <f>VLOOKUP(B45,'Model allocations'!$A$1:$L$316,4,FALSE)</f>
        <v>0</v>
      </c>
      <c r="E45" s="31">
        <f>VLOOKUP(B45,'Initial adjusted formula count'!$A$1:$P$316,12,FALSE)</f>
        <v>6.4000000000000001E-2</v>
      </c>
      <c r="F45">
        <f>VLOOKUP(B45,'Model allocations'!$A$1:$L$316,9,FALSE)</f>
        <v>0</v>
      </c>
      <c r="G45" s="30">
        <f t="shared" si="7"/>
        <v>0.85</v>
      </c>
      <c r="H45">
        <f t="shared" si="8"/>
        <v>0</v>
      </c>
      <c r="I45">
        <f t="shared" si="0"/>
        <v>0</v>
      </c>
      <c r="J45">
        <f t="shared" si="1"/>
        <v>0</v>
      </c>
      <c r="K45">
        <f t="shared" si="2"/>
        <v>0</v>
      </c>
      <c r="L45">
        <f t="shared" si="9"/>
        <v>0</v>
      </c>
      <c r="M45">
        <f t="shared" si="3"/>
        <v>0</v>
      </c>
      <c r="N45" s="29">
        <f t="shared" si="10"/>
        <v>0</v>
      </c>
      <c r="O45" s="29">
        <f t="shared" si="4"/>
        <v>0</v>
      </c>
      <c r="P45" s="29">
        <f t="shared" si="11"/>
        <v>0</v>
      </c>
      <c r="Q45">
        <f t="shared" si="12"/>
        <v>0</v>
      </c>
      <c r="R45" s="29">
        <f t="shared" si="13"/>
        <v>0</v>
      </c>
      <c r="S45" s="29">
        <f t="shared" si="5"/>
        <v>0</v>
      </c>
      <c r="T45" s="29">
        <f t="shared" si="14"/>
        <v>0</v>
      </c>
      <c r="U45">
        <f t="shared" si="15"/>
        <v>0</v>
      </c>
      <c r="V45" s="29">
        <f t="shared" si="16"/>
        <v>0</v>
      </c>
      <c r="W45" s="29">
        <f t="shared" si="6"/>
        <v>0</v>
      </c>
      <c r="X45" s="29">
        <f t="shared" si="17"/>
        <v>0</v>
      </c>
      <c r="Y45">
        <f t="shared" si="18"/>
        <v>0</v>
      </c>
    </row>
    <row r="46" spans="1:25" x14ac:dyDescent="0.25">
      <c r="A46" s="4" t="s">
        <v>741</v>
      </c>
      <c r="B46" s="7" t="s">
        <v>351</v>
      </c>
      <c r="C46" s="2" t="s">
        <v>742</v>
      </c>
      <c r="D46">
        <f>VLOOKUP(B46,'Model allocations'!$A$1:$L$316,4,FALSE)</f>
        <v>8884.1321679626435</v>
      </c>
      <c r="E46" s="31">
        <f>VLOOKUP(B46,'Initial adjusted formula count'!$A$1:$P$316,12,FALSE)</f>
        <v>0.25365853658536602</v>
      </c>
      <c r="F46">
        <f>VLOOKUP(B46,'Model allocations'!$A$1:$L$316,9,FALSE)</f>
        <v>12345.313676292941</v>
      </c>
      <c r="G46" s="30">
        <f t="shared" si="7"/>
        <v>0.9</v>
      </c>
      <c r="H46">
        <f t="shared" si="8"/>
        <v>7995.7189511663792</v>
      </c>
      <c r="I46">
        <f t="shared" si="0"/>
        <v>0</v>
      </c>
      <c r="J46">
        <f t="shared" si="1"/>
        <v>12345.313676292941</v>
      </c>
      <c r="K46">
        <f t="shared" si="2"/>
        <v>12331.834422054329</v>
      </c>
      <c r="L46">
        <f t="shared" si="9"/>
        <v>12331.834422054329</v>
      </c>
      <c r="M46">
        <f t="shared" si="3"/>
        <v>0</v>
      </c>
      <c r="N46" s="29">
        <f t="shared" si="10"/>
        <v>12331.834422054329</v>
      </c>
      <c r="O46" s="29">
        <f t="shared" si="4"/>
        <v>12328.534632999257</v>
      </c>
      <c r="P46" s="29">
        <f t="shared" si="11"/>
        <v>12328.534632999257</v>
      </c>
      <c r="Q46">
        <f t="shared" si="12"/>
        <v>0</v>
      </c>
      <c r="R46" s="29">
        <f t="shared" si="13"/>
        <v>12328.534632999257</v>
      </c>
      <c r="S46" s="29">
        <f t="shared" si="5"/>
        <v>12328.160234488025</v>
      </c>
      <c r="T46" s="29">
        <f t="shared" si="14"/>
        <v>12328.160234488025</v>
      </c>
      <c r="U46">
        <f t="shared" si="15"/>
        <v>0</v>
      </c>
      <c r="V46" s="29">
        <f t="shared" si="16"/>
        <v>12328.160234488025</v>
      </c>
      <c r="W46" s="29">
        <f t="shared" si="6"/>
        <v>12328.160234488025</v>
      </c>
      <c r="X46" s="29">
        <f t="shared" si="17"/>
        <v>12328.160234488025</v>
      </c>
      <c r="Y46">
        <f t="shared" si="18"/>
        <v>0</v>
      </c>
    </row>
    <row r="47" spans="1:25" x14ac:dyDescent="0.25">
      <c r="A47" s="4" t="s">
        <v>743</v>
      </c>
      <c r="B47" s="7" t="s">
        <v>352</v>
      </c>
      <c r="C47" s="2" t="s">
        <v>744</v>
      </c>
      <c r="D47">
        <f>VLOOKUP(B47,'Model allocations'!$A$1:$L$316,4,FALSE)</f>
        <v>19187.19088165279</v>
      </c>
      <c r="E47" s="31">
        <f>VLOOKUP(B47,'Initial adjusted formula count'!$A$1:$P$316,12,FALSE)</f>
        <v>0.116865869853918</v>
      </c>
      <c r="F47">
        <f>VLOOKUP(B47,'Model allocations'!$A$1:$L$316,9,FALSE)</f>
        <v>16309.11224940487</v>
      </c>
      <c r="G47" s="30">
        <f t="shared" si="7"/>
        <v>0.85</v>
      </c>
      <c r="H47">
        <f t="shared" si="8"/>
        <v>16309.11224940487</v>
      </c>
      <c r="I47">
        <f t="shared" si="0"/>
        <v>0</v>
      </c>
      <c r="J47">
        <f t="shared" si="1"/>
        <v>16309.11224940487</v>
      </c>
      <c r="K47">
        <f t="shared" si="2"/>
        <v>16291.305114148523</v>
      </c>
      <c r="L47">
        <f t="shared" si="9"/>
        <v>16291.305114148523</v>
      </c>
      <c r="M47">
        <f t="shared" si="3"/>
        <v>16309.11224940487</v>
      </c>
      <c r="N47" s="29">
        <f t="shared" si="10"/>
        <v>0</v>
      </c>
      <c r="O47" s="29">
        <f t="shared" si="4"/>
        <v>0</v>
      </c>
      <c r="P47" s="29">
        <f t="shared" si="11"/>
        <v>16309.11224940487</v>
      </c>
      <c r="Q47">
        <f t="shared" si="12"/>
        <v>0</v>
      </c>
      <c r="R47" s="29">
        <f t="shared" si="13"/>
        <v>0</v>
      </c>
      <c r="S47" s="29">
        <f t="shared" si="5"/>
        <v>0</v>
      </c>
      <c r="T47" s="29">
        <f t="shared" si="14"/>
        <v>16309.11224940487</v>
      </c>
      <c r="U47">
        <f t="shared" si="15"/>
        <v>0</v>
      </c>
      <c r="V47" s="29">
        <f t="shared" si="16"/>
        <v>0</v>
      </c>
      <c r="W47" s="29">
        <f t="shared" si="6"/>
        <v>0</v>
      </c>
      <c r="X47" s="29">
        <f t="shared" si="17"/>
        <v>16309.11224940487</v>
      </c>
      <c r="Y47">
        <f t="shared" si="18"/>
        <v>0</v>
      </c>
    </row>
    <row r="48" spans="1:25" x14ac:dyDescent="0.25">
      <c r="A48" s="4" t="s">
        <v>745</v>
      </c>
      <c r="B48" s="7" t="s">
        <v>353</v>
      </c>
      <c r="C48" s="2" t="s">
        <v>746</v>
      </c>
      <c r="D48">
        <f>VLOOKUP(B48,'Model allocations'!$A$1:$L$316,4,FALSE)</f>
        <v>82061.326077760212</v>
      </c>
      <c r="E48" s="31">
        <f>VLOOKUP(B48,'Initial adjusted formula count'!$A$1:$P$316,12,FALSE)</f>
        <v>0.19689378757515</v>
      </c>
      <c r="F48">
        <f>VLOOKUP(B48,'Model allocations'!$A$1:$L$316,9,FALSE)</f>
        <v>93302.082207367857</v>
      </c>
      <c r="G48" s="30">
        <f t="shared" si="7"/>
        <v>0.9</v>
      </c>
      <c r="H48">
        <f t="shared" si="8"/>
        <v>73855.193469984195</v>
      </c>
      <c r="I48">
        <f t="shared" si="0"/>
        <v>0</v>
      </c>
      <c r="J48">
        <f t="shared" si="1"/>
        <v>93302.082207367857</v>
      </c>
      <c r="K48">
        <f t="shared" si="2"/>
        <v>93200.21015129528</v>
      </c>
      <c r="L48">
        <f t="shared" si="9"/>
        <v>93200.21015129528</v>
      </c>
      <c r="M48">
        <f t="shared" si="3"/>
        <v>0</v>
      </c>
      <c r="N48" s="29">
        <f t="shared" si="10"/>
        <v>93200.21015129528</v>
      </c>
      <c r="O48" s="29">
        <f t="shared" si="4"/>
        <v>93175.271360936764</v>
      </c>
      <c r="P48" s="29">
        <f t="shared" si="11"/>
        <v>93175.271360936764</v>
      </c>
      <c r="Q48">
        <f t="shared" si="12"/>
        <v>0</v>
      </c>
      <c r="R48" s="29">
        <f t="shared" si="13"/>
        <v>93175.271360936764</v>
      </c>
      <c r="S48" s="29">
        <f t="shared" si="5"/>
        <v>93172.441772188409</v>
      </c>
      <c r="T48" s="29">
        <f t="shared" si="14"/>
        <v>93172.441772188409</v>
      </c>
      <c r="U48">
        <f t="shared" si="15"/>
        <v>0</v>
      </c>
      <c r="V48" s="29">
        <f t="shared" si="16"/>
        <v>93172.441772188409</v>
      </c>
      <c r="W48" s="29">
        <f t="shared" si="6"/>
        <v>93172.441772188409</v>
      </c>
      <c r="X48" s="29">
        <f t="shared" si="17"/>
        <v>93172.441772188409</v>
      </c>
      <c r="Y48">
        <f t="shared" si="18"/>
        <v>0</v>
      </c>
    </row>
    <row r="49" spans="1:25" x14ac:dyDescent="0.25">
      <c r="A49" s="4" t="s">
        <v>747</v>
      </c>
      <c r="B49" s="7" t="s">
        <v>355</v>
      </c>
      <c r="C49" s="2" t="s">
        <v>748</v>
      </c>
      <c r="D49">
        <f>VLOOKUP(B49,'Model allocations'!$A$1:$L$316,4,FALSE)</f>
        <v>27168.579126682715</v>
      </c>
      <c r="E49" s="31">
        <f>VLOOKUP(B49,'Initial adjusted formula count'!$A$1:$P$316,12,FALSE)</f>
        <v>0.11347517730496499</v>
      </c>
      <c r="F49">
        <f>VLOOKUP(B49,'Model allocations'!$A$1:$L$316,9,FALSE)</f>
        <v>23093.292257680307</v>
      </c>
      <c r="G49" s="30">
        <f t="shared" si="7"/>
        <v>0.85</v>
      </c>
      <c r="H49">
        <f t="shared" si="8"/>
        <v>23093.292257680307</v>
      </c>
      <c r="I49">
        <f t="shared" si="0"/>
        <v>0</v>
      </c>
      <c r="J49">
        <f t="shared" si="1"/>
        <v>23093.292257680307</v>
      </c>
      <c r="K49">
        <f t="shared" si="2"/>
        <v>23068.077802567223</v>
      </c>
      <c r="L49">
        <f t="shared" si="9"/>
        <v>23068.077802567223</v>
      </c>
      <c r="M49">
        <f t="shared" si="3"/>
        <v>23093.292257680307</v>
      </c>
      <c r="N49" s="29">
        <f t="shared" si="10"/>
        <v>0</v>
      </c>
      <c r="O49" s="29">
        <f t="shared" si="4"/>
        <v>0</v>
      </c>
      <c r="P49" s="29">
        <f t="shared" si="11"/>
        <v>23093.292257680307</v>
      </c>
      <c r="Q49">
        <f t="shared" si="12"/>
        <v>0</v>
      </c>
      <c r="R49" s="29">
        <f t="shared" si="13"/>
        <v>0</v>
      </c>
      <c r="S49" s="29">
        <f t="shared" si="5"/>
        <v>0</v>
      </c>
      <c r="T49" s="29">
        <f t="shared" si="14"/>
        <v>23093.292257680307</v>
      </c>
      <c r="U49">
        <f t="shared" si="15"/>
        <v>0</v>
      </c>
      <c r="V49" s="29">
        <f t="shared" si="16"/>
        <v>0</v>
      </c>
      <c r="W49" s="29">
        <f t="shared" si="6"/>
        <v>0</v>
      </c>
      <c r="X49" s="29">
        <f t="shared" si="17"/>
        <v>23093.292257680307</v>
      </c>
      <c r="Y49">
        <f t="shared" si="18"/>
        <v>0</v>
      </c>
    </row>
    <row r="50" spans="1:25" x14ac:dyDescent="0.25">
      <c r="A50" s="4" t="s">
        <v>749</v>
      </c>
      <c r="B50" s="7" t="s">
        <v>110</v>
      </c>
      <c r="C50" s="2" t="s">
        <v>750</v>
      </c>
      <c r="D50">
        <f>VLOOKUP(B50,'Model allocations'!$A$1:$L$316,4,FALSE)</f>
        <v>0</v>
      </c>
      <c r="E50" s="31">
        <f>VLOOKUP(B50,'Initial adjusted formula count'!$A$1:$P$316,12,FALSE)</f>
        <v>8.98876404494382E-2</v>
      </c>
      <c r="F50">
        <f>VLOOKUP(B50,'Model allocations'!$A$1:$L$316,9,FALSE)</f>
        <v>0</v>
      </c>
      <c r="G50" s="30">
        <f t="shared" si="7"/>
        <v>0.85</v>
      </c>
      <c r="H50">
        <f t="shared" si="8"/>
        <v>0</v>
      </c>
      <c r="I50">
        <f t="shared" si="0"/>
        <v>0</v>
      </c>
      <c r="J50">
        <f t="shared" si="1"/>
        <v>0</v>
      </c>
      <c r="K50">
        <f t="shared" si="2"/>
        <v>0</v>
      </c>
      <c r="L50">
        <f t="shared" si="9"/>
        <v>0</v>
      </c>
      <c r="M50">
        <f t="shared" si="3"/>
        <v>0</v>
      </c>
      <c r="N50" s="29">
        <f t="shared" si="10"/>
        <v>0</v>
      </c>
      <c r="O50" s="29">
        <f t="shared" si="4"/>
        <v>0</v>
      </c>
      <c r="P50" s="29">
        <f t="shared" si="11"/>
        <v>0</v>
      </c>
      <c r="Q50">
        <f t="shared" si="12"/>
        <v>0</v>
      </c>
      <c r="R50" s="29">
        <f t="shared" si="13"/>
        <v>0</v>
      </c>
      <c r="S50" s="29">
        <f t="shared" si="5"/>
        <v>0</v>
      </c>
      <c r="T50" s="29">
        <f t="shared" si="14"/>
        <v>0</v>
      </c>
      <c r="U50">
        <f t="shared" si="15"/>
        <v>0</v>
      </c>
      <c r="V50" s="29">
        <f t="shared" si="16"/>
        <v>0</v>
      </c>
      <c r="W50" s="29">
        <f t="shared" si="6"/>
        <v>0</v>
      </c>
      <c r="X50" s="29">
        <f t="shared" si="17"/>
        <v>0</v>
      </c>
      <c r="Y50">
        <f t="shared" si="18"/>
        <v>0</v>
      </c>
    </row>
    <row r="51" spans="1:25" x14ac:dyDescent="0.25">
      <c r="A51" s="4" t="s">
        <v>751</v>
      </c>
      <c r="B51" s="7" t="s">
        <v>112</v>
      </c>
      <c r="C51" s="2" t="s">
        <v>752</v>
      </c>
      <c r="D51">
        <f>VLOOKUP(B51,'Model allocations'!$A$1:$L$316,4,FALSE)</f>
        <v>9283.4182705683652</v>
      </c>
      <c r="E51" s="31">
        <f>VLOOKUP(B51,'Initial adjusted formula count'!$A$1:$P$316,12,FALSE)</f>
        <v>9.3247588424437297E-2</v>
      </c>
      <c r="F51">
        <f>VLOOKUP(B51,'Model allocations'!$A$1:$L$316,9,FALSE)</f>
        <v>7926.8214906895264</v>
      </c>
      <c r="G51" s="30">
        <f t="shared" si="7"/>
        <v>0.85</v>
      </c>
      <c r="H51">
        <f t="shared" si="8"/>
        <v>7890.9055299831098</v>
      </c>
      <c r="I51">
        <f t="shared" si="0"/>
        <v>0</v>
      </c>
      <c r="J51">
        <f t="shared" si="1"/>
        <v>7926.8214906895264</v>
      </c>
      <c r="K51">
        <f t="shared" si="2"/>
        <v>7918.1665755550275</v>
      </c>
      <c r="L51">
        <f t="shared" si="9"/>
        <v>7918.1665755550275</v>
      </c>
      <c r="M51">
        <f t="shared" si="3"/>
        <v>0</v>
      </c>
      <c r="N51" s="29">
        <f t="shared" si="10"/>
        <v>7918.1665755550275</v>
      </c>
      <c r="O51" s="29">
        <f t="shared" si="4"/>
        <v>7916.0478089135031</v>
      </c>
      <c r="P51" s="29">
        <f t="shared" si="11"/>
        <v>7916.0478089135031</v>
      </c>
      <c r="Q51">
        <f t="shared" si="12"/>
        <v>0</v>
      </c>
      <c r="R51" s="29">
        <f t="shared" si="13"/>
        <v>7916.0478089135031</v>
      </c>
      <c r="S51" s="29">
        <f t="shared" si="5"/>
        <v>7915.8074107962311</v>
      </c>
      <c r="T51" s="29">
        <f t="shared" si="14"/>
        <v>7915.8074107962311</v>
      </c>
      <c r="U51">
        <f t="shared" si="15"/>
        <v>0</v>
      </c>
      <c r="V51" s="29">
        <f t="shared" si="16"/>
        <v>7915.8074107962311</v>
      </c>
      <c r="W51" s="29">
        <f t="shared" si="6"/>
        <v>7915.8074107962311</v>
      </c>
      <c r="X51" s="29">
        <f t="shared" si="17"/>
        <v>7915.8074107962311</v>
      </c>
      <c r="Y51">
        <f t="shared" si="18"/>
        <v>0</v>
      </c>
    </row>
    <row r="52" spans="1:25" x14ac:dyDescent="0.25">
      <c r="A52" s="4" t="s">
        <v>753</v>
      </c>
      <c r="B52" s="7" t="s">
        <v>357</v>
      </c>
      <c r="C52" s="2" t="s">
        <v>754</v>
      </c>
      <c r="D52">
        <f>VLOOKUP(B52,'Model allocations'!$A$1:$L$316,4,FALSE)</f>
        <v>11455.854637636043</v>
      </c>
      <c r="E52" s="31">
        <f>VLOOKUP(B52,'Initial adjusted formula count'!$A$1:$P$316,12,FALSE)</f>
        <v>0.16260162601625999</v>
      </c>
      <c r="F52">
        <f>VLOOKUP(B52,'Model allocations'!$A$1:$L$316,9,FALSE)</f>
        <v>10322.639332608589</v>
      </c>
      <c r="G52" s="30">
        <f t="shared" si="7"/>
        <v>0.9</v>
      </c>
      <c r="H52">
        <f t="shared" si="8"/>
        <v>10310.269173872439</v>
      </c>
      <c r="I52">
        <f t="shared" si="0"/>
        <v>0</v>
      </c>
      <c r="J52">
        <f t="shared" si="1"/>
        <v>10322.639332608589</v>
      </c>
      <c r="K52">
        <f t="shared" si="2"/>
        <v>10311.368539202593</v>
      </c>
      <c r="L52">
        <f t="shared" si="9"/>
        <v>10311.368539202593</v>
      </c>
      <c r="M52">
        <f t="shared" si="3"/>
        <v>0</v>
      </c>
      <c r="N52" s="29">
        <f t="shared" si="10"/>
        <v>10311.368539202593</v>
      </c>
      <c r="O52" s="29">
        <f t="shared" si="4"/>
        <v>10308.609392437889</v>
      </c>
      <c r="P52" s="29">
        <f t="shared" si="11"/>
        <v>10308.609392437889</v>
      </c>
      <c r="Q52">
        <f t="shared" si="12"/>
        <v>10310.269173872439</v>
      </c>
      <c r="R52" s="29">
        <f t="shared" si="13"/>
        <v>0</v>
      </c>
      <c r="S52" s="29">
        <f t="shared" si="5"/>
        <v>0</v>
      </c>
      <c r="T52" s="29">
        <f t="shared" si="14"/>
        <v>10310.269173872439</v>
      </c>
      <c r="U52">
        <f t="shared" si="15"/>
        <v>0</v>
      </c>
      <c r="V52" s="29">
        <f t="shared" si="16"/>
        <v>0</v>
      </c>
      <c r="W52" s="29">
        <f t="shared" si="6"/>
        <v>0</v>
      </c>
      <c r="X52" s="29">
        <f t="shared" si="17"/>
        <v>10310.269173872439</v>
      </c>
      <c r="Y52">
        <f t="shared" si="18"/>
        <v>0</v>
      </c>
    </row>
    <row r="53" spans="1:25" x14ac:dyDescent="0.25">
      <c r="A53" s="4" t="s">
        <v>755</v>
      </c>
      <c r="B53" s="7" t="s">
        <v>359</v>
      </c>
      <c r="C53" s="2" t="s">
        <v>756</v>
      </c>
      <c r="D53">
        <f>VLOOKUP(B53,'Model allocations'!$A$1:$L$316,4,FALSE)</f>
        <v>0</v>
      </c>
      <c r="E53" s="31">
        <f>VLOOKUP(B53,'Initial adjusted formula count'!$A$1:$P$316,12,FALSE)</f>
        <v>9.61182994454714E-2</v>
      </c>
      <c r="F53">
        <f>VLOOKUP(B53,'Model allocations'!$A$1:$L$316,9,FALSE)</f>
        <v>0</v>
      </c>
      <c r="G53" s="30">
        <f t="shared" si="7"/>
        <v>0.85</v>
      </c>
      <c r="H53">
        <f t="shared" si="8"/>
        <v>0</v>
      </c>
      <c r="I53">
        <f t="shared" si="0"/>
        <v>0</v>
      </c>
      <c r="J53">
        <f t="shared" si="1"/>
        <v>0</v>
      </c>
      <c r="K53">
        <f t="shared" si="2"/>
        <v>0</v>
      </c>
      <c r="L53">
        <f t="shared" si="9"/>
        <v>0</v>
      </c>
      <c r="M53">
        <f t="shared" si="3"/>
        <v>0</v>
      </c>
      <c r="N53" s="29">
        <f t="shared" si="10"/>
        <v>0</v>
      </c>
      <c r="O53" s="29">
        <f t="shared" si="4"/>
        <v>0</v>
      </c>
      <c r="P53" s="29">
        <f t="shared" si="11"/>
        <v>0</v>
      </c>
      <c r="Q53">
        <f t="shared" si="12"/>
        <v>0</v>
      </c>
      <c r="R53" s="29">
        <f t="shared" si="13"/>
        <v>0</v>
      </c>
      <c r="S53" s="29">
        <f t="shared" si="5"/>
        <v>0</v>
      </c>
      <c r="T53" s="29">
        <f t="shared" si="14"/>
        <v>0</v>
      </c>
      <c r="U53">
        <f t="shared" si="15"/>
        <v>0</v>
      </c>
      <c r="V53" s="29">
        <f t="shared" si="16"/>
        <v>0</v>
      </c>
      <c r="W53" s="29">
        <f t="shared" si="6"/>
        <v>0</v>
      </c>
      <c r="X53" s="29">
        <f t="shared" si="17"/>
        <v>0</v>
      </c>
      <c r="Y53">
        <f t="shared" si="18"/>
        <v>0</v>
      </c>
    </row>
    <row r="54" spans="1:25" x14ac:dyDescent="0.25">
      <c r="A54" s="4" t="s">
        <v>757</v>
      </c>
      <c r="B54" s="7" t="s">
        <v>361</v>
      </c>
      <c r="C54" s="2" t="s">
        <v>758</v>
      </c>
      <c r="D54">
        <f>VLOOKUP(B54,'Model allocations'!$A$1:$L$316,4,FALSE)</f>
        <v>14495.163010886417</v>
      </c>
      <c r="E54" s="31">
        <f>VLOOKUP(B54,'Initial adjusted formula count'!$A$1:$P$316,12,FALSE)</f>
        <v>0.1976401179941</v>
      </c>
      <c r="F54">
        <f>VLOOKUP(B54,'Model allocations'!$A$1:$L$316,9,FALSE)</f>
        <v>15906.461852146678</v>
      </c>
      <c r="G54" s="30">
        <f t="shared" si="7"/>
        <v>0.9</v>
      </c>
      <c r="H54">
        <f t="shared" si="8"/>
        <v>13045.646709797777</v>
      </c>
      <c r="I54">
        <f t="shared" si="0"/>
        <v>0</v>
      </c>
      <c r="J54">
        <f t="shared" si="1"/>
        <v>15906.461852146678</v>
      </c>
      <c r="K54">
        <f t="shared" si="2"/>
        <v>15889.094351493082</v>
      </c>
      <c r="L54">
        <f t="shared" si="9"/>
        <v>15889.094351493082</v>
      </c>
      <c r="M54">
        <f t="shared" si="3"/>
        <v>0</v>
      </c>
      <c r="N54" s="29">
        <f t="shared" si="10"/>
        <v>15889.094351493082</v>
      </c>
      <c r="O54" s="29">
        <f t="shared" si="4"/>
        <v>15884.842700210585</v>
      </c>
      <c r="P54" s="29">
        <f t="shared" si="11"/>
        <v>15884.842700210585</v>
      </c>
      <c r="Q54">
        <f t="shared" si="12"/>
        <v>0</v>
      </c>
      <c r="R54" s="29">
        <f t="shared" si="13"/>
        <v>15884.842700210585</v>
      </c>
      <c r="S54" s="29">
        <f t="shared" si="5"/>
        <v>15884.360302128807</v>
      </c>
      <c r="T54" s="29">
        <f t="shared" si="14"/>
        <v>15884.360302128807</v>
      </c>
      <c r="U54">
        <f t="shared" si="15"/>
        <v>0</v>
      </c>
      <c r="V54" s="29">
        <f t="shared" si="16"/>
        <v>15884.360302128807</v>
      </c>
      <c r="W54" s="29">
        <f t="shared" si="6"/>
        <v>15884.360302128807</v>
      </c>
      <c r="X54" s="29">
        <f t="shared" si="17"/>
        <v>15884.360302128807</v>
      </c>
      <c r="Y54">
        <f t="shared" si="18"/>
        <v>0</v>
      </c>
    </row>
    <row r="55" spans="1:25" x14ac:dyDescent="0.25">
      <c r="A55" s="8" t="s">
        <v>759</v>
      </c>
      <c r="B55" s="7" t="s">
        <v>363</v>
      </c>
      <c r="C55" s="2" t="s">
        <v>760</v>
      </c>
      <c r="D55">
        <f>VLOOKUP(B55,'Model allocations'!$A$1:$L$316,4,FALSE)</f>
        <v>2904.7144877147721</v>
      </c>
      <c r="E55" s="31">
        <f>VLOOKUP(B55,'Initial adjusted formula count'!$A$1:$P$316,12,FALSE)</f>
        <v>0.31578947368421001</v>
      </c>
      <c r="F55">
        <f>VLOOKUP(B55,'Model allocations'!$A$1:$L$316,9,FALSE)</f>
        <v>8546.7556220489623</v>
      </c>
      <c r="G55" s="30">
        <f t="shared" si="7"/>
        <v>0.95</v>
      </c>
      <c r="H55">
        <f t="shared" si="8"/>
        <v>2759.4787633290334</v>
      </c>
      <c r="I55">
        <f t="shared" si="0"/>
        <v>0</v>
      </c>
      <c r="J55">
        <f t="shared" si="1"/>
        <v>8546.7556220489623</v>
      </c>
      <c r="K55">
        <f t="shared" si="2"/>
        <v>8537.4238306530006</v>
      </c>
      <c r="L55">
        <f t="shared" si="9"/>
        <v>8537.4238306530006</v>
      </c>
      <c r="M55">
        <f t="shared" si="3"/>
        <v>0</v>
      </c>
      <c r="N55" s="29">
        <f t="shared" si="10"/>
        <v>8537.4238306530006</v>
      </c>
      <c r="O55" s="29">
        <f t="shared" si="4"/>
        <v>8535.1393613071832</v>
      </c>
      <c r="P55" s="29">
        <f t="shared" si="11"/>
        <v>8535.1393613071832</v>
      </c>
      <c r="Q55">
        <f t="shared" si="12"/>
        <v>0</v>
      </c>
      <c r="R55" s="29">
        <f t="shared" si="13"/>
        <v>8535.1393613071832</v>
      </c>
      <c r="S55" s="29">
        <f t="shared" si="5"/>
        <v>8534.8801623378695</v>
      </c>
      <c r="T55" s="29">
        <f t="shared" si="14"/>
        <v>8534.8801623378695</v>
      </c>
      <c r="U55">
        <f t="shared" si="15"/>
        <v>0</v>
      </c>
      <c r="V55" s="29">
        <f t="shared" si="16"/>
        <v>8534.8801623378695</v>
      </c>
      <c r="W55" s="29">
        <f t="shared" si="6"/>
        <v>8534.8801623378695</v>
      </c>
      <c r="X55" s="29">
        <f t="shared" si="17"/>
        <v>8534.8801623378695</v>
      </c>
      <c r="Y55">
        <f t="shared" si="18"/>
        <v>0</v>
      </c>
    </row>
    <row r="56" spans="1:25" x14ac:dyDescent="0.25">
      <c r="A56" s="4" t="s">
        <v>761</v>
      </c>
      <c r="B56" s="7" t="s">
        <v>365</v>
      </c>
      <c r="C56" s="2" t="s">
        <v>762</v>
      </c>
      <c r="D56">
        <f>VLOOKUP(B56,'Model allocations'!$A$1:$L$316,4,FALSE)</f>
        <v>12858.612348366985</v>
      </c>
      <c r="E56" s="31">
        <f>VLOOKUP(B56,'Initial adjusted formula count'!$A$1:$P$316,12,FALSE)</f>
        <v>0.29090909090909101</v>
      </c>
      <c r="F56">
        <f>VLOOKUP(B56,'Model allocations'!$A$1:$L$316,9,FALSE)</f>
        <v>11586.635985581066</v>
      </c>
      <c r="G56" s="30">
        <f t="shared" si="7"/>
        <v>0.9</v>
      </c>
      <c r="H56">
        <f t="shared" si="8"/>
        <v>11572.751113530287</v>
      </c>
      <c r="I56">
        <f t="shared" si="0"/>
        <v>0</v>
      </c>
      <c r="J56">
        <f t="shared" si="1"/>
        <v>11586.635985581066</v>
      </c>
      <c r="K56">
        <f t="shared" si="2"/>
        <v>11573.985095023316</v>
      </c>
      <c r="L56">
        <f t="shared" si="9"/>
        <v>11573.985095023316</v>
      </c>
      <c r="M56">
        <f t="shared" si="3"/>
        <v>0</v>
      </c>
      <c r="N56" s="29">
        <f t="shared" si="10"/>
        <v>11573.985095023316</v>
      </c>
      <c r="O56" s="29">
        <f t="shared" si="4"/>
        <v>11570.88809355273</v>
      </c>
      <c r="P56" s="29">
        <f t="shared" si="11"/>
        <v>11570.88809355273</v>
      </c>
      <c r="Q56">
        <f t="shared" si="12"/>
        <v>11572.751113530287</v>
      </c>
      <c r="R56" s="29">
        <f t="shared" si="13"/>
        <v>0</v>
      </c>
      <c r="S56" s="29">
        <f t="shared" si="5"/>
        <v>0</v>
      </c>
      <c r="T56" s="29">
        <f t="shared" si="14"/>
        <v>11572.751113530287</v>
      </c>
      <c r="U56">
        <f t="shared" si="15"/>
        <v>0</v>
      </c>
      <c r="V56" s="29">
        <f t="shared" si="16"/>
        <v>0</v>
      </c>
      <c r="W56" s="29">
        <f t="shared" si="6"/>
        <v>0</v>
      </c>
      <c r="X56" s="29">
        <f t="shared" si="17"/>
        <v>11572.751113530287</v>
      </c>
      <c r="Y56">
        <f t="shared" si="18"/>
        <v>0</v>
      </c>
    </row>
    <row r="57" spans="1:25" x14ac:dyDescent="0.25">
      <c r="A57" s="4" t="s">
        <v>763</v>
      </c>
      <c r="B57" s="7" t="s">
        <v>367</v>
      </c>
      <c r="C57" s="2" t="s">
        <v>764</v>
      </c>
      <c r="D57">
        <f>VLOOKUP(B57,'Model allocations'!$A$1:$L$316,4,FALSE)</f>
        <v>17534.471384136803</v>
      </c>
      <c r="E57" s="31">
        <f>VLOOKUP(B57,'Initial adjusted formula count'!$A$1:$P$316,12,FALSE)</f>
        <v>0.23926380368098199</v>
      </c>
      <c r="F57">
        <f>VLOOKUP(B57,'Model allocations'!$A$1:$L$316,9,FALSE)</f>
        <v>18517.970514439417</v>
      </c>
      <c r="G57" s="30">
        <f t="shared" si="7"/>
        <v>0.9</v>
      </c>
      <c r="H57">
        <f t="shared" si="8"/>
        <v>15781.024245723123</v>
      </c>
      <c r="I57">
        <f t="shared" si="0"/>
        <v>0</v>
      </c>
      <c r="J57">
        <f t="shared" si="1"/>
        <v>18517.970514439417</v>
      </c>
      <c r="K57">
        <f t="shared" si="2"/>
        <v>18497.751633081501</v>
      </c>
      <c r="L57">
        <f t="shared" si="9"/>
        <v>18497.751633081501</v>
      </c>
      <c r="M57">
        <f t="shared" si="3"/>
        <v>0</v>
      </c>
      <c r="N57" s="29">
        <f t="shared" si="10"/>
        <v>18497.751633081501</v>
      </c>
      <c r="O57" s="29">
        <f t="shared" si="4"/>
        <v>18492.801949498895</v>
      </c>
      <c r="P57" s="29">
        <f t="shared" si="11"/>
        <v>18492.801949498895</v>
      </c>
      <c r="Q57">
        <f t="shared" si="12"/>
        <v>0</v>
      </c>
      <c r="R57" s="29">
        <f t="shared" si="13"/>
        <v>18492.801949498895</v>
      </c>
      <c r="S57" s="29">
        <f t="shared" si="5"/>
        <v>18492.240351732049</v>
      </c>
      <c r="T57" s="29">
        <f t="shared" si="14"/>
        <v>18492.240351732049</v>
      </c>
      <c r="U57">
        <f t="shared" si="15"/>
        <v>0</v>
      </c>
      <c r="V57" s="29">
        <f t="shared" si="16"/>
        <v>18492.240351732049</v>
      </c>
      <c r="W57" s="29">
        <f t="shared" si="6"/>
        <v>18492.240351732049</v>
      </c>
      <c r="X57" s="29">
        <f t="shared" si="17"/>
        <v>18492.240351732049</v>
      </c>
      <c r="Y57">
        <f t="shared" si="18"/>
        <v>0</v>
      </c>
    </row>
    <row r="58" spans="1:25" x14ac:dyDescent="0.25">
      <c r="A58" s="4" t="s">
        <v>765</v>
      </c>
      <c r="B58" s="7" t="s">
        <v>114</v>
      </c>
      <c r="C58" s="2" t="s">
        <v>766</v>
      </c>
      <c r="D58">
        <f>VLOOKUP(B58,'Model allocations'!$A$1:$L$316,4,FALSE)</f>
        <v>0</v>
      </c>
      <c r="E58" s="31">
        <f>VLOOKUP(B58,'Initial adjusted formula count'!$A$1:$P$316,12,FALSE)</f>
        <v>8.6956521739130405E-2</v>
      </c>
      <c r="F58">
        <f>VLOOKUP(B58,'Model allocations'!$A$1:$L$316,9,FALSE)</f>
        <v>0</v>
      </c>
      <c r="G58" s="30">
        <f t="shared" si="7"/>
        <v>0.85</v>
      </c>
      <c r="H58">
        <f t="shared" si="8"/>
        <v>0</v>
      </c>
      <c r="I58">
        <f t="shared" si="0"/>
        <v>0</v>
      </c>
      <c r="J58">
        <f t="shared" si="1"/>
        <v>0</v>
      </c>
      <c r="K58">
        <f t="shared" si="2"/>
        <v>0</v>
      </c>
      <c r="L58">
        <f t="shared" si="9"/>
        <v>0</v>
      </c>
      <c r="M58">
        <f t="shared" si="3"/>
        <v>0</v>
      </c>
      <c r="N58" s="29">
        <f t="shared" si="10"/>
        <v>0</v>
      </c>
      <c r="O58" s="29">
        <f t="shared" si="4"/>
        <v>0</v>
      </c>
      <c r="P58" s="29">
        <f t="shared" si="11"/>
        <v>0</v>
      </c>
      <c r="Q58">
        <f t="shared" si="12"/>
        <v>0</v>
      </c>
      <c r="R58" s="29">
        <f t="shared" si="13"/>
        <v>0</v>
      </c>
      <c r="S58" s="29">
        <f t="shared" si="5"/>
        <v>0</v>
      </c>
      <c r="T58" s="29">
        <f t="shared" si="14"/>
        <v>0</v>
      </c>
      <c r="U58">
        <f t="shared" si="15"/>
        <v>0</v>
      </c>
      <c r="V58" s="29">
        <f t="shared" si="16"/>
        <v>0</v>
      </c>
      <c r="W58" s="29">
        <f t="shared" si="6"/>
        <v>0</v>
      </c>
      <c r="X58" s="29">
        <f t="shared" si="17"/>
        <v>0</v>
      </c>
      <c r="Y58">
        <f t="shared" si="18"/>
        <v>0</v>
      </c>
    </row>
    <row r="59" spans="1:25" x14ac:dyDescent="0.25">
      <c r="A59" s="4" t="s">
        <v>767</v>
      </c>
      <c r="B59" s="7" t="s">
        <v>271</v>
      </c>
      <c r="C59" s="2" t="s">
        <v>768</v>
      </c>
      <c r="D59">
        <f>VLOOKUP(B59,'Model allocations'!$A$1:$L$316,4,FALSE)</f>
        <v>12689.015920017166</v>
      </c>
      <c r="E59" s="31">
        <f>VLOOKUP(B59,'Initial adjusted formula count'!$A$1:$P$316,12,FALSE)</f>
        <v>8.8408644400785899E-2</v>
      </c>
      <c r="F59">
        <f>VLOOKUP(B59,'Model allocations'!$A$1:$L$316,9,FALSE)</f>
        <v>10785.663532014591</v>
      </c>
      <c r="G59" s="30">
        <f t="shared" si="7"/>
        <v>0.85</v>
      </c>
      <c r="H59">
        <f t="shared" si="8"/>
        <v>10785.663532014591</v>
      </c>
      <c r="I59">
        <f t="shared" si="0"/>
        <v>0</v>
      </c>
      <c r="J59">
        <f t="shared" si="1"/>
        <v>10785.663532014591</v>
      </c>
      <c r="K59">
        <f t="shared" si="2"/>
        <v>10773.887184755036</v>
      </c>
      <c r="L59">
        <f t="shared" si="9"/>
        <v>10773.887184755036</v>
      </c>
      <c r="M59">
        <f t="shared" si="3"/>
        <v>10785.663532014591</v>
      </c>
      <c r="N59" s="29">
        <f t="shared" si="10"/>
        <v>0</v>
      </c>
      <c r="O59" s="29">
        <f t="shared" si="4"/>
        <v>0</v>
      </c>
      <c r="P59" s="29">
        <f t="shared" si="11"/>
        <v>10785.663532014591</v>
      </c>
      <c r="Q59">
        <f t="shared" si="12"/>
        <v>0</v>
      </c>
      <c r="R59" s="29">
        <f t="shared" si="13"/>
        <v>0</v>
      </c>
      <c r="S59" s="29">
        <f t="shared" si="5"/>
        <v>0</v>
      </c>
      <c r="T59" s="29">
        <f t="shared" si="14"/>
        <v>10785.663532014591</v>
      </c>
      <c r="U59">
        <f t="shared" si="15"/>
        <v>0</v>
      </c>
      <c r="V59" s="29">
        <f t="shared" si="16"/>
        <v>0</v>
      </c>
      <c r="W59" s="29">
        <f t="shared" si="6"/>
        <v>0</v>
      </c>
      <c r="X59" s="29">
        <f t="shared" si="17"/>
        <v>10785.663532014591</v>
      </c>
      <c r="Y59">
        <f t="shared" si="18"/>
        <v>0</v>
      </c>
    </row>
    <row r="60" spans="1:25" x14ac:dyDescent="0.25">
      <c r="A60" s="4" t="s">
        <v>769</v>
      </c>
      <c r="B60" s="7" t="s">
        <v>369</v>
      </c>
      <c r="C60" s="2" t="s">
        <v>770</v>
      </c>
      <c r="D60">
        <f>VLOOKUP(B60,'Model allocations'!$A$1:$L$316,4,FALSE)</f>
        <v>13705.13634403771</v>
      </c>
      <c r="E60" s="31">
        <f>VLOOKUP(B60,'Initial adjusted formula count'!$A$1:$P$316,12,FALSE)</f>
        <v>0.19387755102040799</v>
      </c>
      <c r="F60">
        <f>VLOOKUP(B60,'Model allocations'!$A$1:$L$316,9,FALSE)</f>
        <v>27064.726136488374</v>
      </c>
      <c r="G60" s="30">
        <f t="shared" si="7"/>
        <v>0.9</v>
      </c>
      <c r="H60">
        <f t="shared" si="8"/>
        <v>12334.622709633939</v>
      </c>
      <c r="I60">
        <f t="shared" si="0"/>
        <v>0</v>
      </c>
      <c r="J60">
        <f t="shared" si="1"/>
        <v>27064.726136488374</v>
      </c>
      <c r="K60">
        <f t="shared" si="2"/>
        <v>27035.175463734497</v>
      </c>
      <c r="L60">
        <f t="shared" si="9"/>
        <v>27035.175463734497</v>
      </c>
      <c r="M60">
        <f t="shared" si="3"/>
        <v>0</v>
      </c>
      <c r="N60" s="29">
        <f t="shared" si="10"/>
        <v>27035.175463734497</v>
      </c>
      <c r="O60" s="29">
        <f t="shared" si="4"/>
        <v>27027.941310806069</v>
      </c>
      <c r="P60" s="29">
        <f t="shared" si="11"/>
        <v>27027.941310806069</v>
      </c>
      <c r="Q60">
        <f t="shared" si="12"/>
        <v>0</v>
      </c>
      <c r="R60" s="29">
        <f t="shared" si="13"/>
        <v>27027.941310806069</v>
      </c>
      <c r="S60" s="29">
        <f t="shared" si="5"/>
        <v>27027.120514069909</v>
      </c>
      <c r="T60" s="29">
        <f t="shared" si="14"/>
        <v>27027.120514069909</v>
      </c>
      <c r="U60">
        <f t="shared" si="15"/>
        <v>0</v>
      </c>
      <c r="V60" s="29">
        <f t="shared" si="16"/>
        <v>27027.120514069909</v>
      </c>
      <c r="W60" s="29">
        <f t="shared" si="6"/>
        <v>27027.120514069909</v>
      </c>
      <c r="X60" s="29">
        <f t="shared" si="17"/>
        <v>27027.120514069909</v>
      </c>
      <c r="Y60">
        <f t="shared" si="18"/>
        <v>0</v>
      </c>
    </row>
    <row r="61" spans="1:25" x14ac:dyDescent="0.25">
      <c r="A61" s="4" t="s">
        <v>771</v>
      </c>
      <c r="B61" s="7" t="s">
        <v>371</v>
      </c>
      <c r="C61" s="2" t="s">
        <v>772</v>
      </c>
      <c r="D61">
        <f>VLOOKUP(B61,'Model allocations'!$A$1:$L$316,4,FALSE)</f>
        <v>21742.744516329625</v>
      </c>
      <c r="E61" s="31">
        <f>VLOOKUP(B61,'Initial adjusted formula count'!$A$1:$P$316,12,FALSE)</f>
        <v>0.18093385214007801</v>
      </c>
      <c r="F61">
        <f>VLOOKUP(B61,'Model allocations'!$A$1:$L$316,9,FALSE)</f>
        <v>22079.118690293148</v>
      </c>
      <c r="G61" s="30">
        <f t="shared" si="7"/>
        <v>0.9</v>
      </c>
      <c r="H61">
        <f t="shared" si="8"/>
        <v>19568.470064696663</v>
      </c>
      <c r="I61">
        <f t="shared" si="0"/>
        <v>0</v>
      </c>
      <c r="J61">
        <f t="shared" si="1"/>
        <v>22079.118690293148</v>
      </c>
      <c r="K61">
        <f t="shared" si="2"/>
        <v>22055.011562520245</v>
      </c>
      <c r="L61">
        <f t="shared" si="9"/>
        <v>22055.011562520245</v>
      </c>
      <c r="M61">
        <f t="shared" si="3"/>
        <v>0</v>
      </c>
      <c r="N61" s="29">
        <f t="shared" si="10"/>
        <v>22055.011562520245</v>
      </c>
      <c r="O61" s="29">
        <f t="shared" si="4"/>
        <v>22049.110016710216</v>
      </c>
      <c r="P61" s="29">
        <f t="shared" si="11"/>
        <v>22049.110016710216</v>
      </c>
      <c r="Q61">
        <f t="shared" si="12"/>
        <v>0</v>
      </c>
      <c r="R61" s="29">
        <f t="shared" si="13"/>
        <v>22049.110016710216</v>
      </c>
      <c r="S61" s="29">
        <f t="shared" si="5"/>
        <v>22048.440419372819</v>
      </c>
      <c r="T61" s="29">
        <f t="shared" si="14"/>
        <v>22048.440419372819</v>
      </c>
      <c r="U61">
        <f t="shared" si="15"/>
        <v>0</v>
      </c>
      <c r="V61" s="29">
        <f t="shared" si="16"/>
        <v>22048.440419372819</v>
      </c>
      <c r="W61" s="29">
        <f t="shared" si="6"/>
        <v>22048.440419372819</v>
      </c>
      <c r="X61" s="29">
        <f t="shared" si="17"/>
        <v>22048.440419372819</v>
      </c>
      <c r="Y61">
        <f t="shared" si="18"/>
        <v>0</v>
      </c>
    </row>
    <row r="62" spans="1:25" x14ac:dyDescent="0.25">
      <c r="A62" s="4" t="s">
        <v>773</v>
      </c>
      <c r="B62" s="7" t="s">
        <v>373</v>
      </c>
      <c r="C62" s="2" t="s">
        <v>774</v>
      </c>
      <c r="D62">
        <f>VLOOKUP(B62,'Model allocations'!$A$1:$L$316,4,FALSE)</f>
        <v>0</v>
      </c>
      <c r="E62" s="31">
        <f>VLOOKUP(B62,'Initial adjusted formula count'!$A$1:$P$316,12,FALSE)</f>
        <v>0.10058922558922601</v>
      </c>
      <c r="F62">
        <f>VLOOKUP(B62,'Model allocations'!$A$1:$L$316,9,FALSE)</f>
        <v>0</v>
      </c>
      <c r="G62" s="30">
        <f t="shared" si="7"/>
        <v>0.85</v>
      </c>
      <c r="H62">
        <f t="shared" si="8"/>
        <v>0</v>
      </c>
      <c r="I62">
        <f t="shared" si="0"/>
        <v>0</v>
      </c>
      <c r="J62">
        <f t="shared" si="1"/>
        <v>0</v>
      </c>
      <c r="K62">
        <f t="shared" si="2"/>
        <v>0</v>
      </c>
      <c r="L62">
        <f t="shared" si="9"/>
        <v>0</v>
      </c>
      <c r="M62">
        <f t="shared" si="3"/>
        <v>0</v>
      </c>
      <c r="N62" s="29">
        <f t="shared" si="10"/>
        <v>0</v>
      </c>
      <c r="O62" s="29">
        <f t="shared" si="4"/>
        <v>0</v>
      </c>
      <c r="P62" s="29">
        <f t="shared" si="11"/>
        <v>0</v>
      </c>
      <c r="Q62">
        <f t="shared" si="12"/>
        <v>0</v>
      </c>
      <c r="R62" s="29">
        <f t="shared" si="13"/>
        <v>0</v>
      </c>
      <c r="S62" s="29">
        <f t="shared" si="5"/>
        <v>0</v>
      </c>
      <c r="T62" s="29">
        <f t="shared" si="14"/>
        <v>0</v>
      </c>
      <c r="U62">
        <f t="shared" si="15"/>
        <v>0</v>
      </c>
      <c r="V62" s="29">
        <f t="shared" si="16"/>
        <v>0</v>
      </c>
      <c r="W62" s="29">
        <f t="shared" si="6"/>
        <v>0</v>
      </c>
      <c r="X62" s="29">
        <f t="shared" si="17"/>
        <v>0</v>
      </c>
      <c r="Y62">
        <f t="shared" si="18"/>
        <v>0</v>
      </c>
    </row>
    <row r="63" spans="1:25" x14ac:dyDescent="0.25">
      <c r="A63" s="4" t="s">
        <v>775</v>
      </c>
      <c r="B63" s="7" t="s">
        <v>273</v>
      </c>
      <c r="C63" s="2" t="s">
        <v>776</v>
      </c>
      <c r="D63">
        <f>VLOOKUP(B63,'Model allocations'!$A$1:$L$316,4,FALSE)</f>
        <v>0</v>
      </c>
      <c r="E63" s="31">
        <f>VLOOKUP(B63,'Initial adjusted formula count'!$A$1:$P$316,12,FALSE)</f>
        <v>5.6184668989547E-2</v>
      </c>
      <c r="F63">
        <f>VLOOKUP(B63,'Model allocations'!$A$1:$L$316,9,FALSE)</f>
        <v>0</v>
      </c>
      <c r="G63" s="30">
        <f t="shared" si="7"/>
        <v>0.85</v>
      </c>
      <c r="H63">
        <f t="shared" si="8"/>
        <v>0</v>
      </c>
      <c r="I63">
        <f t="shared" si="0"/>
        <v>0</v>
      </c>
      <c r="J63">
        <f t="shared" si="1"/>
        <v>0</v>
      </c>
      <c r="K63">
        <f t="shared" si="2"/>
        <v>0</v>
      </c>
      <c r="L63">
        <f t="shared" si="9"/>
        <v>0</v>
      </c>
      <c r="M63">
        <f t="shared" si="3"/>
        <v>0</v>
      </c>
      <c r="N63" s="29">
        <f t="shared" si="10"/>
        <v>0</v>
      </c>
      <c r="O63" s="29">
        <f t="shared" si="4"/>
        <v>0</v>
      </c>
      <c r="P63" s="29">
        <f t="shared" si="11"/>
        <v>0</v>
      </c>
      <c r="Q63">
        <f t="shared" si="12"/>
        <v>0</v>
      </c>
      <c r="R63" s="29">
        <f t="shared" si="13"/>
        <v>0</v>
      </c>
      <c r="S63" s="29">
        <f t="shared" si="5"/>
        <v>0</v>
      </c>
      <c r="T63" s="29">
        <f t="shared" si="14"/>
        <v>0</v>
      </c>
      <c r="U63">
        <f t="shared" si="15"/>
        <v>0</v>
      </c>
      <c r="V63" s="29">
        <f t="shared" si="16"/>
        <v>0</v>
      </c>
      <c r="W63" s="29">
        <f t="shared" si="6"/>
        <v>0</v>
      </c>
      <c r="X63" s="29">
        <f t="shared" si="17"/>
        <v>0</v>
      </c>
      <c r="Y63">
        <f t="shared" si="18"/>
        <v>0</v>
      </c>
    </row>
    <row r="64" spans="1:25" x14ac:dyDescent="0.25">
      <c r="A64" s="4" t="s">
        <v>777</v>
      </c>
      <c r="B64" s="7" t="s">
        <v>375</v>
      </c>
      <c r="C64" s="2" t="s">
        <v>778</v>
      </c>
      <c r="D64">
        <f>VLOOKUP(B64,'Model allocations'!$A$1:$L$316,4,FALSE)</f>
        <v>0</v>
      </c>
      <c r="E64" s="31">
        <f>VLOOKUP(B64,'Initial adjusted formula count'!$A$1:$P$316,12,FALSE)</f>
        <v>1.35135135135135E-2</v>
      </c>
      <c r="F64">
        <f>VLOOKUP(B64,'Model allocations'!$A$1:$L$316,9,FALSE)</f>
        <v>0</v>
      </c>
      <c r="G64" s="30">
        <f t="shared" si="7"/>
        <v>0.85</v>
      </c>
      <c r="H64">
        <f t="shared" si="8"/>
        <v>0</v>
      </c>
      <c r="I64">
        <f t="shared" si="0"/>
        <v>0</v>
      </c>
      <c r="J64">
        <f t="shared" si="1"/>
        <v>0</v>
      </c>
      <c r="K64">
        <f t="shared" si="2"/>
        <v>0</v>
      </c>
      <c r="L64">
        <f t="shared" si="9"/>
        <v>0</v>
      </c>
      <c r="M64">
        <f t="shared" si="3"/>
        <v>0</v>
      </c>
      <c r="N64" s="29">
        <f t="shared" si="10"/>
        <v>0</v>
      </c>
      <c r="O64" s="29">
        <f t="shared" si="4"/>
        <v>0</v>
      </c>
      <c r="P64" s="29">
        <f t="shared" si="11"/>
        <v>0</v>
      </c>
      <c r="Q64">
        <f t="shared" si="12"/>
        <v>0</v>
      </c>
      <c r="R64" s="29">
        <f t="shared" si="13"/>
        <v>0</v>
      </c>
      <c r="S64" s="29">
        <f t="shared" si="5"/>
        <v>0</v>
      </c>
      <c r="T64" s="29">
        <f t="shared" si="14"/>
        <v>0</v>
      </c>
      <c r="U64">
        <f t="shared" si="15"/>
        <v>0</v>
      </c>
      <c r="V64" s="29">
        <f t="shared" si="16"/>
        <v>0</v>
      </c>
      <c r="W64" s="29">
        <f t="shared" si="6"/>
        <v>0</v>
      </c>
      <c r="X64" s="29">
        <f t="shared" si="17"/>
        <v>0</v>
      </c>
      <c r="Y64">
        <f t="shared" si="18"/>
        <v>0</v>
      </c>
    </row>
    <row r="65" spans="1:25" x14ac:dyDescent="0.25">
      <c r="A65" s="4" t="s">
        <v>779</v>
      </c>
      <c r="B65" s="7" t="s">
        <v>377</v>
      </c>
      <c r="C65" s="2" t="s">
        <v>780</v>
      </c>
      <c r="D65">
        <f>VLOOKUP(B65,'Model allocations'!$A$1:$L$316,4,FALSE)</f>
        <v>156074.81625966655</v>
      </c>
      <c r="E65" s="31">
        <f>VLOOKUP(B65,'Initial adjusted formula count'!$A$1:$P$316,12,FALSE)</f>
        <v>0.12114115392803899</v>
      </c>
      <c r="F65">
        <f>VLOOKUP(B65,'Model allocations'!$A$1:$L$316,9,FALSE)</f>
        <v>132606.91208868462</v>
      </c>
      <c r="G65" s="30">
        <f t="shared" si="7"/>
        <v>0.85</v>
      </c>
      <c r="H65">
        <f t="shared" si="8"/>
        <v>132663.59382071657</v>
      </c>
      <c r="I65">
        <f t="shared" si="0"/>
        <v>132663.59382071657</v>
      </c>
      <c r="J65">
        <f t="shared" si="1"/>
        <v>0</v>
      </c>
      <c r="K65">
        <f t="shared" si="2"/>
        <v>0</v>
      </c>
      <c r="L65">
        <f t="shared" si="9"/>
        <v>132663.59382071657</v>
      </c>
      <c r="M65">
        <f t="shared" si="3"/>
        <v>0</v>
      </c>
      <c r="N65" s="29">
        <f t="shared" si="10"/>
        <v>0</v>
      </c>
      <c r="O65" s="29">
        <f t="shared" si="4"/>
        <v>0</v>
      </c>
      <c r="P65" s="29">
        <f t="shared" si="11"/>
        <v>132663.59382071657</v>
      </c>
      <c r="Q65">
        <f t="shared" si="12"/>
        <v>0</v>
      </c>
      <c r="R65" s="29">
        <f t="shared" si="13"/>
        <v>0</v>
      </c>
      <c r="S65" s="29">
        <f t="shared" si="5"/>
        <v>0</v>
      </c>
      <c r="T65" s="29">
        <f t="shared" si="14"/>
        <v>132663.59382071657</v>
      </c>
      <c r="U65">
        <f t="shared" si="15"/>
        <v>0</v>
      </c>
      <c r="V65" s="29">
        <f t="shared" si="16"/>
        <v>0</v>
      </c>
      <c r="W65" s="29">
        <f t="shared" si="6"/>
        <v>0</v>
      </c>
      <c r="X65" s="29">
        <f t="shared" si="17"/>
        <v>132663.59382071657</v>
      </c>
      <c r="Y65">
        <f t="shared" si="18"/>
        <v>0</v>
      </c>
    </row>
    <row r="66" spans="1:25" x14ac:dyDescent="0.25">
      <c r="A66" s="4" t="s">
        <v>781</v>
      </c>
      <c r="B66" s="7" t="s">
        <v>379</v>
      </c>
      <c r="C66" s="2" t="s">
        <v>782</v>
      </c>
      <c r="D66">
        <f>VLOOKUP(B66,'Model allocations'!$A$1:$L$316,4,FALSE)</f>
        <v>0</v>
      </c>
      <c r="E66" s="31">
        <f>VLOOKUP(B66,'Initial adjusted formula count'!$A$1:$P$316,12,FALSE)</f>
        <v>0.148556876061121</v>
      </c>
      <c r="F66">
        <f>VLOOKUP(B66,'Model allocations'!$A$1:$L$316,9,FALSE)</f>
        <v>0</v>
      </c>
      <c r="G66" s="30">
        <f t="shared" si="7"/>
        <v>0.85</v>
      </c>
      <c r="H66">
        <f t="shared" si="8"/>
        <v>0</v>
      </c>
      <c r="I66">
        <f t="shared" si="0"/>
        <v>0</v>
      </c>
      <c r="J66">
        <f t="shared" si="1"/>
        <v>0</v>
      </c>
      <c r="K66">
        <f t="shared" si="2"/>
        <v>0</v>
      </c>
      <c r="L66">
        <f t="shared" si="9"/>
        <v>0</v>
      </c>
      <c r="M66">
        <f t="shared" si="3"/>
        <v>0</v>
      </c>
      <c r="N66" s="29">
        <f t="shared" si="10"/>
        <v>0</v>
      </c>
      <c r="O66" s="29">
        <f t="shared" si="4"/>
        <v>0</v>
      </c>
      <c r="P66" s="29">
        <f t="shared" si="11"/>
        <v>0</v>
      </c>
      <c r="Q66">
        <f t="shared" si="12"/>
        <v>0</v>
      </c>
      <c r="R66" s="29">
        <f t="shared" si="13"/>
        <v>0</v>
      </c>
      <c r="S66" s="29">
        <f t="shared" si="5"/>
        <v>0</v>
      </c>
      <c r="T66" s="29">
        <f t="shared" si="14"/>
        <v>0</v>
      </c>
      <c r="U66">
        <f t="shared" si="15"/>
        <v>0</v>
      </c>
      <c r="V66" s="29">
        <f t="shared" si="16"/>
        <v>0</v>
      </c>
      <c r="W66" s="29">
        <f t="shared" si="6"/>
        <v>0</v>
      </c>
      <c r="X66" s="29">
        <f t="shared" si="17"/>
        <v>0</v>
      </c>
      <c r="Y66">
        <f t="shared" si="18"/>
        <v>0</v>
      </c>
    </row>
    <row r="67" spans="1:25" x14ac:dyDescent="0.25">
      <c r="A67" s="4" t="s">
        <v>783</v>
      </c>
      <c r="B67" s="7" t="s">
        <v>381</v>
      </c>
      <c r="C67" s="2" t="s">
        <v>784</v>
      </c>
      <c r="D67">
        <f>VLOOKUP(B67,'Model allocations'!$A$1:$L$316,4,FALSE)</f>
        <v>0</v>
      </c>
      <c r="E67" s="31">
        <f>VLOOKUP(B67,'Initial adjusted formula count'!$A$1:$P$316,12,FALSE)</f>
        <v>0.13250714966634899</v>
      </c>
      <c r="F67">
        <f>VLOOKUP(B67,'Model allocations'!$A$1:$L$316,9,FALSE)</f>
        <v>0</v>
      </c>
      <c r="G67" s="30">
        <f t="shared" si="7"/>
        <v>0.85</v>
      </c>
      <c r="H67">
        <f t="shared" si="8"/>
        <v>0</v>
      </c>
      <c r="I67">
        <f t="shared" si="0"/>
        <v>0</v>
      </c>
      <c r="J67">
        <f t="shared" si="1"/>
        <v>0</v>
      </c>
      <c r="K67">
        <f t="shared" si="2"/>
        <v>0</v>
      </c>
      <c r="L67">
        <f t="shared" si="9"/>
        <v>0</v>
      </c>
      <c r="M67">
        <f t="shared" si="3"/>
        <v>0</v>
      </c>
      <c r="N67" s="29">
        <f t="shared" si="10"/>
        <v>0</v>
      </c>
      <c r="O67" s="29">
        <f t="shared" si="4"/>
        <v>0</v>
      </c>
      <c r="P67" s="29">
        <f t="shared" si="11"/>
        <v>0</v>
      </c>
      <c r="Q67">
        <f t="shared" si="12"/>
        <v>0</v>
      </c>
      <c r="R67" s="29">
        <f t="shared" si="13"/>
        <v>0</v>
      </c>
      <c r="S67" s="29">
        <f t="shared" si="5"/>
        <v>0</v>
      </c>
      <c r="T67" s="29">
        <f t="shared" si="14"/>
        <v>0</v>
      </c>
      <c r="U67">
        <f t="shared" si="15"/>
        <v>0</v>
      </c>
      <c r="V67" s="29">
        <f t="shared" si="16"/>
        <v>0</v>
      </c>
      <c r="W67" s="29">
        <f t="shared" si="6"/>
        <v>0</v>
      </c>
      <c r="X67" s="29">
        <f t="shared" si="17"/>
        <v>0</v>
      </c>
      <c r="Y67">
        <f t="shared" si="18"/>
        <v>0</v>
      </c>
    </row>
    <row r="68" spans="1:25" x14ac:dyDescent="0.25">
      <c r="A68" s="4" t="s">
        <v>785</v>
      </c>
      <c r="B68" s="7" t="s">
        <v>116</v>
      </c>
      <c r="C68" s="2" t="s">
        <v>786</v>
      </c>
      <c r="D68">
        <f>VLOOKUP(B68,'Model allocations'!$A$1:$L$316,4,FALSE)</f>
        <v>0</v>
      </c>
      <c r="E68" s="31">
        <f>VLOOKUP(B68,'Initial adjusted formula count'!$A$1:$P$316,12,FALSE)</f>
        <v>7.4999999999999997E-2</v>
      </c>
      <c r="F68">
        <f>VLOOKUP(B68,'Model allocations'!$A$1:$L$316,9,FALSE)</f>
        <v>0</v>
      </c>
      <c r="G68" s="30">
        <f t="shared" si="7"/>
        <v>0.85</v>
      </c>
      <c r="H68">
        <f t="shared" si="8"/>
        <v>0</v>
      </c>
      <c r="I68">
        <f t="shared" ref="I68:I131" si="19">IF(F68&lt;H68,H68,0)</f>
        <v>0</v>
      </c>
      <c r="J68">
        <f t="shared" ref="J68:J131" si="20">IF(I68=0,F68,0)</f>
        <v>0</v>
      </c>
      <c r="K68">
        <f t="shared" ref="K68:K131" si="21">(J68/$J$3)*($F$3-$I$3)</f>
        <v>0</v>
      </c>
      <c r="L68">
        <f t="shared" si="9"/>
        <v>0</v>
      </c>
      <c r="M68">
        <f t="shared" ref="M68:M131" si="22">IF(L68&lt;H68,H68,0)</f>
        <v>0</v>
      </c>
      <c r="N68" s="29">
        <f t="shared" si="10"/>
        <v>0</v>
      </c>
      <c r="O68" s="29">
        <f t="shared" ref="O68:O131" si="23">((N68/$N$3)*($F$3-$I$3-$M$3))</f>
        <v>0</v>
      </c>
      <c r="P68" s="29">
        <f t="shared" si="11"/>
        <v>0</v>
      </c>
      <c r="Q68">
        <f t="shared" si="12"/>
        <v>0</v>
      </c>
      <c r="R68" s="29">
        <f t="shared" si="13"/>
        <v>0</v>
      </c>
      <c r="S68" s="29">
        <f t="shared" ref="S68:S131" si="24">((R68/$R$3)*($F$3-$I$3-$M$3-$Q$3))</f>
        <v>0</v>
      </c>
      <c r="T68" s="29">
        <f t="shared" si="14"/>
        <v>0</v>
      </c>
      <c r="U68">
        <f t="shared" si="15"/>
        <v>0</v>
      </c>
      <c r="V68" s="29">
        <f t="shared" si="16"/>
        <v>0</v>
      </c>
      <c r="W68" s="29">
        <f t="shared" ref="W68:W131" si="25">((V68/$V$3)*($F$3-$I$3-$M$3-$Q$3-$U$3))</f>
        <v>0</v>
      </c>
      <c r="X68" s="29">
        <f t="shared" si="17"/>
        <v>0</v>
      </c>
      <c r="Y68">
        <f t="shared" si="18"/>
        <v>0</v>
      </c>
    </row>
    <row r="69" spans="1:25" x14ac:dyDescent="0.25">
      <c r="A69" s="4" t="s">
        <v>787</v>
      </c>
      <c r="B69" s="7" t="s">
        <v>118</v>
      </c>
      <c r="C69" s="2" t="s">
        <v>788</v>
      </c>
      <c r="D69">
        <f>VLOOKUP(B69,'Model allocations'!$A$1:$L$316,4,FALSE)</f>
        <v>0</v>
      </c>
      <c r="E69" s="31">
        <f>VLOOKUP(B69,'Initial adjusted formula count'!$A$1:$P$316,12,FALSE)</f>
        <v>8.2321187584345507E-2</v>
      </c>
      <c r="F69">
        <f>VLOOKUP(B69,'Model allocations'!$A$1:$L$316,9,FALSE)</f>
        <v>0</v>
      </c>
      <c r="G69" s="30">
        <f t="shared" ref="G69:G132" si="26">IF(E69&lt;0.15,0.85,IF(AND(E69&gt;=0.15,E69&lt;0.3),0.9,0.95))</f>
        <v>0.85</v>
      </c>
      <c r="H69">
        <f t="shared" ref="H69:H132" si="27">IF(F69 = 0, 0, D69*G69)</f>
        <v>0</v>
      </c>
      <c r="I69">
        <f t="shared" si="19"/>
        <v>0</v>
      </c>
      <c r="J69">
        <f t="shared" si="20"/>
        <v>0</v>
      </c>
      <c r="K69">
        <f t="shared" si="21"/>
        <v>0</v>
      </c>
      <c r="L69">
        <f t="shared" ref="L69:L132" si="28">I69+K69</f>
        <v>0</v>
      </c>
      <c r="M69">
        <f t="shared" si="22"/>
        <v>0</v>
      </c>
      <c r="N69" s="29">
        <f t="shared" ref="N69:N132" si="29">IF(I69+M69=0,L69,0)</f>
        <v>0</v>
      </c>
      <c r="O69" s="29">
        <f t="shared" si="23"/>
        <v>0</v>
      </c>
      <c r="P69" s="29">
        <f t="shared" ref="P69:P132" si="30">$I69+$M69+O69</f>
        <v>0</v>
      </c>
      <c r="Q69">
        <f t="shared" ref="Q69:Q132" si="31">IF(P69&lt;H69,H69,0)</f>
        <v>0</v>
      </c>
      <c r="R69" s="29">
        <f t="shared" ref="R69:R132" si="32">IF($I69+$M69+$Q69=0,P69,0)</f>
        <v>0</v>
      </c>
      <c r="S69" s="29">
        <f t="shared" si="24"/>
        <v>0</v>
      </c>
      <c r="T69" s="29">
        <f t="shared" ref="T69:T132" si="33">$I69+$M69+$Q69+S69</f>
        <v>0</v>
      </c>
      <c r="U69">
        <f t="shared" ref="U69:U132" si="34">IF(T69&lt;H69,H69,0)</f>
        <v>0</v>
      </c>
      <c r="V69" s="29">
        <f t="shared" ref="V69:V132" si="35">IF($I69+$M69+$Q69+U69=0,T69,0)</f>
        <v>0</v>
      </c>
      <c r="W69" s="29">
        <f t="shared" si="25"/>
        <v>0</v>
      </c>
      <c r="X69" s="29">
        <f t="shared" ref="X69:X132" si="36">$I69+$M69+$Q69+$U69+W69</f>
        <v>0</v>
      </c>
      <c r="Y69">
        <f t="shared" ref="Y69:Y132" si="37">IF(X69&lt;H69,H69,0)</f>
        <v>0</v>
      </c>
    </row>
    <row r="70" spans="1:25" x14ac:dyDescent="0.25">
      <c r="A70" s="4" t="s">
        <v>789</v>
      </c>
      <c r="B70" s="7" t="s">
        <v>120</v>
      </c>
      <c r="C70" s="2" t="s">
        <v>790</v>
      </c>
      <c r="D70">
        <f>VLOOKUP(B70,'Model allocations'!$A$1:$L$316,4,FALSE)</f>
        <v>0</v>
      </c>
      <c r="E70" s="31">
        <f>VLOOKUP(B70,'Initial adjusted formula count'!$A$1:$P$316,12,FALSE)</f>
        <v>9.3281307157663695E-2</v>
      </c>
      <c r="F70">
        <f>VLOOKUP(B70,'Model allocations'!$A$1:$L$316,9,FALSE)</f>
        <v>0</v>
      </c>
      <c r="G70" s="30">
        <f t="shared" si="26"/>
        <v>0.85</v>
      </c>
      <c r="H70">
        <f t="shared" si="27"/>
        <v>0</v>
      </c>
      <c r="I70">
        <f t="shared" si="19"/>
        <v>0</v>
      </c>
      <c r="J70">
        <f t="shared" si="20"/>
        <v>0</v>
      </c>
      <c r="K70">
        <f t="shared" si="21"/>
        <v>0</v>
      </c>
      <c r="L70">
        <f t="shared" si="28"/>
        <v>0</v>
      </c>
      <c r="M70">
        <f t="shared" si="22"/>
        <v>0</v>
      </c>
      <c r="N70" s="29">
        <f t="shared" si="29"/>
        <v>0</v>
      </c>
      <c r="O70" s="29">
        <f t="shared" si="23"/>
        <v>0</v>
      </c>
      <c r="P70" s="29">
        <f t="shared" si="30"/>
        <v>0</v>
      </c>
      <c r="Q70">
        <f t="shared" si="31"/>
        <v>0</v>
      </c>
      <c r="R70" s="29">
        <f t="shared" si="32"/>
        <v>0</v>
      </c>
      <c r="S70" s="29">
        <f t="shared" si="24"/>
        <v>0</v>
      </c>
      <c r="T70" s="29">
        <f t="shared" si="33"/>
        <v>0</v>
      </c>
      <c r="U70">
        <f t="shared" si="34"/>
        <v>0</v>
      </c>
      <c r="V70" s="29">
        <f t="shared" si="35"/>
        <v>0</v>
      </c>
      <c r="W70" s="29">
        <f t="shared" si="25"/>
        <v>0</v>
      </c>
      <c r="X70" s="29">
        <f t="shared" si="36"/>
        <v>0</v>
      </c>
      <c r="Y70">
        <f t="shared" si="37"/>
        <v>0</v>
      </c>
    </row>
    <row r="71" spans="1:25" x14ac:dyDescent="0.25">
      <c r="A71" s="4" t="s">
        <v>791</v>
      </c>
      <c r="B71" s="7" t="s">
        <v>383</v>
      </c>
      <c r="C71" s="2" t="s">
        <v>792</v>
      </c>
      <c r="D71">
        <f>VLOOKUP(B71,'Model allocations'!$A$1:$L$316,4,FALSE)</f>
        <v>0</v>
      </c>
      <c r="E71" s="31">
        <f>VLOOKUP(B71,'Initial adjusted formula count'!$A$1:$P$316,12,FALSE)</f>
        <v>0.118579234972678</v>
      </c>
      <c r="F71">
        <f>VLOOKUP(B71,'Model allocations'!$A$1:$L$316,9,FALSE)</f>
        <v>0</v>
      </c>
      <c r="G71" s="30">
        <f t="shared" si="26"/>
        <v>0.85</v>
      </c>
      <c r="H71">
        <f t="shared" si="27"/>
        <v>0</v>
      </c>
      <c r="I71">
        <f t="shared" si="19"/>
        <v>0</v>
      </c>
      <c r="J71">
        <f t="shared" si="20"/>
        <v>0</v>
      </c>
      <c r="K71">
        <f t="shared" si="21"/>
        <v>0</v>
      </c>
      <c r="L71">
        <f t="shared" si="28"/>
        <v>0</v>
      </c>
      <c r="M71">
        <f t="shared" si="22"/>
        <v>0</v>
      </c>
      <c r="N71" s="29">
        <f t="shared" si="29"/>
        <v>0</v>
      </c>
      <c r="O71" s="29">
        <f t="shared" si="23"/>
        <v>0</v>
      </c>
      <c r="P71" s="29">
        <f t="shared" si="30"/>
        <v>0</v>
      </c>
      <c r="Q71">
        <f t="shared" si="31"/>
        <v>0</v>
      </c>
      <c r="R71" s="29">
        <f t="shared" si="32"/>
        <v>0</v>
      </c>
      <c r="S71" s="29">
        <f t="shared" si="24"/>
        <v>0</v>
      </c>
      <c r="T71" s="29">
        <f t="shared" si="33"/>
        <v>0</v>
      </c>
      <c r="U71">
        <f t="shared" si="34"/>
        <v>0</v>
      </c>
      <c r="V71" s="29">
        <f t="shared" si="35"/>
        <v>0</v>
      </c>
      <c r="W71" s="29">
        <f t="shared" si="25"/>
        <v>0</v>
      </c>
      <c r="X71" s="29">
        <f t="shared" si="36"/>
        <v>0</v>
      </c>
      <c r="Y71">
        <f t="shared" si="37"/>
        <v>0</v>
      </c>
    </row>
    <row r="72" spans="1:25" x14ac:dyDescent="0.25">
      <c r="A72" s="4" t="s">
        <v>793</v>
      </c>
      <c r="B72" s="7" t="s">
        <v>385</v>
      </c>
      <c r="C72" s="2" t="s">
        <v>794</v>
      </c>
      <c r="D72">
        <f>VLOOKUP(B72,'Model allocations'!$A$1:$L$316,4,FALSE)</f>
        <v>66918.352592379961</v>
      </c>
      <c r="E72" s="31">
        <f>VLOOKUP(B72,'Initial adjusted formula count'!$A$1:$P$316,12,FALSE)</f>
        <v>0.16814720812182701</v>
      </c>
      <c r="F72">
        <f>VLOOKUP(B72,'Model allocations'!$A$1:$L$316,9,FALSE)</f>
        <v>62913.617773415957</v>
      </c>
      <c r="G72" s="30">
        <f t="shared" si="26"/>
        <v>0.9</v>
      </c>
      <c r="H72">
        <f t="shared" si="27"/>
        <v>60226.517333141965</v>
      </c>
      <c r="I72">
        <f t="shared" si="19"/>
        <v>0</v>
      </c>
      <c r="J72">
        <f t="shared" si="20"/>
        <v>62913.617773415957</v>
      </c>
      <c r="K72">
        <f t="shared" si="21"/>
        <v>62844.925420084575</v>
      </c>
      <c r="L72">
        <f t="shared" si="28"/>
        <v>62844.925420084575</v>
      </c>
      <c r="M72">
        <f t="shared" si="22"/>
        <v>0</v>
      </c>
      <c r="N72" s="29">
        <f t="shared" si="29"/>
        <v>62844.925420084575</v>
      </c>
      <c r="O72" s="29">
        <f t="shared" si="23"/>
        <v>62828.109187400078</v>
      </c>
      <c r="P72" s="29">
        <f t="shared" si="30"/>
        <v>62828.109187400078</v>
      </c>
      <c r="Q72">
        <f t="shared" si="31"/>
        <v>0</v>
      </c>
      <c r="R72" s="29">
        <f t="shared" si="32"/>
        <v>62828.109187400078</v>
      </c>
      <c r="S72" s="29">
        <f t="shared" si="24"/>
        <v>62826.201194987072</v>
      </c>
      <c r="T72" s="29">
        <f t="shared" si="33"/>
        <v>62826.201194987072</v>
      </c>
      <c r="U72">
        <f t="shared" si="34"/>
        <v>0</v>
      </c>
      <c r="V72" s="29">
        <f t="shared" si="35"/>
        <v>62826.201194987072</v>
      </c>
      <c r="W72" s="29">
        <f t="shared" si="25"/>
        <v>62826.201194987072</v>
      </c>
      <c r="X72" s="29">
        <f t="shared" si="36"/>
        <v>62826.201194987072</v>
      </c>
      <c r="Y72">
        <f t="shared" si="37"/>
        <v>0</v>
      </c>
    </row>
    <row r="73" spans="1:25" x14ac:dyDescent="0.25">
      <c r="A73" s="4" t="s">
        <v>795</v>
      </c>
      <c r="B73" s="7" t="s">
        <v>387</v>
      </c>
      <c r="C73" s="2" t="s">
        <v>796</v>
      </c>
      <c r="D73">
        <f>VLOOKUP(B73,'Model allocations'!$A$1:$L$316,4,FALSE)</f>
        <v>5143.4449393467949</v>
      </c>
      <c r="E73" s="31">
        <f>VLOOKUP(B73,'Initial adjusted formula count'!$A$1:$P$316,12,FALSE)</f>
        <v>0.133333333333333</v>
      </c>
      <c r="F73">
        <f>VLOOKUP(B73,'Model allocations'!$A$1:$L$316,9,FALSE)</f>
        <v>4377.173594552849</v>
      </c>
      <c r="G73" s="30">
        <f t="shared" si="26"/>
        <v>0.85</v>
      </c>
      <c r="H73">
        <f t="shared" si="27"/>
        <v>4371.9281984447753</v>
      </c>
      <c r="I73">
        <f t="shared" si="19"/>
        <v>0</v>
      </c>
      <c r="J73">
        <f t="shared" si="20"/>
        <v>4377.173594552849</v>
      </c>
      <c r="K73">
        <f t="shared" si="21"/>
        <v>4372.3943692310322</v>
      </c>
      <c r="L73">
        <f t="shared" si="28"/>
        <v>4372.3943692310322</v>
      </c>
      <c r="M73">
        <f t="shared" si="22"/>
        <v>0</v>
      </c>
      <c r="N73" s="29">
        <f t="shared" si="29"/>
        <v>4372.3943692310322</v>
      </c>
      <c r="O73" s="29">
        <f t="shared" si="23"/>
        <v>4371.2243908976998</v>
      </c>
      <c r="P73" s="29">
        <f t="shared" si="30"/>
        <v>4371.2243908976998</v>
      </c>
      <c r="Q73">
        <f t="shared" si="31"/>
        <v>4371.9281984447753</v>
      </c>
      <c r="R73" s="29">
        <f t="shared" si="32"/>
        <v>0</v>
      </c>
      <c r="S73" s="29">
        <f t="shared" si="24"/>
        <v>0</v>
      </c>
      <c r="T73" s="29">
        <f t="shared" si="33"/>
        <v>4371.9281984447753</v>
      </c>
      <c r="U73">
        <f t="shared" si="34"/>
        <v>0</v>
      </c>
      <c r="V73" s="29">
        <f t="shared" si="35"/>
        <v>0</v>
      </c>
      <c r="W73" s="29">
        <f t="shared" si="25"/>
        <v>0</v>
      </c>
      <c r="X73" s="29">
        <f t="shared" si="36"/>
        <v>4371.9281984447753</v>
      </c>
      <c r="Y73">
        <f t="shared" si="37"/>
        <v>0</v>
      </c>
    </row>
    <row r="74" spans="1:25" x14ac:dyDescent="0.25">
      <c r="A74" s="4" t="s">
        <v>797</v>
      </c>
      <c r="B74" s="7" t="s">
        <v>389</v>
      </c>
      <c r="C74" s="2" t="s">
        <v>798</v>
      </c>
      <c r="D74">
        <f>VLOOKUP(B74,'Model allocations'!$A$1:$L$316,4,FALSE)</f>
        <v>16365.506625194343</v>
      </c>
      <c r="E74" s="31">
        <f>VLOOKUP(B74,'Initial adjusted formula count'!$A$1:$P$316,12,FALSE)</f>
        <v>0.100719424460432</v>
      </c>
      <c r="F74">
        <f>VLOOKUP(B74,'Model allocations'!$A$1:$L$316,9,FALSE)</f>
        <v>13927.370528122694</v>
      </c>
      <c r="G74" s="30">
        <f t="shared" si="26"/>
        <v>0.85</v>
      </c>
      <c r="H74">
        <f t="shared" si="27"/>
        <v>13910.680631415191</v>
      </c>
      <c r="I74">
        <f t="shared" si="19"/>
        <v>0</v>
      </c>
      <c r="J74">
        <f t="shared" si="20"/>
        <v>13927.370528122694</v>
      </c>
      <c r="K74">
        <f t="shared" si="21"/>
        <v>13912.16390209873</v>
      </c>
      <c r="L74">
        <f t="shared" si="28"/>
        <v>13912.16390209873</v>
      </c>
      <c r="M74">
        <f t="shared" si="22"/>
        <v>0</v>
      </c>
      <c r="N74" s="29">
        <f t="shared" si="29"/>
        <v>13912.16390209873</v>
      </c>
      <c r="O74" s="29">
        <f t="shared" si="23"/>
        <v>13908.441243765399</v>
      </c>
      <c r="P74" s="29">
        <f t="shared" si="30"/>
        <v>13908.441243765399</v>
      </c>
      <c r="Q74">
        <f t="shared" si="31"/>
        <v>13910.680631415191</v>
      </c>
      <c r="R74" s="29">
        <f t="shared" si="32"/>
        <v>0</v>
      </c>
      <c r="S74" s="29">
        <f t="shared" si="24"/>
        <v>0</v>
      </c>
      <c r="T74" s="29">
        <f t="shared" si="33"/>
        <v>13910.680631415191</v>
      </c>
      <c r="U74">
        <f t="shared" si="34"/>
        <v>0</v>
      </c>
      <c r="V74" s="29">
        <f t="shared" si="35"/>
        <v>0</v>
      </c>
      <c r="W74" s="29">
        <f t="shared" si="25"/>
        <v>0</v>
      </c>
      <c r="X74" s="29">
        <f t="shared" si="36"/>
        <v>13910.680631415191</v>
      </c>
      <c r="Y74">
        <f t="shared" si="37"/>
        <v>0</v>
      </c>
    </row>
    <row r="75" spans="1:25" x14ac:dyDescent="0.25">
      <c r="A75" s="4" t="s">
        <v>799</v>
      </c>
      <c r="B75" s="7" t="s">
        <v>122</v>
      </c>
      <c r="C75" s="2" t="s">
        <v>800</v>
      </c>
      <c r="D75">
        <f>VLOOKUP(B75,'Model allocations'!$A$1:$L$316,4,FALSE)</f>
        <v>0</v>
      </c>
      <c r="E75" s="31">
        <f>VLOOKUP(B75,'Initial adjusted formula count'!$A$1:$P$316,12,FALSE)</f>
        <v>5.63766891891892E-2</v>
      </c>
      <c r="F75">
        <f>VLOOKUP(B75,'Model allocations'!$A$1:$L$316,9,FALSE)</f>
        <v>0</v>
      </c>
      <c r="G75" s="30">
        <f t="shared" si="26"/>
        <v>0.85</v>
      </c>
      <c r="H75">
        <f t="shared" si="27"/>
        <v>0</v>
      </c>
      <c r="I75">
        <f t="shared" si="19"/>
        <v>0</v>
      </c>
      <c r="J75">
        <f t="shared" si="20"/>
        <v>0</v>
      </c>
      <c r="K75">
        <f t="shared" si="21"/>
        <v>0</v>
      </c>
      <c r="L75">
        <f t="shared" si="28"/>
        <v>0</v>
      </c>
      <c r="M75">
        <f t="shared" si="22"/>
        <v>0</v>
      </c>
      <c r="N75" s="29">
        <f t="shared" si="29"/>
        <v>0</v>
      </c>
      <c r="O75" s="29">
        <f t="shared" si="23"/>
        <v>0</v>
      </c>
      <c r="P75" s="29">
        <f t="shared" si="30"/>
        <v>0</v>
      </c>
      <c r="Q75">
        <f t="shared" si="31"/>
        <v>0</v>
      </c>
      <c r="R75" s="29">
        <f t="shared" si="32"/>
        <v>0</v>
      </c>
      <c r="S75" s="29">
        <f t="shared" si="24"/>
        <v>0</v>
      </c>
      <c r="T75" s="29">
        <f t="shared" si="33"/>
        <v>0</v>
      </c>
      <c r="U75">
        <f t="shared" si="34"/>
        <v>0</v>
      </c>
      <c r="V75" s="29">
        <f t="shared" si="35"/>
        <v>0</v>
      </c>
      <c r="W75" s="29">
        <f t="shared" si="25"/>
        <v>0</v>
      </c>
      <c r="X75" s="29">
        <f t="shared" si="36"/>
        <v>0</v>
      </c>
      <c r="Y75">
        <f t="shared" si="37"/>
        <v>0</v>
      </c>
    </row>
    <row r="76" spans="1:25" x14ac:dyDescent="0.25">
      <c r="A76" s="4" t="s">
        <v>801</v>
      </c>
      <c r="B76" s="7" t="s">
        <v>391</v>
      </c>
      <c r="C76" s="2" t="s">
        <v>802</v>
      </c>
      <c r="D76">
        <f>VLOOKUP(B76,'Model allocations'!$A$1:$L$316,4,FALSE)</f>
        <v>89598.505630549393</v>
      </c>
      <c r="E76" s="31">
        <f>VLOOKUP(B76,'Initial adjusted formula count'!$A$1:$P$316,12,FALSE)</f>
        <v>0.17167530224524999</v>
      </c>
      <c r="F76">
        <f>VLOOKUP(B76,'Model allocations'!$A$1:$L$316,9,FALSE)</f>
        <v>117992.70955995373</v>
      </c>
      <c r="G76" s="30">
        <f t="shared" si="26"/>
        <v>0.9</v>
      </c>
      <c r="H76">
        <f t="shared" si="27"/>
        <v>80638.655067494459</v>
      </c>
      <c r="I76">
        <f t="shared" si="19"/>
        <v>0</v>
      </c>
      <c r="J76">
        <f t="shared" si="20"/>
        <v>117992.70955995373</v>
      </c>
      <c r="K76">
        <f t="shared" si="21"/>
        <v>117863.87899540392</v>
      </c>
      <c r="L76">
        <f t="shared" si="28"/>
        <v>117863.87899540392</v>
      </c>
      <c r="M76">
        <f t="shared" si="22"/>
        <v>0</v>
      </c>
      <c r="N76" s="29">
        <f t="shared" si="29"/>
        <v>117863.87899540392</v>
      </c>
      <c r="O76" s="29">
        <f t="shared" si="23"/>
        <v>117832.34062693526</v>
      </c>
      <c r="P76" s="29">
        <f t="shared" si="30"/>
        <v>117832.34062693526</v>
      </c>
      <c r="Q76">
        <f t="shared" si="31"/>
        <v>0</v>
      </c>
      <c r="R76" s="29">
        <f t="shared" si="32"/>
        <v>117832.34062693526</v>
      </c>
      <c r="S76" s="29">
        <f t="shared" si="24"/>
        <v>117828.76224116446</v>
      </c>
      <c r="T76" s="29">
        <f t="shared" si="33"/>
        <v>117828.76224116446</v>
      </c>
      <c r="U76">
        <f t="shared" si="34"/>
        <v>0</v>
      </c>
      <c r="V76" s="29">
        <f t="shared" si="35"/>
        <v>117828.76224116446</v>
      </c>
      <c r="W76" s="29">
        <f t="shared" si="25"/>
        <v>117828.76224116446</v>
      </c>
      <c r="X76" s="29">
        <f t="shared" si="36"/>
        <v>117828.76224116446</v>
      </c>
      <c r="Y76">
        <f t="shared" si="37"/>
        <v>0</v>
      </c>
    </row>
    <row r="77" spans="1:25" x14ac:dyDescent="0.25">
      <c r="A77" s="4" t="s">
        <v>803</v>
      </c>
      <c r="B77" s="7" t="s">
        <v>393</v>
      </c>
      <c r="C77" s="2" t="s">
        <v>804</v>
      </c>
      <c r="D77">
        <f>VLOOKUP(B77,'Model allocations'!$A$1:$L$316,4,FALSE)</f>
        <v>5916.8666470503276</v>
      </c>
      <c r="E77" s="31">
        <f>VLOOKUP(B77,'Initial adjusted formula count'!$A$1:$P$316,12,FALSE)</f>
        <v>0.13636363636363599</v>
      </c>
      <c r="F77">
        <f>VLOOKUP(B77,'Model allocations'!$A$1:$L$316,9,FALSE)</f>
        <v>5029.3366499927788</v>
      </c>
      <c r="G77" s="30">
        <f t="shared" si="26"/>
        <v>0.85</v>
      </c>
      <c r="H77">
        <f t="shared" si="27"/>
        <v>5029.3366499927788</v>
      </c>
      <c r="I77">
        <f t="shared" si="19"/>
        <v>0</v>
      </c>
      <c r="J77">
        <f t="shared" si="20"/>
        <v>5029.3366499927788</v>
      </c>
      <c r="K77">
        <f t="shared" si="21"/>
        <v>5023.8453591973894</v>
      </c>
      <c r="L77">
        <f t="shared" si="28"/>
        <v>5023.8453591973894</v>
      </c>
      <c r="M77">
        <f t="shared" si="22"/>
        <v>5029.3366499927788</v>
      </c>
      <c r="N77" s="29">
        <f t="shared" si="29"/>
        <v>0</v>
      </c>
      <c r="O77" s="29">
        <f t="shared" si="23"/>
        <v>0</v>
      </c>
      <c r="P77" s="29">
        <f t="shared" si="30"/>
        <v>5029.3366499927788</v>
      </c>
      <c r="Q77">
        <f t="shared" si="31"/>
        <v>0</v>
      </c>
      <c r="R77" s="29">
        <f t="shared" si="32"/>
        <v>0</v>
      </c>
      <c r="S77" s="29">
        <f t="shared" si="24"/>
        <v>0</v>
      </c>
      <c r="T77" s="29">
        <f t="shared" si="33"/>
        <v>5029.3366499927788</v>
      </c>
      <c r="U77">
        <f t="shared" si="34"/>
        <v>0</v>
      </c>
      <c r="V77" s="29">
        <f t="shared" si="35"/>
        <v>0</v>
      </c>
      <c r="W77" s="29">
        <f t="shared" si="25"/>
        <v>0</v>
      </c>
      <c r="X77" s="29">
        <f t="shared" si="36"/>
        <v>5029.3366499927788</v>
      </c>
      <c r="Y77">
        <f t="shared" si="37"/>
        <v>0</v>
      </c>
    </row>
    <row r="78" spans="1:25" x14ac:dyDescent="0.25">
      <c r="A78" s="4" t="s">
        <v>805</v>
      </c>
      <c r="B78" s="7" t="s">
        <v>124</v>
      </c>
      <c r="C78" s="2" t="s">
        <v>806</v>
      </c>
      <c r="D78">
        <f>VLOOKUP(B78,'Model allocations'!$A$1:$L$316,4,FALSE)</f>
        <v>0</v>
      </c>
      <c r="E78" s="31">
        <f>VLOOKUP(B78,'Initial adjusted formula count'!$A$1:$P$316,12,FALSE)</f>
        <v>9.8040911646412696E-2</v>
      </c>
      <c r="F78">
        <f>VLOOKUP(B78,'Model allocations'!$A$1:$L$316,9,FALSE)</f>
        <v>0</v>
      </c>
      <c r="G78" s="30">
        <f t="shared" si="26"/>
        <v>0.85</v>
      </c>
      <c r="H78">
        <f t="shared" si="27"/>
        <v>0</v>
      </c>
      <c r="I78">
        <f t="shared" si="19"/>
        <v>0</v>
      </c>
      <c r="J78">
        <f t="shared" si="20"/>
        <v>0</v>
      </c>
      <c r="K78">
        <f t="shared" si="21"/>
        <v>0</v>
      </c>
      <c r="L78">
        <f t="shared" si="28"/>
        <v>0</v>
      </c>
      <c r="M78">
        <f t="shared" si="22"/>
        <v>0</v>
      </c>
      <c r="N78" s="29">
        <f t="shared" si="29"/>
        <v>0</v>
      </c>
      <c r="O78" s="29">
        <f t="shared" si="23"/>
        <v>0</v>
      </c>
      <c r="P78" s="29">
        <f t="shared" si="30"/>
        <v>0</v>
      </c>
      <c r="Q78">
        <f t="shared" si="31"/>
        <v>0</v>
      </c>
      <c r="R78" s="29">
        <f t="shared" si="32"/>
        <v>0</v>
      </c>
      <c r="S78" s="29">
        <f t="shared" si="24"/>
        <v>0</v>
      </c>
      <c r="T78" s="29">
        <f t="shared" si="33"/>
        <v>0</v>
      </c>
      <c r="U78">
        <f t="shared" si="34"/>
        <v>0</v>
      </c>
      <c r="V78" s="29">
        <f t="shared" si="35"/>
        <v>0</v>
      </c>
      <c r="W78" s="29">
        <f t="shared" si="25"/>
        <v>0</v>
      </c>
      <c r="X78" s="29">
        <f t="shared" si="36"/>
        <v>0</v>
      </c>
      <c r="Y78">
        <f t="shared" si="37"/>
        <v>0</v>
      </c>
    </row>
    <row r="79" spans="1:25" x14ac:dyDescent="0.25">
      <c r="A79" s="4" t="s">
        <v>807</v>
      </c>
      <c r="B79" s="7" t="s">
        <v>275</v>
      </c>
      <c r="C79" s="2" t="s">
        <v>808</v>
      </c>
      <c r="D79">
        <f>VLOOKUP(B79,'Model allocations'!$A$1:$L$316,4,FALSE)</f>
        <v>0</v>
      </c>
      <c r="E79" s="31">
        <f>VLOOKUP(B79,'Initial adjusted formula count'!$A$1:$P$316,12,FALSE)</f>
        <v>0.10047201618341201</v>
      </c>
      <c r="F79">
        <f>VLOOKUP(B79,'Model allocations'!$A$1:$L$316,9,FALSE)</f>
        <v>0</v>
      </c>
      <c r="G79" s="30">
        <f t="shared" si="26"/>
        <v>0.85</v>
      </c>
      <c r="H79">
        <f t="shared" si="27"/>
        <v>0</v>
      </c>
      <c r="I79">
        <f t="shared" si="19"/>
        <v>0</v>
      </c>
      <c r="J79">
        <f t="shared" si="20"/>
        <v>0</v>
      </c>
      <c r="K79">
        <f t="shared" si="21"/>
        <v>0</v>
      </c>
      <c r="L79">
        <f t="shared" si="28"/>
        <v>0</v>
      </c>
      <c r="M79">
        <f t="shared" si="22"/>
        <v>0</v>
      </c>
      <c r="N79" s="29">
        <f t="shared" si="29"/>
        <v>0</v>
      </c>
      <c r="O79" s="29">
        <f t="shared" si="23"/>
        <v>0</v>
      </c>
      <c r="P79" s="29">
        <f t="shared" si="30"/>
        <v>0</v>
      </c>
      <c r="Q79">
        <f t="shared" si="31"/>
        <v>0</v>
      </c>
      <c r="R79" s="29">
        <f t="shared" si="32"/>
        <v>0</v>
      </c>
      <c r="S79" s="29">
        <f t="shared" si="24"/>
        <v>0</v>
      </c>
      <c r="T79" s="29">
        <f t="shared" si="33"/>
        <v>0</v>
      </c>
      <c r="U79">
        <f t="shared" si="34"/>
        <v>0</v>
      </c>
      <c r="V79" s="29">
        <f t="shared" si="35"/>
        <v>0</v>
      </c>
      <c r="W79" s="29">
        <f t="shared" si="25"/>
        <v>0</v>
      </c>
      <c r="X79" s="29">
        <f t="shared" si="36"/>
        <v>0</v>
      </c>
      <c r="Y79">
        <f t="shared" si="37"/>
        <v>0</v>
      </c>
    </row>
    <row r="80" spans="1:25" x14ac:dyDescent="0.25">
      <c r="A80" s="4" t="s">
        <v>809</v>
      </c>
      <c r="B80" s="7" t="s">
        <v>395</v>
      </c>
      <c r="C80" s="2" t="s">
        <v>810</v>
      </c>
      <c r="D80">
        <f>VLOOKUP(B80,'Model allocations'!$A$1:$L$316,4,FALSE)</f>
        <v>4208.2731321928313</v>
      </c>
      <c r="E80" s="31">
        <f>VLOOKUP(B80,'Initial adjusted formula count'!$A$1:$P$316,12,FALSE)</f>
        <v>0.33928571428571402</v>
      </c>
      <c r="F80">
        <f>VLOOKUP(B80,'Model allocations'!$A$1:$L$316,9,FALSE)</f>
        <v>4510.7876894147294</v>
      </c>
      <c r="G80" s="30">
        <f t="shared" si="26"/>
        <v>0.95</v>
      </c>
      <c r="H80">
        <f t="shared" si="27"/>
        <v>3997.8594755831896</v>
      </c>
      <c r="I80">
        <f t="shared" si="19"/>
        <v>0</v>
      </c>
      <c r="J80">
        <f t="shared" si="20"/>
        <v>4510.7876894147294</v>
      </c>
      <c r="K80">
        <f t="shared" si="21"/>
        <v>4505.8625772890828</v>
      </c>
      <c r="L80">
        <f t="shared" si="28"/>
        <v>4505.8625772890828</v>
      </c>
      <c r="M80">
        <f t="shared" si="22"/>
        <v>0</v>
      </c>
      <c r="N80" s="29">
        <f t="shared" si="29"/>
        <v>4505.8625772890828</v>
      </c>
      <c r="O80" s="29">
        <f t="shared" si="23"/>
        <v>4504.6568851343454</v>
      </c>
      <c r="P80" s="29">
        <f t="shared" si="30"/>
        <v>4504.6568851343454</v>
      </c>
      <c r="Q80">
        <f t="shared" si="31"/>
        <v>0</v>
      </c>
      <c r="R80" s="29">
        <f t="shared" si="32"/>
        <v>4504.6568851343454</v>
      </c>
      <c r="S80" s="29">
        <f t="shared" si="24"/>
        <v>4504.5200856783194</v>
      </c>
      <c r="T80" s="29">
        <f t="shared" si="33"/>
        <v>4504.5200856783194</v>
      </c>
      <c r="U80">
        <f t="shared" si="34"/>
        <v>0</v>
      </c>
      <c r="V80" s="29">
        <f t="shared" si="35"/>
        <v>4504.5200856783194</v>
      </c>
      <c r="W80" s="29">
        <f t="shared" si="25"/>
        <v>4504.5200856783194</v>
      </c>
      <c r="X80" s="29">
        <f t="shared" si="36"/>
        <v>4504.5200856783194</v>
      </c>
      <c r="Y80">
        <f t="shared" si="37"/>
        <v>0</v>
      </c>
    </row>
    <row r="81" spans="1:25" x14ac:dyDescent="0.25">
      <c r="A81" s="4" t="s">
        <v>811</v>
      </c>
      <c r="B81" s="7" t="s">
        <v>397</v>
      </c>
      <c r="C81" s="2" t="s">
        <v>812</v>
      </c>
      <c r="D81">
        <f>VLOOKUP(B81,'Model allocations'!$A$1:$L$316,4,FALSE)</f>
        <v>991749.70148677728</v>
      </c>
      <c r="E81" s="31">
        <f>VLOOKUP(B81,'Initial adjusted formula count'!$A$1:$P$316,12,FALSE)</f>
        <v>0.170695790894588</v>
      </c>
      <c r="F81">
        <f>VLOOKUP(B81,'Model allocations'!$A$1:$L$316,9,FALSE)</f>
        <v>990711.42252250912</v>
      </c>
      <c r="G81" s="30">
        <f t="shared" si="26"/>
        <v>0.9</v>
      </c>
      <c r="H81">
        <f t="shared" si="27"/>
        <v>892574.73133809958</v>
      </c>
      <c r="I81">
        <f t="shared" si="19"/>
        <v>0</v>
      </c>
      <c r="J81">
        <f t="shared" si="20"/>
        <v>990711.42252250912</v>
      </c>
      <c r="K81">
        <f t="shared" si="21"/>
        <v>989629.71236986062</v>
      </c>
      <c r="L81">
        <f t="shared" si="28"/>
        <v>989629.71236986062</v>
      </c>
      <c r="M81">
        <f t="shared" si="22"/>
        <v>0</v>
      </c>
      <c r="N81" s="29">
        <f t="shared" si="29"/>
        <v>989629.71236986062</v>
      </c>
      <c r="O81" s="29">
        <f t="shared" si="23"/>
        <v>989364.90429819119</v>
      </c>
      <c r="P81" s="29">
        <f t="shared" si="30"/>
        <v>989364.90429819119</v>
      </c>
      <c r="Q81">
        <f t="shared" si="31"/>
        <v>0</v>
      </c>
      <c r="R81" s="29">
        <f t="shared" si="32"/>
        <v>989364.90429819119</v>
      </c>
      <c r="S81" s="29">
        <f t="shared" si="24"/>
        <v>989334.85881766479</v>
      </c>
      <c r="T81" s="29">
        <f t="shared" si="33"/>
        <v>989334.85881766479</v>
      </c>
      <c r="U81">
        <f t="shared" si="34"/>
        <v>0</v>
      </c>
      <c r="V81" s="29">
        <f t="shared" si="35"/>
        <v>989334.85881766479</v>
      </c>
      <c r="W81" s="29">
        <f t="shared" si="25"/>
        <v>989334.85881766479</v>
      </c>
      <c r="X81" s="29">
        <f t="shared" si="36"/>
        <v>989334.85881766479</v>
      </c>
      <c r="Y81">
        <f t="shared" si="37"/>
        <v>0</v>
      </c>
    </row>
    <row r="82" spans="1:25" x14ac:dyDescent="0.25">
      <c r="A82" s="4" t="s">
        <v>813</v>
      </c>
      <c r="B82" s="7" t="s">
        <v>126</v>
      </c>
      <c r="C82" s="2" t="s">
        <v>814</v>
      </c>
      <c r="D82">
        <f>VLOOKUP(B82,'Model allocations'!$A$1:$L$316,4,FALSE)</f>
        <v>157618.98088599634</v>
      </c>
      <c r="E82" s="31">
        <f>VLOOKUP(B82,'Initial adjusted formula count'!$A$1:$P$316,12,FALSE)</f>
        <v>9.1623036649214604E-2</v>
      </c>
      <c r="F82">
        <f>VLOOKUP(B82,'Model allocations'!$A$1:$L$316,9,FALSE)</f>
        <v>133886.38253303117</v>
      </c>
      <c r="G82" s="30">
        <f t="shared" si="26"/>
        <v>0.85</v>
      </c>
      <c r="H82">
        <f t="shared" si="27"/>
        <v>133976.13375309689</v>
      </c>
      <c r="I82">
        <f t="shared" si="19"/>
        <v>133976.13375309689</v>
      </c>
      <c r="J82">
        <f t="shared" si="20"/>
        <v>0</v>
      </c>
      <c r="K82">
        <f t="shared" si="21"/>
        <v>0</v>
      </c>
      <c r="L82">
        <f t="shared" si="28"/>
        <v>133976.13375309689</v>
      </c>
      <c r="M82">
        <f t="shared" si="22"/>
        <v>0</v>
      </c>
      <c r="N82" s="29">
        <f t="shared" si="29"/>
        <v>0</v>
      </c>
      <c r="O82" s="29">
        <f t="shared" si="23"/>
        <v>0</v>
      </c>
      <c r="P82" s="29">
        <f t="shared" si="30"/>
        <v>133976.13375309689</v>
      </c>
      <c r="Q82">
        <f t="shared" si="31"/>
        <v>0</v>
      </c>
      <c r="R82" s="29">
        <f t="shared" si="32"/>
        <v>0</v>
      </c>
      <c r="S82" s="29">
        <f t="shared" si="24"/>
        <v>0</v>
      </c>
      <c r="T82" s="29">
        <f t="shared" si="33"/>
        <v>133976.13375309689</v>
      </c>
      <c r="U82">
        <f t="shared" si="34"/>
        <v>0</v>
      </c>
      <c r="V82" s="29">
        <f t="shared" si="35"/>
        <v>0</v>
      </c>
      <c r="W82" s="29">
        <f t="shared" si="25"/>
        <v>0</v>
      </c>
      <c r="X82" s="29">
        <f t="shared" si="36"/>
        <v>133976.13375309689</v>
      </c>
      <c r="Y82">
        <f t="shared" si="37"/>
        <v>0</v>
      </c>
    </row>
    <row r="83" spans="1:25" x14ac:dyDescent="0.25">
      <c r="A83" s="4" t="s">
        <v>815</v>
      </c>
      <c r="B83" s="7" t="s">
        <v>128</v>
      </c>
      <c r="C83" s="2" t="s">
        <v>816</v>
      </c>
      <c r="D83">
        <f>VLOOKUP(B83,'Model allocations'!$A$1:$L$316,4,FALSE)</f>
        <v>0</v>
      </c>
      <c r="E83" s="31">
        <f>VLOOKUP(B83,'Initial adjusted formula count'!$A$1:$P$316,12,FALSE)</f>
        <v>0.11544081831466101</v>
      </c>
      <c r="F83">
        <f>VLOOKUP(B83,'Model allocations'!$A$1:$L$316,9,FALSE)</f>
        <v>0</v>
      </c>
      <c r="G83" s="30">
        <f t="shared" si="26"/>
        <v>0.85</v>
      </c>
      <c r="H83">
        <f t="shared" si="27"/>
        <v>0</v>
      </c>
      <c r="I83">
        <f t="shared" si="19"/>
        <v>0</v>
      </c>
      <c r="J83">
        <f t="shared" si="20"/>
        <v>0</v>
      </c>
      <c r="K83">
        <f t="shared" si="21"/>
        <v>0</v>
      </c>
      <c r="L83">
        <f t="shared" si="28"/>
        <v>0</v>
      </c>
      <c r="M83">
        <f t="shared" si="22"/>
        <v>0</v>
      </c>
      <c r="N83" s="29">
        <f t="shared" si="29"/>
        <v>0</v>
      </c>
      <c r="O83" s="29">
        <f t="shared" si="23"/>
        <v>0</v>
      </c>
      <c r="P83" s="29">
        <f t="shared" si="30"/>
        <v>0</v>
      </c>
      <c r="Q83">
        <f t="shared" si="31"/>
        <v>0</v>
      </c>
      <c r="R83" s="29">
        <f t="shared" si="32"/>
        <v>0</v>
      </c>
      <c r="S83" s="29">
        <f t="shared" si="24"/>
        <v>0</v>
      </c>
      <c r="T83" s="29">
        <f t="shared" si="33"/>
        <v>0</v>
      </c>
      <c r="U83">
        <f t="shared" si="34"/>
        <v>0</v>
      </c>
      <c r="V83" s="29">
        <f t="shared" si="35"/>
        <v>0</v>
      </c>
      <c r="W83" s="29">
        <f t="shared" si="25"/>
        <v>0</v>
      </c>
      <c r="X83" s="29">
        <f t="shared" si="36"/>
        <v>0</v>
      </c>
      <c r="Y83">
        <f t="shared" si="37"/>
        <v>0</v>
      </c>
    </row>
    <row r="84" spans="1:25" x14ac:dyDescent="0.25">
      <c r="A84" s="4" t="s">
        <v>817</v>
      </c>
      <c r="B84" s="7" t="s">
        <v>399</v>
      </c>
      <c r="C84" s="2" t="s">
        <v>818</v>
      </c>
      <c r="D84">
        <f>VLOOKUP(B84,'Model allocations'!$A$1:$L$316,4,FALSE)</f>
        <v>26632.893843933394</v>
      </c>
      <c r="E84" s="31">
        <f>VLOOKUP(B84,'Initial adjusted formula count'!$A$1:$P$316,12,FALSE)</f>
        <v>0.106521739130435</v>
      </c>
      <c r="F84">
        <f>VLOOKUP(B84,'Model allocations'!$A$1:$L$316,9,FALSE)</f>
        <v>22637.959767343385</v>
      </c>
      <c r="G84" s="30">
        <f t="shared" si="26"/>
        <v>0.85</v>
      </c>
      <c r="H84">
        <f t="shared" si="27"/>
        <v>22637.959767343385</v>
      </c>
      <c r="I84">
        <f t="shared" si="19"/>
        <v>0</v>
      </c>
      <c r="J84">
        <f t="shared" si="20"/>
        <v>22637.959767343385</v>
      </c>
      <c r="K84">
        <f t="shared" si="21"/>
        <v>22613.242467876669</v>
      </c>
      <c r="L84">
        <f t="shared" si="28"/>
        <v>22613.242467876669</v>
      </c>
      <c r="M84">
        <f t="shared" si="22"/>
        <v>22637.959767343385</v>
      </c>
      <c r="N84" s="29">
        <f t="shared" si="29"/>
        <v>0</v>
      </c>
      <c r="O84" s="29">
        <f t="shared" si="23"/>
        <v>0</v>
      </c>
      <c r="P84" s="29">
        <f t="shared" si="30"/>
        <v>22637.959767343385</v>
      </c>
      <c r="Q84">
        <f t="shared" si="31"/>
        <v>0</v>
      </c>
      <c r="R84" s="29">
        <f t="shared" si="32"/>
        <v>0</v>
      </c>
      <c r="S84" s="29">
        <f t="shared" si="24"/>
        <v>0</v>
      </c>
      <c r="T84" s="29">
        <f t="shared" si="33"/>
        <v>22637.959767343385</v>
      </c>
      <c r="U84">
        <f t="shared" si="34"/>
        <v>0</v>
      </c>
      <c r="V84" s="29">
        <f t="shared" si="35"/>
        <v>0</v>
      </c>
      <c r="W84" s="29">
        <f t="shared" si="25"/>
        <v>0</v>
      </c>
      <c r="X84" s="29">
        <f t="shared" si="36"/>
        <v>22637.959767343385</v>
      </c>
      <c r="Y84">
        <f t="shared" si="37"/>
        <v>0</v>
      </c>
    </row>
    <row r="85" spans="1:25" x14ac:dyDescent="0.25">
      <c r="A85" s="4" t="s">
        <v>819</v>
      </c>
      <c r="B85" s="7" t="s">
        <v>401</v>
      </c>
      <c r="C85" s="2" t="s">
        <v>820</v>
      </c>
      <c r="D85">
        <f>VLOOKUP(B85,'Model allocations'!$A$1:$L$316,4,FALSE)</f>
        <v>330115.64792534889</v>
      </c>
      <c r="E85" s="31">
        <f>VLOOKUP(B85,'Initial adjusted formula count'!$A$1:$P$316,12,FALSE)</f>
        <v>0.16946613886808601</v>
      </c>
      <c r="F85">
        <f>VLOOKUP(B85,'Model allocations'!$A$1:$L$316,9,FALSE)</f>
        <v>376057.24737015431</v>
      </c>
      <c r="G85" s="30">
        <f t="shared" si="26"/>
        <v>0.9</v>
      </c>
      <c r="H85">
        <f t="shared" si="27"/>
        <v>297104.08313281403</v>
      </c>
      <c r="I85">
        <f t="shared" si="19"/>
        <v>0</v>
      </c>
      <c r="J85">
        <f t="shared" si="20"/>
        <v>376057.24737015431</v>
      </c>
      <c r="K85">
        <f t="shared" si="21"/>
        <v>375646.64854873199</v>
      </c>
      <c r="L85">
        <f t="shared" si="28"/>
        <v>375646.64854873199</v>
      </c>
      <c r="M85">
        <f t="shared" si="22"/>
        <v>0</v>
      </c>
      <c r="N85" s="29">
        <f t="shared" si="29"/>
        <v>375646.64854873199</v>
      </c>
      <c r="O85" s="29">
        <f t="shared" si="23"/>
        <v>375546.13189751591</v>
      </c>
      <c r="P85" s="29">
        <f t="shared" si="30"/>
        <v>375546.13189751591</v>
      </c>
      <c r="Q85">
        <f t="shared" si="31"/>
        <v>0</v>
      </c>
      <c r="R85" s="29">
        <f t="shared" si="32"/>
        <v>375546.13189751591</v>
      </c>
      <c r="S85" s="29">
        <f t="shared" si="24"/>
        <v>375534.72714286612</v>
      </c>
      <c r="T85" s="29">
        <f t="shared" si="33"/>
        <v>375534.72714286612</v>
      </c>
      <c r="U85">
        <f t="shared" si="34"/>
        <v>0</v>
      </c>
      <c r="V85" s="29">
        <f t="shared" si="35"/>
        <v>375534.72714286612</v>
      </c>
      <c r="W85" s="29">
        <f t="shared" si="25"/>
        <v>375534.72714286612</v>
      </c>
      <c r="X85" s="29">
        <f t="shared" si="36"/>
        <v>375534.72714286612</v>
      </c>
      <c r="Y85">
        <f t="shared" si="37"/>
        <v>0</v>
      </c>
    </row>
    <row r="86" spans="1:25" x14ac:dyDescent="0.25">
      <c r="A86" s="4" t="s">
        <v>821</v>
      </c>
      <c r="B86" s="7" t="s">
        <v>130</v>
      </c>
      <c r="C86" s="2" t="s">
        <v>822</v>
      </c>
      <c r="D86">
        <f>VLOOKUP(B86,'Model allocations'!$A$1:$L$316,4,FALSE)</f>
        <v>0</v>
      </c>
      <c r="E86" s="31">
        <f>VLOOKUP(B86,'Initial adjusted formula count'!$A$1:$P$316,12,FALSE)</f>
        <v>3.0060120240480999E-2</v>
      </c>
      <c r="F86">
        <f>VLOOKUP(B86,'Model allocations'!$A$1:$L$316,9,FALSE)</f>
        <v>0</v>
      </c>
      <c r="G86" s="30">
        <f t="shared" si="26"/>
        <v>0.85</v>
      </c>
      <c r="H86">
        <f t="shared" si="27"/>
        <v>0</v>
      </c>
      <c r="I86">
        <f t="shared" si="19"/>
        <v>0</v>
      </c>
      <c r="J86">
        <f t="shared" si="20"/>
        <v>0</v>
      </c>
      <c r="K86">
        <f t="shared" si="21"/>
        <v>0</v>
      </c>
      <c r="L86">
        <f t="shared" si="28"/>
        <v>0</v>
      </c>
      <c r="M86">
        <f t="shared" si="22"/>
        <v>0</v>
      </c>
      <c r="N86" s="29">
        <f t="shared" si="29"/>
        <v>0</v>
      </c>
      <c r="O86" s="29">
        <f t="shared" si="23"/>
        <v>0</v>
      </c>
      <c r="P86" s="29">
        <f t="shared" si="30"/>
        <v>0</v>
      </c>
      <c r="Q86">
        <f t="shared" si="31"/>
        <v>0</v>
      </c>
      <c r="R86" s="29">
        <f t="shared" si="32"/>
        <v>0</v>
      </c>
      <c r="S86" s="29">
        <f t="shared" si="24"/>
        <v>0</v>
      </c>
      <c r="T86" s="29">
        <f t="shared" si="33"/>
        <v>0</v>
      </c>
      <c r="U86">
        <f t="shared" si="34"/>
        <v>0</v>
      </c>
      <c r="V86" s="29">
        <f t="shared" si="35"/>
        <v>0</v>
      </c>
      <c r="W86" s="29">
        <f t="shared" si="25"/>
        <v>0</v>
      </c>
      <c r="X86" s="29">
        <f t="shared" si="36"/>
        <v>0</v>
      </c>
      <c r="Y86">
        <f t="shared" si="37"/>
        <v>0</v>
      </c>
    </row>
    <row r="87" spans="1:25" x14ac:dyDescent="0.25">
      <c r="A87" s="4" t="s">
        <v>823</v>
      </c>
      <c r="B87" s="7" t="s">
        <v>403</v>
      </c>
      <c r="C87" s="2" t="s">
        <v>824</v>
      </c>
      <c r="D87">
        <f>VLOOKUP(B87,'Model allocations'!$A$1:$L$316,4,FALSE)</f>
        <v>7715.1674090201896</v>
      </c>
      <c r="E87" s="31">
        <f>VLOOKUP(B87,'Initial adjusted formula count'!$A$1:$P$316,12,FALSE)</f>
        <v>0.21212121212121199</v>
      </c>
      <c r="F87">
        <f>VLOOKUP(B87,'Model allocations'!$A$1:$L$316,9,FALSE)</f>
        <v>6951.98159134864</v>
      </c>
      <c r="G87" s="30">
        <f t="shared" si="26"/>
        <v>0.9</v>
      </c>
      <c r="H87">
        <f t="shared" si="27"/>
        <v>6943.6506681181709</v>
      </c>
      <c r="I87">
        <f t="shared" si="19"/>
        <v>0</v>
      </c>
      <c r="J87">
        <f t="shared" si="20"/>
        <v>6951.98159134864</v>
      </c>
      <c r="K87">
        <f t="shared" si="21"/>
        <v>6944.3910570139897</v>
      </c>
      <c r="L87">
        <f t="shared" si="28"/>
        <v>6944.3910570139897</v>
      </c>
      <c r="M87">
        <f t="shared" si="22"/>
        <v>0</v>
      </c>
      <c r="N87" s="29">
        <f t="shared" si="29"/>
        <v>6944.3910570139897</v>
      </c>
      <c r="O87" s="29">
        <f t="shared" si="23"/>
        <v>6942.5328561316383</v>
      </c>
      <c r="P87" s="29">
        <f t="shared" si="30"/>
        <v>6942.5328561316383</v>
      </c>
      <c r="Q87">
        <f t="shared" si="31"/>
        <v>6943.6506681181709</v>
      </c>
      <c r="R87" s="29">
        <f t="shared" si="32"/>
        <v>0</v>
      </c>
      <c r="S87" s="29">
        <f t="shared" si="24"/>
        <v>0</v>
      </c>
      <c r="T87" s="29">
        <f t="shared" si="33"/>
        <v>6943.6506681181709</v>
      </c>
      <c r="U87">
        <f t="shared" si="34"/>
        <v>0</v>
      </c>
      <c r="V87" s="29">
        <f t="shared" si="35"/>
        <v>0</v>
      </c>
      <c r="W87" s="29">
        <f t="shared" si="25"/>
        <v>0</v>
      </c>
      <c r="X87" s="29">
        <f t="shared" si="36"/>
        <v>6943.6506681181709</v>
      </c>
      <c r="Y87">
        <f t="shared" si="37"/>
        <v>0</v>
      </c>
    </row>
    <row r="88" spans="1:25" x14ac:dyDescent="0.25">
      <c r="A88" s="4" t="s">
        <v>825</v>
      </c>
      <c r="B88" s="7" t="s">
        <v>132</v>
      </c>
      <c r="C88" s="2" t="s">
        <v>826</v>
      </c>
      <c r="D88">
        <f>VLOOKUP(B88,'Model allocations'!$A$1:$L$316,4,FALSE)</f>
        <v>2742.3128581885594</v>
      </c>
      <c r="E88" s="31">
        <f>VLOOKUP(B88,'Initial adjusted formula count'!$A$1:$P$316,12,FALSE)</f>
        <v>0.16129032258064499</v>
      </c>
      <c r="F88">
        <f>VLOOKUP(B88,'Model allocations'!$A$1:$L$316,9,FALSE)</f>
        <v>2468.0815723697037</v>
      </c>
      <c r="G88" s="30">
        <f t="shared" si="26"/>
        <v>0.9</v>
      </c>
      <c r="H88">
        <f t="shared" si="27"/>
        <v>2468.0815723697037</v>
      </c>
      <c r="I88">
        <f t="shared" si="19"/>
        <v>0</v>
      </c>
      <c r="J88">
        <f t="shared" si="20"/>
        <v>2468.0815723697037</v>
      </c>
      <c r="K88">
        <f t="shared" si="21"/>
        <v>2465.3867928065492</v>
      </c>
      <c r="L88">
        <f t="shared" si="28"/>
        <v>2465.3867928065492</v>
      </c>
      <c r="M88">
        <f t="shared" si="22"/>
        <v>2468.0815723697037</v>
      </c>
      <c r="N88" s="29">
        <f t="shared" si="29"/>
        <v>0</v>
      </c>
      <c r="O88" s="29">
        <f t="shared" si="23"/>
        <v>0</v>
      </c>
      <c r="P88" s="29">
        <f t="shared" si="30"/>
        <v>2468.0815723697037</v>
      </c>
      <c r="Q88">
        <f t="shared" si="31"/>
        <v>0</v>
      </c>
      <c r="R88" s="29">
        <f t="shared" si="32"/>
        <v>0</v>
      </c>
      <c r="S88" s="29">
        <f t="shared" si="24"/>
        <v>0</v>
      </c>
      <c r="T88" s="29">
        <f t="shared" si="33"/>
        <v>2468.0815723697037</v>
      </c>
      <c r="U88">
        <f t="shared" si="34"/>
        <v>0</v>
      </c>
      <c r="V88" s="29">
        <f t="shared" si="35"/>
        <v>0</v>
      </c>
      <c r="W88" s="29">
        <f t="shared" si="25"/>
        <v>0</v>
      </c>
      <c r="X88" s="29">
        <f t="shared" si="36"/>
        <v>2468.0815723697037</v>
      </c>
      <c r="Y88">
        <f t="shared" si="37"/>
        <v>0</v>
      </c>
    </row>
    <row r="89" spans="1:25" x14ac:dyDescent="0.25">
      <c r="A89" s="4" t="s">
        <v>827</v>
      </c>
      <c r="B89" s="7" t="s">
        <v>405</v>
      </c>
      <c r="C89" s="2" t="s">
        <v>828</v>
      </c>
      <c r="D89">
        <f>VLOOKUP(B89,'Model allocations'!$A$1:$L$316,4,FALSE)</f>
        <v>44884.260885132906</v>
      </c>
      <c r="E89" s="31">
        <f>VLOOKUP(B89,'Initial adjusted formula count'!$A$1:$P$316,12,FALSE)</f>
        <v>0.154275092936803</v>
      </c>
      <c r="F89">
        <f>VLOOKUP(B89,'Model allocations'!$A$1:$L$316,9,FALSE)</f>
        <v>40395.834796619616</v>
      </c>
      <c r="G89" s="30">
        <f t="shared" si="26"/>
        <v>0.9</v>
      </c>
      <c r="H89">
        <f t="shared" si="27"/>
        <v>40395.834796619616</v>
      </c>
      <c r="I89">
        <f t="shared" si="19"/>
        <v>0</v>
      </c>
      <c r="J89">
        <f t="shared" si="20"/>
        <v>40395.834796619616</v>
      </c>
      <c r="K89">
        <f t="shared" si="21"/>
        <v>40351.728527497413</v>
      </c>
      <c r="L89">
        <f t="shared" si="28"/>
        <v>40351.728527497413</v>
      </c>
      <c r="M89">
        <f t="shared" si="22"/>
        <v>40395.834796619616</v>
      </c>
      <c r="N89" s="29">
        <f t="shared" si="29"/>
        <v>0</v>
      </c>
      <c r="O89" s="29">
        <f t="shared" si="23"/>
        <v>0</v>
      </c>
      <c r="P89" s="29">
        <f t="shared" si="30"/>
        <v>40395.834796619616</v>
      </c>
      <c r="Q89">
        <f t="shared" si="31"/>
        <v>0</v>
      </c>
      <c r="R89" s="29">
        <f t="shared" si="32"/>
        <v>0</v>
      </c>
      <c r="S89" s="29">
        <f t="shared" si="24"/>
        <v>0</v>
      </c>
      <c r="T89" s="29">
        <f t="shared" si="33"/>
        <v>40395.834796619616</v>
      </c>
      <c r="U89">
        <f t="shared" si="34"/>
        <v>0</v>
      </c>
      <c r="V89" s="29">
        <f t="shared" si="35"/>
        <v>0</v>
      </c>
      <c r="W89" s="29">
        <f t="shared" si="25"/>
        <v>0</v>
      </c>
      <c r="X89" s="29">
        <f t="shared" si="36"/>
        <v>40395.834796619616</v>
      </c>
      <c r="Y89">
        <f t="shared" si="37"/>
        <v>0</v>
      </c>
    </row>
    <row r="90" spans="1:25" x14ac:dyDescent="0.25">
      <c r="A90" s="4" t="s">
        <v>829</v>
      </c>
      <c r="B90" s="7" t="s">
        <v>407</v>
      </c>
      <c r="C90" s="2" t="s">
        <v>830</v>
      </c>
      <c r="D90">
        <f>VLOOKUP(B90,'Model allocations'!$A$1:$L$316,4,FALSE)</f>
        <v>26652.396503887925</v>
      </c>
      <c r="E90" s="31">
        <f>VLOOKUP(B90,'Initial adjusted formula count'!$A$1:$P$316,12,FALSE)</f>
        <v>0.23432835820895501</v>
      </c>
      <c r="F90">
        <f>VLOOKUP(B90,'Model allocations'!$A$1:$L$316,9,FALSE)</f>
        <v>37273.350907269072</v>
      </c>
      <c r="G90" s="30">
        <f t="shared" si="26"/>
        <v>0.9</v>
      </c>
      <c r="H90">
        <f t="shared" si="27"/>
        <v>23987.156853499135</v>
      </c>
      <c r="I90">
        <f t="shared" si="19"/>
        <v>0</v>
      </c>
      <c r="J90">
        <f t="shared" si="20"/>
        <v>37273.350907269072</v>
      </c>
      <c r="K90">
        <f t="shared" si="21"/>
        <v>37232.653928125575</v>
      </c>
      <c r="L90">
        <f t="shared" si="28"/>
        <v>37232.653928125575</v>
      </c>
      <c r="M90">
        <f t="shared" si="22"/>
        <v>0</v>
      </c>
      <c r="N90" s="29">
        <f t="shared" si="29"/>
        <v>37232.653928125575</v>
      </c>
      <c r="O90" s="29">
        <f t="shared" si="23"/>
        <v>37222.691103478537</v>
      </c>
      <c r="P90" s="29">
        <f t="shared" si="30"/>
        <v>37222.691103478537</v>
      </c>
      <c r="Q90">
        <f t="shared" si="31"/>
        <v>0</v>
      </c>
      <c r="R90" s="29">
        <f t="shared" si="32"/>
        <v>37222.691103478537</v>
      </c>
      <c r="S90" s="29">
        <f t="shared" si="24"/>
        <v>37221.560707973469</v>
      </c>
      <c r="T90" s="29">
        <f t="shared" si="33"/>
        <v>37221.560707973469</v>
      </c>
      <c r="U90">
        <f t="shared" si="34"/>
        <v>0</v>
      </c>
      <c r="V90" s="29">
        <f t="shared" si="35"/>
        <v>37221.560707973469</v>
      </c>
      <c r="W90" s="29">
        <f t="shared" si="25"/>
        <v>37221.560707973469</v>
      </c>
      <c r="X90" s="29">
        <f t="shared" si="36"/>
        <v>37221.560707973469</v>
      </c>
      <c r="Y90">
        <f t="shared" si="37"/>
        <v>0</v>
      </c>
    </row>
    <row r="91" spans="1:25" x14ac:dyDescent="0.25">
      <c r="A91" s="4" t="s">
        <v>831</v>
      </c>
      <c r="B91" s="7" t="s">
        <v>409</v>
      </c>
      <c r="C91" s="2" t="s">
        <v>832</v>
      </c>
      <c r="D91">
        <f>VLOOKUP(B91,'Model allocations'!$A$1:$L$316,4,FALSE)</f>
        <v>191944.01341835075</v>
      </c>
      <c r="E91" s="31">
        <f>VLOOKUP(B91,'Initial adjusted formula count'!$A$1:$P$316,12,FALSE)</f>
        <v>0.22306034482758599</v>
      </c>
      <c r="F91">
        <f>VLOOKUP(B91,'Model allocations'!$A$1:$L$316,9,FALSE)</f>
        <v>196575.37930712613</v>
      </c>
      <c r="G91" s="30">
        <f t="shared" si="26"/>
        <v>0.9</v>
      </c>
      <c r="H91">
        <f t="shared" si="27"/>
        <v>172749.61207651568</v>
      </c>
      <c r="I91">
        <f t="shared" si="19"/>
        <v>0</v>
      </c>
      <c r="J91">
        <f t="shared" si="20"/>
        <v>196575.37930712613</v>
      </c>
      <c r="K91">
        <f t="shared" si="21"/>
        <v>196360.74810501901</v>
      </c>
      <c r="L91">
        <f t="shared" si="28"/>
        <v>196360.74810501901</v>
      </c>
      <c r="M91">
        <f t="shared" si="22"/>
        <v>0</v>
      </c>
      <c r="N91" s="29">
        <f t="shared" si="29"/>
        <v>196360.74810501901</v>
      </c>
      <c r="O91" s="29">
        <f t="shared" si="23"/>
        <v>196308.20531006518</v>
      </c>
      <c r="P91" s="29">
        <f t="shared" si="30"/>
        <v>196308.20531006518</v>
      </c>
      <c r="Q91">
        <f t="shared" si="31"/>
        <v>0</v>
      </c>
      <c r="R91" s="29">
        <f t="shared" si="32"/>
        <v>196308.20531006518</v>
      </c>
      <c r="S91" s="29">
        <f t="shared" si="24"/>
        <v>196302.24373377097</v>
      </c>
      <c r="T91" s="29">
        <f t="shared" si="33"/>
        <v>196302.24373377097</v>
      </c>
      <c r="U91">
        <f t="shared" si="34"/>
        <v>0</v>
      </c>
      <c r="V91" s="29">
        <f t="shared" si="35"/>
        <v>196302.24373377097</v>
      </c>
      <c r="W91" s="29">
        <f t="shared" si="25"/>
        <v>196302.24373377097</v>
      </c>
      <c r="X91" s="29">
        <f t="shared" si="36"/>
        <v>196302.24373377097</v>
      </c>
      <c r="Y91">
        <f t="shared" si="37"/>
        <v>0</v>
      </c>
    </row>
    <row r="92" spans="1:25" x14ac:dyDescent="0.25">
      <c r="A92" s="4" t="s">
        <v>833</v>
      </c>
      <c r="B92" s="7" t="s">
        <v>411</v>
      </c>
      <c r="C92" s="2" t="s">
        <v>834</v>
      </c>
      <c r="D92">
        <f>VLOOKUP(B92,'Model allocations'!$A$1:$L$316,4,FALSE)</f>
        <v>75691.185401746814</v>
      </c>
      <c r="E92" s="31">
        <f>VLOOKUP(B92,'Initial adjusted formula count'!$A$1:$P$316,12,FALSE)</f>
        <v>0.15852885225110999</v>
      </c>
      <c r="F92">
        <f>VLOOKUP(B92,'Model allocations'!$A$1:$L$316,9,FALSE)</f>
        <v>68122.066861572137</v>
      </c>
      <c r="G92" s="30">
        <f t="shared" si="26"/>
        <v>0.9</v>
      </c>
      <c r="H92">
        <f t="shared" si="27"/>
        <v>68122.066861572137</v>
      </c>
      <c r="I92">
        <f t="shared" si="19"/>
        <v>0</v>
      </c>
      <c r="J92">
        <f t="shared" si="20"/>
        <v>68122.066861572137</v>
      </c>
      <c r="K92">
        <f t="shared" si="21"/>
        <v>68047.687653188783</v>
      </c>
      <c r="L92">
        <f t="shared" si="28"/>
        <v>68047.687653188783</v>
      </c>
      <c r="M92">
        <f t="shared" si="22"/>
        <v>68122.066861572137</v>
      </c>
      <c r="N92" s="29">
        <f t="shared" si="29"/>
        <v>0</v>
      </c>
      <c r="O92" s="29">
        <f t="shared" si="23"/>
        <v>0</v>
      </c>
      <c r="P92" s="29">
        <f t="shared" si="30"/>
        <v>68122.066861572137</v>
      </c>
      <c r="Q92">
        <f t="shared" si="31"/>
        <v>0</v>
      </c>
      <c r="R92" s="29">
        <f t="shared" si="32"/>
        <v>0</v>
      </c>
      <c r="S92" s="29">
        <f t="shared" si="24"/>
        <v>0</v>
      </c>
      <c r="T92" s="29">
        <f t="shared" si="33"/>
        <v>68122.066861572137</v>
      </c>
      <c r="U92">
        <f t="shared" si="34"/>
        <v>0</v>
      </c>
      <c r="V92" s="29">
        <f t="shared" si="35"/>
        <v>0</v>
      </c>
      <c r="W92" s="29">
        <f t="shared" si="25"/>
        <v>0</v>
      </c>
      <c r="X92" s="29">
        <f t="shared" si="36"/>
        <v>68122.066861572137</v>
      </c>
      <c r="Y92">
        <f t="shared" si="37"/>
        <v>0</v>
      </c>
    </row>
    <row r="93" spans="1:25" x14ac:dyDescent="0.25">
      <c r="A93" s="4" t="s">
        <v>835</v>
      </c>
      <c r="B93" s="7" t="s">
        <v>134</v>
      </c>
      <c r="C93" s="2" t="s">
        <v>836</v>
      </c>
      <c r="D93">
        <f>VLOOKUP(B93,'Model allocations'!$A$1:$L$316,4,FALSE)</f>
        <v>0</v>
      </c>
      <c r="E93" s="31">
        <f>VLOOKUP(B93,'Initial adjusted formula count'!$A$1:$P$316,12,FALSE)</f>
        <v>6.6596194503171197E-2</v>
      </c>
      <c r="F93">
        <f>VLOOKUP(B93,'Model allocations'!$A$1:$L$316,9,FALSE)</f>
        <v>0</v>
      </c>
      <c r="G93" s="30">
        <f t="shared" si="26"/>
        <v>0.85</v>
      </c>
      <c r="H93">
        <f t="shared" si="27"/>
        <v>0</v>
      </c>
      <c r="I93">
        <f t="shared" si="19"/>
        <v>0</v>
      </c>
      <c r="J93">
        <f t="shared" si="20"/>
        <v>0</v>
      </c>
      <c r="K93">
        <f t="shared" si="21"/>
        <v>0</v>
      </c>
      <c r="L93">
        <f t="shared" si="28"/>
        <v>0</v>
      </c>
      <c r="M93">
        <f t="shared" si="22"/>
        <v>0</v>
      </c>
      <c r="N93" s="29">
        <f t="shared" si="29"/>
        <v>0</v>
      </c>
      <c r="O93" s="29">
        <f t="shared" si="23"/>
        <v>0</v>
      </c>
      <c r="P93" s="29">
        <f t="shared" si="30"/>
        <v>0</v>
      </c>
      <c r="Q93">
        <f t="shared" si="31"/>
        <v>0</v>
      </c>
      <c r="R93" s="29">
        <f t="shared" si="32"/>
        <v>0</v>
      </c>
      <c r="S93" s="29">
        <f t="shared" si="24"/>
        <v>0</v>
      </c>
      <c r="T93" s="29">
        <f t="shared" si="33"/>
        <v>0</v>
      </c>
      <c r="U93">
        <f t="shared" si="34"/>
        <v>0</v>
      </c>
      <c r="V93" s="29">
        <f t="shared" si="35"/>
        <v>0</v>
      </c>
      <c r="W93" s="29">
        <f t="shared" si="25"/>
        <v>0</v>
      </c>
      <c r="X93" s="29">
        <f t="shared" si="36"/>
        <v>0</v>
      </c>
      <c r="Y93">
        <f t="shared" si="37"/>
        <v>0</v>
      </c>
    </row>
    <row r="94" spans="1:25" x14ac:dyDescent="0.25">
      <c r="A94" s="4" t="s">
        <v>837</v>
      </c>
      <c r="B94" s="7" t="s">
        <v>413</v>
      </c>
      <c r="C94" s="2" t="s">
        <v>838</v>
      </c>
      <c r="D94">
        <f>VLOOKUP(B94,'Model allocations'!$A$1:$L$316,4,FALSE)</f>
        <v>0</v>
      </c>
      <c r="E94" s="31">
        <f>VLOOKUP(B94,'Initial adjusted formula count'!$A$1:$P$316,12,FALSE)</f>
        <v>0.100864553314121</v>
      </c>
      <c r="F94">
        <f>VLOOKUP(B94,'Model allocations'!$A$1:$L$316,9,FALSE)</f>
        <v>0</v>
      </c>
      <c r="G94" s="30">
        <f t="shared" si="26"/>
        <v>0.85</v>
      </c>
      <c r="H94">
        <f t="shared" si="27"/>
        <v>0</v>
      </c>
      <c r="I94">
        <f t="shared" si="19"/>
        <v>0</v>
      </c>
      <c r="J94">
        <f t="shared" si="20"/>
        <v>0</v>
      </c>
      <c r="K94">
        <f t="shared" si="21"/>
        <v>0</v>
      </c>
      <c r="L94">
        <f t="shared" si="28"/>
        <v>0</v>
      </c>
      <c r="M94">
        <f t="shared" si="22"/>
        <v>0</v>
      </c>
      <c r="N94" s="29">
        <f t="shared" si="29"/>
        <v>0</v>
      </c>
      <c r="O94" s="29">
        <f t="shared" si="23"/>
        <v>0</v>
      </c>
      <c r="P94" s="29">
        <f t="shared" si="30"/>
        <v>0</v>
      </c>
      <c r="Q94">
        <f t="shared" si="31"/>
        <v>0</v>
      </c>
      <c r="R94" s="29">
        <f t="shared" si="32"/>
        <v>0</v>
      </c>
      <c r="S94" s="29">
        <f t="shared" si="24"/>
        <v>0</v>
      </c>
      <c r="T94" s="29">
        <f t="shared" si="33"/>
        <v>0</v>
      </c>
      <c r="U94">
        <f t="shared" si="34"/>
        <v>0</v>
      </c>
      <c r="V94" s="29">
        <f t="shared" si="35"/>
        <v>0</v>
      </c>
      <c r="W94" s="29">
        <f t="shared" si="25"/>
        <v>0</v>
      </c>
      <c r="X94" s="29">
        <f t="shared" si="36"/>
        <v>0</v>
      </c>
      <c r="Y94">
        <f t="shared" si="37"/>
        <v>0</v>
      </c>
    </row>
    <row r="95" spans="1:25" x14ac:dyDescent="0.25">
      <c r="A95" s="4" t="s">
        <v>839</v>
      </c>
      <c r="B95" s="7" t="s">
        <v>415</v>
      </c>
      <c r="C95" s="2" t="s">
        <v>840</v>
      </c>
      <c r="D95">
        <f>VLOOKUP(B95,'Model allocations'!$A$1:$L$316,4,FALSE)</f>
        <v>8772.8328093668861</v>
      </c>
      <c r="E95" s="31">
        <f>VLOOKUP(B95,'Initial adjusted formula count'!$A$1:$P$316,12,FALSE)</f>
        <v>0.175531914893617</v>
      </c>
      <c r="F95">
        <f>VLOOKUP(B95,'Model allocations'!$A$1:$L$316,9,FALSE)</f>
        <v>7834.5259868782123</v>
      </c>
      <c r="G95" s="30">
        <f t="shared" si="26"/>
        <v>0.9</v>
      </c>
      <c r="H95">
        <f t="shared" si="27"/>
        <v>7895.5495284301978</v>
      </c>
      <c r="I95">
        <f t="shared" si="19"/>
        <v>7895.5495284301978</v>
      </c>
      <c r="J95">
        <f t="shared" si="20"/>
        <v>0</v>
      </c>
      <c r="K95">
        <f t="shared" si="21"/>
        <v>0</v>
      </c>
      <c r="L95">
        <f t="shared" si="28"/>
        <v>7895.5495284301978</v>
      </c>
      <c r="M95">
        <f t="shared" si="22"/>
        <v>0</v>
      </c>
      <c r="N95" s="29">
        <f t="shared" si="29"/>
        <v>0</v>
      </c>
      <c r="O95" s="29">
        <f t="shared" si="23"/>
        <v>0</v>
      </c>
      <c r="P95" s="29">
        <f t="shared" si="30"/>
        <v>7895.5495284301978</v>
      </c>
      <c r="Q95">
        <f t="shared" si="31"/>
        <v>0</v>
      </c>
      <c r="R95" s="29">
        <f t="shared" si="32"/>
        <v>0</v>
      </c>
      <c r="S95" s="29">
        <f t="shared" si="24"/>
        <v>0</v>
      </c>
      <c r="T95" s="29">
        <f t="shared" si="33"/>
        <v>7895.5495284301978</v>
      </c>
      <c r="U95">
        <f t="shared" si="34"/>
        <v>0</v>
      </c>
      <c r="V95" s="29">
        <f t="shared" si="35"/>
        <v>0</v>
      </c>
      <c r="W95" s="29">
        <f t="shared" si="25"/>
        <v>0</v>
      </c>
      <c r="X95" s="29">
        <f t="shared" si="36"/>
        <v>7895.5495284301978</v>
      </c>
      <c r="Y95">
        <f t="shared" si="37"/>
        <v>0</v>
      </c>
    </row>
    <row r="96" spans="1:25" x14ac:dyDescent="0.25">
      <c r="A96" s="4" t="s">
        <v>841</v>
      </c>
      <c r="B96" s="7" t="s">
        <v>136</v>
      </c>
      <c r="C96" s="2" t="s">
        <v>842</v>
      </c>
      <c r="D96">
        <f>VLOOKUP(B96,'Model allocations'!$A$1:$L$316,4,FALSE)</f>
        <v>0</v>
      </c>
      <c r="E96" s="31">
        <f>VLOOKUP(B96,'Initial adjusted formula count'!$A$1:$P$316,12,FALSE)</f>
        <v>6.3414634146341506E-2</v>
      </c>
      <c r="F96">
        <f>VLOOKUP(B96,'Model allocations'!$A$1:$L$316,9,FALSE)</f>
        <v>0</v>
      </c>
      <c r="G96" s="30">
        <f t="shared" si="26"/>
        <v>0.85</v>
      </c>
      <c r="H96">
        <f t="shared" si="27"/>
        <v>0</v>
      </c>
      <c r="I96">
        <f t="shared" si="19"/>
        <v>0</v>
      </c>
      <c r="J96">
        <f t="shared" si="20"/>
        <v>0</v>
      </c>
      <c r="K96">
        <f t="shared" si="21"/>
        <v>0</v>
      </c>
      <c r="L96">
        <f t="shared" si="28"/>
        <v>0</v>
      </c>
      <c r="M96">
        <f t="shared" si="22"/>
        <v>0</v>
      </c>
      <c r="N96" s="29">
        <f t="shared" si="29"/>
        <v>0</v>
      </c>
      <c r="O96" s="29">
        <f t="shared" si="23"/>
        <v>0</v>
      </c>
      <c r="P96" s="29">
        <f t="shared" si="30"/>
        <v>0</v>
      </c>
      <c r="Q96">
        <f t="shared" si="31"/>
        <v>0</v>
      </c>
      <c r="R96" s="29">
        <f t="shared" si="32"/>
        <v>0</v>
      </c>
      <c r="S96" s="29">
        <f t="shared" si="24"/>
        <v>0</v>
      </c>
      <c r="T96" s="29">
        <f t="shared" si="33"/>
        <v>0</v>
      </c>
      <c r="U96">
        <f t="shared" si="34"/>
        <v>0</v>
      </c>
      <c r="V96" s="29">
        <f t="shared" si="35"/>
        <v>0</v>
      </c>
      <c r="W96" s="29">
        <f t="shared" si="25"/>
        <v>0</v>
      </c>
      <c r="X96" s="29">
        <f t="shared" si="36"/>
        <v>0</v>
      </c>
      <c r="Y96">
        <f t="shared" si="37"/>
        <v>0</v>
      </c>
    </row>
    <row r="97" spans="1:25" x14ac:dyDescent="0.25">
      <c r="A97" s="4" t="s">
        <v>843</v>
      </c>
      <c r="B97" s="7" t="s">
        <v>138</v>
      </c>
      <c r="C97" s="2" t="s">
        <v>844</v>
      </c>
      <c r="D97">
        <f>VLOOKUP(B97,'Model allocations'!$A$1:$L$316,4,FALSE)</f>
        <v>0</v>
      </c>
      <c r="E97" s="31">
        <f>VLOOKUP(B97,'Initial adjusted formula count'!$A$1:$P$316,12,FALSE)</f>
        <v>5.6603773584905703E-2</v>
      </c>
      <c r="F97">
        <f>VLOOKUP(B97,'Model allocations'!$A$1:$L$316,9,FALSE)</f>
        <v>0</v>
      </c>
      <c r="G97" s="30">
        <f t="shared" si="26"/>
        <v>0.85</v>
      </c>
      <c r="H97">
        <f t="shared" si="27"/>
        <v>0</v>
      </c>
      <c r="I97">
        <f t="shared" si="19"/>
        <v>0</v>
      </c>
      <c r="J97">
        <f t="shared" si="20"/>
        <v>0</v>
      </c>
      <c r="K97">
        <f t="shared" si="21"/>
        <v>0</v>
      </c>
      <c r="L97">
        <f t="shared" si="28"/>
        <v>0</v>
      </c>
      <c r="M97">
        <f t="shared" si="22"/>
        <v>0</v>
      </c>
      <c r="N97" s="29">
        <f t="shared" si="29"/>
        <v>0</v>
      </c>
      <c r="O97" s="29">
        <f t="shared" si="23"/>
        <v>0</v>
      </c>
      <c r="P97" s="29">
        <f t="shared" si="30"/>
        <v>0</v>
      </c>
      <c r="Q97">
        <f t="shared" si="31"/>
        <v>0</v>
      </c>
      <c r="R97" s="29">
        <f t="shared" si="32"/>
        <v>0</v>
      </c>
      <c r="S97" s="29">
        <f t="shared" si="24"/>
        <v>0</v>
      </c>
      <c r="T97" s="29">
        <f t="shared" si="33"/>
        <v>0</v>
      </c>
      <c r="U97">
        <f t="shared" si="34"/>
        <v>0</v>
      </c>
      <c r="V97" s="29">
        <f t="shared" si="35"/>
        <v>0</v>
      </c>
      <c r="W97" s="29">
        <f t="shared" si="25"/>
        <v>0</v>
      </c>
      <c r="X97" s="29">
        <f t="shared" si="36"/>
        <v>0</v>
      </c>
      <c r="Y97">
        <f t="shared" si="37"/>
        <v>0</v>
      </c>
    </row>
    <row r="98" spans="1:25" x14ac:dyDescent="0.25">
      <c r="A98" s="4" t="s">
        <v>845</v>
      </c>
      <c r="B98" s="7" t="s">
        <v>417</v>
      </c>
      <c r="C98" s="2" t="s">
        <v>846</v>
      </c>
      <c r="D98">
        <f>VLOOKUP(B98,'Model allocations'!$A$1:$L$316,4,FALSE)</f>
        <v>5844.8237947122652</v>
      </c>
      <c r="E98" s="31">
        <f>VLOOKUP(B98,'Initial adjusted formula count'!$A$1:$P$316,12,FALSE)</f>
        <v>0.17241379310344801</v>
      </c>
      <c r="F98">
        <f>VLOOKUP(B98,'Model allocations'!$A$1:$L$316,9,FALSE)</f>
        <v>5935.2469597562231</v>
      </c>
      <c r="G98" s="30">
        <f t="shared" si="26"/>
        <v>0.9</v>
      </c>
      <c r="H98">
        <f t="shared" si="27"/>
        <v>5260.3414152410387</v>
      </c>
      <c r="I98">
        <f t="shared" si="19"/>
        <v>0</v>
      </c>
      <c r="J98">
        <f t="shared" si="20"/>
        <v>5935.2469597562231</v>
      </c>
      <c r="K98">
        <f t="shared" si="21"/>
        <v>5928.7665490645832</v>
      </c>
      <c r="L98">
        <f t="shared" si="28"/>
        <v>5928.7665490645832</v>
      </c>
      <c r="M98">
        <f t="shared" si="22"/>
        <v>0</v>
      </c>
      <c r="N98" s="29">
        <f t="shared" si="29"/>
        <v>5928.7665490645832</v>
      </c>
      <c r="O98" s="29">
        <f t="shared" si="23"/>
        <v>5927.1801120188757</v>
      </c>
      <c r="P98" s="29">
        <f t="shared" si="30"/>
        <v>5927.1801120188757</v>
      </c>
      <c r="Q98">
        <f t="shared" si="31"/>
        <v>0</v>
      </c>
      <c r="R98" s="29">
        <f t="shared" si="32"/>
        <v>5927.1801120188757</v>
      </c>
      <c r="S98" s="29">
        <f t="shared" si="24"/>
        <v>5927.0001127346295</v>
      </c>
      <c r="T98" s="29">
        <f t="shared" si="33"/>
        <v>5927.0001127346295</v>
      </c>
      <c r="U98">
        <f t="shared" si="34"/>
        <v>0</v>
      </c>
      <c r="V98" s="29">
        <f t="shared" si="35"/>
        <v>5927.0001127346295</v>
      </c>
      <c r="W98" s="29">
        <f t="shared" si="25"/>
        <v>5927.0001127346295</v>
      </c>
      <c r="X98" s="29">
        <f t="shared" si="36"/>
        <v>5927.0001127346295</v>
      </c>
      <c r="Y98">
        <f t="shared" si="37"/>
        <v>0</v>
      </c>
    </row>
    <row r="99" spans="1:25" x14ac:dyDescent="0.25">
      <c r="A99" s="4" t="s">
        <v>847</v>
      </c>
      <c r="B99" s="7" t="s">
        <v>419</v>
      </c>
      <c r="C99" s="2" t="s">
        <v>848</v>
      </c>
      <c r="D99">
        <f>VLOOKUP(B99,'Model allocations'!$A$1:$L$316,4,FALSE)</f>
        <v>45280.96521113786</v>
      </c>
      <c r="E99" s="31">
        <f>VLOOKUP(B99,'Initial adjusted formula count'!$A$1:$P$316,12,FALSE)</f>
        <v>0.103639240506329</v>
      </c>
      <c r="F99">
        <f>VLOOKUP(B99,'Model allocations'!$A$1:$L$316,9,FALSE)</f>
        <v>38488.820429467181</v>
      </c>
      <c r="G99" s="30">
        <f t="shared" si="26"/>
        <v>0.85</v>
      </c>
      <c r="H99">
        <f t="shared" si="27"/>
        <v>38488.820429467181</v>
      </c>
      <c r="I99">
        <f t="shared" si="19"/>
        <v>0</v>
      </c>
      <c r="J99">
        <f t="shared" si="20"/>
        <v>38488.820429467181</v>
      </c>
      <c r="K99">
        <f t="shared" si="21"/>
        <v>38446.796337612046</v>
      </c>
      <c r="L99">
        <f t="shared" si="28"/>
        <v>38446.796337612046</v>
      </c>
      <c r="M99">
        <f t="shared" si="22"/>
        <v>38488.820429467181</v>
      </c>
      <c r="N99" s="29">
        <f t="shared" si="29"/>
        <v>0</v>
      </c>
      <c r="O99" s="29">
        <f t="shared" si="23"/>
        <v>0</v>
      </c>
      <c r="P99" s="29">
        <f t="shared" si="30"/>
        <v>38488.820429467181</v>
      </c>
      <c r="Q99">
        <f t="shared" si="31"/>
        <v>0</v>
      </c>
      <c r="R99" s="29">
        <f t="shared" si="32"/>
        <v>0</v>
      </c>
      <c r="S99" s="29">
        <f t="shared" si="24"/>
        <v>0</v>
      </c>
      <c r="T99" s="29">
        <f t="shared" si="33"/>
        <v>38488.820429467181</v>
      </c>
      <c r="U99">
        <f t="shared" si="34"/>
        <v>0</v>
      </c>
      <c r="V99" s="29">
        <f t="shared" si="35"/>
        <v>0</v>
      </c>
      <c r="W99" s="29">
        <f t="shared" si="25"/>
        <v>0</v>
      </c>
      <c r="X99" s="29">
        <f t="shared" si="36"/>
        <v>38488.820429467181</v>
      </c>
      <c r="Y99">
        <f t="shared" si="37"/>
        <v>0</v>
      </c>
    </row>
    <row r="100" spans="1:25" x14ac:dyDescent="0.25">
      <c r="A100" s="4" t="s">
        <v>18</v>
      </c>
      <c r="B100" s="7" t="s">
        <v>57</v>
      </c>
      <c r="C100" s="2" t="s">
        <v>849</v>
      </c>
      <c r="D100">
        <f>VLOOKUP(B100,'Model allocations'!$A$1:$L$316,4,FALSE)</f>
        <v>774838.13496767276</v>
      </c>
      <c r="E100" s="31">
        <f>VLOOKUP(B100,'Initial adjusted formula count'!$A$1:$P$316,12,FALSE)</f>
        <v>0.16976354908917801</v>
      </c>
      <c r="F100">
        <f>VLOOKUP(B100,'Model allocations'!$A$1:$L$316,9,FALSE)</f>
        <v>807054.75735967164</v>
      </c>
      <c r="G100" s="30">
        <f t="shared" si="26"/>
        <v>0.9</v>
      </c>
      <c r="H100">
        <f t="shared" si="27"/>
        <v>697354.32147090544</v>
      </c>
      <c r="I100">
        <f t="shared" si="19"/>
        <v>0</v>
      </c>
      <c r="J100">
        <f t="shared" si="20"/>
        <v>807054.75735967164</v>
      </c>
      <c r="K100">
        <f t="shared" si="21"/>
        <v>806173.57308649912</v>
      </c>
      <c r="L100">
        <f t="shared" si="28"/>
        <v>806173.57308649912</v>
      </c>
      <c r="M100">
        <f t="shared" si="22"/>
        <v>0</v>
      </c>
      <c r="N100" s="29">
        <f t="shared" si="29"/>
        <v>806173.57308649912</v>
      </c>
      <c r="O100" s="29">
        <f t="shared" si="23"/>
        <v>805957.85475604539</v>
      </c>
      <c r="P100" s="29">
        <f t="shared" si="30"/>
        <v>805957.85475604539</v>
      </c>
      <c r="Q100">
        <f t="shared" si="31"/>
        <v>0</v>
      </c>
      <c r="R100" s="29">
        <f t="shared" si="32"/>
        <v>805957.85475604539</v>
      </c>
      <c r="S100" s="29">
        <f t="shared" si="24"/>
        <v>805933.37906368461</v>
      </c>
      <c r="T100" s="29">
        <f t="shared" si="33"/>
        <v>805933.37906368461</v>
      </c>
      <c r="U100">
        <f t="shared" si="34"/>
        <v>0</v>
      </c>
      <c r="V100" s="29">
        <f t="shared" si="35"/>
        <v>805933.37906368461</v>
      </c>
      <c r="W100" s="29">
        <f t="shared" si="25"/>
        <v>805933.37906368461</v>
      </c>
      <c r="X100" s="29">
        <f t="shared" si="36"/>
        <v>805933.37906368461</v>
      </c>
      <c r="Y100">
        <f t="shared" si="37"/>
        <v>0</v>
      </c>
    </row>
    <row r="101" spans="1:25" x14ac:dyDescent="0.25">
      <c r="A101" s="4" t="s">
        <v>850</v>
      </c>
      <c r="B101" s="7" t="s">
        <v>140</v>
      </c>
      <c r="C101" s="2" t="s">
        <v>851</v>
      </c>
      <c r="D101">
        <f>VLOOKUP(B101,'Model allocations'!$A$1:$L$316,4,FALSE)</f>
        <v>0</v>
      </c>
      <c r="E101" s="31">
        <f>VLOOKUP(B101,'Initial adjusted formula count'!$A$1:$P$316,12,FALSE)</f>
        <v>5.3357865685372603E-2</v>
      </c>
      <c r="F101">
        <f>VLOOKUP(B101,'Model allocations'!$A$1:$L$316,9,FALSE)</f>
        <v>0</v>
      </c>
      <c r="G101" s="30">
        <f t="shared" si="26"/>
        <v>0.85</v>
      </c>
      <c r="H101">
        <f t="shared" si="27"/>
        <v>0</v>
      </c>
      <c r="I101">
        <f t="shared" si="19"/>
        <v>0</v>
      </c>
      <c r="J101">
        <f t="shared" si="20"/>
        <v>0</v>
      </c>
      <c r="K101">
        <f t="shared" si="21"/>
        <v>0</v>
      </c>
      <c r="L101">
        <f t="shared" si="28"/>
        <v>0</v>
      </c>
      <c r="M101">
        <f t="shared" si="22"/>
        <v>0</v>
      </c>
      <c r="N101" s="29">
        <f t="shared" si="29"/>
        <v>0</v>
      </c>
      <c r="O101" s="29">
        <f t="shared" si="23"/>
        <v>0</v>
      </c>
      <c r="P101" s="29">
        <f t="shared" si="30"/>
        <v>0</v>
      </c>
      <c r="Q101">
        <f t="shared" si="31"/>
        <v>0</v>
      </c>
      <c r="R101" s="29">
        <f t="shared" si="32"/>
        <v>0</v>
      </c>
      <c r="S101" s="29">
        <f t="shared" si="24"/>
        <v>0</v>
      </c>
      <c r="T101" s="29">
        <f t="shared" si="33"/>
        <v>0</v>
      </c>
      <c r="U101">
        <f t="shared" si="34"/>
        <v>0</v>
      </c>
      <c r="V101" s="29">
        <f t="shared" si="35"/>
        <v>0</v>
      </c>
      <c r="W101" s="29">
        <f t="shared" si="25"/>
        <v>0</v>
      </c>
      <c r="X101" s="29">
        <f t="shared" si="36"/>
        <v>0</v>
      </c>
      <c r="Y101">
        <f t="shared" si="37"/>
        <v>0</v>
      </c>
    </row>
    <row r="102" spans="1:25" x14ac:dyDescent="0.25">
      <c r="A102" s="4" t="s">
        <v>852</v>
      </c>
      <c r="B102" s="7" t="s">
        <v>421</v>
      </c>
      <c r="C102" s="2" t="s">
        <v>853</v>
      </c>
      <c r="D102">
        <f>VLOOKUP(B102,'Model allocations'!$A$1:$L$316,4,FALSE)</f>
        <v>32964.806202177162</v>
      </c>
      <c r="E102" s="31">
        <f>VLOOKUP(B102,'Initial adjusted formula count'!$A$1:$P$316,12,FALSE)</f>
        <v>0.15826330532212901</v>
      </c>
      <c r="F102">
        <f>VLOOKUP(B102,'Model allocations'!$A$1:$L$316,9,FALSE)</f>
        <v>29703.921344853276</v>
      </c>
      <c r="G102" s="30">
        <f t="shared" si="26"/>
        <v>0.9</v>
      </c>
      <c r="H102">
        <f t="shared" si="27"/>
        <v>29668.325581959445</v>
      </c>
      <c r="I102">
        <f t="shared" si="19"/>
        <v>0</v>
      </c>
      <c r="J102">
        <f t="shared" si="20"/>
        <v>29703.921344853276</v>
      </c>
      <c r="K102">
        <f t="shared" si="21"/>
        <v>29671.489061787037</v>
      </c>
      <c r="L102">
        <f t="shared" si="28"/>
        <v>29671.489061787037</v>
      </c>
      <c r="M102">
        <f t="shared" si="22"/>
        <v>0</v>
      </c>
      <c r="N102" s="29">
        <f t="shared" si="29"/>
        <v>29671.489061787037</v>
      </c>
      <c r="O102" s="29">
        <f t="shared" si="23"/>
        <v>29663.549476198808</v>
      </c>
      <c r="P102" s="29">
        <f t="shared" si="30"/>
        <v>29663.549476198808</v>
      </c>
      <c r="Q102">
        <f t="shared" si="31"/>
        <v>29668.325581959445</v>
      </c>
      <c r="R102" s="29">
        <f t="shared" si="32"/>
        <v>0</v>
      </c>
      <c r="S102" s="29">
        <f t="shared" si="24"/>
        <v>0</v>
      </c>
      <c r="T102" s="29">
        <f t="shared" si="33"/>
        <v>29668.325581959445</v>
      </c>
      <c r="U102">
        <f t="shared" si="34"/>
        <v>0</v>
      </c>
      <c r="V102" s="29">
        <f t="shared" si="35"/>
        <v>0</v>
      </c>
      <c r="W102" s="29">
        <f t="shared" si="25"/>
        <v>0</v>
      </c>
      <c r="X102" s="29">
        <f t="shared" si="36"/>
        <v>29668.325581959445</v>
      </c>
      <c r="Y102">
        <f t="shared" si="37"/>
        <v>0</v>
      </c>
    </row>
    <row r="103" spans="1:25" x14ac:dyDescent="0.25">
      <c r="A103" s="4" t="s">
        <v>854</v>
      </c>
      <c r="B103" s="7" t="s">
        <v>423</v>
      </c>
      <c r="C103" s="2" t="s">
        <v>855</v>
      </c>
      <c r="D103">
        <f>VLOOKUP(B103,'Model allocations'!$A$1:$L$316,4,FALSE)</f>
        <v>102009.6838298475</v>
      </c>
      <c r="E103" s="31">
        <f>VLOOKUP(B103,'Initial adjusted formula count'!$A$1:$P$316,12,FALSE)</f>
        <v>0.23790994997220699</v>
      </c>
      <c r="F103">
        <f>VLOOKUP(B103,'Model allocations'!$A$1:$L$316,9,FALSE)</f>
        <v>101611.42795102655</v>
      </c>
      <c r="G103" s="30">
        <f t="shared" si="26"/>
        <v>0.9</v>
      </c>
      <c r="H103">
        <f t="shared" si="27"/>
        <v>91808.715446862756</v>
      </c>
      <c r="I103">
        <f t="shared" si="19"/>
        <v>0</v>
      </c>
      <c r="J103">
        <f t="shared" si="20"/>
        <v>101611.42795102655</v>
      </c>
      <c r="K103">
        <f t="shared" si="21"/>
        <v>101500.48331998567</v>
      </c>
      <c r="L103">
        <f t="shared" si="28"/>
        <v>101500.48331998567</v>
      </c>
      <c r="M103">
        <f t="shared" si="22"/>
        <v>0</v>
      </c>
      <c r="N103" s="29">
        <f t="shared" si="29"/>
        <v>101500.48331998567</v>
      </c>
      <c r="O103" s="29">
        <f t="shared" si="23"/>
        <v>101473.32351776316</v>
      </c>
      <c r="P103" s="29">
        <f t="shared" si="30"/>
        <v>101473.32351776316</v>
      </c>
      <c r="Q103">
        <f t="shared" si="31"/>
        <v>0</v>
      </c>
      <c r="R103" s="29">
        <f t="shared" si="32"/>
        <v>101473.32351776316</v>
      </c>
      <c r="S103" s="29">
        <f t="shared" si="24"/>
        <v>101470.24193001687</v>
      </c>
      <c r="T103" s="29">
        <f t="shared" si="33"/>
        <v>101470.24193001687</v>
      </c>
      <c r="U103">
        <f t="shared" si="34"/>
        <v>0</v>
      </c>
      <c r="V103" s="29">
        <f t="shared" si="35"/>
        <v>101470.24193001687</v>
      </c>
      <c r="W103" s="29">
        <f t="shared" si="25"/>
        <v>101470.24193001687</v>
      </c>
      <c r="X103" s="29">
        <f t="shared" si="36"/>
        <v>101470.24193001687</v>
      </c>
      <c r="Y103">
        <f t="shared" si="37"/>
        <v>0</v>
      </c>
    </row>
    <row r="104" spans="1:25" x14ac:dyDescent="0.25">
      <c r="A104" s="4" t="s">
        <v>37</v>
      </c>
      <c r="B104" s="7" t="s">
        <v>79</v>
      </c>
      <c r="C104" s="2" t="s">
        <v>856</v>
      </c>
      <c r="D104">
        <f>VLOOKUP(B104,'Model allocations'!$A$1:$L$316,4,FALSE)</f>
        <v>0</v>
      </c>
      <c r="E104" s="31">
        <f>VLOOKUP(B104,'Initial adjusted formula count'!$A$1:$P$316,12,FALSE)</f>
        <v>0.18795482425996299</v>
      </c>
      <c r="F104">
        <f>VLOOKUP(B104,'Model allocations'!$A$1:$L$316,9,FALSE)</f>
        <v>0</v>
      </c>
      <c r="G104" s="30">
        <f t="shared" si="26"/>
        <v>0.9</v>
      </c>
      <c r="H104">
        <f t="shared" si="27"/>
        <v>0</v>
      </c>
      <c r="I104">
        <f t="shared" si="19"/>
        <v>0</v>
      </c>
      <c r="J104">
        <f t="shared" si="20"/>
        <v>0</v>
      </c>
      <c r="K104">
        <f t="shared" si="21"/>
        <v>0</v>
      </c>
      <c r="L104">
        <f t="shared" si="28"/>
        <v>0</v>
      </c>
      <c r="M104">
        <f t="shared" si="22"/>
        <v>0</v>
      </c>
      <c r="N104" s="29">
        <f t="shared" si="29"/>
        <v>0</v>
      </c>
      <c r="O104" s="29">
        <f t="shared" si="23"/>
        <v>0</v>
      </c>
      <c r="P104" s="29">
        <f t="shared" si="30"/>
        <v>0</v>
      </c>
      <c r="Q104">
        <f t="shared" si="31"/>
        <v>0</v>
      </c>
      <c r="R104" s="29">
        <f t="shared" si="32"/>
        <v>0</v>
      </c>
      <c r="S104" s="29">
        <f t="shared" si="24"/>
        <v>0</v>
      </c>
      <c r="T104" s="29">
        <f t="shared" si="33"/>
        <v>0</v>
      </c>
      <c r="U104">
        <f t="shared" si="34"/>
        <v>0</v>
      </c>
      <c r="V104" s="29">
        <f t="shared" si="35"/>
        <v>0</v>
      </c>
      <c r="W104" s="29">
        <f t="shared" si="25"/>
        <v>0</v>
      </c>
      <c r="X104" s="29">
        <f t="shared" si="36"/>
        <v>0</v>
      </c>
      <c r="Y104">
        <f t="shared" si="37"/>
        <v>0</v>
      </c>
    </row>
    <row r="105" spans="1:25" x14ac:dyDescent="0.25">
      <c r="A105" s="4" t="s">
        <v>40</v>
      </c>
      <c r="B105" s="7" t="s">
        <v>74</v>
      </c>
      <c r="C105" s="2" t="s">
        <v>857</v>
      </c>
      <c r="D105">
        <f>VLOOKUP(B105,'Model allocations'!$A$1:$L$316,4,FALSE)</f>
        <v>26334.537273477814</v>
      </c>
      <c r="E105" s="31">
        <f>VLOOKUP(B105,'Initial adjusted formula count'!$A$1:$P$316,12,FALSE)</f>
        <v>0.226714379582554</v>
      </c>
      <c r="F105">
        <f>VLOOKUP(B105,'Model allocations'!$A$1:$L$316,9,FALSE)</f>
        <v>26785.568907663452</v>
      </c>
      <c r="G105" s="30">
        <f t="shared" si="26"/>
        <v>0.9</v>
      </c>
      <c r="H105">
        <f t="shared" si="27"/>
        <v>23701.083546130034</v>
      </c>
      <c r="I105">
        <f t="shared" si="19"/>
        <v>0</v>
      </c>
      <c r="J105">
        <f t="shared" si="20"/>
        <v>26785.568907663452</v>
      </c>
      <c r="K105">
        <f t="shared" si="21"/>
        <v>26756.32303326128</v>
      </c>
      <c r="L105">
        <f t="shared" si="28"/>
        <v>26756.32303326128</v>
      </c>
      <c r="M105">
        <f t="shared" si="22"/>
        <v>0</v>
      </c>
      <c r="N105" s="29">
        <f t="shared" si="29"/>
        <v>26756.32303326128</v>
      </c>
      <c r="O105" s="29">
        <f t="shared" si="23"/>
        <v>26749.163496498346</v>
      </c>
      <c r="P105" s="29">
        <f t="shared" si="30"/>
        <v>26749.163496498346</v>
      </c>
      <c r="Q105">
        <f t="shared" si="31"/>
        <v>0</v>
      </c>
      <c r="R105" s="29">
        <f t="shared" si="32"/>
        <v>26749.163496498346</v>
      </c>
      <c r="S105" s="29">
        <f t="shared" si="24"/>
        <v>26748.351165812837</v>
      </c>
      <c r="T105" s="29">
        <f t="shared" si="33"/>
        <v>26748.351165812837</v>
      </c>
      <c r="U105">
        <f t="shared" si="34"/>
        <v>0</v>
      </c>
      <c r="V105" s="29">
        <f t="shared" si="35"/>
        <v>26748.351165812837</v>
      </c>
      <c r="W105" s="29">
        <f t="shared" si="25"/>
        <v>26748.351165812837</v>
      </c>
      <c r="X105" s="29">
        <f t="shared" si="36"/>
        <v>26748.351165812837</v>
      </c>
      <c r="Y105">
        <f t="shared" si="37"/>
        <v>0</v>
      </c>
    </row>
    <row r="106" spans="1:25" x14ac:dyDescent="0.25">
      <c r="A106" s="4" t="s">
        <v>44</v>
      </c>
      <c r="B106" s="7" t="s">
        <v>75</v>
      </c>
      <c r="C106" s="2" t="s">
        <v>858</v>
      </c>
      <c r="D106">
        <f>VLOOKUP(B106,'Model allocations'!$A$1:$L$316,4,FALSE)</f>
        <v>14085.077297639906</v>
      </c>
      <c r="E106" s="31">
        <f>VLOOKUP(B106,'Initial adjusted formula count'!$A$1:$P$316,12,FALSE)</f>
        <v>0.22095892257017499</v>
      </c>
      <c r="F106">
        <f>VLOOKUP(B106,'Model allocations'!$A$1:$L$316,9,FALSE)</f>
        <v>17973.000782198407</v>
      </c>
      <c r="G106" s="30">
        <f t="shared" si="26"/>
        <v>0.9</v>
      </c>
      <c r="H106">
        <f t="shared" si="27"/>
        <v>12676.569567875915</v>
      </c>
      <c r="I106">
        <f t="shared" si="19"/>
        <v>0</v>
      </c>
      <c r="J106">
        <f t="shared" si="20"/>
        <v>17973.000782198407</v>
      </c>
      <c r="K106">
        <f t="shared" si="21"/>
        <v>17953.376927080069</v>
      </c>
      <c r="L106">
        <f t="shared" si="28"/>
        <v>17953.376927080069</v>
      </c>
      <c r="M106">
        <f t="shared" si="22"/>
        <v>0</v>
      </c>
      <c r="N106" s="29">
        <f t="shared" si="29"/>
        <v>17953.376927080069</v>
      </c>
      <c r="O106" s="29">
        <f t="shared" si="23"/>
        <v>17948.572908905808</v>
      </c>
      <c r="P106" s="29">
        <f t="shared" si="30"/>
        <v>17948.572908905808</v>
      </c>
      <c r="Q106">
        <f t="shared" si="31"/>
        <v>0</v>
      </c>
      <c r="R106" s="29">
        <f t="shared" si="32"/>
        <v>17948.572908905808</v>
      </c>
      <c r="S106" s="29">
        <f t="shared" si="24"/>
        <v>17948.027838532413</v>
      </c>
      <c r="T106" s="29">
        <f t="shared" si="33"/>
        <v>17948.027838532413</v>
      </c>
      <c r="U106">
        <f t="shared" si="34"/>
        <v>0</v>
      </c>
      <c r="V106" s="29">
        <f t="shared" si="35"/>
        <v>17948.027838532413</v>
      </c>
      <c r="W106" s="29">
        <f t="shared" si="25"/>
        <v>17948.027838532413</v>
      </c>
      <c r="X106" s="29">
        <f t="shared" si="36"/>
        <v>17948.027838532413</v>
      </c>
      <c r="Y106">
        <f t="shared" si="37"/>
        <v>0</v>
      </c>
    </row>
    <row r="107" spans="1:25" x14ac:dyDescent="0.25">
      <c r="A107" s="4" t="s">
        <v>859</v>
      </c>
      <c r="B107" s="7" t="s">
        <v>425</v>
      </c>
      <c r="C107" s="2" t="s">
        <v>860</v>
      </c>
      <c r="D107">
        <f>VLOOKUP(B107,'Model allocations'!$A$1:$L$316,4,FALSE)</f>
        <v>13793.78415552094</v>
      </c>
      <c r="E107" s="31">
        <f>VLOOKUP(B107,'Initial adjusted formula count'!$A$1:$P$316,12,FALSE)</f>
        <v>0.26</v>
      </c>
      <c r="F107">
        <f>VLOOKUP(B107,'Model allocations'!$A$1:$L$316,9,FALSE)</f>
        <v>12429.300420896048</v>
      </c>
      <c r="G107" s="30">
        <f t="shared" si="26"/>
        <v>0.9</v>
      </c>
      <c r="H107">
        <f t="shared" si="27"/>
        <v>12414.405739968846</v>
      </c>
      <c r="I107">
        <f t="shared" si="19"/>
        <v>0</v>
      </c>
      <c r="J107">
        <f t="shared" si="20"/>
        <v>12429.300420896048</v>
      </c>
      <c r="K107">
        <f t="shared" si="21"/>
        <v>12415.729465570461</v>
      </c>
      <c r="L107">
        <f t="shared" si="28"/>
        <v>12415.729465570461</v>
      </c>
      <c r="M107">
        <f t="shared" si="22"/>
        <v>0</v>
      </c>
      <c r="N107" s="29">
        <f t="shared" si="29"/>
        <v>12415.729465570461</v>
      </c>
      <c r="O107" s="29">
        <f t="shared" si="23"/>
        <v>12412.407227629286</v>
      </c>
      <c r="P107" s="29">
        <f t="shared" si="30"/>
        <v>12412.407227629286</v>
      </c>
      <c r="Q107">
        <f t="shared" si="31"/>
        <v>12414.405739968846</v>
      </c>
      <c r="R107" s="29">
        <f t="shared" si="32"/>
        <v>0</v>
      </c>
      <c r="S107" s="29">
        <f t="shared" si="24"/>
        <v>0</v>
      </c>
      <c r="T107" s="29">
        <f t="shared" si="33"/>
        <v>12414.405739968846</v>
      </c>
      <c r="U107">
        <f t="shared" si="34"/>
        <v>0</v>
      </c>
      <c r="V107" s="29">
        <f t="shared" si="35"/>
        <v>0</v>
      </c>
      <c r="W107" s="29">
        <f t="shared" si="25"/>
        <v>0</v>
      </c>
      <c r="X107" s="29">
        <f t="shared" si="36"/>
        <v>12414.405739968846</v>
      </c>
      <c r="Y107">
        <f t="shared" si="37"/>
        <v>0</v>
      </c>
    </row>
    <row r="108" spans="1:25" x14ac:dyDescent="0.25">
      <c r="A108" s="4" t="s">
        <v>861</v>
      </c>
      <c r="B108" s="7" t="s">
        <v>427</v>
      </c>
      <c r="C108" s="2" t="s">
        <v>862</v>
      </c>
      <c r="D108">
        <f>VLOOKUP(B108,'Model allocations'!$A$1:$L$316,4,FALSE)</f>
        <v>1940.8330033006239</v>
      </c>
      <c r="E108" s="31">
        <f>VLOOKUP(B108,'Initial adjusted formula count'!$A$1:$P$316,12,FALSE)</f>
        <v>5.4545454545454501E-2</v>
      </c>
      <c r="F108">
        <f>VLOOKUP(B108,'Model allocations'!$A$1:$L$316,9,FALSE)</f>
        <v>1649.7080528055303</v>
      </c>
      <c r="G108" s="30">
        <f t="shared" si="26"/>
        <v>0.85</v>
      </c>
      <c r="H108">
        <f t="shared" si="27"/>
        <v>1649.7080528055303</v>
      </c>
      <c r="I108">
        <f t="shared" si="19"/>
        <v>0</v>
      </c>
      <c r="J108">
        <f t="shared" si="20"/>
        <v>1649.7080528055303</v>
      </c>
      <c r="K108">
        <f t="shared" si="21"/>
        <v>1647.9068159276087</v>
      </c>
      <c r="L108">
        <f t="shared" si="28"/>
        <v>1647.9068159276087</v>
      </c>
      <c r="M108">
        <f t="shared" si="22"/>
        <v>1649.7080528055303</v>
      </c>
      <c r="N108" s="29">
        <f t="shared" si="29"/>
        <v>0</v>
      </c>
      <c r="O108" s="29">
        <f t="shared" si="23"/>
        <v>0</v>
      </c>
      <c r="P108" s="29">
        <f t="shared" si="30"/>
        <v>1649.7080528055303</v>
      </c>
      <c r="Q108">
        <f t="shared" si="31"/>
        <v>0</v>
      </c>
      <c r="R108" s="29">
        <f t="shared" si="32"/>
        <v>0</v>
      </c>
      <c r="S108" s="29">
        <f t="shared" si="24"/>
        <v>0</v>
      </c>
      <c r="T108" s="29">
        <f t="shared" si="33"/>
        <v>1649.7080528055303</v>
      </c>
      <c r="U108">
        <f t="shared" si="34"/>
        <v>0</v>
      </c>
      <c r="V108" s="29">
        <f t="shared" si="35"/>
        <v>0</v>
      </c>
      <c r="W108" s="29">
        <f t="shared" si="25"/>
        <v>0</v>
      </c>
      <c r="X108" s="29">
        <f t="shared" si="36"/>
        <v>1649.7080528055303</v>
      </c>
      <c r="Y108">
        <f t="shared" si="37"/>
        <v>0</v>
      </c>
    </row>
    <row r="109" spans="1:25" x14ac:dyDescent="0.25">
      <c r="A109" s="4" t="s">
        <v>863</v>
      </c>
      <c r="B109" s="7" t="s">
        <v>142</v>
      </c>
      <c r="C109" s="2" t="s">
        <v>864</v>
      </c>
      <c r="D109">
        <f>VLOOKUP(B109,'Model allocations'!$A$1:$L$316,4,FALSE)</f>
        <v>0</v>
      </c>
      <c r="E109" s="31">
        <f>VLOOKUP(B109,'Initial adjusted formula count'!$A$1:$P$316,12,FALSE)</f>
        <v>3.62714508580343E-2</v>
      </c>
      <c r="F109">
        <f>VLOOKUP(B109,'Model allocations'!$A$1:$L$316,9,FALSE)</f>
        <v>0</v>
      </c>
      <c r="G109" s="30">
        <f t="shared" si="26"/>
        <v>0.85</v>
      </c>
      <c r="H109">
        <f t="shared" si="27"/>
        <v>0</v>
      </c>
      <c r="I109">
        <f t="shared" si="19"/>
        <v>0</v>
      </c>
      <c r="J109">
        <f t="shared" si="20"/>
        <v>0</v>
      </c>
      <c r="K109">
        <f t="shared" si="21"/>
        <v>0</v>
      </c>
      <c r="L109">
        <f t="shared" si="28"/>
        <v>0</v>
      </c>
      <c r="M109">
        <f t="shared" si="22"/>
        <v>0</v>
      </c>
      <c r="N109" s="29">
        <f t="shared" si="29"/>
        <v>0</v>
      </c>
      <c r="O109" s="29">
        <f t="shared" si="23"/>
        <v>0</v>
      </c>
      <c r="P109" s="29">
        <f t="shared" si="30"/>
        <v>0</v>
      </c>
      <c r="Q109">
        <f t="shared" si="31"/>
        <v>0</v>
      </c>
      <c r="R109" s="29">
        <f t="shared" si="32"/>
        <v>0</v>
      </c>
      <c r="S109" s="29">
        <f t="shared" si="24"/>
        <v>0</v>
      </c>
      <c r="T109" s="29">
        <f t="shared" si="33"/>
        <v>0</v>
      </c>
      <c r="U109">
        <f t="shared" si="34"/>
        <v>0</v>
      </c>
      <c r="V109" s="29">
        <f t="shared" si="35"/>
        <v>0</v>
      </c>
      <c r="W109" s="29">
        <f t="shared" si="25"/>
        <v>0</v>
      </c>
      <c r="X109" s="29">
        <f t="shared" si="36"/>
        <v>0</v>
      </c>
      <c r="Y109">
        <f t="shared" si="37"/>
        <v>0</v>
      </c>
    </row>
    <row r="110" spans="1:25" x14ac:dyDescent="0.25">
      <c r="A110" s="4" t="s">
        <v>865</v>
      </c>
      <c r="B110" s="7" t="s">
        <v>144</v>
      </c>
      <c r="C110" s="2" t="s">
        <v>866</v>
      </c>
      <c r="D110">
        <f>VLOOKUP(B110,'Model allocations'!$A$1:$L$316,4,FALSE)</f>
        <v>4239.0690835958831</v>
      </c>
      <c r="E110" s="31">
        <f>VLOOKUP(B110,'Initial adjusted formula count'!$A$1:$P$316,12,FALSE)</f>
        <v>0.116666666666667</v>
      </c>
      <c r="F110">
        <f>VLOOKUP(B110,'Model allocations'!$A$1:$L$316,9,FALSE)</f>
        <v>3603.2087210565005</v>
      </c>
      <c r="G110" s="30">
        <f t="shared" si="26"/>
        <v>0.85</v>
      </c>
      <c r="H110">
        <f t="shared" si="27"/>
        <v>3603.2087210565005</v>
      </c>
      <c r="I110">
        <f t="shared" si="19"/>
        <v>0</v>
      </c>
      <c r="J110">
        <f t="shared" si="20"/>
        <v>3603.2087210565005</v>
      </c>
      <c r="K110">
        <f t="shared" si="21"/>
        <v>3599.2745507551685</v>
      </c>
      <c r="L110">
        <f t="shared" si="28"/>
        <v>3599.2745507551685</v>
      </c>
      <c r="M110">
        <f t="shared" si="22"/>
        <v>3603.2087210565005</v>
      </c>
      <c r="N110" s="29">
        <f t="shared" si="29"/>
        <v>0</v>
      </c>
      <c r="O110" s="29">
        <f t="shared" si="23"/>
        <v>0</v>
      </c>
      <c r="P110" s="29">
        <f t="shared" si="30"/>
        <v>3603.2087210565005</v>
      </c>
      <c r="Q110">
        <f t="shared" si="31"/>
        <v>0</v>
      </c>
      <c r="R110" s="29">
        <f t="shared" si="32"/>
        <v>0</v>
      </c>
      <c r="S110" s="29">
        <f t="shared" si="24"/>
        <v>0</v>
      </c>
      <c r="T110" s="29">
        <f t="shared" si="33"/>
        <v>3603.2087210565005</v>
      </c>
      <c r="U110">
        <f t="shared" si="34"/>
        <v>0</v>
      </c>
      <c r="V110" s="29">
        <f t="shared" si="35"/>
        <v>0</v>
      </c>
      <c r="W110" s="29">
        <f t="shared" si="25"/>
        <v>0</v>
      </c>
      <c r="X110" s="29">
        <f t="shared" si="36"/>
        <v>3603.2087210565005</v>
      </c>
      <c r="Y110">
        <f t="shared" si="37"/>
        <v>0</v>
      </c>
    </row>
    <row r="111" spans="1:25" x14ac:dyDescent="0.25">
      <c r="A111" s="4" t="s">
        <v>867</v>
      </c>
      <c r="B111" s="7" t="s">
        <v>146</v>
      </c>
      <c r="C111" s="2" t="s">
        <v>868</v>
      </c>
      <c r="D111">
        <f>VLOOKUP(B111,'Model allocations'!$A$1:$L$316,4,FALSE)</f>
        <v>0</v>
      </c>
      <c r="E111" s="31">
        <f>VLOOKUP(B111,'Initial adjusted formula count'!$A$1:$P$316,12,FALSE)</f>
        <v>6.7734887108521505E-2</v>
      </c>
      <c r="F111">
        <f>VLOOKUP(B111,'Model allocations'!$A$1:$L$316,9,FALSE)</f>
        <v>0</v>
      </c>
      <c r="G111" s="30">
        <f t="shared" si="26"/>
        <v>0.85</v>
      </c>
      <c r="H111">
        <f t="shared" si="27"/>
        <v>0</v>
      </c>
      <c r="I111">
        <f t="shared" si="19"/>
        <v>0</v>
      </c>
      <c r="J111">
        <f t="shared" si="20"/>
        <v>0</v>
      </c>
      <c r="K111">
        <f t="shared" si="21"/>
        <v>0</v>
      </c>
      <c r="L111">
        <f t="shared" si="28"/>
        <v>0</v>
      </c>
      <c r="M111">
        <f t="shared" si="22"/>
        <v>0</v>
      </c>
      <c r="N111" s="29">
        <f t="shared" si="29"/>
        <v>0</v>
      </c>
      <c r="O111" s="29">
        <f t="shared" si="23"/>
        <v>0</v>
      </c>
      <c r="P111" s="29">
        <f t="shared" si="30"/>
        <v>0</v>
      </c>
      <c r="Q111">
        <f t="shared" si="31"/>
        <v>0</v>
      </c>
      <c r="R111" s="29">
        <f t="shared" si="32"/>
        <v>0</v>
      </c>
      <c r="S111" s="29">
        <f t="shared" si="24"/>
        <v>0</v>
      </c>
      <c r="T111" s="29">
        <f t="shared" si="33"/>
        <v>0</v>
      </c>
      <c r="U111">
        <f t="shared" si="34"/>
        <v>0</v>
      </c>
      <c r="V111" s="29">
        <f t="shared" si="35"/>
        <v>0</v>
      </c>
      <c r="W111" s="29">
        <f t="shared" si="25"/>
        <v>0</v>
      </c>
      <c r="X111" s="29">
        <f t="shared" si="36"/>
        <v>0</v>
      </c>
      <c r="Y111">
        <f t="shared" si="37"/>
        <v>0</v>
      </c>
    </row>
    <row r="112" spans="1:25" x14ac:dyDescent="0.25">
      <c r="A112" s="4" t="s">
        <v>869</v>
      </c>
      <c r="B112" s="7" t="s">
        <v>429</v>
      </c>
      <c r="C112" s="2" t="s">
        <v>870</v>
      </c>
      <c r="D112">
        <f>VLOOKUP(B112,'Model allocations'!$A$1:$L$316,4,FALSE)</f>
        <v>6324.6003974505466</v>
      </c>
      <c r="E112" s="31">
        <f>VLOOKUP(B112,'Initial adjusted formula count'!$A$1:$P$316,12,FALSE)</f>
        <v>0.236363636363636</v>
      </c>
      <c r="F112">
        <f>VLOOKUP(B112,'Model allocations'!$A$1:$L$316,9,FALSE)</f>
        <v>6172.6568381464704</v>
      </c>
      <c r="G112" s="30">
        <f t="shared" si="26"/>
        <v>0.9</v>
      </c>
      <c r="H112">
        <f t="shared" si="27"/>
        <v>5692.1403577054916</v>
      </c>
      <c r="I112">
        <f t="shared" si="19"/>
        <v>0</v>
      </c>
      <c r="J112">
        <f t="shared" si="20"/>
        <v>6172.6568381464704</v>
      </c>
      <c r="K112">
        <f t="shared" si="21"/>
        <v>6165.9172110271647</v>
      </c>
      <c r="L112">
        <f t="shared" si="28"/>
        <v>6165.9172110271647</v>
      </c>
      <c r="M112">
        <f t="shared" si="22"/>
        <v>0</v>
      </c>
      <c r="N112" s="29">
        <f t="shared" si="29"/>
        <v>6165.9172110271647</v>
      </c>
      <c r="O112" s="29">
        <f t="shared" si="23"/>
        <v>6164.2673164996286</v>
      </c>
      <c r="P112" s="29">
        <f t="shared" si="30"/>
        <v>6164.2673164996286</v>
      </c>
      <c r="Q112">
        <f t="shared" si="31"/>
        <v>0</v>
      </c>
      <c r="R112" s="29">
        <f t="shared" si="32"/>
        <v>6164.2673164996286</v>
      </c>
      <c r="S112" s="29">
        <f t="shared" si="24"/>
        <v>6164.0801172440124</v>
      </c>
      <c r="T112" s="29">
        <f t="shared" si="33"/>
        <v>6164.0801172440124</v>
      </c>
      <c r="U112">
        <f t="shared" si="34"/>
        <v>0</v>
      </c>
      <c r="V112" s="29">
        <f t="shared" si="35"/>
        <v>6164.0801172440124</v>
      </c>
      <c r="W112" s="29">
        <f t="shared" si="25"/>
        <v>6164.0801172440124</v>
      </c>
      <c r="X112" s="29">
        <f t="shared" si="36"/>
        <v>6164.0801172440124</v>
      </c>
      <c r="Y112">
        <f t="shared" si="37"/>
        <v>0</v>
      </c>
    </row>
    <row r="113" spans="1:25" x14ac:dyDescent="0.25">
      <c r="A113" s="8" t="s">
        <v>871</v>
      </c>
      <c r="B113" s="7" t="s">
        <v>431</v>
      </c>
      <c r="C113" s="2" t="s">
        <v>872</v>
      </c>
      <c r="D113">
        <f>VLOOKUP(B113,'Model allocations'!$A$1:$L$316,4,FALSE)</f>
        <v>212517.79317573787</v>
      </c>
      <c r="E113" s="31">
        <f>VLOOKUP(B113,'Initial adjusted formula count'!$A$1:$P$316,12,FALSE)</f>
        <v>0.131621768215513</v>
      </c>
      <c r="F113">
        <f>VLOOKUP(B113,'Model allocations'!$A$1:$L$316,9,FALSE)</f>
        <v>180790.55792858839</v>
      </c>
      <c r="G113" s="30">
        <f t="shared" si="26"/>
        <v>0.85</v>
      </c>
      <c r="H113">
        <f t="shared" si="27"/>
        <v>180640.12419937717</v>
      </c>
      <c r="I113">
        <f t="shared" si="19"/>
        <v>0</v>
      </c>
      <c r="J113">
        <f t="shared" si="20"/>
        <v>180790.55792858839</v>
      </c>
      <c r="K113">
        <f t="shared" si="21"/>
        <v>180593.16141375218</v>
      </c>
      <c r="L113">
        <f t="shared" si="28"/>
        <v>180593.16141375218</v>
      </c>
      <c r="M113">
        <f t="shared" si="22"/>
        <v>180640.12419937717</v>
      </c>
      <c r="N113" s="29">
        <f t="shared" si="29"/>
        <v>0</v>
      </c>
      <c r="O113" s="29">
        <f t="shared" si="23"/>
        <v>0</v>
      </c>
      <c r="P113" s="29">
        <f t="shared" si="30"/>
        <v>180640.12419937717</v>
      </c>
      <c r="Q113">
        <f t="shared" si="31"/>
        <v>0</v>
      </c>
      <c r="R113" s="29">
        <f t="shared" si="32"/>
        <v>0</v>
      </c>
      <c r="S113" s="29">
        <f t="shared" si="24"/>
        <v>0</v>
      </c>
      <c r="T113" s="29">
        <f t="shared" si="33"/>
        <v>180640.12419937717</v>
      </c>
      <c r="U113">
        <f t="shared" si="34"/>
        <v>0</v>
      </c>
      <c r="V113" s="29">
        <f t="shared" si="35"/>
        <v>0</v>
      </c>
      <c r="W113" s="29">
        <f t="shared" si="25"/>
        <v>0</v>
      </c>
      <c r="X113" s="29">
        <f t="shared" si="36"/>
        <v>180640.12419937717</v>
      </c>
      <c r="Y113">
        <f t="shared" si="37"/>
        <v>0</v>
      </c>
    </row>
    <row r="114" spans="1:25" x14ac:dyDescent="0.25">
      <c r="A114" s="4" t="s">
        <v>873</v>
      </c>
      <c r="B114" s="7" t="s">
        <v>433</v>
      </c>
      <c r="C114" s="2" t="s">
        <v>874</v>
      </c>
      <c r="D114">
        <f>VLOOKUP(B114,'Model allocations'!$A$1:$L$316,4,FALSE)</f>
        <v>0</v>
      </c>
      <c r="E114" s="31">
        <f>VLOOKUP(B114,'Initial adjusted formula count'!$A$1:$P$316,12,FALSE)</f>
        <v>0.120393594443373</v>
      </c>
      <c r="F114">
        <f>VLOOKUP(B114,'Model allocations'!$A$1:$L$316,9,FALSE)</f>
        <v>0</v>
      </c>
      <c r="G114" s="30">
        <f t="shared" si="26"/>
        <v>0.85</v>
      </c>
      <c r="H114">
        <f t="shared" si="27"/>
        <v>0</v>
      </c>
      <c r="I114">
        <f t="shared" si="19"/>
        <v>0</v>
      </c>
      <c r="J114">
        <f t="shared" si="20"/>
        <v>0</v>
      </c>
      <c r="K114">
        <f t="shared" si="21"/>
        <v>0</v>
      </c>
      <c r="L114">
        <f t="shared" si="28"/>
        <v>0</v>
      </c>
      <c r="M114">
        <f t="shared" si="22"/>
        <v>0</v>
      </c>
      <c r="N114" s="29">
        <f t="shared" si="29"/>
        <v>0</v>
      </c>
      <c r="O114" s="29">
        <f t="shared" si="23"/>
        <v>0</v>
      </c>
      <c r="P114" s="29">
        <f t="shared" si="30"/>
        <v>0</v>
      </c>
      <c r="Q114">
        <f t="shared" si="31"/>
        <v>0</v>
      </c>
      <c r="R114" s="29">
        <f t="shared" si="32"/>
        <v>0</v>
      </c>
      <c r="S114" s="29">
        <f t="shared" si="24"/>
        <v>0</v>
      </c>
      <c r="T114" s="29">
        <f t="shared" si="33"/>
        <v>0</v>
      </c>
      <c r="U114">
        <f t="shared" si="34"/>
        <v>0</v>
      </c>
      <c r="V114" s="29">
        <f t="shared" si="35"/>
        <v>0</v>
      </c>
      <c r="W114" s="29">
        <f t="shared" si="25"/>
        <v>0</v>
      </c>
      <c r="X114" s="29">
        <f t="shared" si="36"/>
        <v>0</v>
      </c>
      <c r="Y114">
        <f t="shared" si="37"/>
        <v>0</v>
      </c>
    </row>
    <row r="115" spans="1:25" x14ac:dyDescent="0.25">
      <c r="A115" s="4" t="s">
        <v>875</v>
      </c>
      <c r="B115" s="7" t="s">
        <v>435</v>
      </c>
      <c r="C115" s="2" t="s">
        <v>876</v>
      </c>
      <c r="D115">
        <f>VLOOKUP(B115,'Model allocations'!$A$1:$L$316,4,FALSE)</f>
        <v>0</v>
      </c>
      <c r="E115" s="31">
        <f>VLOOKUP(B115,'Initial adjusted formula count'!$A$1:$P$316,12,FALSE)</f>
        <v>0.147822376842036</v>
      </c>
      <c r="F115">
        <f>VLOOKUP(B115,'Model allocations'!$A$1:$L$316,9,FALSE)</f>
        <v>0</v>
      </c>
      <c r="G115" s="30">
        <f t="shared" si="26"/>
        <v>0.85</v>
      </c>
      <c r="H115">
        <f t="shared" si="27"/>
        <v>0</v>
      </c>
      <c r="I115">
        <f t="shared" si="19"/>
        <v>0</v>
      </c>
      <c r="J115">
        <f t="shared" si="20"/>
        <v>0</v>
      </c>
      <c r="K115">
        <f t="shared" si="21"/>
        <v>0</v>
      </c>
      <c r="L115">
        <f t="shared" si="28"/>
        <v>0</v>
      </c>
      <c r="M115">
        <f t="shared" si="22"/>
        <v>0</v>
      </c>
      <c r="N115" s="29">
        <f t="shared" si="29"/>
        <v>0</v>
      </c>
      <c r="O115" s="29">
        <f t="shared" si="23"/>
        <v>0</v>
      </c>
      <c r="P115" s="29">
        <f t="shared" si="30"/>
        <v>0</v>
      </c>
      <c r="Q115">
        <f t="shared" si="31"/>
        <v>0</v>
      </c>
      <c r="R115" s="29">
        <f t="shared" si="32"/>
        <v>0</v>
      </c>
      <c r="S115" s="29">
        <f t="shared" si="24"/>
        <v>0</v>
      </c>
      <c r="T115" s="29">
        <f t="shared" si="33"/>
        <v>0</v>
      </c>
      <c r="U115">
        <f t="shared" si="34"/>
        <v>0</v>
      </c>
      <c r="V115" s="29">
        <f t="shared" si="35"/>
        <v>0</v>
      </c>
      <c r="W115" s="29">
        <f t="shared" si="25"/>
        <v>0</v>
      </c>
      <c r="X115" s="29">
        <f t="shared" si="36"/>
        <v>0</v>
      </c>
      <c r="Y115">
        <f t="shared" si="37"/>
        <v>0</v>
      </c>
    </row>
    <row r="116" spans="1:25" x14ac:dyDescent="0.25">
      <c r="A116" s="4" t="s">
        <v>877</v>
      </c>
      <c r="B116" s="7" t="s">
        <v>437</v>
      </c>
      <c r="C116" s="2" t="s">
        <v>878</v>
      </c>
      <c r="D116">
        <f>VLOOKUP(B116,'Model allocations'!$A$1:$L$316,4,FALSE)</f>
        <v>34601.356864696594</v>
      </c>
      <c r="E116" s="31">
        <f>VLOOKUP(B116,'Initial adjusted formula count'!$A$1:$P$316,12,FALSE)</f>
        <v>0.17109458023379401</v>
      </c>
      <c r="F116">
        <f>VLOOKUP(B116,'Model allocations'!$A$1:$L$316,9,FALSE)</f>
        <v>38222.99042083008</v>
      </c>
      <c r="G116" s="30">
        <f t="shared" si="26"/>
        <v>0.9</v>
      </c>
      <c r="H116">
        <f t="shared" si="27"/>
        <v>31141.221178226937</v>
      </c>
      <c r="I116">
        <f t="shared" si="19"/>
        <v>0</v>
      </c>
      <c r="J116">
        <f t="shared" si="20"/>
        <v>38222.99042083008</v>
      </c>
      <c r="K116">
        <f t="shared" si="21"/>
        <v>38181.256575975916</v>
      </c>
      <c r="L116">
        <f t="shared" si="28"/>
        <v>38181.256575975916</v>
      </c>
      <c r="M116">
        <f t="shared" si="22"/>
        <v>0</v>
      </c>
      <c r="N116" s="29">
        <f t="shared" si="29"/>
        <v>38181.256575975916</v>
      </c>
      <c r="O116" s="29">
        <f t="shared" si="23"/>
        <v>38171.039921401563</v>
      </c>
      <c r="P116" s="29">
        <f t="shared" si="30"/>
        <v>38171.039921401563</v>
      </c>
      <c r="Q116">
        <f t="shared" si="31"/>
        <v>0</v>
      </c>
      <c r="R116" s="29">
        <f t="shared" si="32"/>
        <v>38171.039921401563</v>
      </c>
      <c r="S116" s="29">
        <f t="shared" si="24"/>
        <v>38169.880726011019</v>
      </c>
      <c r="T116" s="29">
        <f t="shared" si="33"/>
        <v>38169.880726011019</v>
      </c>
      <c r="U116">
        <f t="shared" si="34"/>
        <v>0</v>
      </c>
      <c r="V116" s="29">
        <f t="shared" si="35"/>
        <v>38169.880726011019</v>
      </c>
      <c r="W116" s="29">
        <f t="shared" si="25"/>
        <v>38169.880726011019</v>
      </c>
      <c r="X116" s="29">
        <f t="shared" si="36"/>
        <v>38169.880726011019</v>
      </c>
      <c r="Y116">
        <f t="shared" si="37"/>
        <v>0</v>
      </c>
    </row>
    <row r="117" spans="1:25" x14ac:dyDescent="0.25">
      <c r="A117" s="8" t="s">
        <v>879</v>
      </c>
      <c r="B117" s="7" t="s">
        <v>439</v>
      </c>
      <c r="C117" s="2" t="s">
        <v>880</v>
      </c>
      <c r="D117">
        <f>VLOOKUP(B117,'Model allocations'!$A$1:$L$316,4,FALSE)</f>
        <v>41889.040507044614</v>
      </c>
      <c r="E117" s="31">
        <f>VLOOKUP(B117,'Initial adjusted formula count'!$A$1:$P$316,12,FALSE)</f>
        <v>9.1012514220705401E-2</v>
      </c>
      <c r="F117">
        <f>VLOOKUP(B117,'Model allocations'!$A$1:$L$316,9,FALSE)</f>
        <v>35605.684430987923</v>
      </c>
      <c r="G117" s="30">
        <f t="shared" si="26"/>
        <v>0.85</v>
      </c>
      <c r="H117">
        <f t="shared" si="27"/>
        <v>35605.684430987923</v>
      </c>
      <c r="I117">
        <f t="shared" si="19"/>
        <v>0</v>
      </c>
      <c r="J117">
        <f t="shared" si="20"/>
        <v>35605.684430987923</v>
      </c>
      <c r="K117">
        <f t="shared" si="21"/>
        <v>35566.808296661206</v>
      </c>
      <c r="L117">
        <f t="shared" si="28"/>
        <v>35566.808296661206</v>
      </c>
      <c r="M117">
        <f t="shared" si="22"/>
        <v>35605.684430987923</v>
      </c>
      <c r="N117" s="29">
        <f t="shared" si="29"/>
        <v>0</v>
      </c>
      <c r="O117" s="29">
        <f t="shared" si="23"/>
        <v>0</v>
      </c>
      <c r="P117" s="29">
        <f t="shared" si="30"/>
        <v>35605.684430987923</v>
      </c>
      <c r="Q117">
        <f t="shared" si="31"/>
        <v>0</v>
      </c>
      <c r="R117" s="29">
        <f t="shared" si="32"/>
        <v>0</v>
      </c>
      <c r="S117" s="29">
        <f t="shared" si="24"/>
        <v>0</v>
      </c>
      <c r="T117" s="29">
        <f t="shared" si="33"/>
        <v>35605.684430987923</v>
      </c>
      <c r="U117">
        <f t="shared" si="34"/>
        <v>0</v>
      </c>
      <c r="V117" s="29">
        <f t="shared" si="35"/>
        <v>0</v>
      </c>
      <c r="W117" s="29">
        <f t="shared" si="25"/>
        <v>0</v>
      </c>
      <c r="X117" s="29">
        <f t="shared" si="36"/>
        <v>35605.684430987923</v>
      </c>
      <c r="Y117">
        <f t="shared" si="37"/>
        <v>0</v>
      </c>
    </row>
    <row r="118" spans="1:25" x14ac:dyDescent="0.25">
      <c r="A118" s="4" t="s">
        <v>881</v>
      </c>
      <c r="B118" s="7" t="s">
        <v>277</v>
      </c>
      <c r="C118" s="2" t="s">
        <v>882</v>
      </c>
      <c r="D118">
        <f>VLOOKUP(B118,'Model allocations'!$A$1:$L$316,4,FALSE)</f>
        <v>0</v>
      </c>
      <c r="E118" s="31">
        <f>VLOOKUP(B118,'Initial adjusted formula count'!$A$1:$P$316,12,FALSE)</f>
        <v>8.4099868593955296E-2</v>
      </c>
      <c r="F118">
        <f>VLOOKUP(B118,'Model allocations'!$A$1:$L$316,9,FALSE)</f>
        <v>0</v>
      </c>
      <c r="G118" s="30">
        <f t="shared" si="26"/>
        <v>0.85</v>
      </c>
      <c r="H118">
        <f t="shared" si="27"/>
        <v>0</v>
      </c>
      <c r="I118">
        <f t="shared" si="19"/>
        <v>0</v>
      </c>
      <c r="J118">
        <f t="shared" si="20"/>
        <v>0</v>
      </c>
      <c r="K118">
        <f t="shared" si="21"/>
        <v>0</v>
      </c>
      <c r="L118">
        <f t="shared" si="28"/>
        <v>0</v>
      </c>
      <c r="M118">
        <f t="shared" si="22"/>
        <v>0</v>
      </c>
      <c r="N118" s="29">
        <f t="shared" si="29"/>
        <v>0</v>
      </c>
      <c r="O118" s="29">
        <f t="shared" si="23"/>
        <v>0</v>
      </c>
      <c r="P118" s="29">
        <f t="shared" si="30"/>
        <v>0</v>
      </c>
      <c r="Q118">
        <f t="shared" si="31"/>
        <v>0</v>
      </c>
      <c r="R118" s="29">
        <f t="shared" si="32"/>
        <v>0</v>
      </c>
      <c r="S118" s="29">
        <f t="shared" si="24"/>
        <v>0</v>
      </c>
      <c r="T118" s="29">
        <f t="shared" si="33"/>
        <v>0</v>
      </c>
      <c r="U118">
        <f t="shared" si="34"/>
        <v>0</v>
      </c>
      <c r="V118" s="29">
        <f t="shared" si="35"/>
        <v>0</v>
      </c>
      <c r="W118" s="29">
        <f t="shared" si="25"/>
        <v>0</v>
      </c>
      <c r="X118" s="29">
        <f t="shared" si="36"/>
        <v>0</v>
      </c>
      <c r="Y118">
        <f t="shared" si="37"/>
        <v>0</v>
      </c>
    </row>
    <row r="119" spans="1:25" x14ac:dyDescent="0.25">
      <c r="A119" s="4" t="s">
        <v>883</v>
      </c>
      <c r="B119" s="7" t="s">
        <v>440</v>
      </c>
      <c r="C119" s="2" t="s">
        <v>884</v>
      </c>
      <c r="D119">
        <f>VLOOKUP(B119,'Model allocations'!$A$1:$L$316,4,FALSE)</f>
        <v>2697.5894168337459</v>
      </c>
      <c r="E119" s="31">
        <f>VLOOKUP(B119,'Initial adjusted formula count'!$A$1:$P$316,12,FALSE)</f>
        <v>0.17073170731707299</v>
      </c>
      <c r="F119">
        <f>VLOOKUP(B119,'Model allocations'!$A$1:$L$316,9,FALSE)</f>
        <v>3323.7382974634843</v>
      </c>
      <c r="G119" s="30">
        <f t="shared" si="26"/>
        <v>0.9</v>
      </c>
      <c r="H119">
        <f t="shared" si="27"/>
        <v>2427.8304751503715</v>
      </c>
      <c r="I119">
        <f t="shared" si="19"/>
        <v>0</v>
      </c>
      <c r="J119">
        <f t="shared" si="20"/>
        <v>3323.7382974634843</v>
      </c>
      <c r="K119">
        <f t="shared" si="21"/>
        <v>3320.1092674761662</v>
      </c>
      <c r="L119">
        <f t="shared" si="28"/>
        <v>3320.1092674761662</v>
      </c>
      <c r="M119">
        <f t="shared" si="22"/>
        <v>0</v>
      </c>
      <c r="N119" s="29">
        <f t="shared" si="29"/>
        <v>3320.1092674761662</v>
      </c>
      <c r="O119" s="29">
        <f t="shared" si="23"/>
        <v>3319.2208627305699</v>
      </c>
      <c r="P119" s="29">
        <f t="shared" si="30"/>
        <v>3319.2208627305699</v>
      </c>
      <c r="Q119">
        <f t="shared" si="31"/>
        <v>0</v>
      </c>
      <c r="R119" s="29">
        <f t="shared" si="32"/>
        <v>3319.2208627305699</v>
      </c>
      <c r="S119" s="29">
        <f t="shared" si="24"/>
        <v>3319.1200631313923</v>
      </c>
      <c r="T119" s="29">
        <f t="shared" si="33"/>
        <v>3319.1200631313923</v>
      </c>
      <c r="U119">
        <f t="shared" si="34"/>
        <v>0</v>
      </c>
      <c r="V119" s="29">
        <f t="shared" si="35"/>
        <v>3319.1200631313923</v>
      </c>
      <c r="W119" s="29">
        <f t="shared" si="25"/>
        <v>3319.1200631313923</v>
      </c>
      <c r="X119" s="29">
        <f t="shared" si="36"/>
        <v>3319.1200631313923</v>
      </c>
      <c r="Y119">
        <f t="shared" si="37"/>
        <v>0</v>
      </c>
    </row>
    <row r="120" spans="1:25" x14ac:dyDescent="0.25">
      <c r="A120" s="4" t="s">
        <v>885</v>
      </c>
      <c r="B120" s="7" t="s">
        <v>148</v>
      </c>
      <c r="C120" s="2" t="s">
        <v>886</v>
      </c>
      <c r="D120">
        <f>VLOOKUP(B120,'Model allocations'!$A$1:$L$316,4,FALSE)</f>
        <v>0</v>
      </c>
      <c r="E120" s="31">
        <f>VLOOKUP(B120,'Initial adjusted formula count'!$A$1:$P$316,12,FALSE)</f>
        <v>6.1658031088082897E-2</v>
      </c>
      <c r="F120">
        <f>VLOOKUP(B120,'Model allocations'!$A$1:$L$316,9,FALSE)</f>
        <v>0</v>
      </c>
      <c r="G120" s="30">
        <f t="shared" si="26"/>
        <v>0.85</v>
      </c>
      <c r="H120">
        <f t="shared" si="27"/>
        <v>0</v>
      </c>
      <c r="I120">
        <f t="shared" si="19"/>
        <v>0</v>
      </c>
      <c r="J120">
        <f t="shared" si="20"/>
        <v>0</v>
      </c>
      <c r="K120">
        <f t="shared" si="21"/>
        <v>0</v>
      </c>
      <c r="L120">
        <f t="shared" si="28"/>
        <v>0</v>
      </c>
      <c r="M120">
        <f t="shared" si="22"/>
        <v>0</v>
      </c>
      <c r="N120" s="29">
        <f t="shared" si="29"/>
        <v>0</v>
      </c>
      <c r="O120" s="29">
        <f t="shared" si="23"/>
        <v>0</v>
      </c>
      <c r="P120" s="29">
        <f t="shared" si="30"/>
        <v>0</v>
      </c>
      <c r="Q120">
        <f t="shared" si="31"/>
        <v>0</v>
      </c>
      <c r="R120" s="29">
        <f t="shared" si="32"/>
        <v>0</v>
      </c>
      <c r="S120" s="29">
        <f t="shared" si="24"/>
        <v>0</v>
      </c>
      <c r="T120" s="29">
        <f t="shared" si="33"/>
        <v>0</v>
      </c>
      <c r="U120">
        <f t="shared" si="34"/>
        <v>0</v>
      </c>
      <c r="V120" s="29">
        <f t="shared" si="35"/>
        <v>0</v>
      </c>
      <c r="W120" s="29">
        <f t="shared" si="25"/>
        <v>0</v>
      </c>
      <c r="X120" s="29">
        <f t="shared" si="36"/>
        <v>0</v>
      </c>
      <c r="Y120">
        <f t="shared" si="37"/>
        <v>0</v>
      </c>
    </row>
    <row r="121" spans="1:25" x14ac:dyDescent="0.25">
      <c r="A121" s="4" t="s">
        <v>887</v>
      </c>
      <c r="B121" s="7" t="s">
        <v>279</v>
      </c>
      <c r="C121" s="2" t="s">
        <v>888</v>
      </c>
      <c r="D121">
        <f>VLOOKUP(B121,'Model allocations'!$A$1:$L$316,4,FALSE)</f>
        <v>22176.550856670681</v>
      </c>
      <c r="E121" s="31">
        <f>VLOOKUP(B121,'Initial adjusted formula count'!$A$1:$P$316,12,FALSE)</f>
        <v>0.109401709401709</v>
      </c>
      <c r="F121">
        <f>VLOOKUP(B121,'Model allocations'!$A$1:$L$316,9,FALSE)</f>
        <v>18850.068228170079</v>
      </c>
      <c r="G121" s="30">
        <f t="shared" si="26"/>
        <v>0.85</v>
      </c>
      <c r="H121">
        <f t="shared" si="27"/>
        <v>18850.068228170079</v>
      </c>
      <c r="I121">
        <f t="shared" si="19"/>
        <v>0</v>
      </c>
      <c r="J121">
        <f t="shared" si="20"/>
        <v>18850.068228170079</v>
      </c>
      <c r="K121">
        <f t="shared" si="21"/>
        <v>18829.486745291226</v>
      </c>
      <c r="L121">
        <f t="shared" si="28"/>
        <v>18829.486745291226</v>
      </c>
      <c r="M121">
        <f t="shared" si="22"/>
        <v>18850.068228170079</v>
      </c>
      <c r="N121" s="29">
        <f t="shared" si="29"/>
        <v>0</v>
      </c>
      <c r="O121" s="29">
        <f t="shared" si="23"/>
        <v>0</v>
      </c>
      <c r="P121" s="29">
        <f t="shared" si="30"/>
        <v>18850.068228170079</v>
      </c>
      <c r="Q121">
        <f t="shared" si="31"/>
        <v>0</v>
      </c>
      <c r="R121" s="29">
        <f t="shared" si="32"/>
        <v>0</v>
      </c>
      <c r="S121" s="29">
        <f t="shared" si="24"/>
        <v>0</v>
      </c>
      <c r="T121" s="29">
        <f t="shared" si="33"/>
        <v>18850.068228170079</v>
      </c>
      <c r="U121">
        <f t="shared" si="34"/>
        <v>0</v>
      </c>
      <c r="V121" s="29">
        <f t="shared" si="35"/>
        <v>0</v>
      </c>
      <c r="W121" s="29">
        <f t="shared" si="25"/>
        <v>0</v>
      </c>
      <c r="X121" s="29">
        <f t="shared" si="36"/>
        <v>18850.068228170079</v>
      </c>
      <c r="Y121">
        <f t="shared" si="37"/>
        <v>0</v>
      </c>
    </row>
    <row r="122" spans="1:25" x14ac:dyDescent="0.25">
      <c r="A122" s="4" t="s">
        <v>889</v>
      </c>
      <c r="B122" s="7" t="s">
        <v>442</v>
      </c>
      <c r="C122" s="2" t="s">
        <v>890</v>
      </c>
      <c r="D122">
        <f>VLOOKUP(B122,'Model allocations'!$A$1:$L$316,4,FALSE)</f>
        <v>3974.48018040434</v>
      </c>
      <c r="E122" s="31">
        <f>VLOOKUP(B122,'Initial adjusted formula count'!$A$1:$P$316,12,FALSE)</f>
        <v>0.14444444444444399</v>
      </c>
      <c r="F122">
        <f>VLOOKUP(B122,'Model allocations'!$A$1:$L$316,9,FALSE)</f>
        <v>3382.3614139726546</v>
      </c>
      <c r="G122" s="30">
        <f t="shared" si="26"/>
        <v>0.85</v>
      </c>
      <c r="H122">
        <f t="shared" si="27"/>
        <v>3378.3081533436889</v>
      </c>
      <c r="I122">
        <f t="shared" si="19"/>
        <v>0</v>
      </c>
      <c r="J122">
        <f t="shared" si="20"/>
        <v>3382.3614139726546</v>
      </c>
      <c r="K122">
        <f t="shared" si="21"/>
        <v>3378.6683762239777</v>
      </c>
      <c r="L122">
        <f t="shared" si="28"/>
        <v>3378.6683762239777</v>
      </c>
      <c r="M122">
        <f t="shared" si="22"/>
        <v>0</v>
      </c>
      <c r="N122" s="29">
        <f t="shared" si="29"/>
        <v>3378.6683762239777</v>
      </c>
      <c r="O122" s="29">
        <f t="shared" si="23"/>
        <v>3377.7643020573119</v>
      </c>
      <c r="P122" s="29">
        <f t="shared" si="30"/>
        <v>3377.7643020573119</v>
      </c>
      <c r="Q122">
        <f t="shared" si="31"/>
        <v>3378.3081533436889</v>
      </c>
      <c r="R122" s="29">
        <f t="shared" si="32"/>
        <v>0</v>
      </c>
      <c r="S122" s="29">
        <f t="shared" si="24"/>
        <v>0</v>
      </c>
      <c r="T122" s="29">
        <f t="shared" si="33"/>
        <v>3378.3081533436889</v>
      </c>
      <c r="U122">
        <f t="shared" si="34"/>
        <v>0</v>
      </c>
      <c r="V122" s="29">
        <f t="shared" si="35"/>
        <v>0</v>
      </c>
      <c r="W122" s="29">
        <f t="shared" si="25"/>
        <v>0</v>
      </c>
      <c r="X122" s="29">
        <f t="shared" si="36"/>
        <v>3378.3081533436889</v>
      </c>
      <c r="Y122">
        <f t="shared" si="37"/>
        <v>0</v>
      </c>
    </row>
    <row r="123" spans="1:25" x14ac:dyDescent="0.25">
      <c r="A123" s="8" t="s">
        <v>891</v>
      </c>
      <c r="B123" s="7" t="s">
        <v>281</v>
      </c>
      <c r="C123" s="2" t="s">
        <v>892</v>
      </c>
      <c r="D123">
        <f>VLOOKUP(B123,'Model allocations'!$A$1:$L$316,4,FALSE)</f>
        <v>0</v>
      </c>
      <c r="E123" s="31">
        <f>VLOOKUP(B123,'Initial adjusted formula count'!$A$1:$P$316,12,FALSE)</f>
        <v>8.6029992107340206E-2</v>
      </c>
      <c r="F123">
        <f>VLOOKUP(B123,'Model allocations'!$A$1:$L$316,9,FALSE)</f>
        <v>0</v>
      </c>
      <c r="G123" s="30">
        <f t="shared" si="26"/>
        <v>0.85</v>
      </c>
      <c r="H123">
        <f t="shared" si="27"/>
        <v>0</v>
      </c>
      <c r="I123">
        <f t="shared" si="19"/>
        <v>0</v>
      </c>
      <c r="J123">
        <f t="shared" si="20"/>
        <v>0</v>
      </c>
      <c r="K123">
        <f t="shared" si="21"/>
        <v>0</v>
      </c>
      <c r="L123">
        <f t="shared" si="28"/>
        <v>0</v>
      </c>
      <c r="M123">
        <f t="shared" si="22"/>
        <v>0</v>
      </c>
      <c r="N123" s="29">
        <f t="shared" si="29"/>
        <v>0</v>
      </c>
      <c r="O123" s="29">
        <f t="shared" si="23"/>
        <v>0</v>
      </c>
      <c r="P123" s="29">
        <f t="shared" si="30"/>
        <v>0</v>
      </c>
      <c r="Q123">
        <f t="shared" si="31"/>
        <v>0</v>
      </c>
      <c r="R123" s="29">
        <f t="shared" si="32"/>
        <v>0</v>
      </c>
      <c r="S123" s="29">
        <f t="shared" si="24"/>
        <v>0</v>
      </c>
      <c r="T123" s="29">
        <f t="shared" si="33"/>
        <v>0</v>
      </c>
      <c r="U123">
        <f t="shared" si="34"/>
        <v>0</v>
      </c>
      <c r="V123" s="29">
        <f t="shared" si="35"/>
        <v>0</v>
      </c>
      <c r="W123" s="29">
        <f t="shared" si="25"/>
        <v>0</v>
      </c>
      <c r="X123" s="29">
        <f t="shared" si="36"/>
        <v>0</v>
      </c>
      <c r="Y123">
        <f t="shared" si="37"/>
        <v>0</v>
      </c>
    </row>
    <row r="124" spans="1:25" x14ac:dyDescent="0.25">
      <c r="A124" s="4" t="s">
        <v>893</v>
      </c>
      <c r="B124" s="7" t="s">
        <v>150</v>
      </c>
      <c r="C124" s="2" t="s">
        <v>894</v>
      </c>
      <c r="D124">
        <f>VLOOKUP(B124,'Model allocations'!$A$1:$L$316,4,FALSE)</f>
        <v>0</v>
      </c>
      <c r="E124" s="31">
        <f>VLOOKUP(B124,'Initial adjusted formula count'!$A$1:$P$316,12,FALSE)</f>
        <v>6.4187566061304893E-2</v>
      </c>
      <c r="F124">
        <f>VLOOKUP(B124,'Model allocations'!$A$1:$L$316,9,FALSE)</f>
        <v>0</v>
      </c>
      <c r="G124" s="30">
        <f t="shared" si="26"/>
        <v>0.85</v>
      </c>
      <c r="H124">
        <f t="shared" si="27"/>
        <v>0</v>
      </c>
      <c r="I124">
        <f t="shared" si="19"/>
        <v>0</v>
      </c>
      <c r="J124">
        <f t="shared" si="20"/>
        <v>0</v>
      </c>
      <c r="K124">
        <f t="shared" si="21"/>
        <v>0</v>
      </c>
      <c r="L124">
        <f t="shared" si="28"/>
        <v>0</v>
      </c>
      <c r="M124">
        <f t="shared" si="22"/>
        <v>0</v>
      </c>
      <c r="N124" s="29">
        <f t="shared" si="29"/>
        <v>0</v>
      </c>
      <c r="O124" s="29">
        <f t="shared" si="23"/>
        <v>0</v>
      </c>
      <c r="P124" s="29">
        <f t="shared" si="30"/>
        <v>0</v>
      </c>
      <c r="Q124">
        <f t="shared" si="31"/>
        <v>0</v>
      </c>
      <c r="R124" s="29">
        <f t="shared" si="32"/>
        <v>0</v>
      </c>
      <c r="S124" s="29">
        <f t="shared" si="24"/>
        <v>0</v>
      </c>
      <c r="T124" s="29">
        <f t="shared" si="33"/>
        <v>0</v>
      </c>
      <c r="U124">
        <f t="shared" si="34"/>
        <v>0</v>
      </c>
      <c r="V124" s="29">
        <f t="shared" si="35"/>
        <v>0</v>
      </c>
      <c r="W124" s="29">
        <f t="shared" si="25"/>
        <v>0</v>
      </c>
      <c r="X124" s="29">
        <f t="shared" si="36"/>
        <v>0</v>
      </c>
      <c r="Y124">
        <f t="shared" si="37"/>
        <v>0</v>
      </c>
    </row>
    <row r="125" spans="1:25" x14ac:dyDescent="0.25">
      <c r="A125" s="4" t="s">
        <v>895</v>
      </c>
      <c r="B125" s="7" t="s">
        <v>152</v>
      </c>
      <c r="C125" s="2" t="s">
        <v>896</v>
      </c>
      <c r="D125">
        <f>VLOOKUP(B125,'Model allocations'!$A$1:$L$316,4,FALSE)</f>
        <v>0</v>
      </c>
      <c r="E125" s="31">
        <f>VLOOKUP(B125,'Initial adjusted formula count'!$A$1:$P$316,12,FALSE)</f>
        <v>4.1104599734630702E-2</v>
      </c>
      <c r="F125">
        <f>VLOOKUP(B125,'Model allocations'!$A$1:$L$316,9,FALSE)</f>
        <v>0</v>
      </c>
      <c r="G125" s="30">
        <f t="shared" si="26"/>
        <v>0.85</v>
      </c>
      <c r="H125">
        <f t="shared" si="27"/>
        <v>0</v>
      </c>
      <c r="I125">
        <f t="shared" si="19"/>
        <v>0</v>
      </c>
      <c r="J125">
        <f t="shared" si="20"/>
        <v>0</v>
      </c>
      <c r="K125">
        <f t="shared" si="21"/>
        <v>0</v>
      </c>
      <c r="L125">
        <f t="shared" si="28"/>
        <v>0</v>
      </c>
      <c r="M125">
        <f t="shared" si="22"/>
        <v>0</v>
      </c>
      <c r="N125" s="29">
        <f t="shared" si="29"/>
        <v>0</v>
      </c>
      <c r="O125" s="29">
        <f t="shared" si="23"/>
        <v>0</v>
      </c>
      <c r="P125" s="29">
        <f t="shared" si="30"/>
        <v>0</v>
      </c>
      <c r="Q125">
        <f t="shared" si="31"/>
        <v>0</v>
      </c>
      <c r="R125" s="29">
        <f t="shared" si="32"/>
        <v>0</v>
      </c>
      <c r="S125" s="29">
        <f t="shared" si="24"/>
        <v>0</v>
      </c>
      <c r="T125" s="29">
        <f t="shared" si="33"/>
        <v>0</v>
      </c>
      <c r="U125">
        <f t="shared" si="34"/>
        <v>0</v>
      </c>
      <c r="V125" s="29">
        <f t="shared" si="35"/>
        <v>0</v>
      </c>
      <c r="W125" s="29">
        <f t="shared" si="25"/>
        <v>0</v>
      </c>
      <c r="X125" s="29">
        <f t="shared" si="36"/>
        <v>0</v>
      </c>
      <c r="Y125">
        <f t="shared" si="37"/>
        <v>0</v>
      </c>
    </row>
    <row r="126" spans="1:25" x14ac:dyDescent="0.25">
      <c r="A126" s="4" t="s">
        <v>897</v>
      </c>
      <c r="B126" s="7" t="s">
        <v>154</v>
      </c>
      <c r="C126" s="2" t="s">
        <v>898</v>
      </c>
      <c r="D126">
        <f>VLOOKUP(B126,'Model allocations'!$A$1:$L$316,4,FALSE)</f>
        <v>0</v>
      </c>
      <c r="E126" s="31">
        <f>VLOOKUP(B126,'Initial adjusted formula count'!$A$1:$P$316,12,FALSE)</f>
        <v>0.110033569563596</v>
      </c>
      <c r="F126">
        <f>VLOOKUP(B126,'Model allocations'!$A$1:$L$316,9,FALSE)</f>
        <v>0</v>
      </c>
      <c r="G126" s="30">
        <f t="shared" si="26"/>
        <v>0.85</v>
      </c>
      <c r="H126">
        <f t="shared" si="27"/>
        <v>0</v>
      </c>
      <c r="I126">
        <f t="shared" si="19"/>
        <v>0</v>
      </c>
      <c r="J126">
        <f t="shared" si="20"/>
        <v>0</v>
      </c>
      <c r="K126">
        <f t="shared" si="21"/>
        <v>0</v>
      </c>
      <c r="L126">
        <f t="shared" si="28"/>
        <v>0</v>
      </c>
      <c r="M126">
        <f t="shared" si="22"/>
        <v>0</v>
      </c>
      <c r="N126" s="29">
        <f t="shared" si="29"/>
        <v>0</v>
      </c>
      <c r="O126" s="29">
        <f t="shared" si="23"/>
        <v>0</v>
      </c>
      <c r="P126" s="29">
        <f t="shared" si="30"/>
        <v>0</v>
      </c>
      <c r="Q126">
        <f t="shared" si="31"/>
        <v>0</v>
      </c>
      <c r="R126" s="29">
        <f t="shared" si="32"/>
        <v>0</v>
      </c>
      <c r="S126" s="29">
        <f t="shared" si="24"/>
        <v>0</v>
      </c>
      <c r="T126" s="29">
        <f t="shared" si="33"/>
        <v>0</v>
      </c>
      <c r="U126">
        <f t="shared" si="34"/>
        <v>0</v>
      </c>
      <c r="V126" s="29">
        <f t="shared" si="35"/>
        <v>0</v>
      </c>
      <c r="W126" s="29">
        <f t="shared" si="25"/>
        <v>0</v>
      </c>
      <c r="X126" s="29">
        <f t="shared" si="36"/>
        <v>0</v>
      </c>
      <c r="Y126">
        <f t="shared" si="37"/>
        <v>0</v>
      </c>
    </row>
    <row r="127" spans="1:25" x14ac:dyDescent="0.25">
      <c r="A127" s="4" t="s">
        <v>899</v>
      </c>
      <c r="B127" s="7" t="s">
        <v>156</v>
      </c>
      <c r="C127" s="2" t="s">
        <v>900</v>
      </c>
      <c r="D127">
        <f>VLOOKUP(B127,'Model allocations'!$A$1:$L$316,4,FALSE)</f>
        <v>2337.9295178849061</v>
      </c>
      <c r="E127" s="31">
        <f>VLOOKUP(B127,'Initial adjusted formula count'!$A$1:$P$316,12,FALSE)</f>
        <v>0.25</v>
      </c>
      <c r="F127">
        <f>VLOOKUP(B127,'Model allocations'!$A$1:$L$316,9,FALSE)</f>
        <v>2106.661088287467</v>
      </c>
      <c r="G127" s="30">
        <f t="shared" si="26"/>
        <v>0.9</v>
      </c>
      <c r="H127">
        <f t="shared" si="27"/>
        <v>2104.1365660964157</v>
      </c>
      <c r="I127">
        <f t="shared" si="19"/>
        <v>0</v>
      </c>
      <c r="J127">
        <f t="shared" si="20"/>
        <v>2106.661088287467</v>
      </c>
      <c r="K127">
        <f t="shared" si="21"/>
        <v>2104.3609263678759</v>
      </c>
      <c r="L127">
        <f t="shared" si="28"/>
        <v>2104.3609263678759</v>
      </c>
      <c r="M127">
        <f t="shared" si="22"/>
        <v>0</v>
      </c>
      <c r="N127" s="29">
        <f t="shared" si="29"/>
        <v>2104.3609263678759</v>
      </c>
      <c r="O127" s="29">
        <f t="shared" si="23"/>
        <v>2103.7978351914057</v>
      </c>
      <c r="P127" s="29">
        <f t="shared" si="30"/>
        <v>2103.7978351914057</v>
      </c>
      <c r="Q127">
        <f t="shared" si="31"/>
        <v>2104.1365660964157</v>
      </c>
      <c r="R127" s="29">
        <f t="shared" si="32"/>
        <v>0</v>
      </c>
      <c r="S127" s="29">
        <f t="shared" si="24"/>
        <v>0</v>
      </c>
      <c r="T127" s="29">
        <f t="shared" si="33"/>
        <v>2104.1365660964157</v>
      </c>
      <c r="U127">
        <f t="shared" si="34"/>
        <v>0</v>
      </c>
      <c r="V127" s="29">
        <f t="shared" si="35"/>
        <v>0</v>
      </c>
      <c r="W127" s="29">
        <f t="shared" si="25"/>
        <v>0</v>
      </c>
      <c r="X127" s="29">
        <f t="shared" si="36"/>
        <v>2104.1365660964157</v>
      </c>
      <c r="Y127">
        <f t="shared" si="37"/>
        <v>0</v>
      </c>
    </row>
    <row r="128" spans="1:25" x14ac:dyDescent="0.25">
      <c r="A128" s="4" t="s">
        <v>901</v>
      </c>
      <c r="B128" s="7" t="s">
        <v>158</v>
      </c>
      <c r="C128" s="2" t="s">
        <v>902</v>
      </c>
      <c r="D128">
        <f>VLOOKUP(B128,'Model allocations'!$A$1:$L$316,4,FALSE)</f>
        <v>0</v>
      </c>
      <c r="E128" s="31">
        <f>VLOOKUP(B128,'Initial adjusted formula count'!$A$1:$P$316,12,FALSE)</f>
        <v>4.57831325301205E-2</v>
      </c>
      <c r="F128">
        <f>VLOOKUP(B128,'Model allocations'!$A$1:$L$316,9,FALSE)</f>
        <v>0</v>
      </c>
      <c r="G128" s="30">
        <f t="shared" si="26"/>
        <v>0.85</v>
      </c>
      <c r="H128">
        <f t="shared" si="27"/>
        <v>0</v>
      </c>
      <c r="I128">
        <f t="shared" si="19"/>
        <v>0</v>
      </c>
      <c r="J128">
        <f t="shared" si="20"/>
        <v>0</v>
      </c>
      <c r="K128">
        <f t="shared" si="21"/>
        <v>0</v>
      </c>
      <c r="L128">
        <f t="shared" si="28"/>
        <v>0</v>
      </c>
      <c r="M128">
        <f t="shared" si="22"/>
        <v>0</v>
      </c>
      <c r="N128" s="29">
        <f t="shared" si="29"/>
        <v>0</v>
      </c>
      <c r="O128" s="29">
        <f t="shared" si="23"/>
        <v>0</v>
      </c>
      <c r="P128" s="29">
        <f t="shared" si="30"/>
        <v>0</v>
      </c>
      <c r="Q128">
        <f t="shared" si="31"/>
        <v>0</v>
      </c>
      <c r="R128" s="29">
        <f t="shared" si="32"/>
        <v>0</v>
      </c>
      <c r="S128" s="29">
        <f t="shared" si="24"/>
        <v>0</v>
      </c>
      <c r="T128" s="29">
        <f t="shared" si="33"/>
        <v>0</v>
      </c>
      <c r="U128">
        <f t="shared" si="34"/>
        <v>0</v>
      </c>
      <c r="V128" s="29">
        <f t="shared" si="35"/>
        <v>0</v>
      </c>
      <c r="W128" s="29">
        <f t="shared" si="25"/>
        <v>0</v>
      </c>
      <c r="X128" s="29">
        <f t="shared" si="36"/>
        <v>0</v>
      </c>
      <c r="Y128">
        <f t="shared" si="37"/>
        <v>0</v>
      </c>
    </row>
    <row r="129" spans="1:25" x14ac:dyDescent="0.25">
      <c r="A129" s="4" t="s">
        <v>903</v>
      </c>
      <c r="B129" s="7" t="s">
        <v>446</v>
      </c>
      <c r="C129" s="2" t="s">
        <v>904</v>
      </c>
      <c r="D129">
        <f>VLOOKUP(B129,'Model allocations'!$A$1:$L$316,4,FALSE)</f>
        <v>16525.568780435282</v>
      </c>
      <c r="E129" s="31">
        <f>VLOOKUP(B129,'Initial adjusted formula count'!$A$1:$P$316,12,FALSE)</f>
        <v>0.16831683168316799</v>
      </c>
      <c r="F129">
        <f>VLOOKUP(B129,'Model allocations'!$A$1:$L$316,9,FALSE)</f>
        <v>14873.011902391754</v>
      </c>
      <c r="G129" s="30">
        <f t="shared" si="26"/>
        <v>0.9</v>
      </c>
      <c r="H129">
        <f t="shared" si="27"/>
        <v>14873.011902391754</v>
      </c>
      <c r="I129">
        <f t="shared" si="19"/>
        <v>0</v>
      </c>
      <c r="J129">
        <f t="shared" si="20"/>
        <v>14873.011902391754</v>
      </c>
      <c r="K129">
        <f t="shared" si="21"/>
        <v>14856.772776033125</v>
      </c>
      <c r="L129">
        <f t="shared" si="28"/>
        <v>14856.772776033125</v>
      </c>
      <c r="M129">
        <f t="shared" si="22"/>
        <v>14873.011902391754</v>
      </c>
      <c r="N129" s="29">
        <f t="shared" si="29"/>
        <v>0</v>
      </c>
      <c r="O129" s="29">
        <f t="shared" si="23"/>
        <v>0</v>
      </c>
      <c r="P129" s="29">
        <f t="shared" si="30"/>
        <v>14873.011902391754</v>
      </c>
      <c r="Q129">
        <f t="shared" si="31"/>
        <v>0</v>
      </c>
      <c r="R129" s="29">
        <f t="shared" si="32"/>
        <v>0</v>
      </c>
      <c r="S129" s="29">
        <f t="shared" si="24"/>
        <v>0</v>
      </c>
      <c r="T129" s="29">
        <f t="shared" si="33"/>
        <v>14873.011902391754</v>
      </c>
      <c r="U129">
        <f t="shared" si="34"/>
        <v>0</v>
      </c>
      <c r="V129" s="29">
        <f t="shared" si="35"/>
        <v>0</v>
      </c>
      <c r="W129" s="29">
        <f t="shared" si="25"/>
        <v>0</v>
      </c>
      <c r="X129" s="29">
        <f t="shared" si="36"/>
        <v>14873.011902391754</v>
      </c>
      <c r="Y129">
        <f t="shared" si="37"/>
        <v>0</v>
      </c>
    </row>
    <row r="130" spans="1:25" x14ac:dyDescent="0.25">
      <c r="A130" s="4" t="s">
        <v>905</v>
      </c>
      <c r="B130" s="7" t="s">
        <v>448</v>
      </c>
      <c r="C130" s="2" t="s">
        <v>906</v>
      </c>
      <c r="D130">
        <f>VLOOKUP(B130,'Model allocations'!$A$1:$L$316,4,FALSE)</f>
        <v>317490.82852877019</v>
      </c>
      <c r="E130" s="31">
        <f>VLOOKUP(B130,'Initial adjusted formula count'!$A$1:$P$316,12,FALSE)</f>
        <v>0.156390977443609</v>
      </c>
      <c r="F130">
        <f>VLOOKUP(B130,'Model allocations'!$A$1:$L$316,9,FALSE)</f>
        <v>286084.57578943792</v>
      </c>
      <c r="G130" s="30">
        <f t="shared" si="26"/>
        <v>0.9</v>
      </c>
      <c r="H130">
        <f t="shared" si="27"/>
        <v>285741.74567589315</v>
      </c>
      <c r="I130">
        <f t="shared" si="19"/>
        <v>0</v>
      </c>
      <c r="J130">
        <f t="shared" si="20"/>
        <v>286084.57578943792</v>
      </c>
      <c r="K130">
        <f t="shared" si="21"/>
        <v>285772.21380075748</v>
      </c>
      <c r="L130">
        <f t="shared" si="28"/>
        <v>285772.21380075748</v>
      </c>
      <c r="M130">
        <f t="shared" si="22"/>
        <v>0</v>
      </c>
      <c r="N130" s="29">
        <f t="shared" si="29"/>
        <v>285772.21380075748</v>
      </c>
      <c r="O130" s="29">
        <f t="shared" si="23"/>
        <v>285695.74601899285</v>
      </c>
      <c r="P130" s="29">
        <f t="shared" si="30"/>
        <v>285695.74601899285</v>
      </c>
      <c r="Q130">
        <f t="shared" si="31"/>
        <v>285741.74567589315</v>
      </c>
      <c r="R130" s="29">
        <f t="shared" si="32"/>
        <v>0</v>
      </c>
      <c r="S130" s="29">
        <f t="shared" si="24"/>
        <v>0</v>
      </c>
      <c r="T130" s="29">
        <f t="shared" si="33"/>
        <v>285741.74567589315</v>
      </c>
      <c r="U130">
        <f t="shared" si="34"/>
        <v>0</v>
      </c>
      <c r="V130" s="29">
        <f t="shared" si="35"/>
        <v>0</v>
      </c>
      <c r="W130" s="29">
        <f t="shared" si="25"/>
        <v>0</v>
      </c>
      <c r="X130" s="29">
        <f t="shared" si="36"/>
        <v>285741.74567589315</v>
      </c>
      <c r="Y130">
        <f t="shared" si="37"/>
        <v>0</v>
      </c>
    </row>
    <row r="131" spans="1:25" x14ac:dyDescent="0.25">
      <c r="A131" s="4" t="s">
        <v>907</v>
      </c>
      <c r="B131" s="7" t="s">
        <v>450</v>
      </c>
      <c r="C131" s="2" t="s">
        <v>908</v>
      </c>
      <c r="D131">
        <f>VLOOKUP(B131,'Model allocations'!$A$1:$L$316,4,FALSE)</f>
        <v>14962.748914463398</v>
      </c>
      <c r="E131" s="31">
        <f>VLOOKUP(B131,'Initial adjusted formula count'!$A$1:$P$316,12,FALSE)</f>
        <v>0.168627450980392</v>
      </c>
      <c r="F131">
        <f>VLOOKUP(B131,'Model allocations'!$A$1:$L$316,9,FALSE)</f>
        <v>13482.630965039789</v>
      </c>
      <c r="G131" s="30">
        <f t="shared" si="26"/>
        <v>0.9</v>
      </c>
      <c r="H131">
        <f t="shared" si="27"/>
        <v>13466.474023017059</v>
      </c>
      <c r="I131">
        <f t="shared" si="19"/>
        <v>0</v>
      </c>
      <c r="J131">
        <f t="shared" si="20"/>
        <v>13482.630965039789</v>
      </c>
      <c r="K131">
        <f t="shared" si="21"/>
        <v>13467.909928754407</v>
      </c>
      <c r="L131">
        <f t="shared" si="28"/>
        <v>13467.909928754407</v>
      </c>
      <c r="M131">
        <f t="shared" si="22"/>
        <v>0</v>
      </c>
      <c r="N131" s="29">
        <f t="shared" si="29"/>
        <v>13467.909928754407</v>
      </c>
      <c r="O131" s="29">
        <f t="shared" si="23"/>
        <v>13464.306145224999</v>
      </c>
      <c r="P131" s="29">
        <f t="shared" si="30"/>
        <v>13464.306145224999</v>
      </c>
      <c r="Q131">
        <f t="shared" si="31"/>
        <v>13466.474023017059</v>
      </c>
      <c r="R131" s="29">
        <f t="shared" si="32"/>
        <v>0</v>
      </c>
      <c r="S131" s="29">
        <f t="shared" si="24"/>
        <v>0</v>
      </c>
      <c r="T131" s="29">
        <f t="shared" si="33"/>
        <v>13466.474023017059</v>
      </c>
      <c r="U131">
        <f t="shared" si="34"/>
        <v>0</v>
      </c>
      <c r="V131" s="29">
        <f t="shared" si="35"/>
        <v>0</v>
      </c>
      <c r="W131" s="29">
        <f t="shared" si="25"/>
        <v>0</v>
      </c>
      <c r="X131" s="29">
        <f t="shared" si="36"/>
        <v>13466.474023017059</v>
      </c>
      <c r="Y131">
        <f t="shared" si="37"/>
        <v>0</v>
      </c>
    </row>
    <row r="132" spans="1:25" x14ac:dyDescent="0.25">
      <c r="A132" s="4" t="s">
        <v>909</v>
      </c>
      <c r="B132" s="7" t="s">
        <v>452</v>
      </c>
      <c r="C132" s="2" t="s">
        <v>910</v>
      </c>
      <c r="D132">
        <f>VLOOKUP(B132,'Model allocations'!$A$1:$L$316,4,FALSE)</f>
        <v>11455.854637636043</v>
      </c>
      <c r="E132" s="31">
        <f>VLOOKUP(B132,'Initial adjusted formula count'!$A$1:$P$316,12,FALSE)</f>
        <v>0.14492753623188401</v>
      </c>
      <c r="F132">
        <f>VLOOKUP(B132,'Model allocations'!$A$1:$L$316,9,FALSE)</f>
        <v>9749.159369685889</v>
      </c>
      <c r="G132" s="30">
        <f t="shared" si="26"/>
        <v>0.85</v>
      </c>
      <c r="H132">
        <f t="shared" si="27"/>
        <v>9737.4764419906369</v>
      </c>
      <c r="I132">
        <f t="shared" ref="I132:I195" si="38">IF(F132&lt;H132,H132,0)</f>
        <v>0</v>
      </c>
      <c r="J132">
        <f t="shared" ref="J132:J195" si="39">IF(I132=0,F132,0)</f>
        <v>9749.159369685889</v>
      </c>
      <c r="K132">
        <f t="shared" ref="K132:K195" si="40">(J132/$J$3)*($F$3-$I$3)</f>
        <v>9738.5147314691148</v>
      </c>
      <c r="L132">
        <f t="shared" si="28"/>
        <v>9738.5147314691148</v>
      </c>
      <c r="M132">
        <f t="shared" ref="M132:M195" si="41">IF(L132&lt;H132,H132,0)</f>
        <v>0</v>
      </c>
      <c r="N132" s="29">
        <f t="shared" si="29"/>
        <v>9738.5147314691148</v>
      </c>
      <c r="O132" s="29">
        <f t="shared" ref="O132:O195" si="42">((N132/$N$3)*($F$3-$I$3-$M$3))</f>
        <v>9735.9088706357852</v>
      </c>
      <c r="P132" s="29">
        <f t="shared" si="30"/>
        <v>9735.9088706357852</v>
      </c>
      <c r="Q132">
        <f t="shared" si="31"/>
        <v>9737.4764419906369</v>
      </c>
      <c r="R132" s="29">
        <f t="shared" si="32"/>
        <v>0</v>
      </c>
      <c r="S132" s="29">
        <f t="shared" ref="S132:S195" si="43">((R132/$R$3)*($F$3-$I$3-$M$3-$Q$3))</f>
        <v>0</v>
      </c>
      <c r="T132" s="29">
        <f t="shared" si="33"/>
        <v>9737.4764419906369</v>
      </c>
      <c r="U132">
        <f t="shared" si="34"/>
        <v>0</v>
      </c>
      <c r="V132" s="29">
        <f t="shared" si="35"/>
        <v>0</v>
      </c>
      <c r="W132" s="29">
        <f t="shared" ref="W132:W195" si="44">((V132/$V$3)*($F$3-$I$3-$M$3-$Q$3-$U$3))</f>
        <v>0</v>
      </c>
      <c r="X132" s="29">
        <f t="shared" si="36"/>
        <v>9737.4764419906369</v>
      </c>
      <c r="Y132">
        <f t="shared" si="37"/>
        <v>0</v>
      </c>
    </row>
    <row r="133" spans="1:25" x14ac:dyDescent="0.25">
      <c r="A133" s="4" t="s">
        <v>29</v>
      </c>
      <c r="B133" s="7" t="s">
        <v>76</v>
      </c>
      <c r="C133" s="2" t="s">
        <v>911</v>
      </c>
      <c r="D133">
        <f>VLOOKUP(B133,'Model allocations'!$A$1:$L$316,4,FALSE)</f>
        <v>1873.703092925892</v>
      </c>
      <c r="E133" s="31">
        <f>VLOOKUP(B133,'Initial adjusted formula count'!$A$1:$P$316,12,FALSE)</f>
        <v>0.16602385247005799</v>
      </c>
      <c r="F133">
        <f>VLOOKUP(B133,'Model allocations'!$A$1:$L$316,9,FALSE)</f>
        <v>1190.2528482514217</v>
      </c>
      <c r="G133" s="30">
        <f t="shared" ref="G133:G196" si="45">IF(E133&lt;0.15,0.85,IF(AND(E133&gt;=0.15,E133&lt;0.3),0.9,0.95))</f>
        <v>0.9</v>
      </c>
      <c r="H133">
        <f t="shared" ref="H133:H196" si="46">IF(F133 = 0, 0, D133*G133)</f>
        <v>1686.3327836333028</v>
      </c>
      <c r="I133">
        <f t="shared" si="38"/>
        <v>1686.3327836333028</v>
      </c>
      <c r="J133">
        <f t="shared" si="39"/>
        <v>0</v>
      </c>
      <c r="K133">
        <f t="shared" si="40"/>
        <v>0</v>
      </c>
      <c r="L133">
        <f t="shared" ref="L133:L196" si="47">I133+K133</f>
        <v>1686.3327836333028</v>
      </c>
      <c r="M133">
        <f t="shared" si="41"/>
        <v>0</v>
      </c>
      <c r="N133" s="29">
        <f t="shared" ref="N133:N196" si="48">IF(I133+M133=0,L133,0)</f>
        <v>0</v>
      </c>
      <c r="O133" s="29">
        <f t="shared" si="42"/>
        <v>0</v>
      </c>
      <c r="P133" s="29">
        <f t="shared" ref="P133:P196" si="49">$I133+$M133+O133</f>
        <v>1686.3327836333028</v>
      </c>
      <c r="Q133">
        <f t="shared" ref="Q133:Q196" si="50">IF(P133&lt;H133,H133,0)</f>
        <v>0</v>
      </c>
      <c r="R133" s="29">
        <f t="shared" ref="R133:R196" si="51">IF($I133+$M133+$Q133=0,P133,0)</f>
        <v>0</v>
      </c>
      <c r="S133" s="29">
        <f t="shared" si="43"/>
        <v>0</v>
      </c>
      <c r="T133" s="29">
        <f t="shared" ref="T133:T196" si="52">$I133+$M133+$Q133+S133</f>
        <v>1686.3327836333028</v>
      </c>
      <c r="U133">
        <f t="shared" ref="U133:U196" si="53">IF(T133&lt;H133,H133,0)</f>
        <v>0</v>
      </c>
      <c r="V133" s="29">
        <f t="shared" ref="V133:V196" si="54">IF($I133+$M133+$Q133+U133=0,T133,0)</f>
        <v>0</v>
      </c>
      <c r="W133" s="29">
        <f t="shared" si="44"/>
        <v>0</v>
      </c>
      <c r="X133" s="29">
        <f t="shared" ref="X133:X196" si="55">$I133+$M133+$Q133+$U133+W133</f>
        <v>1686.3327836333028</v>
      </c>
      <c r="Y133">
        <f t="shared" ref="Y133:Y196" si="56">IF(X133&lt;H133,H133,0)</f>
        <v>0</v>
      </c>
    </row>
    <row r="134" spans="1:25" x14ac:dyDescent="0.25">
      <c r="A134" s="4" t="s">
        <v>912</v>
      </c>
      <c r="B134" s="7" t="s">
        <v>454</v>
      </c>
      <c r="C134" s="2" t="s">
        <v>913</v>
      </c>
      <c r="D134">
        <f>VLOOKUP(B134,'Model allocations'!$A$1:$L$316,4,FALSE)</f>
        <v>21041.365660964169</v>
      </c>
      <c r="E134" s="31">
        <f>VLOOKUP(B134,'Initial adjusted formula count'!$A$1:$P$316,12,FALSE)</f>
        <v>0.16985645933014401</v>
      </c>
      <c r="F134">
        <f>VLOOKUP(B134,'Model allocations'!$A$1:$L$316,9,FALSE)</f>
        <v>18959.949794587214</v>
      </c>
      <c r="G134" s="30">
        <f t="shared" si="45"/>
        <v>0.9</v>
      </c>
      <c r="H134">
        <f t="shared" si="46"/>
        <v>18937.229094867755</v>
      </c>
      <c r="I134">
        <f t="shared" si="38"/>
        <v>0</v>
      </c>
      <c r="J134">
        <f t="shared" si="39"/>
        <v>18959.949794587214</v>
      </c>
      <c r="K134">
        <f t="shared" si="40"/>
        <v>18939.248337310892</v>
      </c>
      <c r="L134">
        <f t="shared" si="47"/>
        <v>18939.248337310892</v>
      </c>
      <c r="M134">
        <f t="shared" si="41"/>
        <v>0</v>
      </c>
      <c r="N134" s="29">
        <f t="shared" si="48"/>
        <v>18939.248337310892</v>
      </c>
      <c r="O134" s="29">
        <f t="shared" si="42"/>
        <v>18934.180516722659</v>
      </c>
      <c r="P134" s="29">
        <f t="shared" si="49"/>
        <v>18934.180516722659</v>
      </c>
      <c r="Q134">
        <f t="shared" si="50"/>
        <v>18937.229094867755</v>
      </c>
      <c r="R134" s="29">
        <f t="shared" si="51"/>
        <v>0</v>
      </c>
      <c r="S134" s="29">
        <f t="shared" si="43"/>
        <v>0</v>
      </c>
      <c r="T134" s="29">
        <f t="shared" si="52"/>
        <v>18937.229094867755</v>
      </c>
      <c r="U134">
        <f t="shared" si="53"/>
        <v>0</v>
      </c>
      <c r="V134" s="29">
        <f t="shared" si="54"/>
        <v>0</v>
      </c>
      <c r="W134" s="29">
        <f t="shared" si="44"/>
        <v>0</v>
      </c>
      <c r="X134" s="29">
        <f t="shared" si="55"/>
        <v>18937.229094867755</v>
      </c>
      <c r="Y134">
        <f t="shared" si="56"/>
        <v>0</v>
      </c>
    </row>
    <row r="135" spans="1:25" x14ac:dyDescent="0.25">
      <c r="A135" s="4" t="s">
        <v>914</v>
      </c>
      <c r="B135" s="7" t="s">
        <v>160</v>
      </c>
      <c r="C135" s="2" t="s">
        <v>915</v>
      </c>
      <c r="D135">
        <f>VLOOKUP(B135,'Model allocations'!$A$1:$L$316,4,FALSE)</f>
        <v>0</v>
      </c>
      <c r="E135" s="31">
        <f>VLOOKUP(B135,'Initial adjusted formula count'!$A$1:$P$316,12,FALSE)</f>
        <v>6.12386917188587E-2</v>
      </c>
      <c r="F135">
        <f>VLOOKUP(B135,'Model allocations'!$A$1:$L$316,9,FALSE)</f>
        <v>0</v>
      </c>
      <c r="G135" s="30">
        <f t="shared" si="45"/>
        <v>0.85</v>
      </c>
      <c r="H135">
        <f t="shared" si="46"/>
        <v>0</v>
      </c>
      <c r="I135">
        <f t="shared" si="38"/>
        <v>0</v>
      </c>
      <c r="J135">
        <f t="shared" si="39"/>
        <v>0</v>
      </c>
      <c r="K135">
        <f t="shared" si="40"/>
        <v>0</v>
      </c>
      <c r="L135">
        <f t="shared" si="47"/>
        <v>0</v>
      </c>
      <c r="M135">
        <f t="shared" si="41"/>
        <v>0</v>
      </c>
      <c r="N135" s="29">
        <f t="shared" si="48"/>
        <v>0</v>
      </c>
      <c r="O135" s="29">
        <f t="shared" si="42"/>
        <v>0</v>
      </c>
      <c r="P135" s="29">
        <f t="shared" si="49"/>
        <v>0</v>
      </c>
      <c r="Q135">
        <f t="shared" si="50"/>
        <v>0</v>
      </c>
      <c r="R135" s="29">
        <f t="shared" si="51"/>
        <v>0</v>
      </c>
      <c r="S135" s="29">
        <f t="shared" si="43"/>
        <v>0</v>
      </c>
      <c r="T135" s="29">
        <f t="shared" si="52"/>
        <v>0</v>
      </c>
      <c r="U135">
        <f t="shared" si="53"/>
        <v>0</v>
      </c>
      <c r="V135" s="29">
        <f t="shared" si="54"/>
        <v>0</v>
      </c>
      <c r="W135" s="29">
        <f t="shared" si="44"/>
        <v>0</v>
      </c>
      <c r="X135" s="29">
        <f t="shared" si="55"/>
        <v>0</v>
      </c>
      <c r="Y135">
        <f t="shared" si="56"/>
        <v>0</v>
      </c>
    </row>
    <row r="136" spans="1:25" x14ac:dyDescent="0.25">
      <c r="A136" s="4" t="s">
        <v>916</v>
      </c>
      <c r="B136" s="7" t="s">
        <v>456</v>
      </c>
      <c r="C136" s="2" t="s">
        <v>917</v>
      </c>
      <c r="D136">
        <f>VLOOKUP(B136,'Model allocations'!$A$1:$L$316,4,FALSE)</f>
        <v>38967.699223001749</v>
      </c>
      <c r="E136" s="31">
        <f>VLOOKUP(B136,'Initial adjusted formula count'!$A$1:$P$316,12,FALSE)</f>
        <v>0.13464052287581699</v>
      </c>
      <c r="F136">
        <f>VLOOKUP(B136,'Model allocations'!$A$1:$L$316,9,FALSE)</f>
        <v>33122.544339551489</v>
      </c>
      <c r="G136" s="30">
        <f t="shared" si="45"/>
        <v>0.85</v>
      </c>
      <c r="H136">
        <f t="shared" si="46"/>
        <v>33122.544339551489</v>
      </c>
      <c r="I136">
        <f t="shared" si="38"/>
        <v>0</v>
      </c>
      <c r="J136">
        <f t="shared" si="39"/>
        <v>33122.544339551489</v>
      </c>
      <c r="K136">
        <f t="shared" si="40"/>
        <v>33086.379426460633</v>
      </c>
      <c r="L136">
        <f t="shared" si="47"/>
        <v>33086.379426460633</v>
      </c>
      <c r="M136">
        <f t="shared" si="41"/>
        <v>33122.544339551489</v>
      </c>
      <c r="N136" s="29">
        <f t="shared" si="48"/>
        <v>0</v>
      </c>
      <c r="O136" s="29">
        <f t="shared" si="42"/>
        <v>0</v>
      </c>
      <c r="P136" s="29">
        <f t="shared" si="49"/>
        <v>33122.544339551489</v>
      </c>
      <c r="Q136">
        <f t="shared" si="50"/>
        <v>0</v>
      </c>
      <c r="R136" s="29">
        <f t="shared" si="51"/>
        <v>0</v>
      </c>
      <c r="S136" s="29">
        <f t="shared" si="43"/>
        <v>0</v>
      </c>
      <c r="T136" s="29">
        <f t="shared" si="52"/>
        <v>33122.544339551489</v>
      </c>
      <c r="U136">
        <f t="shared" si="53"/>
        <v>0</v>
      </c>
      <c r="V136" s="29">
        <f t="shared" si="54"/>
        <v>0</v>
      </c>
      <c r="W136" s="29">
        <f t="shared" si="44"/>
        <v>0</v>
      </c>
      <c r="X136" s="29">
        <f t="shared" si="55"/>
        <v>33122.544339551489</v>
      </c>
      <c r="Y136">
        <f t="shared" si="56"/>
        <v>0</v>
      </c>
    </row>
    <row r="137" spans="1:25" x14ac:dyDescent="0.25">
      <c r="A137" s="4" t="s">
        <v>918</v>
      </c>
      <c r="B137" s="7" t="s">
        <v>458</v>
      </c>
      <c r="C137" s="2" t="s">
        <v>919</v>
      </c>
      <c r="D137">
        <f>VLOOKUP(B137,'Model allocations'!$A$1:$L$316,4,FALSE)</f>
        <v>4370.5611177380197</v>
      </c>
      <c r="E137" s="31">
        <f>VLOOKUP(B137,'Initial adjusted formula count'!$A$1:$P$316,12,FALSE)</f>
        <v>9.41176470588235E-2</v>
      </c>
      <c r="F137">
        <f>VLOOKUP(B137,'Model allocations'!$A$1:$L$316,9,FALSE)</f>
        <v>3714.9769500773168</v>
      </c>
      <c r="G137" s="30">
        <f t="shared" si="45"/>
        <v>0.85</v>
      </c>
      <c r="H137">
        <f t="shared" si="46"/>
        <v>3714.9769500773168</v>
      </c>
      <c r="I137">
        <f t="shared" si="38"/>
        <v>0</v>
      </c>
      <c r="J137">
        <f t="shared" si="39"/>
        <v>3714.9769500773168</v>
      </c>
      <c r="K137">
        <f t="shared" si="40"/>
        <v>3710.9207454223601</v>
      </c>
      <c r="L137">
        <f t="shared" si="47"/>
        <v>3710.9207454223601</v>
      </c>
      <c r="M137">
        <f t="shared" si="41"/>
        <v>3714.9769500773168</v>
      </c>
      <c r="N137" s="29">
        <f t="shared" si="48"/>
        <v>0</v>
      </c>
      <c r="O137" s="29">
        <f t="shared" si="42"/>
        <v>0</v>
      </c>
      <c r="P137" s="29">
        <f t="shared" si="49"/>
        <v>3714.9769500773168</v>
      </c>
      <c r="Q137">
        <f t="shared" si="50"/>
        <v>0</v>
      </c>
      <c r="R137" s="29">
        <f t="shared" si="51"/>
        <v>0</v>
      </c>
      <c r="S137" s="29">
        <f t="shared" si="43"/>
        <v>0</v>
      </c>
      <c r="T137" s="29">
        <f t="shared" si="52"/>
        <v>3714.9769500773168</v>
      </c>
      <c r="U137">
        <f t="shared" si="53"/>
        <v>0</v>
      </c>
      <c r="V137" s="29">
        <f t="shared" si="54"/>
        <v>0</v>
      </c>
      <c r="W137" s="29">
        <f t="shared" si="44"/>
        <v>0</v>
      </c>
      <c r="X137" s="29">
        <f t="shared" si="55"/>
        <v>3714.9769500773168</v>
      </c>
      <c r="Y137">
        <f t="shared" si="56"/>
        <v>0</v>
      </c>
    </row>
    <row r="138" spans="1:25" x14ac:dyDescent="0.25">
      <c r="A138" s="4" t="s">
        <v>920</v>
      </c>
      <c r="B138" s="7" t="s">
        <v>283</v>
      </c>
      <c r="C138" s="2" t="s">
        <v>921</v>
      </c>
      <c r="D138">
        <f>VLOOKUP(B138,'Model allocations'!$A$1:$L$316,4,FALSE)</f>
        <v>24482.324119163404</v>
      </c>
      <c r="E138" s="31">
        <f>VLOOKUP(B138,'Initial adjusted formula count'!$A$1:$P$316,12,FALSE)</f>
        <v>0.116613418530351</v>
      </c>
      <c r="F138">
        <f>VLOOKUP(B138,'Model allocations'!$A$1:$L$316,9,FALSE)</f>
        <v>20809.975501288893</v>
      </c>
      <c r="G138" s="30">
        <f t="shared" si="45"/>
        <v>0.85</v>
      </c>
      <c r="H138">
        <f t="shared" si="46"/>
        <v>20809.975501288893</v>
      </c>
      <c r="I138">
        <f t="shared" si="38"/>
        <v>0</v>
      </c>
      <c r="J138">
        <f t="shared" si="39"/>
        <v>20809.975501288893</v>
      </c>
      <c r="K138">
        <f t="shared" si="40"/>
        <v>20787.25408992291</v>
      </c>
      <c r="L138">
        <f t="shared" si="47"/>
        <v>20787.25408992291</v>
      </c>
      <c r="M138">
        <f t="shared" si="41"/>
        <v>20809.975501288893</v>
      </c>
      <c r="N138" s="29">
        <f t="shared" si="48"/>
        <v>0</v>
      </c>
      <c r="O138" s="29">
        <f t="shared" si="42"/>
        <v>0</v>
      </c>
      <c r="P138" s="29">
        <f t="shared" si="49"/>
        <v>20809.975501288893</v>
      </c>
      <c r="Q138">
        <f t="shared" si="50"/>
        <v>0</v>
      </c>
      <c r="R138" s="29">
        <f t="shared" si="51"/>
        <v>0</v>
      </c>
      <c r="S138" s="29">
        <f t="shared" si="43"/>
        <v>0</v>
      </c>
      <c r="T138" s="29">
        <f t="shared" si="52"/>
        <v>20809.975501288893</v>
      </c>
      <c r="U138">
        <f t="shared" si="53"/>
        <v>0</v>
      </c>
      <c r="V138" s="29">
        <f t="shared" si="54"/>
        <v>0</v>
      </c>
      <c r="W138" s="29">
        <f t="shared" si="44"/>
        <v>0</v>
      </c>
      <c r="X138" s="29">
        <f t="shared" si="55"/>
        <v>20809.975501288893</v>
      </c>
      <c r="Y138">
        <f t="shared" si="56"/>
        <v>0</v>
      </c>
    </row>
    <row r="139" spans="1:25" x14ac:dyDescent="0.25">
      <c r="A139" s="4" t="s">
        <v>922</v>
      </c>
      <c r="B139" s="7" t="s">
        <v>460</v>
      </c>
      <c r="C139" s="2" t="s">
        <v>923</v>
      </c>
      <c r="D139">
        <f>VLOOKUP(B139,'Model allocations'!$A$1:$L$316,4,FALSE)</f>
        <v>8930.8400204539357</v>
      </c>
      <c r="E139" s="31">
        <f>VLOOKUP(B139,'Initial adjusted formula count'!$A$1:$P$316,12,FALSE)</f>
        <v>0.128571428571429</v>
      </c>
      <c r="F139">
        <f>VLOOKUP(B139,'Model allocations'!$A$1:$L$316,9,FALSE)</f>
        <v>7591.2140173858452</v>
      </c>
      <c r="G139" s="30">
        <f t="shared" si="45"/>
        <v>0.85</v>
      </c>
      <c r="H139">
        <f t="shared" si="46"/>
        <v>7591.2140173858452</v>
      </c>
      <c r="I139">
        <f t="shared" si="38"/>
        <v>0</v>
      </c>
      <c r="J139">
        <f t="shared" si="39"/>
        <v>7591.2140173858452</v>
      </c>
      <c r="K139">
        <f t="shared" si="40"/>
        <v>7582.9255359099507</v>
      </c>
      <c r="L139">
        <f t="shared" si="47"/>
        <v>7582.9255359099507</v>
      </c>
      <c r="M139">
        <f t="shared" si="41"/>
        <v>7591.2140173858452</v>
      </c>
      <c r="N139" s="29">
        <f t="shared" si="48"/>
        <v>0</v>
      </c>
      <c r="O139" s="29">
        <f t="shared" si="42"/>
        <v>0</v>
      </c>
      <c r="P139" s="29">
        <f t="shared" si="49"/>
        <v>7591.2140173858452</v>
      </c>
      <c r="Q139">
        <f t="shared" si="50"/>
        <v>0</v>
      </c>
      <c r="R139" s="29">
        <f t="shared" si="51"/>
        <v>0</v>
      </c>
      <c r="S139" s="29">
        <f t="shared" si="43"/>
        <v>0</v>
      </c>
      <c r="T139" s="29">
        <f t="shared" si="52"/>
        <v>7591.2140173858452</v>
      </c>
      <c r="U139">
        <f t="shared" si="53"/>
        <v>0</v>
      </c>
      <c r="V139" s="29">
        <f t="shared" si="54"/>
        <v>0</v>
      </c>
      <c r="W139" s="29">
        <f t="shared" si="44"/>
        <v>0</v>
      </c>
      <c r="X139" s="29">
        <f t="shared" si="55"/>
        <v>7591.2140173858452</v>
      </c>
      <c r="Y139">
        <f t="shared" si="56"/>
        <v>0</v>
      </c>
    </row>
    <row r="140" spans="1:25" x14ac:dyDescent="0.25">
      <c r="A140" s="4" t="s">
        <v>924</v>
      </c>
      <c r="B140" s="7" t="s">
        <v>462</v>
      </c>
      <c r="C140" s="2" t="s">
        <v>925</v>
      </c>
      <c r="D140">
        <f>VLOOKUP(B140,'Model allocations'!$A$1:$L$316,4,FALSE)</f>
        <v>29786.827678315462</v>
      </c>
      <c r="E140" s="31">
        <f>VLOOKUP(B140,'Initial adjusted formula count'!$A$1:$P$316,12,FALSE)</f>
        <v>0.22848200312989</v>
      </c>
      <c r="F140">
        <f>VLOOKUP(B140,'Model allocations'!$A$1:$L$316,9,FALSE)</f>
        <v>34661.842244976338</v>
      </c>
      <c r="G140" s="30">
        <f t="shared" si="45"/>
        <v>0.9</v>
      </c>
      <c r="H140">
        <f t="shared" si="46"/>
        <v>26808.144910483916</v>
      </c>
      <c r="I140">
        <f t="shared" si="38"/>
        <v>0</v>
      </c>
      <c r="J140">
        <f t="shared" si="39"/>
        <v>34661.842244976338</v>
      </c>
      <c r="K140">
        <f t="shared" si="40"/>
        <v>34623.996646537162</v>
      </c>
      <c r="L140">
        <f t="shared" si="47"/>
        <v>34623.996646537162</v>
      </c>
      <c r="M140">
        <f t="shared" si="41"/>
        <v>0</v>
      </c>
      <c r="N140" s="29">
        <f t="shared" si="48"/>
        <v>34623.996646537162</v>
      </c>
      <c r="O140" s="29">
        <f t="shared" si="42"/>
        <v>34614.731854190228</v>
      </c>
      <c r="P140" s="29">
        <f t="shared" si="49"/>
        <v>34614.731854190228</v>
      </c>
      <c r="Q140">
        <f t="shared" si="50"/>
        <v>0</v>
      </c>
      <c r="R140" s="29">
        <f t="shared" si="51"/>
        <v>34614.731854190228</v>
      </c>
      <c r="S140" s="29">
        <f t="shared" si="43"/>
        <v>34613.680658370235</v>
      </c>
      <c r="T140" s="29">
        <f t="shared" si="52"/>
        <v>34613.680658370235</v>
      </c>
      <c r="U140">
        <f t="shared" si="53"/>
        <v>0</v>
      </c>
      <c r="V140" s="29">
        <f t="shared" si="54"/>
        <v>34613.680658370235</v>
      </c>
      <c r="W140" s="29">
        <f t="shared" si="44"/>
        <v>34613.680658370235</v>
      </c>
      <c r="X140" s="29">
        <f t="shared" si="55"/>
        <v>34613.680658370235</v>
      </c>
      <c r="Y140">
        <f t="shared" si="56"/>
        <v>0</v>
      </c>
    </row>
    <row r="141" spans="1:25" x14ac:dyDescent="0.25">
      <c r="A141" s="4" t="s">
        <v>926</v>
      </c>
      <c r="B141" s="7" t="s">
        <v>162</v>
      </c>
      <c r="C141" s="2" t="s">
        <v>927</v>
      </c>
      <c r="D141">
        <f>VLOOKUP(B141,'Model allocations'!$A$1:$L$316,4,FALSE)</f>
        <v>0</v>
      </c>
      <c r="E141" s="31">
        <f>VLOOKUP(B141,'Initial adjusted formula count'!$A$1:$P$316,12,FALSE)</f>
        <v>0.11046511627907001</v>
      </c>
      <c r="F141">
        <f>VLOOKUP(B141,'Model allocations'!$A$1:$L$316,9,FALSE)</f>
        <v>0</v>
      </c>
      <c r="G141" s="30">
        <f t="shared" si="45"/>
        <v>0.85</v>
      </c>
      <c r="H141">
        <f t="shared" si="46"/>
        <v>0</v>
      </c>
      <c r="I141">
        <f t="shared" si="38"/>
        <v>0</v>
      </c>
      <c r="J141">
        <f t="shared" si="39"/>
        <v>0</v>
      </c>
      <c r="K141">
        <f t="shared" si="40"/>
        <v>0</v>
      </c>
      <c r="L141">
        <f t="shared" si="47"/>
        <v>0</v>
      </c>
      <c r="M141">
        <f t="shared" si="41"/>
        <v>0</v>
      </c>
      <c r="N141" s="29">
        <f t="shared" si="48"/>
        <v>0</v>
      </c>
      <c r="O141" s="29">
        <f t="shared" si="42"/>
        <v>0</v>
      </c>
      <c r="P141" s="29">
        <f t="shared" si="49"/>
        <v>0</v>
      </c>
      <c r="Q141">
        <f t="shared" si="50"/>
        <v>0</v>
      </c>
      <c r="R141" s="29">
        <f t="shared" si="51"/>
        <v>0</v>
      </c>
      <c r="S141" s="29">
        <f t="shared" si="43"/>
        <v>0</v>
      </c>
      <c r="T141" s="29">
        <f t="shared" si="52"/>
        <v>0</v>
      </c>
      <c r="U141">
        <f t="shared" si="53"/>
        <v>0</v>
      </c>
      <c r="V141" s="29">
        <f t="shared" si="54"/>
        <v>0</v>
      </c>
      <c r="W141" s="29">
        <f t="shared" si="44"/>
        <v>0</v>
      </c>
      <c r="X141" s="29">
        <f t="shared" si="55"/>
        <v>0</v>
      </c>
      <c r="Y141">
        <f t="shared" si="56"/>
        <v>0</v>
      </c>
    </row>
    <row r="142" spans="1:25" x14ac:dyDescent="0.25">
      <c r="A142" s="4" t="s">
        <v>928</v>
      </c>
      <c r="B142" s="7" t="s">
        <v>464</v>
      </c>
      <c r="C142" s="2" t="s">
        <v>929</v>
      </c>
      <c r="D142">
        <f>VLOOKUP(B142,'Model allocations'!$A$1:$L$316,4,FALSE)</f>
        <v>0</v>
      </c>
      <c r="E142" s="31">
        <f>VLOOKUP(B142,'Initial adjusted formula count'!$A$1:$P$316,12,FALSE)</f>
        <v>6.8783068783068793E-2</v>
      </c>
      <c r="F142">
        <f>VLOOKUP(B142,'Model allocations'!$A$1:$L$316,9,FALSE)</f>
        <v>0</v>
      </c>
      <c r="G142" s="30">
        <f t="shared" si="45"/>
        <v>0.85</v>
      </c>
      <c r="H142">
        <f t="shared" si="46"/>
        <v>0</v>
      </c>
      <c r="I142">
        <f t="shared" si="38"/>
        <v>0</v>
      </c>
      <c r="J142">
        <f t="shared" si="39"/>
        <v>0</v>
      </c>
      <c r="K142">
        <f t="shared" si="40"/>
        <v>0</v>
      </c>
      <c r="L142">
        <f t="shared" si="47"/>
        <v>0</v>
      </c>
      <c r="M142">
        <f t="shared" si="41"/>
        <v>0</v>
      </c>
      <c r="N142" s="29">
        <f t="shared" si="48"/>
        <v>0</v>
      </c>
      <c r="O142" s="29">
        <f t="shared" si="42"/>
        <v>0</v>
      </c>
      <c r="P142" s="29">
        <f t="shared" si="49"/>
        <v>0</v>
      </c>
      <c r="Q142">
        <f t="shared" si="50"/>
        <v>0</v>
      </c>
      <c r="R142" s="29">
        <f t="shared" si="51"/>
        <v>0</v>
      </c>
      <c r="S142" s="29">
        <f t="shared" si="43"/>
        <v>0</v>
      </c>
      <c r="T142" s="29">
        <f t="shared" si="52"/>
        <v>0</v>
      </c>
      <c r="U142">
        <f t="shared" si="53"/>
        <v>0</v>
      </c>
      <c r="V142" s="29">
        <f t="shared" si="54"/>
        <v>0</v>
      </c>
      <c r="W142" s="29">
        <f t="shared" si="44"/>
        <v>0</v>
      </c>
      <c r="X142" s="29">
        <f t="shared" si="55"/>
        <v>0</v>
      </c>
      <c r="Y142">
        <f t="shared" si="56"/>
        <v>0</v>
      </c>
    </row>
    <row r="143" spans="1:25" x14ac:dyDescent="0.25">
      <c r="A143" s="4" t="s">
        <v>930</v>
      </c>
      <c r="B143" s="7" t="s">
        <v>164</v>
      </c>
      <c r="C143" s="2" t="s">
        <v>931</v>
      </c>
      <c r="D143">
        <f>VLOOKUP(B143,'Model allocations'!$A$1:$L$316,4,FALSE)</f>
        <v>0</v>
      </c>
      <c r="E143" s="31">
        <f>VLOOKUP(B143,'Initial adjusted formula count'!$A$1:$P$316,12,FALSE)</f>
        <v>6.3085467959877295E-2</v>
      </c>
      <c r="F143">
        <f>VLOOKUP(B143,'Model allocations'!$A$1:$L$316,9,FALSE)</f>
        <v>0</v>
      </c>
      <c r="G143" s="30">
        <f t="shared" si="45"/>
        <v>0.85</v>
      </c>
      <c r="H143">
        <f t="shared" si="46"/>
        <v>0</v>
      </c>
      <c r="I143">
        <f t="shared" si="38"/>
        <v>0</v>
      </c>
      <c r="J143">
        <f t="shared" si="39"/>
        <v>0</v>
      </c>
      <c r="K143">
        <f t="shared" si="40"/>
        <v>0</v>
      </c>
      <c r="L143">
        <f t="shared" si="47"/>
        <v>0</v>
      </c>
      <c r="M143">
        <f t="shared" si="41"/>
        <v>0</v>
      </c>
      <c r="N143" s="29">
        <f t="shared" si="48"/>
        <v>0</v>
      </c>
      <c r="O143" s="29">
        <f t="shared" si="42"/>
        <v>0</v>
      </c>
      <c r="P143" s="29">
        <f t="shared" si="49"/>
        <v>0</v>
      </c>
      <c r="Q143">
        <f t="shared" si="50"/>
        <v>0</v>
      </c>
      <c r="R143" s="29">
        <f t="shared" si="51"/>
        <v>0</v>
      </c>
      <c r="S143" s="29">
        <f t="shared" si="43"/>
        <v>0</v>
      </c>
      <c r="T143" s="29">
        <f t="shared" si="52"/>
        <v>0</v>
      </c>
      <c r="U143">
        <f t="shared" si="53"/>
        <v>0</v>
      </c>
      <c r="V143" s="29">
        <f t="shared" si="54"/>
        <v>0</v>
      </c>
      <c r="W143" s="29">
        <f t="shared" si="44"/>
        <v>0</v>
      </c>
      <c r="X143" s="29">
        <f t="shared" si="55"/>
        <v>0</v>
      </c>
      <c r="Y143">
        <f t="shared" si="56"/>
        <v>0</v>
      </c>
    </row>
    <row r="144" spans="1:25" x14ac:dyDescent="0.25">
      <c r="A144" s="4" t="s">
        <v>932</v>
      </c>
      <c r="B144" s="7" t="s">
        <v>166</v>
      </c>
      <c r="C144" s="2" t="s">
        <v>933</v>
      </c>
      <c r="D144">
        <f>VLOOKUP(B144,'Model allocations'!$A$1:$L$316,4,FALSE)</f>
        <v>0</v>
      </c>
      <c r="E144" s="31">
        <f>VLOOKUP(B144,'Initial adjusted formula count'!$A$1:$P$316,12,FALSE)</f>
        <v>7.0796460176991205E-2</v>
      </c>
      <c r="F144">
        <f>VLOOKUP(B144,'Model allocations'!$A$1:$L$316,9,FALSE)</f>
        <v>0</v>
      </c>
      <c r="G144" s="30">
        <f t="shared" si="45"/>
        <v>0.85</v>
      </c>
      <c r="H144">
        <f t="shared" si="46"/>
        <v>0</v>
      </c>
      <c r="I144">
        <f t="shared" si="38"/>
        <v>0</v>
      </c>
      <c r="J144">
        <f t="shared" si="39"/>
        <v>0</v>
      </c>
      <c r="K144">
        <f t="shared" si="40"/>
        <v>0</v>
      </c>
      <c r="L144">
        <f t="shared" si="47"/>
        <v>0</v>
      </c>
      <c r="M144">
        <f t="shared" si="41"/>
        <v>0</v>
      </c>
      <c r="N144" s="29">
        <f t="shared" si="48"/>
        <v>0</v>
      </c>
      <c r="O144" s="29">
        <f t="shared" si="42"/>
        <v>0</v>
      </c>
      <c r="P144" s="29">
        <f t="shared" si="49"/>
        <v>0</v>
      </c>
      <c r="Q144">
        <f t="shared" si="50"/>
        <v>0</v>
      </c>
      <c r="R144" s="29">
        <f t="shared" si="51"/>
        <v>0</v>
      </c>
      <c r="S144" s="29">
        <f t="shared" si="43"/>
        <v>0</v>
      </c>
      <c r="T144" s="29">
        <f t="shared" si="52"/>
        <v>0</v>
      </c>
      <c r="U144">
        <f t="shared" si="53"/>
        <v>0</v>
      </c>
      <c r="V144" s="29">
        <f t="shared" si="54"/>
        <v>0</v>
      </c>
      <c r="W144" s="29">
        <f t="shared" si="44"/>
        <v>0</v>
      </c>
      <c r="X144" s="29">
        <f t="shared" si="55"/>
        <v>0</v>
      </c>
      <c r="Y144">
        <f t="shared" si="56"/>
        <v>0</v>
      </c>
    </row>
    <row r="145" spans="1:25" x14ac:dyDescent="0.25">
      <c r="A145" s="4" t="s">
        <v>934</v>
      </c>
      <c r="B145" s="7" t="s">
        <v>168</v>
      </c>
      <c r="C145" s="2" t="s">
        <v>935</v>
      </c>
      <c r="D145">
        <f>VLOOKUP(B145,'Model allocations'!$A$1:$L$316,4,FALSE)</f>
        <v>0</v>
      </c>
      <c r="E145" s="31">
        <f>VLOOKUP(B145,'Initial adjusted formula count'!$A$1:$P$316,12,FALSE)</f>
        <v>2.7643260694108201E-2</v>
      </c>
      <c r="F145">
        <f>VLOOKUP(B145,'Model allocations'!$A$1:$L$316,9,FALSE)</f>
        <v>0</v>
      </c>
      <c r="G145" s="30">
        <f t="shared" si="45"/>
        <v>0.85</v>
      </c>
      <c r="H145">
        <f t="shared" si="46"/>
        <v>0</v>
      </c>
      <c r="I145">
        <f t="shared" si="38"/>
        <v>0</v>
      </c>
      <c r="J145">
        <f t="shared" si="39"/>
        <v>0</v>
      </c>
      <c r="K145">
        <f t="shared" si="40"/>
        <v>0</v>
      </c>
      <c r="L145">
        <f t="shared" si="47"/>
        <v>0</v>
      </c>
      <c r="M145">
        <f t="shared" si="41"/>
        <v>0</v>
      </c>
      <c r="N145" s="29">
        <f t="shared" si="48"/>
        <v>0</v>
      </c>
      <c r="O145" s="29">
        <f t="shared" si="42"/>
        <v>0</v>
      </c>
      <c r="P145" s="29">
        <f t="shared" si="49"/>
        <v>0</v>
      </c>
      <c r="Q145">
        <f t="shared" si="50"/>
        <v>0</v>
      </c>
      <c r="R145" s="29">
        <f t="shared" si="51"/>
        <v>0</v>
      </c>
      <c r="S145" s="29">
        <f t="shared" si="43"/>
        <v>0</v>
      </c>
      <c r="T145" s="29">
        <f t="shared" si="52"/>
        <v>0</v>
      </c>
      <c r="U145">
        <f t="shared" si="53"/>
        <v>0</v>
      </c>
      <c r="V145" s="29">
        <f t="shared" si="54"/>
        <v>0</v>
      </c>
      <c r="W145" s="29">
        <f t="shared" si="44"/>
        <v>0</v>
      </c>
      <c r="X145" s="29">
        <f t="shared" si="55"/>
        <v>0</v>
      </c>
      <c r="Y145">
        <f t="shared" si="56"/>
        <v>0</v>
      </c>
    </row>
    <row r="146" spans="1:25" x14ac:dyDescent="0.25">
      <c r="A146" s="4" t="s">
        <v>936</v>
      </c>
      <c r="B146" s="7" t="s">
        <v>170</v>
      </c>
      <c r="C146" s="2" t="s">
        <v>937</v>
      </c>
      <c r="D146">
        <f>VLOOKUP(B146,'Model allocations'!$A$1:$L$316,4,FALSE)</f>
        <v>0</v>
      </c>
      <c r="E146" s="31">
        <f>VLOOKUP(B146,'Initial adjusted formula count'!$A$1:$P$316,12,FALSE)</f>
        <v>9.3491124260354996E-2</v>
      </c>
      <c r="F146">
        <f>VLOOKUP(B146,'Model allocations'!$A$1:$L$316,9,FALSE)</f>
        <v>0</v>
      </c>
      <c r="G146" s="30">
        <f t="shared" si="45"/>
        <v>0.85</v>
      </c>
      <c r="H146">
        <f t="shared" si="46"/>
        <v>0</v>
      </c>
      <c r="I146">
        <f t="shared" si="38"/>
        <v>0</v>
      </c>
      <c r="J146">
        <f t="shared" si="39"/>
        <v>0</v>
      </c>
      <c r="K146">
        <f t="shared" si="40"/>
        <v>0</v>
      </c>
      <c r="L146">
        <f t="shared" si="47"/>
        <v>0</v>
      </c>
      <c r="M146">
        <f t="shared" si="41"/>
        <v>0</v>
      </c>
      <c r="N146" s="29">
        <f t="shared" si="48"/>
        <v>0</v>
      </c>
      <c r="O146" s="29">
        <f t="shared" si="42"/>
        <v>0</v>
      </c>
      <c r="P146" s="29">
        <f t="shared" si="49"/>
        <v>0</v>
      </c>
      <c r="Q146">
        <f t="shared" si="50"/>
        <v>0</v>
      </c>
      <c r="R146" s="29">
        <f t="shared" si="51"/>
        <v>0</v>
      </c>
      <c r="S146" s="29">
        <f t="shared" si="43"/>
        <v>0</v>
      </c>
      <c r="T146" s="29">
        <f t="shared" si="52"/>
        <v>0</v>
      </c>
      <c r="U146">
        <f t="shared" si="53"/>
        <v>0</v>
      </c>
      <c r="V146" s="29">
        <f t="shared" si="54"/>
        <v>0</v>
      </c>
      <c r="W146" s="29">
        <f t="shared" si="44"/>
        <v>0</v>
      </c>
      <c r="X146" s="29">
        <f t="shared" si="55"/>
        <v>0</v>
      </c>
      <c r="Y146">
        <f t="shared" si="56"/>
        <v>0</v>
      </c>
    </row>
    <row r="147" spans="1:25" x14ac:dyDescent="0.25">
      <c r="A147" s="4" t="s">
        <v>938</v>
      </c>
      <c r="B147" s="7" t="s">
        <v>466</v>
      </c>
      <c r="C147" s="2" t="s">
        <v>939</v>
      </c>
      <c r="D147">
        <f>VLOOKUP(B147,'Model allocations'!$A$1:$L$316,4,FALSE)</f>
        <v>30159.290780715281</v>
      </c>
      <c r="E147" s="31">
        <f>VLOOKUP(B147,'Initial adjusted formula count'!$A$1:$P$316,12,FALSE)</f>
        <v>0.12364945978391401</v>
      </c>
      <c r="F147">
        <f>VLOOKUP(B147,'Model allocations'!$A$1:$L$316,9,FALSE)</f>
        <v>25666.154258968967</v>
      </c>
      <c r="G147" s="30">
        <f t="shared" si="45"/>
        <v>0.85</v>
      </c>
      <c r="H147">
        <f t="shared" si="46"/>
        <v>25635.397163607988</v>
      </c>
      <c r="I147">
        <f t="shared" si="38"/>
        <v>0</v>
      </c>
      <c r="J147">
        <f t="shared" si="39"/>
        <v>25666.154258968967</v>
      </c>
      <c r="K147">
        <f t="shared" si="40"/>
        <v>25638.130619581949</v>
      </c>
      <c r="L147">
        <f t="shared" si="47"/>
        <v>25638.130619581949</v>
      </c>
      <c r="M147">
        <f t="shared" si="41"/>
        <v>0</v>
      </c>
      <c r="N147" s="29">
        <f t="shared" si="48"/>
        <v>25638.130619581949</v>
      </c>
      <c r="O147" s="29">
        <f t="shared" si="42"/>
        <v>25631.270292081957</v>
      </c>
      <c r="P147" s="29">
        <f t="shared" si="49"/>
        <v>25631.270292081957</v>
      </c>
      <c r="Q147">
        <f t="shared" si="50"/>
        <v>25635.397163607988</v>
      </c>
      <c r="R147" s="29">
        <f t="shared" si="51"/>
        <v>0</v>
      </c>
      <c r="S147" s="29">
        <f t="shared" si="43"/>
        <v>0</v>
      </c>
      <c r="T147" s="29">
        <f t="shared" si="52"/>
        <v>25635.397163607988</v>
      </c>
      <c r="U147">
        <f t="shared" si="53"/>
        <v>0</v>
      </c>
      <c r="V147" s="29">
        <f t="shared" si="54"/>
        <v>0</v>
      </c>
      <c r="W147" s="29">
        <f t="shared" si="44"/>
        <v>0</v>
      </c>
      <c r="X147" s="29">
        <f t="shared" si="55"/>
        <v>25635.397163607988</v>
      </c>
      <c r="Y147">
        <f t="shared" si="56"/>
        <v>0</v>
      </c>
    </row>
    <row r="148" spans="1:25" x14ac:dyDescent="0.25">
      <c r="A148" s="4" t="s">
        <v>940</v>
      </c>
      <c r="B148" s="7" t="s">
        <v>468</v>
      </c>
      <c r="C148" s="2" t="s">
        <v>941</v>
      </c>
      <c r="D148">
        <f>VLOOKUP(B148,'Model allocations'!$A$1:$L$316,4,FALSE)</f>
        <v>3672.3486178745097</v>
      </c>
      <c r="E148" s="31">
        <f>VLOOKUP(B148,'Initial adjusted formula count'!$A$1:$P$316,12,FALSE)</f>
        <v>0.12676056338028199</v>
      </c>
      <c r="F148">
        <f>VLOOKUP(B148,'Model allocations'!$A$1:$L$316,9,FALSE)</f>
        <v>3121.4963251933332</v>
      </c>
      <c r="G148" s="30">
        <f t="shared" si="45"/>
        <v>0.85</v>
      </c>
      <c r="H148">
        <f t="shared" si="46"/>
        <v>3121.4963251933332</v>
      </c>
      <c r="I148">
        <f t="shared" si="38"/>
        <v>0</v>
      </c>
      <c r="J148">
        <f t="shared" si="39"/>
        <v>3121.4963251933332</v>
      </c>
      <c r="K148">
        <f t="shared" si="40"/>
        <v>3118.0881134884357</v>
      </c>
      <c r="L148">
        <f t="shared" si="47"/>
        <v>3118.0881134884357</v>
      </c>
      <c r="M148">
        <f t="shared" si="41"/>
        <v>3121.4963251933332</v>
      </c>
      <c r="N148" s="29">
        <f t="shared" si="48"/>
        <v>0</v>
      </c>
      <c r="O148" s="29">
        <f t="shared" si="42"/>
        <v>0</v>
      </c>
      <c r="P148" s="29">
        <f t="shared" si="49"/>
        <v>3121.4963251933332</v>
      </c>
      <c r="Q148">
        <f t="shared" si="50"/>
        <v>0</v>
      </c>
      <c r="R148" s="29">
        <f t="shared" si="51"/>
        <v>0</v>
      </c>
      <c r="S148" s="29">
        <f t="shared" si="43"/>
        <v>0</v>
      </c>
      <c r="T148" s="29">
        <f t="shared" si="52"/>
        <v>3121.4963251933332</v>
      </c>
      <c r="U148">
        <f t="shared" si="53"/>
        <v>0</v>
      </c>
      <c r="V148" s="29">
        <f t="shared" si="54"/>
        <v>0</v>
      </c>
      <c r="W148" s="29">
        <f t="shared" si="44"/>
        <v>0</v>
      </c>
      <c r="X148" s="29">
        <f t="shared" si="55"/>
        <v>3121.4963251933332</v>
      </c>
      <c r="Y148">
        <f t="shared" si="56"/>
        <v>0</v>
      </c>
    </row>
    <row r="149" spans="1:25" x14ac:dyDescent="0.25">
      <c r="A149" s="4" t="s">
        <v>942</v>
      </c>
      <c r="B149" s="7" t="s">
        <v>172</v>
      </c>
      <c r="C149" s="2" t="s">
        <v>943</v>
      </c>
      <c r="D149">
        <f>VLOOKUP(B149,'Model allocations'!$A$1:$L$316,4,FALSE)</f>
        <v>0</v>
      </c>
      <c r="E149" s="31">
        <f>VLOOKUP(B149,'Initial adjusted formula count'!$A$1:$P$316,12,FALSE)</f>
        <v>6.1230541141586402E-2</v>
      </c>
      <c r="F149">
        <f>VLOOKUP(B149,'Model allocations'!$A$1:$L$316,9,FALSE)</f>
        <v>0</v>
      </c>
      <c r="G149" s="30">
        <f t="shared" si="45"/>
        <v>0.85</v>
      </c>
      <c r="H149">
        <f t="shared" si="46"/>
        <v>0</v>
      </c>
      <c r="I149">
        <f t="shared" si="38"/>
        <v>0</v>
      </c>
      <c r="J149">
        <f t="shared" si="39"/>
        <v>0</v>
      </c>
      <c r="K149">
        <f t="shared" si="40"/>
        <v>0</v>
      </c>
      <c r="L149">
        <f t="shared" si="47"/>
        <v>0</v>
      </c>
      <c r="M149">
        <f t="shared" si="41"/>
        <v>0</v>
      </c>
      <c r="N149" s="29">
        <f t="shared" si="48"/>
        <v>0</v>
      </c>
      <c r="O149" s="29">
        <f t="shared" si="42"/>
        <v>0</v>
      </c>
      <c r="P149" s="29">
        <f t="shared" si="49"/>
        <v>0</v>
      </c>
      <c r="Q149">
        <f t="shared" si="50"/>
        <v>0</v>
      </c>
      <c r="R149" s="29">
        <f t="shared" si="51"/>
        <v>0</v>
      </c>
      <c r="S149" s="29">
        <f t="shared" si="43"/>
        <v>0</v>
      </c>
      <c r="T149" s="29">
        <f t="shared" si="52"/>
        <v>0</v>
      </c>
      <c r="U149">
        <f t="shared" si="53"/>
        <v>0</v>
      </c>
      <c r="V149" s="29">
        <f t="shared" si="54"/>
        <v>0</v>
      </c>
      <c r="W149" s="29">
        <f t="shared" si="44"/>
        <v>0</v>
      </c>
      <c r="X149" s="29">
        <f t="shared" si="55"/>
        <v>0</v>
      </c>
      <c r="Y149">
        <f t="shared" si="56"/>
        <v>0</v>
      </c>
    </row>
    <row r="150" spans="1:25" x14ac:dyDescent="0.25">
      <c r="A150" s="4" t="s">
        <v>944</v>
      </c>
      <c r="B150" s="7" t="s">
        <v>470</v>
      </c>
      <c r="C150" s="2" t="s">
        <v>945</v>
      </c>
      <c r="D150">
        <f>VLOOKUP(B150,'Model allocations'!$A$1:$L$316,4,FALSE)</f>
        <v>41041.896127541957</v>
      </c>
      <c r="E150" s="31">
        <f>VLOOKUP(B150,'Initial adjusted formula count'!$A$1:$P$316,12,FALSE)</f>
        <v>7.8728236184708603E-2</v>
      </c>
      <c r="F150">
        <f>VLOOKUP(B150,'Model allocations'!$A$1:$L$316,9,FALSE)</f>
        <v>34827.134820705389</v>
      </c>
      <c r="G150" s="30">
        <f t="shared" si="45"/>
        <v>0.85</v>
      </c>
      <c r="H150">
        <f t="shared" si="46"/>
        <v>34885.611708410659</v>
      </c>
      <c r="I150">
        <f t="shared" si="38"/>
        <v>34885.611708410659</v>
      </c>
      <c r="J150">
        <f t="shared" si="39"/>
        <v>0</v>
      </c>
      <c r="K150">
        <f t="shared" si="40"/>
        <v>0</v>
      </c>
      <c r="L150">
        <f t="shared" si="47"/>
        <v>34885.611708410659</v>
      </c>
      <c r="M150">
        <f t="shared" si="41"/>
        <v>0</v>
      </c>
      <c r="N150" s="29">
        <f t="shared" si="48"/>
        <v>0</v>
      </c>
      <c r="O150" s="29">
        <f t="shared" si="42"/>
        <v>0</v>
      </c>
      <c r="P150" s="29">
        <f t="shared" si="49"/>
        <v>34885.611708410659</v>
      </c>
      <c r="Q150">
        <f t="shared" si="50"/>
        <v>0</v>
      </c>
      <c r="R150" s="29">
        <f t="shared" si="51"/>
        <v>0</v>
      </c>
      <c r="S150" s="29">
        <f t="shared" si="43"/>
        <v>0</v>
      </c>
      <c r="T150" s="29">
        <f t="shared" si="52"/>
        <v>34885.611708410659</v>
      </c>
      <c r="U150">
        <f t="shared" si="53"/>
        <v>0</v>
      </c>
      <c r="V150" s="29">
        <f t="shared" si="54"/>
        <v>0</v>
      </c>
      <c r="W150" s="29">
        <f t="shared" si="44"/>
        <v>0</v>
      </c>
      <c r="X150" s="29">
        <f t="shared" si="55"/>
        <v>34885.611708410659</v>
      </c>
      <c r="Y150">
        <f t="shared" si="56"/>
        <v>0</v>
      </c>
    </row>
    <row r="151" spans="1:25" x14ac:dyDescent="0.25">
      <c r="A151" s="4" t="s">
        <v>946</v>
      </c>
      <c r="B151" s="7" t="s">
        <v>472</v>
      </c>
      <c r="C151" s="2" t="s">
        <v>947</v>
      </c>
      <c r="D151">
        <f>VLOOKUP(B151,'Model allocations'!$A$1:$L$316,4,FALSE)</f>
        <v>10090.060852061843</v>
      </c>
      <c r="E151" s="31">
        <f>VLOOKUP(B151,'Initial adjusted formula count'!$A$1:$P$316,12,FALSE)</f>
        <v>9.3567251461988299E-2</v>
      </c>
      <c r="F151">
        <f>VLOOKUP(B151,'Model allocations'!$A$1:$L$316,9,FALSE)</f>
        <v>8576.5517242525657</v>
      </c>
      <c r="G151" s="30">
        <f t="shared" si="45"/>
        <v>0.85</v>
      </c>
      <c r="H151">
        <f t="shared" si="46"/>
        <v>8576.5517242525657</v>
      </c>
      <c r="I151">
        <f t="shared" si="38"/>
        <v>0</v>
      </c>
      <c r="J151">
        <f t="shared" si="39"/>
        <v>8576.5517242525657</v>
      </c>
      <c r="K151">
        <f t="shared" si="40"/>
        <v>8567.1873999256914</v>
      </c>
      <c r="L151">
        <f t="shared" si="47"/>
        <v>8567.1873999256914</v>
      </c>
      <c r="M151">
        <f t="shared" si="41"/>
        <v>8576.5517242525657</v>
      </c>
      <c r="N151" s="29">
        <f t="shared" si="48"/>
        <v>0</v>
      </c>
      <c r="O151" s="29">
        <f t="shared" si="42"/>
        <v>0</v>
      </c>
      <c r="P151" s="29">
        <f t="shared" si="49"/>
        <v>8576.5517242525657</v>
      </c>
      <c r="Q151">
        <f t="shared" si="50"/>
        <v>0</v>
      </c>
      <c r="R151" s="29">
        <f t="shared" si="51"/>
        <v>0</v>
      </c>
      <c r="S151" s="29">
        <f t="shared" si="43"/>
        <v>0</v>
      </c>
      <c r="T151" s="29">
        <f t="shared" si="52"/>
        <v>8576.5517242525657</v>
      </c>
      <c r="U151">
        <f t="shared" si="53"/>
        <v>0</v>
      </c>
      <c r="V151" s="29">
        <f t="shared" si="54"/>
        <v>0</v>
      </c>
      <c r="W151" s="29">
        <f t="shared" si="44"/>
        <v>0</v>
      </c>
      <c r="X151" s="29">
        <f t="shared" si="55"/>
        <v>8576.5517242525657</v>
      </c>
      <c r="Y151">
        <f t="shared" si="56"/>
        <v>0</v>
      </c>
    </row>
    <row r="152" spans="1:25" x14ac:dyDescent="0.25">
      <c r="A152" s="4" t="s">
        <v>948</v>
      </c>
      <c r="B152" s="7" t="s">
        <v>474</v>
      </c>
      <c r="C152" s="2" t="s">
        <v>949</v>
      </c>
      <c r="D152">
        <f>VLOOKUP(B152,'Model allocations'!$A$1:$L$316,4,FALSE)</f>
        <v>382017.68322239362</v>
      </c>
      <c r="E152" s="31">
        <f>VLOOKUP(B152,'Initial adjusted formula count'!$A$1:$P$316,12,FALSE)</f>
        <v>0.20670505964623601</v>
      </c>
      <c r="F152">
        <f>VLOOKUP(B152,'Model allocations'!$A$1:$L$316,9,FALSE)</f>
        <v>477193.85556440032</v>
      </c>
      <c r="G152" s="30">
        <f t="shared" si="45"/>
        <v>0.9</v>
      </c>
      <c r="H152">
        <f t="shared" si="46"/>
        <v>343815.91490015428</v>
      </c>
      <c r="I152">
        <f t="shared" si="38"/>
        <v>0</v>
      </c>
      <c r="J152">
        <f t="shared" si="39"/>
        <v>477193.85556440032</v>
      </c>
      <c r="K152">
        <f t="shared" si="40"/>
        <v>476672.83054479246</v>
      </c>
      <c r="L152">
        <f t="shared" si="47"/>
        <v>476672.83054479246</v>
      </c>
      <c r="M152">
        <f t="shared" si="41"/>
        <v>0</v>
      </c>
      <c r="N152" s="29">
        <f t="shared" si="48"/>
        <v>476672.83054479246</v>
      </c>
      <c r="O152" s="29">
        <f t="shared" si="42"/>
        <v>476545.28100631753</v>
      </c>
      <c r="P152" s="29">
        <f t="shared" si="49"/>
        <v>476545.28100631753</v>
      </c>
      <c r="Q152">
        <f t="shared" si="50"/>
        <v>0</v>
      </c>
      <c r="R152" s="29">
        <f t="shared" si="51"/>
        <v>476545.28100631753</v>
      </c>
      <c r="S152" s="29">
        <f t="shared" si="43"/>
        <v>476530.80906386417</v>
      </c>
      <c r="T152" s="29">
        <f t="shared" si="52"/>
        <v>476530.80906386417</v>
      </c>
      <c r="U152">
        <f t="shared" si="53"/>
        <v>0</v>
      </c>
      <c r="V152" s="29">
        <f t="shared" si="54"/>
        <v>476530.80906386417</v>
      </c>
      <c r="W152" s="29">
        <f t="shared" si="44"/>
        <v>476530.80906386417</v>
      </c>
      <c r="X152" s="29">
        <f t="shared" si="55"/>
        <v>476530.80906386417</v>
      </c>
      <c r="Y152">
        <f t="shared" si="56"/>
        <v>0</v>
      </c>
    </row>
    <row r="153" spans="1:25" x14ac:dyDescent="0.25">
      <c r="A153" s="4" t="s">
        <v>950</v>
      </c>
      <c r="B153" s="7" t="s">
        <v>476</v>
      </c>
      <c r="C153" s="2" t="s">
        <v>951</v>
      </c>
      <c r="D153">
        <f>VLOOKUP(B153,'Model allocations'!$A$1:$L$316,4,FALSE)</f>
        <v>23892.934834813172</v>
      </c>
      <c r="E153" s="31">
        <f>VLOOKUP(B153,'Initial adjusted formula count'!$A$1:$P$316,12,FALSE)</f>
        <v>0.110027855153203</v>
      </c>
      <c r="F153">
        <f>VLOOKUP(B153,'Model allocations'!$A$1:$L$316,9,FALSE)</f>
        <v>20308.994609591195</v>
      </c>
      <c r="G153" s="30">
        <f t="shared" si="45"/>
        <v>0.85</v>
      </c>
      <c r="H153">
        <f t="shared" si="46"/>
        <v>20308.994609591195</v>
      </c>
      <c r="I153">
        <f t="shared" si="38"/>
        <v>0</v>
      </c>
      <c r="J153">
        <f t="shared" si="39"/>
        <v>20308.994609591195</v>
      </c>
      <c r="K153">
        <f t="shared" si="40"/>
        <v>20286.820195165506</v>
      </c>
      <c r="L153">
        <f t="shared" si="47"/>
        <v>20286.820195165506</v>
      </c>
      <c r="M153">
        <f t="shared" si="41"/>
        <v>20308.994609591195</v>
      </c>
      <c r="N153" s="29">
        <f t="shared" si="48"/>
        <v>0</v>
      </c>
      <c r="O153" s="29">
        <f t="shared" si="42"/>
        <v>0</v>
      </c>
      <c r="P153" s="29">
        <f t="shared" si="49"/>
        <v>20308.994609591195</v>
      </c>
      <c r="Q153">
        <f t="shared" si="50"/>
        <v>0</v>
      </c>
      <c r="R153" s="29">
        <f t="shared" si="51"/>
        <v>0</v>
      </c>
      <c r="S153" s="29">
        <f t="shared" si="43"/>
        <v>0</v>
      </c>
      <c r="T153" s="29">
        <f t="shared" si="52"/>
        <v>20308.994609591195</v>
      </c>
      <c r="U153">
        <f t="shared" si="53"/>
        <v>0</v>
      </c>
      <c r="V153" s="29">
        <f t="shared" si="54"/>
        <v>0</v>
      </c>
      <c r="W153" s="29">
        <f t="shared" si="44"/>
        <v>0</v>
      </c>
      <c r="X153" s="29">
        <f t="shared" si="55"/>
        <v>20308.994609591195</v>
      </c>
      <c r="Y153">
        <f t="shared" si="56"/>
        <v>0</v>
      </c>
    </row>
    <row r="154" spans="1:25" x14ac:dyDescent="0.25">
      <c r="A154" s="4" t="s">
        <v>952</v>
      </c>
      <c r="B154" s="7" t="s">
        <v>478</v>
      </c>
      <c r="C154" s="2" t="s">
        <v>953</v>
      </c>
      <c r="D154">
        <f>VLOOKUP(B154,'Model allocations'!$A$1:$L$316,4,FALSE)</f>
        <v>51254.198919841154</v>
      </c>
      <c r="E154" s="31">
        <f>VLOOKUP(B154,'Initial adjusted formula count'!$A$1:$P$316,12,FALSE)</f>
        <v>0.13608870967741901</v>
      </c>
      <c r="F154">
        <f>VLOOKUP(B154,'Model allocations'!$A$1:$L$316,9,FALSE)</f>
        <v>43609.528651608613</v>
      </c>
      <c r="G154" s="30">
        <f t="shared" si="45"/>
        <v>0.85</v>
      </c>
      <c r="H154">
        <f t="shared" si="46"/>
        <v>43566.069081864982</v>
      </c>
      <c r="I154">
        <f t="shared" si="38"/>
        <v>0</v>
      </c>
      <c r="J154">
        <f t="shared" si="39"/>
        <v>43609.528651608613</v>
      </c>
      <c r="K154">
        <f t="shared" si="40"/>
        <v>43561.913504733093</v>
      </c>
      <c r="L154">
        <f t="shared" si="47"/>
        <v>43561.913504733093</v>
      </c>
      <c r="M154">
        <f t="shared" si="41"/>
        <v>43566.069081864982</v>
      </c>
      <c r="N154" s="29">
        <f t="shared" si="48"/>
        <v>0</v>
      </c>
      <c r="O154" s="29">
        <f t="shared" si="42"/>
        <v>0</v>
      </c>
      <c r="P154" s="29">
        <f t="shared" si="49"/>
        <v>43566.069081864982</v>
      </c>
      <c r="Q154">
        <f t="shared" si="50"/>
        <v>0</v>
      </c>
      <c r="R154" s="29">
        <f t="shared" si="51"/>
        <v>0</v>
      </c>
      <c r="S154" s="29">
        <f t="shared" si="43"/>
        <v>0</v>
      </c>
      <c r="T154" s="29">
        <f t="shared" si="52"/>
        <v>43566.069081864982</v>
      </c>
      <c r="U154">
        <f t="shared" si="53"/>
        <v>0</v>
      </c>
      <c r="V154" s="29">
        <f t="shared" si="54"/>
        <v>0</v>
      </c>
      <c r="W154" s="29">
        <f t="shared" si="44"/>
        <v>0</v>
      </c>
      <c r="X154" s="29">
        <f t="shared" si="55"/>
        <v>43566.069081864982</v>
      </c>
      <c r="Y154">
        <f t="shared" si="56"/>
        <v>0</v>
      </c>
    </row>
    <row r="155" spans="1:25" x14ac:dyDescent="0.25">
      <c r="A155" s="4" t="s">
        <v>954</v>
      </c>
      <c r="B155" s="7" t="s">
        <v>480</v>
      </c>
      <c r="C155" s="2" t="s">
        <v>955</v>
      </c>
      <c r="D155">
        <f>VLOOKUP(B155,'Model allocations'!$A$1:$L$316,4,FALSE)</f>
        <v>64820.996989003354</v>
      </c>
      <c r="E155" s="31">
        <f>VLOOKUP(B155,'Initial adjusted formula count'!$A$1:$P$316,12,FALSE)</f>
        <v>7.5041459369817598E-2</v>
      </c>
      <c r="F155">
        <f>VLOOKUP(B155,'Model allocations'!$A$1:$L$316,9,FALSE)</f>
        <v>55097.847440652848</v>
      </c>
      <c r="G155" s="30">
        <f t="shared" si="45"/>
        <v>0.85</v>
      </c>
      <c r="H155">
        <f t="shared" si="46"/>
        <v>55097.847440652848</v>
      </c>
      <c r="I155">
        <f t="shared" si="38"/>
        <v>0</v>
      </c>
      <c r="J155">
        <f t="shared" si="39"/>
        <v>55097.847440652848</v>
      </c>
      <c r="K155">
        <f t="shared" si="40"/>
        <v>55037.688751037778</v>
      </c>
      <c r="L155">
        <f t="shared" si="47"/>
        <v>55037.688751037778</v>
      </c>
      <c r="M155">
        <f t="shared" si="41"/>
        <v>55097.847440652848</v>
      </c>
      <c r="N155" s="29">
        <f t="shared" si="48"/>
        <v>0</v>
      </c>
      <c r="O155" s="29">
        <f t="shared" si="42"/>
        <v>0</v>
      </c>
      <c r="P155" s="29">
        <f t="shared" si="49"/>
        <v>55097.847440652848</v>
      </c>
      <c r="Q155">
        <f t="shared" si="50"/>
        <v>0</v>
      </c>
      <c r="R155" s="29">
        <f t="shared" si="51"/>
        <v>0</v>
      </c>
      <c r="S155" s="29">
        <f t="shared" si="43"/>
        <v>0</v>
      </c>
      <c r="T155" s="29">
        <f t="shared" si="52"/>
        <v>55097.847440652848</v>
      </c>
      <c r="U155">
        <f t="shared" si="53"/>
        <v>0</v>
      </c>
      <c r="V155" s="29">
        <f t="shared" si="54"/>
        <v>0</v>
      </c>
      <c r="W155" s="29">
        <f t="shared" si="44"/>
        <v>0</v>
      </c>
      <c r="X155" s="29">
        <f t="shared" si="55"/>
        <v>55097.847440652848</v>
      </c>
      <c r="Y155">
        <f t="shared" si="56"/>
        <v>0</v>
      </c>
    </row>
    <row r="156" spans="1:25" x14ac:dyDescent="0.25">
      <c r="A156" s="4" t="s">
        <v>956</v>
      </c>
      <c r="B156" s="7" t="s">
        <v>174</v>
      </c>
      <c r="C156" s="2" t="s">
        <v>957</v>
      </c>
      <c r="D156">
        <f>VLOOKUP(B156,'Model allocations'!$A$1:$L$316,4,FALSE)</f>
        <v>0</v>
      </c>
      <c r="E156" s="31">
        <f>VLOOKUP(B156,'Initial adjusted formula count'!$A$1:$P$316,12,FALSE)</f>
        <v>0.128205128205128</v>
      </c>
      <c r="F156">
        <f>VLOOKUP(B156,'Model allocations'!$A$1:$L$316,9,FALSE)</f>
        <v>0</v>
      </c>
      <c r="G156" s="30">
        <f t="shared" si="45"/>
        <v>0.85</v>
      </c>
      <c r="H156">
        <f t="shared" si="46"/>
        <v>0</v>
      </c>
      <c r="I156">
        <f t="shared" si="38"/>
        <v>0</v>
      </c>
      <c r="J156">
        <f t="shared" si="39"/>
        <v>0</v>
      </c>
      <c r="K156">
        <f t="shared" si="40"/>
        <v>0</v>
      </c>
      <c r="L156">
        <f t="shared" si="47"/>
        <v>0</v>
      </c>
      <c r="M156">
        <f t="shared" si="41"/>
        <v>0</v>
      </c>
      <c r="N156" s="29">
        <f t="shared" si="48"/>
        <v>0</v>
      </c>
      <c r="O156" s="29">
        <f t="shared" si="42"/>
        <v>0</v>
      </c>
      <c r="P156" s="29">
        <f t="shared" si="49"/>
        <v>0</v>
      </c>
      <c r="Q156">
        <f t="shared" si="50"/>
        <v>0</v>
      </c>
      <c r="R156" s="29">
        <f t="shared" si="51"/>
        <v>0</v>
      </c>
      <c r="S156" s="29">
        <f t="shared" si="43"/>
        <v>0</v>
      </c>
      <c r="T156" s="29">
        <f t="shared" si="52"/>
        <v>0</v>
      </c>
      <c r="U156">
        <f t="shared" si="53"/>
        <v>0</v>
      </c>
      <c r="V156" s="29">
        <f t="shared" si="54"/>
        <v>0</v>
      </c>
      <c r="W156" s="29">
        <f t="shared" si="44"/>
        <v>0</v>
      </c>
      <c r="X156" s="29">
        <f t="shared" si="55"/>
        <v>0</v>
      </c>
      <c r="Y156">
        <f t="shared" si="56"/>
        <v>0</v>
      </c>
    </row>
    <row r="157" spans="1:25" x14ac:dyDescent="0.25">
      <c r="A157" s="4" t="s">
        <v>958</v>
      </c>
      <c r="B157" s="7" t="s">
        <v>482</v>
      </c>
      <c r="C157" s="9" t="s">
        <v>959</v>
      </c>
      <c r="D157">
        <f>VLOOKUP(B157,'Model allocations'!$A$1:$L$316,4,FALSE)</f>
        <v>0</v>
      </c>
      <c r="E157" s="31">
        <f>VLOOKUP(B157,'Initial adjusted formula count'!$A$1:$P$316,12,FALSE)</f>
        <v>0.114734657574859</v>
      </c>
      <c r="F157">
        <f>VLOOKUP(B157,'Model allocations'!$A$1:$L$316,9,FALSE)</f>
        <v>0</v>
      </c>
      <c r="G157" s="30">
        <f t="shared" si="45"/>
        <v>0.85</v>
      </c>
      <c r="H157">
        <f t="shared" si="46"/>
        <v>0</v>
      </c>
      <c r="I157">
        <f t="shared" si="38"/>
        <v>0</v>
      </c>
      <c r="J157">
        <f t="shared" si="39"/>
        <v>0</v>
      </c>
      <c r="K157">
        <f t="shared" si="40"/>
        <v>0</v>
      </c>
      <c r="L157">
        <f t="shared" si="47"/>
        <v>0</v>
      </c>
      <c r="M157">
        <f t="shared" si="41"/>
        <v>0</v>
      </c>
      <c r="N157" s="29">
        <f t="shared" si="48"/>
        <v>0</v>
      </c>
      <c r="O157" s="29">
        <f t="shared" si="42"/>
        <v>0</v>
      </c>
      <c r="P157" s="29">
        <f t="shared" si="49"/>
        <v>0</v>
      </c>
      <c r="Q157">
        <f t="shared" si="50"/>
        <v>0</v>
      </c>
      <c r="R157" s="29">
        <f t="shared" si="51"/>
        <v>0</v>
      </c>
      <c r="S157" s="29">
        <f t="shared" si="43"/>
        <v>0</v>
      </c>
      <c r="T157" s="29">
        <f t="shared" si="52"/>
        <v>0</v>
      </c>
      <c r="U157">
        <f t="shared" si="53"/>
        <v>0</v>
      </c>
      <c r="V157" s="29">
        <f t="shared" si="54"/>
        <v>0</v>
      </c>
      <c r="W157" s="29">
        <f t="shared" si="44"/>
        <v>0</v>
      </c>
      <c r="X157" s="29">
        <f t="shared" si="55"/>
        <v>0</v>
      </c>
      <c r="Y157">
        <f t="shared" si="56"/>
        <v>0</v>
      </c>
    </row>
    <row r="158" spans="1:25" x14ac:dyDescent="0.25">
      <c r="A158" s="4" t="s">
        <v>960</v>
      </c>
      <c r="B158" s="7" t="s">
        <v>285</v>
      </c>
      <c r="C158" s="2" t="s">
        <v>961</v>
      </c>
      <c r="D158">
        <f>VLOOKUP(B158,'Model allocations'!$A$1:$L$316,4,FALSE)</f>
        <v>0</v>
      </c>
      <c r="E158" s="31">
        <f>VLOOKUP(B158,'Initial adjusted formula count'!$A$1:$P$316,12,FALSE)</f>
        <v>0.13799324874869001</v>
      </c>
      <c r="F158">
        <f>VLOOKUP(B158,'Model allocations'!$A$1:$L$316,9,FALSE)</f>
        <v>0</v>
      </c>
      <c r="G158" s="30">
        <f t="shared" si="45"/>
        <v>0.85</v>
      </c>
      <c r="H158">
        <f t="shared" si="46"/>
        <v>0</v>
      </c>
      <c r="I158">
        <f t="shared" si="38"/>
        <v>0</v>
      </c>
      <c r="J158">
        <f t="shared" si="39"/>
        <v>0</v>
      </c>
      <c r="K158">
        <f t="shared" si="40"/>
        <v>0</v>
      </c>
      <c r="L158">
        <f t="shared" si="47"/>
        <v>0</v>
      </c>
      <c r="M158">
        <f t="shared" si="41"/>
        <v>0</v>
      </c>
      <c r="N158" s="29">
        <f t="shared" si="48"/>
        <v>0</v>
      </c>
      <c r="O158" s="29">
        <f t="shared" si="42"/>
        <v>0</v>
      </c>
      <c r="P158" s="29">
        <f t="shared" si="49"/>
        <v>0</v>
      </c>
      <c r="Q158">
        <f t="shared" si="50"/>
        <v>0</v>
      </c>
      <c r="R158" s="29">
        <f t="shared" si="51"/>
        <v>0</v>
      </c>
      <c r="S158" s="29">
        <f t="shared" si="43"/>
        <v>0</v>
      </c>
      <c r="T158" s="29">
        <f t="shared" si="52"/>
        <v>0</v>
      </c>
      <c r="U158">
        <f t="shared" si="53"/>
        <v>0</v>
      </c>
      <c r="V158" s="29">
        <f t="shared" si="54"/>
        <v>0</v>
      </c>
      <c r="W158" s="29">
        <f t="shared" si="44"/>
        <v>0</v>
      </c>
      <c r="X158" s="29">
        <f t="shared" si="55"/>
        <v>0</v>
      </c>
      <c r="Y158">
        <f t="shared" si="56"/>
        <v>0</v>
      </c>
    </row>
    <row r="159" spans="1:25" x14ac:dyDescent="0.25">
      <c r="A159" s="4" t="s">
        <v>962</v>
      </c>
      <c r="B159" s="7" t="s">
        <v>484</v>
      </c>
      <c r="C159" s="2" t="s">
        <v>963</v>
      </c>
      <c r="D159">
        <f>VLOOKUP(B159,'Model allocations'!$A$1:$L$316,4,FALSE)</f>
        <v>0</v>
      </c>
      <c r="E159" s="31">
        <f>VLOOKUP(B159,'Initial adjusted formula count'!$A$1:$P$316,12,FALSE)</f>
        <v>0.117903930131004</v>
      </c>
      <c r="F159">
        <f>VLOOKUP(B159,'Model allocations'!$A$1:$L$316,9,FALSE)</f>
        <v>0</v>
      </c>
      <c r="G159" s="30">
        <f t="shared" si="45"/>
        <v>0.85</v>
      </c>
      <c r="H159">
        <f t="shared" si="46"/>
        <v>0</v>
      </c>
      <c r="I159">
        <f t="shared" si="38"/>
        <v>0</v>
      </c>
      <c r="J159">
        <f t="shared" si="39"/>
        <v>0</v>
      </c>
      <c r="K159">
        <f t="shared" si="40"/>
        <v>0</v>
      </c>
      <c r="L159">
        <f t="shared" si="47"/>
        <v>0</v>
      </c>
      <c r="M159">
        <f t="shared" si="41"/>
        <v>0</v>
      </c>
      <c r="N159" s="29">
        <f t="shared" si="48"/>
        <v>0</v>
      </c>
      <c r="O159" s="29">
        <f t="shared" si="42"/>
        <v>0</v>
      </c>
      <c r="P159" s="29">
        <f t="shared" si="49"/>
        <v>0</v>
      </c>
      <c r="Q159">
        <f t="shared" si="50"/>
        <v>0</v>
      </c>
      <c r="R159" s="29">
        <f t="shared" si="51"/>
        <v>0</v>
      </c>
      <c r="S159" s="29">
        <f t="shared" si="43"/>
        <v>0</v>
      </c>
      <c r="T159" s="29">
        <f t="shared" si="52"/>
        <v>0</v>
      </c>
      <c r="U159">
        <f t="shared" si="53"/>
        <v>0</v>
      </c>
      <c r="V159" s="29">
        <f t="shared" si="54"/>
        <v>0</v>
      </c>
      <c r="W159" s="29">
        <f t="shared" si="44"/>
        <v>0</v>
      </c>
      <c r="X159" s="29">
        <f t="shared" si="55"/>
        <v>0</v>
      </c>
      <c r="Y159">
        <f t="shared" si="56"/>
        <v>0</v>
      </c>
    </row>
    <row r="160" spans="1:25" x14ac:dyDescent="0.25">
      <c r="A160" s="4" t="s">
        <v>964</v>
      </c>
      <c r="B160" s="7" t="s">
        <v>486</v>
      </c>
      <c r="C160" s="2" t="s">
        <v>965</v>
      </c>
      <c r="D160">
        <f>VLOOKUP(B160,'Model allocations'!$A$1:$L$316,4,FALSE)</f>
        <v>0</v>
      </c>
      <c r="E160" s="31">
        <f>VLOOKUP(B160,'Initial adjusted formula count'!$A$1:$P$316,12,FALSE)</f>
        <v>0.10678391959799</v>
      </c>
      <c r="F160">
        <f>VLOOKUP(B160,'Model allocations'!$A$1:$L$316,9,FALSE)</f>
        <v>0</v>
      </c>
      <c r="G160" s="30">
        <f t="shared" si="45"/>
        <v>0.85</v>
      </c>
      <c r="H160">
        <f t="shared" si="46"/>
        <v>0</v>
      </c>
      <c r="I160">
        <f t="shared" si="38"/>
        <v>0</v>
      </c>
      <c r="J160">
        <f t="shared" si="39"/>
        <v>0</v>
      </c>
      <c r="K160">
        <f t="shared" si="40"/>
        <v>0</v>
      </c>
      <c r="L160">
        <f t="shared" si="47"/>
        <v>0</v>
      </c>
      <c r="M160">
        <f t="shared" si="41"/>
        <v>0</v>
      </c>
      <c r="N160" s="29">
        <f t="shared" si="48"/>
        <v>0</v>
      </c>
      <c r="O160" s="29">
        <f t="shared" si="42"/>
        <v>0</v>
      </c>
      <c r="P160" s="29">
        <f t="shared" si="49"/>
        <v>0</v>
      </c>
      <c r="Q160">
        <f t="shared" si="50"/>
        <v>0</v>
      </c>
      <c r="R160" s="29">
        <f t="shared" si="51"/>
        <v>0</v>
      </c>
      <c r="S160" s="29">
        <f t="shared" si="43"/>
        <v>0</v>
      </c>
      <c r="T160" s="29">
        <f t="shared" si="52"/>
        <v>0</v>
      </c>
      <c r="U160">
        <f t="shared" si="53"/>
        <v>0</v>
      </c>
      <c r="V160" s="29">
        <f t="shared" si="54"/>
        <v>0</v>
      </c>
      <c r="W160" s="29">
        <f t="shared" si="44"/>
        <v>0</v>
      </c>
      <c r="X160" s="29">
        <f t="shared" si="55"/>
        <v>0</v>
      </c>
      <c r="Y160">
        <f t="shared" si="56"/>
        <v>0</v>
      </c>
    </row>
    <row r="161" spans="1:25" x14ac:dyDescent="0.25">
      <c r="A161" s="4" t="s">
        <v>966</v>
      </c>
      <c r="B161" s="7" t="s">
        <v>488</v>
      </c>
      <c r="C161" s="2" t="s">
        <v>967</v>
      </c>
      <c r="D161">
        <f>VLOOKUP(B161,'Model allocations'!$A$1:$L$316,4,FALSE)</f>
        <v>0</v>
      </c>
      <c r="E161" s="31">
        <f>VLOOKUP(B161,'Initial adjusted formula count'!$A$1:$P$316,12,FALSE)</f>
        <v>0.12615384615384601</v>
      </c>
      <c r="F161">
        <f>VLOOKUP(B161,'Model allocations'!$A$1:$L$316,9,FALSE)</f>
        <v>0</v>
      </c>
      <c r="G161" s="30">
        <f t="shared" si="45"/>
        <v>0.85</v>
      </c>
      <c r="H161">
        <f t="shared" si="46"/>
        <v>0</v>
      </c>
      <c r="I161">
        <f t="shared" si="38"/>
        <v>0</v>
      </c>
      <c r="J161">
        <f t="shared" si="39"/>
        <v>0</v>
      </c>
      <c r="K161">
        <f t="shared" si="40"/>
        <v>0</v>
      </c>
      <c r="L161">
        <f t="shared" si="47"/>
        <v>0</v>
      </c>
      <c r="M161">
        <f t="shared" si="41"/>
        <v>0</v>
      </c>
      <c r="N161" s="29">
        <f t="shared" si="48"/>
        <v>0</v>
      </c>
      <c r="O161" s="29">
        <f t="shared" si="42"/>
        <v>0</v>
      </c>
      <c r="P161" s="29">
        <f t="shared" si="49"/>
        <v>0</v>
      </c>
      <c r="Q161">
        <f t="shared" si="50"/>
        <v>0</v>
      </c>
      <c r="R161" s="29">
        <f t="shared" si="51"/>
        <v>0</v>
      </c>
      <c r="S161" s="29">
        <f t="shared" si="43"/>
        <v>0</v>
      </c>
      <c r="T161" s="29">
        <f t="shared" si="52"/>
        <v>0</v>
      </c>
      <c r="U161">
        <f t="shared" si="53"/>
        <v>0</v>
      </c>
      <c r="V161" s="29">
        <f t="shared" si="54"/>
        <v>0</v>
      </c>
      <c r="W161" s="29">
        <f t="shared" si="44"/>
        <v>0</v>
      </c>
      <c r="X161" s="29">
        <f t="shared" si="55"/>
        <v>0</v>
      </c>
      <c r="Y161">
        <f t="shared" si="56"/>
        <v>0</v>
      </c>
    </row>
    <row r="162" spans="1:25" x14ac:dyDescent="0.25">
      <c r="A162" s="4" t="s">
        <v>968</v>
      </c>
      <c r="B162" s="7" t="s">
        <v>490</v>
      </c>
      <c r="C162" s="2" t="s">
        <v>969</v>
      </c>
      <c r="D162">
        <f>VLOOKUP(B162,'Model allocations'!$A$1:$L$316,4,FALSE)</f>
        <v>16365.506625194343</v>
      </c>
      <c r="E162" s="31">
        <f>VLOOKUP(B162,'Initial adjusted formula count'!$A$1:$P$316,12,FALSE)</f>
        <v>0.314285714285714</v>
      </c>
      <c r="F162">
        <f>VLOOKUP(B162,'Model allocations'!$A$1:$L$316,9,FALSE)</f>
        <v>18280.560636049173</v>
      </c>
      <c r="G162" s="30">
        <f t="shared" si="45"/>
        <v>0.95</v>
      </c>
      <c r="H162">
        <f t="shared" si="46"/>
        <v>15547.231293934625</v>
      </c>
      <c r="I162">
        <f t="shared" si="38"/>
        <v>0</v>
      </c>
      <c r="J162">
        <f t="shared" si="39"/>
        <v>18280.560636049173</v>
      </c>
      <c r="K162">
        <f t="shared" si="40"/>
        <v>18260.600971118922</v>
      </c>
      <c r="L162">
        <f t="shared" si="47"/>
        <v>18260.600971118922</v>
      </c>
      <c r="M162">
        <f t="shared" si="41"/>
        <v>0</v>
      </c>
      <c r="N162" s="29">
        <f t="shared" si="48"/>
        <v>18260.600971118922</v>
      </c>
      <c r="O162" s="29">
        <f t="shared" si="42"/>
        <v>18255.714745018144</v>
      </c>
      <c r="P162" s="29">
        <f t="shared" si="49"/>
        <v>18255.714745018144</v>
      </c>
      <c r="Q162">
        <f t="shared" si="50"/>
        <v>0</v>
      </c>
      <c r="R162" s="29">
        <f t="shared" si="51"/>
        <v>18255.714745018144</v>
      </c>
      <c r="S162" s="29">
        <f t="shared" si="43"/>
        <v>18255.160347222667</v>
      </c>
      <c r="T162" s="29">
        <f t="shared" si="52"/>
        <v>18255.160347222667</v>
      </c>
      <c r="U162">
        <f t="shared" si="53"/>
        <v>0</v>
      </c>
      <c r="V162" s="29">
        <f t="shared" si="54"/>
        <v>18255.160347222667</v>
      </c>
      <c r="W162" s="29">
        <f t="shared" si="44"/>
        <v>18255.160347222667</v>
      </c>
      <c r="X162" s="29">
        <f t="shared" si="55"/>
        <v>18255.160347222667</v>
      </c>
      <c r="Y162">
        <f t="shared" si="56"/>
        <v>0</v>
      </c>
    </row>
    <row r="163" spans="1:25" x14ac:dyDescent="0.25">
      <c r="A163" s="4" t="s">
        <v>970</v>
      </c>
      <c r="B163" s="7" t="s">
        <v>492</v>
      </c>
      <c r="C163" s="2" t="s">
        <v>971</v>
      </c>
      <c r="D163">
        <f>VLOOKUP(B163,'Model allocations'!$A$1:$L$316,4,FALSE)</f>
        <v>64994.440597200388</v>
      </c>
      <c r="E163" s="31">
        <f>VLOOKUP(B163,'Initial adjusted formula count'!$A$1:$P$316,12,FALSE)</f>
        <v>0.171171171171171</v>
      </c>
      <c r="F163">
        <f>VLOOKUP(B163,'Model allocations'!$A$1:$L$316,9,FALSE)</f>
        <v>58640.23996239149</v>
      </c>
      <c r="G163" s="30">
        <f t="shared" si="45"/>
        <v>0.9</v>
      </c>
      <c r="H163">
        <f t="shared" si="46"/>
        <v>58494.996537480351</v>
      </c>
      <c r="I163">
        <f t="shared" si="38"/>
        <v>0</v>
      </c>
      <c r="J163">
        <f t="shared" si="39"/>
        <v>58640.23996239149</v>
      </c>
      <c r="K163">
        <f t="shared" si="40"/>
        <v>58576.213504758089</v>
      </c>
      <c r="L163">
        <f t="shared" si="47"/>
        <v>58576.213504758089</v>
      </c>
      <c r="M163">
        <f t="shared" si="41"/>
        <v>0</v>
      </c>
      <c r="N163" s="29">
        <f t="shared" si="48"/>
        <v>58576.213504758089</v>
      </c>
      <c r="O163" s="29">
        <f t="shared" si="42"/>
        <v>58560.5395067465</v>
      </c>
      <c r="P163" s="29">
        <f t="shared" si="49"/>
        <v>58560.5395067465</v>
      </c>
      <c r="Q163">
        <f t="shared" si="50"/>
        <v>0</v>
      </c>
      <c r="R163" s="29">
        <f t="shared" si="51"/>
        <v>58560.5395067465</v>
      </c>
      <c r="S163" s="29">
        <f t="shared" si="43"/>
        <v>58558.761113818153</v>
      </c>
      <c r="T163" s="29">
        <f t="shared" si="52"/>
        <v>58558.761113818153</v>
      </c>
      <c r="U163">
        <f t="shared" si="53"/>
        <v>0</v>
      </c>
      <c r="V163" s="29">
        <f t="shared" si="54"/>
        <v>58558.761113818153</v>
      </c>
      <c r="W163" s="29">
        <f t="shared" si="44"/>
        <v>58558.761113818153</v>
      </c>
      <c r="X163" s="29">
        <f t="shared" si="55"/>
        <v>58558.761113818153</v>
      </c>
      <c r="Y163">
        <f t="shared" si="56"/>
        <v>0</v>
      </c>
    </row>
    <row r="164" spans="1:25" x14ac:dyDescent="0.25">
      <c r="A164" s="4" t="s">
        <v>972</v>
      </c>
      <c r="B164" s="7" t="s">
        <v>494</v>
      </c>
      <c r="C164" s="2" t="s">
        <v>973</v>
      </c>
      <c r="D164">
        <f>VLOOKUP(B164,'Model allocations'!$A$1:$L$316,4,FALSE)</f>
        <v>40538.350659732583</v>
      </c>
      <c r="E164" s="31">
        <f>VLOOKUP(B164,'Initial adjusted formula count'!$A$1:$P$316,12,FALSE)</f>
        <v>8.6317135549872095E-2</v>
      </c>
      <c r="F164">
        <f>VLOOKUP(B164,'Model allocations'!$A$1:$L$316,9,FALSE)</f>
        <v>34535.863295785268</v>
      </c>
      <c r="G164" s="30">
        <f t="shared" si="45"/>
        <v>0.85</v>
      </c>
      <c r="H164">
        <f t="shared" si="46"/>
        <v>34457.598060772696</v>
      </c>
      <c r="I164">
        <f t="shared" si="38"/>
        <v>0</v>
      </c>
      <c r="J164">
        <f t="shared" si="39"/>
        <v>34535.863295785268</v>
      </c>
      <c r="K164">
        <f t="shared" si="40"/>
        <v>34498.155247701587</v>
      </c>
      <c r="L164">
        <f t="shared" si="47"/>
        <v>34498.155247701587</v>
      </c>
      <c r="M164">
        <f t="shared" si="41"/>
        <v>0</v>
      </c>
      <c r="N164" s="29">
        <f t="shared" si="48"/>
        <v>34498.155247701587</v>
      </c>
      <c r="O164" s="29">
        <f t="shared" si="42"/>
        <v>34488.924128371691</v>
      </c>
      <c r="P164" s="29">
        <f t="shared" si="49"/>
        <v>34488.924128371691</v>
      </c>
      <c r="Q164">
        <f t="shared" si="50"/>
        <v>0</v>
      </c>
      <c r="R164" s="29">
        <f t="shared" si="51"/>
        <v>34488.924128371691</v>
      </c>
      <c r="S164" s="29">
        <f t="shared" si="43"/>
        <v>34487.876753137563</v>
      </c>
      <c r="T164" s="29">
        <f t="shared" si="52"/>
        <v>34487.876753137563</v>
      </c>
      <c r="U164">
        <f t="shared" si="53"/>
        <v>0</v>
      </c>
      <c r="V164" s="29">
        <f t="shared" si="54"/>
        <v>34487.876753137563</v>
      </c>
      <c r="W164" s="29">
        <f t="shared" si="44"/>
        <v>34487.876753137563</v>
      </c>
      <c r="X164" s="29">
        <f t="shared" si="55"/>
        <v>34487.876753137563</v>
      </c>
      <c r="Y164">
        <f t="shared" si="56"/>
        <v>0</v>
      </c>
    </row>
    <row r="165" spans="1:25" x14ac:dyDescent="0.25">
      <c r="A165" s="4" t="s">
        <v>974</v>
      </c>
      <c r="B165" s="7" t="s">
        <v>176</v>
      </c>
      <c r="C165" s="2" t="s">
        <v>975</v>
      </c>
      <c r="D165">
        <f>VLOOKUP(B165,'Model allocations'!$A$1:$L$316,4,FALSE)</f>
        <v>0</v>
      </c>
      <c r="E165" s="31">
        <f>VLOOKUP(B165,'Initial adjusted formula count'!$A$1:$P$316,12,FALSE)</f>
        <v>7.8117862037460004E-2</v>
      </c>
      <c r="F165">
        <f>VLOOKUP(B165,'Model allocations'!$A$1:$L$316,9,FALSE)</f>
        <v>0</v>
      </c>
      <c r="G165" s="30">
        <f t="shared" si="45"/>
        <v>0.85</v>
      </c>
      <c r="H165">
        <f t="shared" si="46"/>
        <v>0</v>
      </c>
      <c r="I165">
        <f t="shared" si="38"/>
        <v>0</v>
      </c>
      <c r="J165">
        <f t="shared" si="39"/>
        <v>0</v>
      </c>
      <c r="K165">
        <f t="shared" si="40"/>
        <v>0</v>
      </c>
      <c r="L165">
        <f t="shared" si="47"/>
        <v>0</v>
      </c>
      <c r="M165">
        <f t="shared" si="41"/>
        <v>0</v>
      </c>
      <c r="N165" s="29">
        <f t="shared" si="48"/>
        <v>0</v>
      </c>
      <c r="O165" s="29">
        <f t="shared" si="42"/>
        <v>0</v>
      </c>
      <c r="P165" s="29">
        <f t="shared" si="49"/>
        <v>0</v>
      </c>
      <c r="Q165">
        <f t="shared" si="50"/>
        <v>0</v>
      </c>
      <c r="R165" s="29">
        <f t="shared" si="51"/>
        <v>0</v>
      </c>
      <c r="S165" s="29">
        <f t="shared" si="43"/>
        <v>0</v>
      </c>
      <c r="T165" s="29">
        <f t="shared" si="52"/>
        <v>0</v>
      </c>
      <c r="U165">
        <f t="shared" si="53"/>
        <v>0</v>
      </c>
      <c r="V165" s="29">
        <f t="shared" si="54"/>
        <v>0</v>
      </c>
      <c r="W165" s="29">
        <f t="shared" si="44"/>
        <v>0</v>
      </c>
      <c r="X165" s="29">
        <f t="shared" si="55"/>
        <v>0</v>
      </c>
      <c r="Y165">
        <f t="shared" si="56"/>
        <v>0</v>
      </c>
    </row>
    <row r="166" spans="1:25" x14ac:dyDescent="0.25">
      <c r="A166" s="4" t="s">
        <v>976</v>
      </c>
      <c r="B166" s="7" t="s">
        <v>496</v>
      </c>
      <c r="C166" s="2" t="s">
        <v>977</v>
      </c>
      <c r="D166">
        <f>VLOOKUP(B166,'Model allocations'!$A$1:$L$316,4,FALSE)</f>
        <v>32643.098825551195</v>
      </c>
      <c r="E166" s="31">
        <f>VLOOKUP(B166,'Initial adjusted formula count'!$A$1:$P$316,12,FALSE)</f>
        <v>0.19914040114613199</v>
      </c>
      <c r="F166">
        <f>VLOOKUP(B166,'Model allocations'!$A$1:$L$316,9,FALSE)</f>
        <v>32999.973096244605</v>
      </c>
      <c r="G166" s="30">
        <f t="shared" si="45"/>
        <v>0.9</v>
      </c>
      <c r="H166">
        <f t="shared" si="46"/>
        <v>29378.788942996074</v>
      </c>
      <c r="I166">
        <f t="shared" si="38"/>
        <v>0</v>
      </c>
      <c r="J166">
        <f t="shared" si="39"/>
        <v>32999.973096244605</v>
      </c>
      <c r="K166">
        <f t="shared" si="40"/>
        <v>32963.942012799089</v>
      </c>
      <c r="L166">
        <f t="shared" si="47"/>
        <v>32963.942012799089</v>
      </c>
      <c r="M166">
        <f t="shared" si="41"/>
        <v>0</v>
      </c>
      <c r="N166" s="29">
        <f t="shared" si="48"/>
        <v>32963.942012799089</v>
      </c>
      <c r="O166" s="29">
        <f t="shared" si="42"/>
        <v>32955.121422824952</v>
      </c>
      <c r="P166" s="29">
        <f t="shared" si="49"/>
        <v>32955.121422824952</v>
      </c>
      <c r="Q166">
        <f t="shared" si="50"/>
        <v>0</v>
      </c>
      <c r="R166" s="29">
        <f t="shared" si="51"/>
        <v>32955.121422824952</v>
      </c>
      <c r="S166" s="29">
        <f t="shared" si="43"/>
        <v>32954.120626804543</v>
      </c>
      <c r="T166" s="29">
        <f t="shared" si="52"/>
        <v>32954.120626804543</v>
      </c>
      <c r="U166">
        <f t="shared" si="53"/>
        <v>0</v>
      </c>
      <c r="V166" s="29">
        <f t="shared" si="54"/>
        <v>32954.120626804543</v>
      </c>
      <c r="W166" s="29">
        <f t="shared" si="44"/>
        <v>32954.120626804543</v>
      </c>
      <c r="X166" s="29">
        <f t="shared" si="55"/>
        <v>32954.120626804543</v>
      </c>
      <c r="Y166">
        <f t="shared" si="56"/>
        <v>0</v>
      </c>
    </row>
    <row r="167" spans="1:25" x14ac:dyDescent="0.25">
      <c r="A167" s="4" t="s">
        <v>978</v>
      </c>
      <c r="B167" s="7" t="s">
        <v>498</v>
      </c>
      <c r="C167" s="2" t="s">
        <v>979</v>
      </c>
      <c r="D167">
        <f>VLOOKUP(B167,'Model allocations'!$A$1:$L$316,4,FALSE)</f>
        <v>79771.572754940731</v>
      </c>
      <c r="E167" s="31">
        <f>VLOOKUP(B167,'Initial adjusted formula count'!$A$1:$P$316,12,FALSE)</f>
        <v>0.10837887067395301</v>
      </c>
      <c r="F167">
        <f>VLOOKUP(B167,'Model allocations'!$A$1:$L$316,9,FALSE)</f>
        <v>67805.836841699624</v>
      </c>
      <c r="G167" s="30">
        <f t="shared" si="45"/>
        <v>0.85</v>
      </c>
      <c r="H167">
        <f t="shared" si="46"/>
        <v>67805.836841699624</v>
      </c>
      <c r="I167">
        <f t="shared" si="38"/>
        <v>0</v>
      </c>
      <c r="J167">
        <f t="shared" si="39"/>
        <v>67805.836841699624</v>
      </c>
      <c r="K167">
        <f t="shared" si="40"/>
        <v>67731.802909665465</v>
      </c>
      <c r="L167">
        <f t="shared" si="47"/>
        <v>67731.802909665465</v>
      </c>
      <c r="M167">
        <f t="shared" si="41"/>
        <v>67805.836841699624</v>
      </c>
      <c r="N167" s="29">
        <f t="shared" si="48"/>
        <v>0</v>
      </c>
      <c r="O167" s="29">
        <f t="shared" si="42"/>
        <v>0</v>
      </c>
      <c r="P167" s="29">
        <f t="shared" si="49"/>
        <v>67805.836841699624</v>
      </c>
      <c r="Q167">
        <f t="shared" si="50"/>
        <v>0</v>
      </c>
      <c r="R167" s="29">
        <f t="shared" si="51"/>
        <v>0</v>
      </c>
      <c r="S167" s="29">
        <f t="shared" si="43"/>
        <v>0</v>
      </c>
      <c r="T167" s="29">
        <f t="shared" si="52"/>
        <v>67805.836841699624</v>
      </c>
      <c r="U167">
        <f t="shared" si="53"/>
        <v>0</v>
      </c>
      <c r="V167" s="29">
        <f t="shared" si="54"/>
        <v>0</v>
      </c>
      <c r="W167" s="29">
        <f t="shared" si="44"/>
        <v>0</v>
      </c>
      <c r="X167" s="29">
        <f t="shared" si="55"/>
        <v>67805.836841699624</v>
      </c>
      <c r="Y167">
        <f t="shared" si="56"/>
        <v>0</v>
      </c>
    </row>
    <row r="168" spans="1:25" x14ac:dyDescent="0.25">
      <c r="A168" s="4" t="s">
        <v>980</v>
      </c>
      <c r="B168" s="7" t="s">
        <v>178</v>
      </c>
      <c r="C168" s="2" t="s">
        <v>981</v>
      </c>
      <c r="D168">
        <f>VLOOKUP(B168,'Model allocations'!$A$1:$L$316,4,FALSE)</f>
        <v>0</v>
      </c>
      <c r="E168" s="31">
        <f>VLOOKUP(B168,'Initial adjusted formula count'!$A$1:$P$316,12,FALSE)</f>
        <v>7.5833333333333294E-2</v>
      </c>
      <c r="F168">
        <f>VLOOKUP(B168,'Model allocations'!$A$1:$L$316,9,FALSE)</f>
        <v>0</v>
      </c>
      <c r="G168" s="30">
        <f t="shared" si="45"/>
        <v>0.85</v>
      </c>
      <c r="H168">
        <f t="shared" si="46"/>
        <v>0</v>
      </c>
      <c r="I168">
        <f t="shared" si="38"/>
        <v>0</v>
      </c>
      <c r="J168">
        <f t="shared" si="39"/>
        <v>0</v>
      </c>
      <c r="K168">
        <f t="shared" si="40"/>
        <v>0</v>
      </c>
      <c r="L168">
        <f t="shared" si="47"/>
        <v>0</v>
      </c>
      <c r="M168">
        <f t="shared" si="41"/>
        <v>0</v>
      </c>
      <c r="N168" s="29">
        <f t="shared" si="48"/>
        <v>0</v>
      </c>
      <c r="O168" s="29">
        <f t="shared" si="42"/>
        <v>0</v>
      </c>
      <c r="P168" s="29">
        <f t="shared" si="49"/>
        <v>0</v>
      </c>
      <c r="Q168">
        <f t="shared" si="50"/>
        <v>0</v>
      </c>
      <c r="R168" s="29">
        <f t="shared" si="51"/>
        <v>0</v>
      </c>
      <c r="S168" s="29">
        <f t="shared" si="43"/>
        <v>0</v>
      </c>
      <c r="T168" s="29">
        <f t="shared" si="52"/>
        <v>0</v>
      </c>
      <c r="U168">
        <f t="shared" si="53"/>
        <v>0</v>
      </c>
      <c r="V168" s="29">
        <f t="shared" si="54"/>
        <v>0</v>
      </c>
      <c r="W168" s="29">
        <f t="shared" si="44"/>
        <v>0</v>
      </c>
      <c r="X168" s="29">
        <f t="shared" si="55"/>
        <v>0</v>
      </c>
      <c r="Y168">
        <f t="shared" si="56"/>
        <v>0</v>
      </c>
    </row>
    <row r="169" spans="1:25" x14ac:dyDescent="0.25">
      <c r="A169" s="4" t="s">
        <v>982</v>
      </c>
      <c r="B169" s="7" t="s">
        <v>500</v>
      </c>
      <c r="C169" s="2" t="s">
        <v>983</v>
      </c>
      <c r="D169">
        <f>VLOOKUP(B169,'Model allocations'!$A$1:$L$316,4,FALSE)</f>
        <v>86970.978065318501</v>
      </c>
      <c r="E169" s="31">
        <f>VLOOKUP(B169,'Initial adjusted formula count'!$A$1:$P$316,12,FALSE)</f>
        <v>0.144904458598726</v>
      </c>
      <c r="F169">
        <f>VLOOKUP(B169,'Model allocations'!$A$1:$L$316,9,FALSE)</f>
        <v>74014.026235166326</v>
      </c>
      <c r="G169" s="30">
        <f t="shared" si="45"/>
        <v>0.85</v>
      </c>
      <c r="H169">
        <f t="shared" si="46"/>
        <v>73925.331355520728</v>
      </c>
      <c r="I169">
        <f t="shared" si="38"/>
        <v>0</v>
      </c>
      <c r="J169">
        <f t="shared" si="39"/>
        <v>74014.026235166326</v>
      </c>
      <c r="K169">
        <f t="shared" si="40"/>
        <v>73933.213879724688</v>
      </c>
      <c r="L169">
        <f t="shared" si="47"/>
        <v>73933.213879724688</v>
      </c>
      <c r="M169">
        <f t="shared" si="41"/>
        <v>0</v>
      </c>
      <c r="N169" s="29">
        <f t="shared" si="48"/>
        <v>73933.213879724688</v>
      </c>
      <c r="O169" s="29">
        <f t="shared" si="42"/>
        <v>73913.430609724703</v>
      </c>
      <c r="P169" s="29">
        <f t="shared" si="49"/>
        <v>73913.430609724703</v>
      </c>
      <c r="Q169">
        <f t="shared" si="50"/>
        <v>73925.331355520728</v>
      </c>
      <c r="R169" s="29">
        <f t="shared" si="51"/>
        <v>0</v>
      </c>
      <c r="S169" s="29">
        <f t="shared" si="43"/>
        <v>0</v>
      </c>
      <c r="T169" s="29">
        <f t="shared" si="52"/>
        <v>73925.331355520728</v>
      </c>
      <c r="U169">
        <f t="shared" si="53"/>
        <v>0</v>
      </c>
      <c r="V169" s="29">
        <f t="shared" si="54"/>
        <v>0</v>
      </c>
      <c r="W169" s="29">
        <f t="shared" si="44"/>
        <v>0</v>
      </c>
      <c r="X169" s="29">
        <f t="shared" si="55"/>
        <v>73925.331355520728</v>
      </c>
      <c r="Y169">
        <f t="shared" si="56"/>
        <v>0</v>
      </c>
    </row>
    <row r="170" spans="1:25" x14ac:dyDescent="0.25">
      <c r="A170" s="4" t="s">
        <v>984</v>
      </c>
      <c r="B170" s="7" t="s">
        <v>502</v>
      </c>
      <c r="C170" s="2" t="s">
        <v>985</v>
      </c>
      <c r="D170">
        <f>VLOOKUP(B170,'Model allocations'!$A$1:$L$316,4,FALSE)</f>
        <v>2337.9295178849061</v>
      </c>
      <c r="E170" s="31">
        <f>VLOOKUP(B170,'Initial adjusted formula count'!$A$1:$P$316,12,FALSE)</f>
        <v>0.16</v>
      </c>
      <c r="F170">
        <f>VLOOKUP(B170,'Model allocations'!$A$1:$L$316,9,FALSE)</f>
        <v>2106.661088287467</v>
      </c>
      <c r="G170" s="30">
        <f t="shared" si="45"/>
        <v>0.9</v>
      </c>
      <c r="H170">
        <f t="shared" si="46"/>
        <v>2104.1365660964157</v>
      </c>
      <c r="I170">
        <f t="shared" si="38"/>
        <v>0</v>
      </c>
      <c r="J170">
        <f t="shared" si="39"/>
        <v>2106.661088287467</v>
      </c>
      <c r="K170">
        <f t="shared" si="40"/>
        <v>2104.3609263678759</v>
      </c>
      <c r="L170">
        <f t="shared" si="47"/>
        <v>2104.3609263678759</v>
      </c>
      <c r="M170">
        <f t="shared" si="41"/>
        <v>0</v>
      </c>
      <c r="N170" s="29">
        <f t="shared" si="48"/>
        <v>2104.3609263678759</v>
      </c>
      <c r="O170" s="29">
        <f t="shared" si="42"/>
        <v>2103.7978351914057</v>
      </c>
      <c r="P170" s="29">
        <f t="shared" si="49"/>
        <v>2103.7978351914057</v>
      </c>
      <c r="Q170">
        <f t="shared" si="50"/>
        <v>2104.1365660964157</v>
      </c>
      <c r="R170" s="29">
        <f t="shared" si="51"/>
        <v>0</v>
      </c>
      <c r="S170" s="29">
        <f t="shared" si="43"/>
        <v>0</v>
      </c>
      <c r="T170" s="29">
        <f t="shared" si="52"/>
        <v>2104.1365660964157</v>
      </c>
      <c r="U170">
        <f t="shared" si="53"/>
        <v>0</v>
      </c>
      <c r="V170" s="29">
        <f t="shared" si="54"/>
        <v>0</v>
      </c>
      <c r="W170" s="29">
        <f t="shared" si="44"/>
        <v>0</v>
      </c>
      <c r="X170" s="29">
        <f t="shared" si="55"/>
        <v>2104.1365660964157</v>
      </c>
      <c r="Y170">
        <f t="shared" si="56"/>
        <v>0</v>
      </c>
    </row>
    <row r="171" spans="1:25" x14ac:dyDescent="0.25">
      <c r="A171" s="4" t="s">
        <v>986</v>
      </c>
      <c r="B171" s="7" t="s">
        <v>180</v>
      </c>
      <c r="C171" s="2" t="s">
        <v>987</v>
      </c>
      <c r="D171">
        <f>VLOOKUP(B171,'Model allocations'!$A$1:$L$316,4,FALSE)</f>
        <v>0</v>
      </c>
      <c r="E171" s="31">
        <f>VLOOKUP(B171,'Initial adjusted formula count'!$A$1:$P$316,12,FALSE)</f>
        <v>8.5567130984431694E-2</v>
      </c>
      <c r="F171">
        <f>VLOOKUP(B171,'Model allocations'!$A$1:$L$316,9,FALSE)</f>
        <v>0</v>
      </c>
      <c r="G171" s="30">
        <f t="shared" si="45"/>
        <v>0.85</v>
      </c>
      <c r="H171">
        <f t="shared" si="46"/>
        <v>0</v>
      </c>
      <c r="I171">
        <f t="shared" si="38"/>
        <v>0</v>
      </c>
      <c r="J171">
        <f t="shared" si="39"/>
        <v>0</v>
      </c>
      <c r="K171">
        <f t="shared" si="40"/>
        <v>0</v>
      </c>
      <c r="L171">
        <f t="shared" si="47"/>
        <v>0</v>
      </c>
      <c r="M171">
        <f t="shared" si="41"/>
        <v>0</v>
      </c>
      <c r="N171" s="29">
        <f t="shared" si="48"/>
        <v>0</v>
      </c>
      <c r="O171" s="29">
        <f t="shared" si="42"/>
        <v>0</v>
      </c>
      <c r="P171" s="29">
        <f t="shared" si="49"/>
        <v>0</v>
      </c>
      <c r="Q171">
        <f t="shared" si="50"/>
        <v>0</v>
      </c>
      <c r="R171" s="29">
        <f t="shared" si="51"/>
        <v>0</v>
      </c>
      <c r="S171" s="29">
        <f t="shared" si="43"/>
        <v>0</v>
      </c>
      <c r="T171" s="29">
        <f t="shared" si="52"/>
        <v>0</v>
      </c>
      <c r="U171">
        <f t="shared" si="53"/>
        <v>0</v>
      </c>
      <c r="V171" s="29">
        <f t="shared" si="54"/>
        <v>0</v>
      </c>
      <c r="W171" s="29">
        <f t="shared" si="44"/>
        <v>0</v>
      </c>
      <c r="X171" s="29">
        <f t="shared" si="55"/>
        <v>0</v>
      </c>
      <c r="Y171">
        <f t="shared" si="56"/>
        <v>0</v>
      </c>
    </row>
    <row r="172" spans="1:25" x14ac:dyDescent="0.25">
      <c r="A172" s="4" t="s">
        <v>988</v>
      </c>
      <c r="B172" s="7" t="s">
        <v>504</v>
      </c>
      <c r="C172" s="2" t="s">
        <v>989</v>
      </c>
      <c r="D172">
        <f>VLOOKUP(B172,'Model allocations'!$A$1:$L$316,4,FALSE)</f>
        <v>14281.355736178652</v>
      </c>
      <c r="E172" s="31">
        <f>VLOOKUP(B172,'Initial adjusted formula count'!$A$1:$P$316,12,FALSE)</f>
        <v>0.26222222222222202</v>
      </c>
      <c r="F172">
        <f>VLOOKUP(B172,'Model allocations'!$A$1:$L$316,9,FALSE)</f>
        <v>14007.182825024685</v>
      </c>
      <c r="G172" s="30">
        <f t="shared" si="45"/>
        <v>0.9</v>
      </c>
      <c r="H172">
        <f t="shared" si="46"/>
        <v>12853.220162560787</v>
      </c>
      <c r="I172">
        <f t="shared" si="38"/>
        <v>0</v>
      </c>
      <c r="J172">
        <f t="shared" si="39"/>
        <v>14007.182825024685</v>
      </c>
      <c r="K172">
        <f t="shared" si="40"/>
        <v>13991.889055792415</v>
      </c>
      <c r="L172">
        <f t="shared" si="47"/>
        <v>13991.889055792415</v>
      </c>
      <c r="M172">
        <f t="shared" si="41"/>
        <v>0</v>
      </c>
      <c r="N172" s="29">
        <f t="shared" si="48"/>
        <v>13991.889055792415</v>
      </c>
      <c r="O172" s="29">
        <f t="shared" si="42"/>
        <v>13988.145064364546</v>
      </c>
      <c r="P172" s="29">
        <f t="shared" si="49"/>
        <v>13988.145064364546</v>
      </c>
      <c r="Q172">
        <f t="shared" si="50"/>
        <v>0</v>
      </c>
      <c r="R172" s="29">
        <f t="shared" si="51"/>
        <v>13988.145064364546</v>
      </c>
      <c r="S172" s="29">
        <f t="shared" si="43"/>
        <v>13987.720266053726</v>
      </c>
      <c r="T172" s="29">
        <f t="shared" si="52"/>
        <v>13987.720266053726</v>
      </c>
      <c r="U172">
        <f t="shared" si="53"/>
        <v>0</v>
      </c>
      <c r="V172" s="29">
        <f t="shared" si="54"/>
        <v>13987.720266053726</v>
      </c>
      <c r="W172" s="29">
        <f t="shared" si="44"/>
        <v>13987.720266053726</v>
      </c>
      <c r="X172" s="29">
        <f t="shared" si="55"/>
        <v>13987.720266053726</v>
      </c>
      <c r="Y172">
        <f t="shared" si="56"/>
        <v>0</v>
      </c>
    </row>
    <row r="173" spans="1:25" x14ac:dyDescent="0.25">
      <c r="A173" s="4" t="s">
        <v>990</v>
      </c>
      <c r="B173" s="7" t="s">
        <v>182</v>
      </c>
      <c r="C173" s="2" t="s">
        <v>991</v>
      </c>
      <c r="D173">
        <f>VLOOKUP(B173,'Model allocations'!$A$1:$L$316,4,FALSE)</f>
        <v>0</v>
      </c>
      <c r="E173" s="31">
        <f>VLOOKUP(B173,'Initial adjusted formula count'!$A$1:$P$316,12,FALSE)</f>
        <v>3.9716205563271899E-2</v>
      </c>
      <c r="F173">
        <f>VLOOKUP(B173,'Model allocations'!$A$1:$L$316,9,FALSE)</f>
        <v>0</v>
      </c>
      <c r="G173" s="30">
        <f t="shared" si="45"/>
        <v>0.85</v>
      </c>
      <c r="H173">
        <f t="shared" si="46"/>
        <v>0</v>
      </c>
      <c r="I173">
        <f t="shared" si="38"/>
        <v>0</v>
      </c>
      <c r="J173">
        <f t="shared" si="39"/>
        <v>0</v>
      </c>
      <c r="K173">
        <f t="shared" si="40"/>
        <v>0</v>
      </c>
      <c r="L173">
        <f t="shared" si="47"/>
        <v>0</v>
      </c>
      <c r="M173">
        <f t="shared" si="41"/>
        <v>0</v>
      </c>
      <c r="N173" s="29">
        <f t="shared" si="48"/>
        <v>0</v>
      </c>
      <c r="O173" s="29">
        <f t="shared" si="42"/>
        <v>0</v>
      </c>
      <c r="P173" s="29">
        <f t="shared" si="49"/>
        <v>0</v>
      </c>
      <c r="Q173">
        <f t="shared" si="50"/>
        <v>0</v>
      </c>
      <c r="R173" s="29">
        <f t="shared" si="51"/>
        <v>0</v>
      </c>
      <c r="S173" s="29">
        <f t="shared" si="43"/>
        <v>0</v>
      </c>
      <c r="T173" s="29">
        <f t="shared" si="52"/>
        <v>0</v>
      </c>
      <c r="U173">
        <f t="shared" si="53"/>
        <v>0</v>
      </c>
      <c r="V173" s="29">
        <f t="shared" si="54"/>
        <v>0</v>
      </c>
      <c r="W173" s="29">
        <f t="shared" si="44"/>
        <v>0</v>
      </c>
      <c r="X173" s="29">
        <f t="shared" si="55"/>
        <v>0</v>
      </c>
      <c r="Y173">
        <f t="shared" si="56"/>
        <v>0</v>
      </c>
    </row>
    <row r="174" spans="1:25" x14ac:dyDescent="0.25">
      <c r="A174" s="4" t="s">
        <v>992</v>
      </c>
      <c r="B174" s="7" t="s">
        <v>184</v>
      </c>
      <c r="C174" s="2" t="s">
        <v>993</v>
      </c>
      <c r="D174">
        <f>VLOOKUP(B174,'Model allocations'!$A$1:$L$316,4,FALSE)</f>
        <v>0</v>
      </c>
      <c r="E174" s="31">
        <f>VLOOKUP(B174,'Initial adjusted formula count'!$A$1:$P$316,12,FALSE)</f>
        <v>8.8102030542037302E-2</v>
      </c>
      <c r="F174">
        <f>VLOOKUP(B174,'Model allocations'!$A$1:$L$316,9,FALSE)</f>
        <v>0</v>
      </c>
      <c r="G174" s="30">
        <f t="shared" si="45"/>
        <v>0.85</v>
      </c>
      <c r="H174">
        <f t="shared" si="46"/>
        <v>0</v>
      </c>
      <c r="I174">
        <f t="shared" si="38"/>
        <v>0</v>
      </c>
      <c r="J174">
        <f t="shared" si="39"/>
        <v>0</v>
      </c>
      <c r="K174">
        <f t="shared" si="40"/>
        <v>0</v>
      </c>
      <c r="L174">
        <f t="shared" si="47"/>
        <v>0</v>
      </c>
      <c r="M174">
        <f t="shared" si="41"/>
        <v>0</v>
      </c>
      <c r="N174" s="29">
        <f t="shared" si="48"/>
        <v>0</v>
      </c>
      <c r="O174" s="29">
        <f t="shared" si="42"/>
        <v>0</v>
      </c>
      <c r="P174" s="29">
        <f t="shared" si="49"/>
        <v>0</v>
      </c>
      <c r="Q174">
        <f t="shared" si="50"/>
        <v>0</v>
      </c>
      <c r="R174" s="29">
        <f t="shared" si="51"/>
        <v>0</v>
      </c>
      <c r="S174" s="29">
        <f t="shared" si="43"/>
        <v>0</v>
      </c>
      <c r="T174" s="29">
        <f t="shared" si="52"/>
        <v>0</v>
      </c>
      <c r="U174">
        <f t="shared" si="53"/>
        <v>0</v>
      </c>
      <c r="V174" s="29">
        <f t="shared" si="54"/>
        <v>0</v>
      </c>
      <c r="W174" s="29">
        <f t="shared" si="44"/>
        <v>0</v>
      </c>
      <c r="X174" s="29">
        <f t="shared" si="55"/>
        <v>0</v>
      </c>
      <c r="Y174">
        <f t="shared" si="56"/>
        <v>0</v>
      </c>
    </row>
    <row r="175" spans="1:25" x14ac:dyDescent="0.25">
      <c r="A175" s="4" t="s">
        <v>994</v>
      </c>
      <c r="B175" s="7" t="s">
        <v>186</v>
      </c>
      <c r="C175" s="2" t="s">
        <v>995</v>
      </c>
      <c r="D175">
        <f>VLOOKUP(B175,'Model allocations'!$A$1:$L$316,4,FALSE)</f>
        <v>0</v>
      </c>
      <c r="E175" s="31">
        <f>VLOOKUP(B175,'Initial adjusted formula count'!$A$1:$P$316,12,FALSE)</f>
        <v>8.3969465648855005E-2</v>
      </c>
      <c r="F175">
        <f>VLOOKUP(B175,'Model allocations'!$A$1:$L$316,9,FALSE)</f>
        <v>0</v>
      </c>
      <c r="G175" s="30">
        <f t="shared" si="45"/>
        <v>0.85</v>
      </c>
      <c r="H175">
        <f t="shared" si="46"/>
        <v>0</v>
      </c>
      <c r="I175">
        <f t="shared" si="38"/>
        <v>0</v>
      </c>
      <c r="J175">
        <f t="shared" si="39"/>
        <v>0</v>
      </c>
      <c r="K175">
        <f t="shared" si="40"/>
        <v>0</v>
      </c>
      <c r="L175">
        <f t="shared" si="47"/>
        <v>0</v>
      </c>
      <c r="M175">
        <f t="shared" si="41"/>
        <v>0</v>
      </c>
      <c r="N175" s="29">
        <f t="shared" si="48"/>
        <v>0</v>
      </c>
      <c r="O175" s="29">
        <f t="shared" si="42"/>
        <v>0</v>
      </c>
      <c r="P175" s="29">
        <f t="shared" si="49"/>
        <v>0</v>
      </c>
      <c r="Q175">
        <f t="shared" si="50"/>
        <v>0</v>
      </c>
      <c r="R175" s="29">
        <f t="shared" si="51"/>
        <v>0</v>
      </c>
      <c r="S175" s="29">
        <f t="shared" si="43"/>
        <v>0</v>
      </c>
      <c r="T175" s="29">
        <f t="shared" si="52"/>
        <v>0</v>
      </c>
      <c r="U175">
        <f t="shared" si="53"/>
        <v>0</v>
      </c>
      <c r="V175" s="29">
        <f t="shared" si="54"/>
        <v>0</v>
      </c>
      <c r="W175" s="29">
        <f t="shared" si="44"/>
        <v>0</v>
      </c>
      <c r="X175" s="29">
        <f t="shared" si="55"/>
        <v>0</v>
      </c>
      <c r="Y175">
        <f t="shared" si="56"/>
        <v>0</v>
      </c>
    </row>
    <row r="176" spans="1:25" x14ac:dyDescent="0.25">
      <c r="A176" s="4" t="s">
        <v>996</v>
      </c>
      <c r="B176" s="7" t="s">
        <v>506</v>
      </c>
      <c r="C176" s="2" t="s">
        <v>997</v>
      </c>
      <c r="D176">
        <f>VLOOKUP(B176,'Model allocations'!$A$1:$L$316,4,FALSE)</f>
        <v>22850.169177885848</v>
      </c>
      <c r="E176" s="31">
        <f>VLOOKUP(B176,'Initial adjusted formula count'!$A$1:$P$316,12,FALSE)</f>
        <v>0.11883408071748899</v>
      </c>
      <c r="F176">
        <f>VLOOKUP(B176,'Model allocations'!$A$1:$L$316,9,FALSE)</f>
        <v>19422.643801202968</v>
      </c>
      <c r="G176" s="30">
        <f t="shared" si="45"/>
        <v>0.85</v>
      </c>
      <c r="H176">
        <f t="shared" si="46"/>
        <v>19422.643801202968</v>
      </c>
      <c r="I176">
        <f t="shared" si="38"/>
        <v>0</v>
      </c>
      <c r="J176">
        <f t="shared" si="39"/>
        <v>19422.643801202968</v>
      </c>
      <c r="K176">
        <f t="shared" si="40"/>
        <v>19401.437150594717</v>
      </c>
      <c r="L176">
        <f t="shared" si="47"/>
        <v>19401.437150594717</v>
      </c>
      <c r="M176">
        <f t="shared" si="41"/>
        <v>19422.643801202968</v>
      </c>
      <c r="N176" s="29">
        <f t="shared" si="48"/>
        <v>0</v>
      </c>
      <c r="O176" s="29">
        <f t="shared" si="42"/>
        <v>0</v>
      </c>
      <c r="P176" s="29">
        <f t="shared" si="49"/>
        <v>19422.643801202968</v>
      </c>
      <c r="Q176">
        <f t="shared" si="50"/>
        <v>0</v>
      </c>
      <c r="R176" s="29">
        <f t="shared" si="51"/>
        <v>0</v>
      </c>
      <c r="S176" s="29">
        <f t="shared" si="43"/>
        <v>0</v>
      </c>
      <c r="T176" s="29">
        <f t="shared" si="52"/>
        <v>19422.643801202968</v>
      </c>
      <c r="U176">
        <f t="shared" si="53"/>
        <v>0</v>
      </c>
      <c r="V176" s="29">
        <f t="shared" si="54"/>
        <v>0</v>
      </c>
      <c r="W176" s="29">
        <f t="shared" si="44"/>
        <v>0</v>
      </c>
      <c r="X176" s="29">
        <f t="shared" si="55"/>
        <v>19422.643801202968</v>
      </c>
      <c r="Y176">
        <f t="shared" si="56"/>
        <v>0</v>
      </c>
    </row>
    <row r="177" spans="1:25" x14ac:dyDescent="0.25">
      <c r="A177" s="4" t="s">
        <v>998</v>
      </c>
      <c r="B177" s="7" t="s">
        <v>508</v>
      </c>
      <c r="C177" s="2" t="s">
        <v>999</v>
      </c>
      <c r="D177">
        <f>VLOOKUP(B177,'Model allocations'!$A$1:$L$316,4,FALSE)</f>
        <v>45823.418550544171</v>
      </c>
      <c r="E177" s="31">
        <f>VLOOKUP(B177,'Initial adjusted formula count'!$A$1:$P$316,12,FALSE)</f>
        <v>0.162743091095189</v>
      </c>
      <c r="F177">
        <f>VLOOKUP(B177,'Model allocations'!$A$1:$L$316,9,FALSE)</f>
        <v>41290.557330434356</v>
      </c>
      <c r="G177" s="30">
        <f t="shared" si="45"/>
        <v>0.9</v>
      </c>
      <c r="H177">
        <f t="shared" si="46"/>
        <v>41241.076695489755</v>
      </c>
      <c r="I177">
        <f t="shared" si="38"/>
        <v>0</v>
      </c>
      <c r="J177">
        <f t="shared" si="39"/>
        <v>41290.557330434356</v>
      </c>
      <c r="K177">
        <f t="shared" si="40"/>
        <v>41245.474156810371</v>
      </c>
      <c r="L177">
        <f t="shared" si="47"/>
        <v>41245.474156810371</v>
      </c>
      <c r="M177">
        <f t="shared" si="41"/>
        <v>0</v>
      </c>
      <c r="N177" s="29">
        <f t="shared" si="48"/>
        <v>41245.474156810371</v>
      </c>
      <c r="O177" s="29">
        <f t="shared" si="42"/>
        <v>41234.437569751557</v>
      </c>
      <c r="P177" s="29">
        <f t="shared" si="49"/>
        <v>41234.437569751557</v>
      </c>
      <c r="Q177">
        <f t="shared" si="50"/>
        <v>41241.076695489755</v>
      </c>
      <c r="R177" s="29">
        <f t="shared" si="51"/>
        <v>0</v>
      </c>
      <c r="S177" s="29">
        <f t="shared" si="43"/>
        <v>0</v>
      </c>
      <c r="T177" s="29">
        <f t="shared" si="52"/>
        <v>41241.076695489755</v>
      </c>
      <c r="U177">
        <f t="shared" si="53"/>
        <v>0</v>
      </c>
      <c r="V177" s="29">
        <f t="shared" si="54"/>
        <v>0</v>
      </c>
      <c r="W177" s="29">
        <f t="shared" si="44"/>
        <v>0</v>
      </c>
      <c r="X177" s="29">
        <f t="shared" si="55"/>
        <v>41241.076695489755</v>
      </c>
      <c r="Y177">
        <f t="shared" si="56"/>
        <v>0</v>
      </c>
    </row>
    <row r="178" spans="1:25" x14ac:dyDescent="0.25">
      <c r="A178" s="4" t="s">
        <v>1000</v>
      </c>
      <c r="B178" s="7" t="s">
        <v>510</v>
      </c>
      <c r="C178" s="2" t="s">
        <v>1001</v>
      </c>
      <c r="D178">
        <f>VLOOKUP(B178,'Model allocations'!$A$1:$L$316,4,FALSE)</f>
        <v>40191.815428959919</v>
      </c>
      <c r="E178" s="31">
        <f>VLOOKUP(B178,'Initial adjusted formula count'!$A$1:$P$316,12,FALSE)</f>
        <v>0.17438271604938299</v>
      </c>
      <c r="F178">
        <f>VLOOKUP(B178,'Model allocations'!$A$1:$L$316,9,FALSE)</f>
        <v>36122.533285113706</v>
      </c>
      <c r="G178" s="30">
        <f t="shared" si="45"/>
        <v>0.9</v>
      </c>
      <c r="H178">
        <f t="shared" si="46"/>
        <v>36172.63388606393</v>
      </c>
      <c r="I178">
        <f t="shared" si="38"/>
        <v>36172.63388606393</v>
      </c>
      <c r="J178">
        <f t="shared" si="39"/>
        <v>0</v>
      </c>
      <c r="K178">
        <f t="shared" si="40"/>
        <v>0</v>
      </c>
      <c r="L178">
        <f t="shared" si="47"/>
        <v>36172.63388606393</v>
      </c>
      <c r="M178">
        <f t="shared" si="41"/>
        <v>0</v>
      </c>
      <c r="N178" s="29">
        <f t="shared" si="48"/>
        <v>0</v>
      </c>
      <c r="O178" s="29">
        <f t="shared" si="42"/>
        <v>0</v>
      </c>
      <c r="P178" s="29">
        <f t="shared" si="49"/>
        <v>36172.63388606393</v>
      </c>
      <c r="Q178">
        <f t="shared" si="50"/>
        <v>0</v>
      </c>
      <c r="R178" s="29">
        <f t="shared" si="51"/>
        <v>0</v>
      </c>
      <c r="S178" s="29">
        <f t="shared" si="43"/>
        <v>0</v>
      </c>
      <c r="T178" s="29">
        <f t="shared" si="52"/>
        <v>36172.63388606393</v>
      </c>
      <c r="U178">
        <f t="shared" si="53"/>
        <v>0</v>
      </c>
      <c r="V178" s="29">
        <f t="shared" si="54"/>
        <v>0</v>
      </c>
      <c r="W178" s="29">
        <f t="shared" si="44"/>
        <v>0</v>
      </c>
      <c r="X178" s="29">
        <f t="shared" si="55"/>
        <v>36172.63388606393</v>
      </c>
      <c r="Y178">
        <f t="shared" si="56"/>
        <v>0</v>
      </c>
    </row>
    <row r="179" spans="1:25" x14ac:dyDescent="0.25">
      <c r="A179" s="4" t="s">
        <v>1002</v>
      </c>
      <c r="B179" s="7" t="s">
        <v>287</v>
      </c>
      <c r="C179" s="2" t="s">
        <v>1003</v>
      </c>
      <c r="D179">
        <f>VLOOKUP(B179,'Model allocations'!$A$1:$L$316,4,FALSE)</f>
        <v>0</v>
      </c>
      <c r="E179" s="31">
        <f>VLOOKUP(B179,'Initial adjusted formula count'!$A$1:$P$316,12,FALSE)</f>
        <v>0.123376623376623</v>
      </c>
      <c r="F179">
        <f>VLOOKUP(B179,'Model allocations'!$A$1:$L$316,9,FALSE)</f>
        <v>0</v>
      </c>
      <c r="G179" s="30">
        <f t="shared" si="45"/>
        <v>0.85</v>
      </c>
      <c r="H179">
        <f t="shared" si="46"/>
        <v>0</v>
      </c>
      <c r="I179">
        <f t="shared" si="38"/>
        <v>0</v>
      </c>
      <c r="J179">
        <f t="shared" si="39"/>
        <v>0</v>
      </c>
      <c r="K179">
        <f t="shared" si="40"/>
        <v>0</v>
      </c>
      <c r="L179">
        <f t="shared" si="47"/>
        <v>0</v>
      </c>
      <c r="M179">
        <f t="shared" si="41"/>
        <v>0</v>
      </c>
      <c r="N179" s="29">
        <f t="shared" si="48"/>
        <v>0</v>
      </c>
      <c r="O179" s="29">
        <f t="shared" si="42"/>
        <v>0</v>
      </c>
      <c r="P179" s="29">
        <f t="shared" si="49"/>
        <v>0</v>
      </c>
      <c r="Q179">
        <f t="shared" si="50"/>
        <v>0</v>
      </c>
      <c r="R179" s="29">
        <f t="shared" si="51"/>
        <v>0</v>
      </c>
      <c r="S179" s="29">
        <f t="shared" si="43"/>
        <v>0</v>
      </c>
      <c r="T179" s="29">
        <f t="shared" si="52"/>
        <v>0</v>
      </c>
      <c r="U179">
        <f t="shared" si="53"/>
        <v>0</v>
      </c>
      <c r="V179" s="29">
        <f t="shared" si="54"/>
        <v>0</v>
      </c>
      <c r="W179" s="29">
        <f t="shared" si="44"/>
        <v>0</v>
      </c>
      <c r="X179" s="29">
        <f t="shared" si="55"/>
        <v>0</v>
      </c>
      <c r="Y179">
        <f t="shared" si="56"/>
        <v>0</v>
      </c>
    </row>
    <row r="180" spans="1:25" x14ac:dyDescent="0.25">
      <c r="A180" s="4" t="s">
        <v>1004</v>
      </c>
      <c r="B180" s="7" t="s">
        <v>512</v>
      </c>
      <c r="C180" s="2" t="s">
        <v>1005</v>
      </c>
      <c r="D180">
        <f>VLOOKUP(B180,'Model allocations'!$A$1:$L$316,4,FALSE)</f>
        <v>44353.742457781889</v>
      </c>
      <c r="E180" s="31">
        <f>VLOOKUP(B180,'Initial adjusted formula count'!$A$1:$P$316,12,FALSE)</f>
        <v>0.17566137566137599</v>
      </c>
      <c r="F180">
        <f>VLOOKUP(B180,'Model allocations'!$A$1:$L$316,9,FALSE)</f>
        <v>39918.368212003705</v>
      </c>
      <c r="G180" s="30">
        <f t="shared" si="45"/>
        <v>0.9</v>
      </c>
      <c r="H180">
        <f t="shared" si="46"/>
        <v>39918.368212003705</v>
      </c>
      <c r="I180">
        <f t="shared" si="38"/>
        <v>0</v>
      </c>
      <c r="J180">
        <f t="shared" si="39"/>
        <v>39918.368212003705</v>
      </c>
      <c r="K180">
        <f t="shared" si="40"/>
        <v>39874.783265680846</v>
      </c>
      <c r="L180">
        <f t="shared" si="47"/>
        <v>39874.783265680846</v>
      </c>
      <c r="M180">
        <f t="shared" si="41"/>
        <v>39918.368212003705</v>
      </c>
      <c r="N180" s="29">
        <f t="shared" si="48"/>
        <v>0</v>
      </c>
      <c r="O180" s="29">
        <f t="shared" si="42"/>
        <v>0</v>
      </c>
      <c r="P180" s="29">
        <f t="shared" si="49"/>
        <v>39918.368212003705</v>
      </c>
      <c r="Q180">
        <f t="shared" si="50"/>
        <v>0</v>
      </c>
      <c r="R180" s="29">
        <f t="shared" si="51"/>
        <v>0</v>
      </c>
      <c r="S180" s="29">
        <f t="shared" si="43"/>
        <v>0</v>
      </c>
      <c r="T180" s="29">
        <f t="shared" si="52"/>
        <v>39918.368212003705</v>
      </c>
      <c r="U180">
        <f t="shared" si="53"/>
        <v>0</v>
      </c>
      <c r="V180" s="29">
        <f t="shared" si="54"/>
        <v>0</v>
      </c>
      <c r="W180" s="29">
        <f t="shared" si="44"/>
        <v>0</v>
      </c>
      <c r="X180" s="29">
        <f t="shared" si="55"/>
        <v>39918.368212003705</v>
      </c>
      <c r="Y180">
        <f t="shared" si="56"/>
        <v>0</v>
      </c>
    </row>
    <row r="181" spans="1:25" x14ac:dyDescent="0.25">
      <c r="A181" s="4" t="s">
        <v>1006</v>
      </c>
      <c r="B181" s="7" t="s">
        <v>188</v>
      </c>
      <c r="C181" s="2" t="s">
        <v>1007</v>
      </c>
      <c r="D181">
        <f>VLOOKUP(B181,'Model allocations'!$A$1:$L$316,4,FALSE)</f>
        <v>0</v>
      </c>
      <c r="E181" s="31">
        <f>VLOOKUP(B181,'Initial adjusted formula count'!$A$1:$P$316,12,FALSE)</f>
        <v>7.7306255388447195E-2</v>
      </c>
      <c r="F181">
        <f>VLOOKUP(B181,'Model allocations'!$A$1:$L$316,9,FALSE)</f>
        <v>0</v>
      </c>
      <c r="G181" s="30">
        <f t="shared" si="45"/>
        <v>0.85</v>
      </c>
      <c r="H181">
        <f t="shared" si="46"/>
        <v>0</v>
      </c>
      <c r="I181">
        <f t="shared" si="38"/>
        <v>0</v>
      </c>
      <c r="J181">
        <f t="shared" si="39"/>
        <v>0</v>
      </c>
      <c r="K181">
        <f t="shared" si="40"/>
        <v>0</v>
      </c>
      <c r="L181">
        <f t="shared" si="47"/>
        <v>0</v>
      </c>
      <c r="M181">
        <f t="shared" si="41"/>
        <v>0</v>
      </c>
      <c r="N181" s="29">
        <f t="shared" si="48"/>
        <v>0</v>
      </c>
      <c r="O181" s="29">
        <f t="shared" si="42"/>
        <v>0</v>
      </c>
      <c r="P181" s="29">
        <f t="shared" si="49"/>
        <v>0</v>
      </c>
      <c r="Q181">
        <f t="shared" si="50"/>
        <v>0</v>
      </c>
      <c r="R181" s="29">
        <f t="shared" si="51"/>
        <v>0</v>
      </c>
      <c r="S181" s="29">
        <f t="shared" si="43"/>
        <v>0</v>
      </c>
      <c r="T181" s="29">
        <f t="shared" si="52"/>
        <v>0</v>
      </c>
      <c r="U181">
        <f t="shared" si="53"/>
        <v>0</v>
      </c>
      <c r="V181" s="29">
        <f t="shared" si="54"/>
        <v>0</v>
      </c>
      <c r="W181" s="29">
        <f t="shared" si="44"/>
        <v>0</v>
      </c>
      <c r="X181" s="29">
        <f t="shared" si="55"/>
        <v>0</v>
      </c>
      <c r="Y181">
        <f t="shared" si="56"/>
        <v>0</v>
      </c>
    </row>
    <row r="182" spans="1:25" x14ac:dyDescent="0.25">
      <c r="A182" s="4" t="s">
        <v>1008</v>
      </c>
      <c r="B182" s="7" t="s">
        <v>514</v>
      </c>
      <c r="C182" s="2" t="s">
        <v>1009</v>
      </c>
      <c r="D182">
        <f>VLOOKUP(B182,'Model allocations'!$A$1:$L$316,4,FALSE)</f>
        <v>91880.630052876819</v>
      </c>
      <c r="E182" s="31">
        <f>VLOOKUP(B182,'Initial adjusted formula count'!$A$1:$P$316,12,FALSE)</f>
        <v>0.18599679315873899</v>
      </c>
      <c r="F182">
        <f>VLOOKUP(B182,'Model allocations'!$A$1:$L$316,9,FALSE)</f>
        <v>82791.780769697449</v>
      </c>
      <c r="G182" s="30">
        <f t="shared" si="45"/>
        <v>0.9</v>
      </c>
      <c r="H182">
        <f t="shared" si="46"/>
        <v>82692.567047589138</v>
      </c>
      <c r="I182">
        <f t="shared" si="38"/>
        <v>0</v>
      </c>
      <c r="J182">
        <f t="shared" si="39"/>
        <v>82791.780769697449</v>
      </c>
      <c r="K182">
        <f t="shared" si="40"/>
        <v>82701.384406257523</v>
      </c>
      <c r="L182">
        <f t="shared" si="47"/>
        <v>82701.384406257523</v>
      </c>
      <c r="M182">
        <f t="shared" si="41"/>
        <v>0</v>
      </c>
      <c r="N182" s="29">
        <f t="shared" si="48"/>
        <v>82701.384406257523</v>
      </c>
      <c r="O182" s="29">
        <f t="shared" si="42"/>
        <v>82679.25492302225</v>
      </c>
      <c r="P182" s="29">
        <f t="shared" si="49"/>
        <v>82679.25492302225</v>
      </c>
      <c r="Q182">
        <f t="shared" si="50"/>
        <v>82692.567047589138</v>
      </c>
      <c r="R182" s="29">
        <f t="shared" si="51"/>
        <v>0</v>
      </c>
      <c r="S182" s="29">
        <f t="shared" si="43"/>
        <v>0</v>
      </c>
      <c r="T182" s="29">
        <f t="shared" si="52"/>
        <v>82692.567047589138</v>
      </c>
      <c r="U182">
        <f t="shared" si="53"/>
        <v>0</v>
      </c>
      <c r="V182" s="29">
        <f t="shared" si="54"/>
        <v>0</v>
      </c>
      <c r="W182" s="29">
        <f t="shared" si="44"/>
        <v>0</v>
      </c>
      <c r="X182" s="29">
        <f t="shared" si="55"/>
        <v>82692.567047589138</v>
      </c>
      <c r="Y182">
        <f t="shared" si="56"/>
        <v>0</v>
      </c>
    </row>
    <row r="183" spans="1:25" x14ac:dyDescent="0.25">
      <c r="A183" s="4" t="s">
        <v>1010</v>
      </c>
      <c r="B183" s="7" t="s">
        <v>516</v>
      </c>
      <c r="C183" s="2" t="s">
        <v>1011</v>
      </c>
      <c r="D183">
        <f>VLOOKUP(B183,'Model allocations'!$A$1:$L$316,4,FALSE)</f>
        <v>22320.43764243984</v>
      </c>
      <c r="E183" s="31">
        <f>VLOOKUP(B183,'Initial adjusted formula count'!$A$1:$P$316,12,FALSE)</f>
        <v>0.104275286757039</v>
      </c>
      <c r="F183">
        <f>VLOOKUP(B183,'Model allocations'!$A$1:$L$316,9,FALSE)</f>
        <v>18972.371996073864</v>
      </c>
      <c r="G183" s="30">
        <f t="shared" si="45"/>
        <v>0.85</v>
      </c>
      <c r="H183">
        <f t="shared" si="46"/>
        <v>18972.371996073864</v>
      </c>
      <c r="I183">
        <f t="shared" si="38"/>
        <v>0</v>
      </c>
      <c r="J183">
        <f t="shared" si="39"/>
        <v>18972.371996073864</v>
      </c>
      <c r="K183">
        <f t="shared" si="40"/>
        <v>18951.656975593203</v>
      </c>
      <c r="L183">
        <f t="shared" si="47"/>
        <v>18951.656975593203</v>
      </c>
      <c r="M183">
        <f t="shared" si="41"/>
        <v>18972.371996073864</v>
      </c>
      <c r="N183" s="29">
        <f t="shared" si="48"/>
        <v>0</v>
      </c>
      <c r="O183" s="29">
        <f t="shared" si="42"/>
        <v>0</v>
      </c>
      <c r="P183" s="29">
        <f t="shared" si="49"/>
        <v>18972.371996073864</v>
      </c>
      <c r="Q183">
        <f t="shared" si="50"/>
        <v>0</v>
      </c>
      <c r="R183" s="29">
        <f t="shared" si="51"/>
        <v>0</v>
      </c>
      <c r="S183" s="29">
        <f t="shared" si="43"/>
        <v>0</v>
      </c>
      <c r="T183" s="29">
        <f t="shared" si="52"/>
        <v>18972.371996073864</v>
      </c>
      <c r="U183">
        <f t="shared" si="53"/>
        <v>0</v>
      </c>
      <c r="V183" s="29">
        <f t="shared" si="54"/>
        <v>0</v>
      </c>
      <c r="W183" s="29">
        <f t="shared" si="44"/>
        <v>0</v>
      </c>
      <c r="X183" s="29">
        <f t="shared" si="55"/>
        <v>18972.371996073864</v>
      </c>
      <c r="Y183">
        <f t="shared" si="56"/>
        <v>0</v>
      </c>
    </row>
    <row r="184" spans="1:25" x14ac:dyDescent="0.25">
      <c r="A184" s="4" t="s">
        <v>1012</v>
      </c>
      <c r="B184" s="7" t="s">
        <v>518</v>
      </c>
      <c r="C184" s="2" t="s">
        <v>1013</v>
      </c>
      <c r="D184">
        <f>VLOOKUP(B184,'Model allocations'!$A$1:$L$316,4,FALSE)</f>
        <v>5611.0308429237757</v>
      </c>
      <c r="E184" s="31">
        <f>VLOOKUP(B184,'Initial adjusted formula count'!$A$1:$P$316,12,FALSE)</f>
        <v>0.29032258064516098</v>
      </c>
      <c r="F184">
        <f>VLOOKUP(B184,'Model allocations'!$A$1:$L$316,9,FALSE)</f>
        <v>5055.9866118899208</v>
      </c>
      <c r="G184" s="30">
        <f t="shared" si="45"/>
        <v>0.9</v>
      </c>
      <c r="H184">
        <f t="shared" si="46"/>
        <v>5049.9277586313983</v>
      </c>
      <c r="I184">
        <f t="shared" si="38"/>
        <v>0</v>
      </c>
      <c r="J184">
        <f t="shared" si="39"/>
        <v>5055.9866118899208</v>
      </c>
      <c r="K184">
        <f t="shared" si="40"/>
        <v>5050.4662232829023</v>
      </c>
      <c r="L184">
        <f t="shared" si="47"/>
        <v>5050.4662232829023</v>
      </c>
      <c r="M184">
        <f t="shared" si="41"/>
        <v>0</v>
      </c>
      <c r="N184" s="29">
        <f t="shared" si="48"/>
        <v>5050.4662232829023</v>
      </c>
      <c r="O184" s="29">
        <f t="shared" si="42"/>
        <v>5049.1148044593747</v>
      </c>
      <c r="P184" s="29">
        <f t="shared" si="49"/>
        <v>5049.1148044593747</v>
      </c>
      <c r="Q184">
        <f t="shared" si="50"/>
        <v>5049.9277586313983</v>
      </c>
      <c r="R184" s="29">
        <f t="shared" si="51"/>
        <v>0</v>
      </c>
      <c r="S184" s="29">
        <f t="shared" si="43"/>
        <v>0</v>
      </c>
      <c r="T184" s="29">
        <f t="shared" si="52"/>
        <v>5049.9277586313983</v>
      </c>
      <c r="U184">
        <f t="shared" si="53"/>
        <v>0</v>
      </c>
      <c r="V184" s="29">
        <f t="shared" si="54"/>
        <v>0</v>
      </c>
      <c r="W184" s="29">
        <f t="shared" si="44"/>
        <v>0</v>
      </c>
      <c r="X184" s="29">
        <f t="shared" si="55"/>
        <v>5049.9277586313983</v>
      </c>
      <c r="Y184">
        <f t="shared" si="56"/>
        <v>0</v>
      </c>
    </row>
    <row r="185" spans="1:25" x14ac:dyDescent="0.25">
      <c r="A185" s="4" t="s">
        <v>1014</v>
      </c>
      <c r="B185" s="7" t="s">
        <v>520</v>
      </c>
      <c r="C185" s="2" t="s">
        <v>1015</v>
      </c>
      <c r="D185">
        <f>VLOOKUP(B185,'Model allocations'!$A$1:$L$316,4,FALSE)</f>
        <v>0</v>
      </c>
      <c r="E185" s="31">
        <f>VLOOKUP(B185,'Initial adjusted formula count'!$A$1:$P$316,12,FALSE)</f>
        <v>0.123674911660777</v>
      </c>
      <c r="F185">
        <f>VLOOKUP(B185,'Model allocations'!$A$1:$L$316,9,FALSE)</f>
        <v>0</v>
      </c>
      <c r="G185" s="30">
        <f t="shared" si="45"/>
        <v>0.85</v>
      </c>
      <c r="H185">
        <f t="shared" si="46"/>
        <v>0</v>
      </c>
      <c r="I185">
        <f t="shared" si="38"/>
        <v>0</v>
      </c>
      <c r="J185">
        <f t="shared" si="39"/>
        <v>0</v>
      </c>
      <c r="K185">
        <f t="shared" si="40"/>
        <v>0</v>
      </c>
      <c r="L185">
        <f t="shared" si="47"/>
        <v>0</v>
      </c>
      <c r="M185">
        <f t="shared" si="41"/>
        <v>0</v>
      </c>
      <c r="N185" s="29">
        <f t="shared" si="48"/>
        <v>0</v>
      </c>
      <c r="O185" s="29">
        <f t="shared" si="42"/>
        <v>0</v>
      </c>
      <c r="P185" s="29">
        <f t="shared" si="49"/>
        <v>0</v>
      </c>
      <c r="Q185">
        <f t="shared" si="50"/>
        <v>0</v>
      </c>
      <c r="R185" s="29">
        <f t="shared" si="51"/>
        <v>0</v>
      </c>
      <c r="S185" s="29">
        <f t="shared" si="43"/>
        <v>0</v>
      </c>
      <c r="T185" s="29">
        <f t="shared" si="52"/>
        <v>0</v>
      </c>
      <c r="U185">
        <f t="shared" si="53"/>
        <v>0</v>
      </c>
      <c r="V185" s="29">
        <f t="shared" si="54"/>
        <v>0</v>
      </c>
      <c r="W185" s="29">
        <f t="shared" si="44"/>
        <v>0</v>
      </c>
      <c r="X185" s="29">
        <f t="shared" si="55"/>
        <v>0</v>
      </c>
      <c r="Y185">
        <f t="shared" si="56"/>
        <v>0</v>
      </c>
    </row>
    <row r="186" spans="1:25" x14ac:dyDescent="0.25">
      <c r="A186" s="4" t="s">
        <v>1016</v>
      </c>
      <c r="B186" s="7" t="s">
        <v>289</v>
      </c>
      <c r="C186" s="2" t="s">
        <v>1017</v>
      </c>
      <c r="D186">
        <f>VLOOKUP(B186,'Model allocations'!$A$1:$L$316,4,FALSE)</f>
        <v>0</v>
      </c>
      <c r="E186" s="31">
        <f>VLOOKUP(B186,'Initial adjusted formula count'!$A$1:$P$316,12,FALSE)</f>
        <v>5.0847457627118599E-2</v>
      </c>
      <c r="F186">
        <f>VLOOKUP(B186,'Model allocations'!$A$1:$L$316,9,FALSE)</f>
        <v>0</v>
      </c>
      <c r="G186" s="30">
        <f t="shared" si="45"/>
        <v>0.85</v>
      </c>
      <c r="H186">
        <f t="shared" si="46"/>
        <v>0</v>
      </c>
      <c r="I186">
        <f t="shared" si="38"/>
        <v>0</v>
      </c>
      <c r="J186">
        <f t="shared" si="39"/>
        <v>0</v>
      </c>
      <c r="K186">
        <f t="shared" si="40"/>
        <v>0</v>
      </c>
      <c r="L186">
        <f t="shared" si="47"/>
        <v>0</v>
      </c>
      <c r="M186">
        <f t="shared" si="41"/>
        <v>0</v>
      </c>
      <c r="N186" s="29">
        <f t="shared" si="48"/>
        <v>0</v>
      </c>
      <c r="O186" s="29">
        <f t="shared" si="42"/>
        <v>0</v>
      </c>
      <c r="P186" s="29">
        <f t="shared" si="49"/>
        <v>0</v>
      </c>
      <c r="Q186">
        <f t="shared" si="50"/>
        <v>0</v>
      </c>
      <c r="R186" s="29">
        <f t="shared" si="51"/>
        <v>0</v>
      </c>
      <c r="S186" s="29">
        <f t="shared" si="43"/>
        <v>0</v>
      </c>
      <c r="T186" s="29">
        <f t="shared" si="52"/>
        <v>0</v>
      </c>
      <c r="U186">
        <f t="shared" si="53"/>
        <v>0</v>
      </c>
      <c r="V186" s="29">
        <f t="shared" si="54"/>
        <v>0</v>
      </c>
      <c r="W186" s="29">
        <f t="shared" si="44"/>
        <v>0</v>
      </c>
      <c r="X186" s="29">
        <f t="shared" si="55"/>
        <v>0</v>
      </c>
      <c r="Y186">
        <f t="shared" si="56"/>
        <v>0</v>
      </c>
    </row>
    <row r="187" spans="1:25" x14ac:dyDescent="0.25">
      <c r="A187" s="4" t="s">
        <v>1018</v>
      </c>
      <c r="B187" s="7" t="s">
        <v>522</v>
      </c>
      <c r="C187" s="2" t="s">
        <v>1019</v>
      </c>
      <c r="D187">
        <f>VLOOKUP(B187,'Model allocations'!$A$1:$L$316,4,FALSE)</f>
        <v>10520.682830482085</v>
      </c>
      <c r="E187" s="31">
        <f>VLOOKUP(B187,'Initial adjusted formula count'!$A$1:$P$316,12,FALSE)</f>
        <v>0.170542635658915</v>
      </c>
      <c r="F187">
        <f>VLOOKUP(B187,'Model allocations'!$A$1:$L$316,9,FALSE)</f>
        <v>9479.9748972936068</v>
      </c>
      <c r="G187" s="30">
        <f t="shared" si="45"/>
        <v>0.9</v>
      </c>
      <c r="H187">
        <f t="shared" si="46"/>
        <v>9468.6145474338773</v>
      </c>
      <c r="I187">
        <f t="shared" si="38"/>
        <v>0</v>
      </c>
      <c r="J187">
        <f t="shared" si="39"/>
        <v>9479.9748972936068</v>
      </c>
      <c r="K187">
        <f t="shared" si="40"/>
        <v>9469.6241686554458</v>
      </c>
      <c r="L187">
        <f t="shared" si="47"/>
        <v>9469.6241686554458</v>
      </c>
      <c r="M187">
        <f t="shared" si="41"/>
        <v>0</v>
      </c>
      <c r="N187" s="29">
        <f t="shared" si="48"/>
        <v>9469.6241686554458</v>
      </c>
      <c r="O187" s="29">
        <f t="shared" si="42"/>
        <v>9467.0902583613297</v>
      </c>
      <c r="P187" s="29">
        <f t="shared" si="49"/>
        <v>9467.0902583613297</v>
      </c>
      <c r="Q187">
        <f t="shared" si="50"/>
        <v>9468.6145474338773</v>
      </c>
      <c r="R187" s="29">
        <f t="shared" si="51"/>
        <v>0</v>
      </c>
      <c r="S187" s="29">
        <f t="shared" si="43"/>
        <v>0</v>
      </c>
      <c r="T187" s="29">
        <f t="shared" si="52"/>
        <v>9468.6145474338773</v>
      </c>
      <c r="U187">
        <f t="shared" si="53"/>
        <v>0</v>
      </c>
      <c r="V187" s="29">
        <f t="shared" si="54"/>
        <v>0</v>
      </c>
      <c r="W187" s="29">
        <f t="shared" si="44"/>
        <v>0</v>
      </c>
      <c r="X187" s="29">
        <f t="shared" si="55"/>
        <v>9468.6145474338773</v>
      </c>
      <c r="Y187">
        <f t="shared" si="56"/>
        <v>0</v>
      </c>
    </row>
    <row r="188" spans="1:25" x14ac:dyDescent="0.25">
      <c r="A188" s="4" t="s">
        <v>1020</v>
      </c>
      <c r="B188" s="7" t="s">
        <v>524</v>
      </c>
      <c r="C188" s="2" t="s">
        <v>1021</v>
      </c>
      <c r="D188">
        <f>VLOOKUP(B188,'Model allocations'!$A$1:$L$316,4,FALSE)</f>
        <v>11303.555176630483</v>
      </c>
      <c r="E188" s="31">
        <f>VLOOKUP(B188,'Initial adjusted formula count'!$A$1:$P$316,12,FALSE)</f>
        <v>6.15384615384615E-2</v>
      </c>
      <c r="F188">
        <f>VLOOKUP(B188,'Model allocations'!$A$1:$L$316,9,FALSE)</f>
        <v>9608.021900135911</v>
      </c>
      <c r="G188" s="30">
        <f t="shared" si="45"/>
        <v>0.85</v>
      </c>
      <c r="H188">
        <f t="shared" si="46"/>
        <v>9608.021900135911</v>
      </c>
      <c r="I188">
        <f t="shared" si="38"/>
        <v>0</v>
      </c>
      <c r="J188">
        <f t="shared" si="39"/>
        <v>9608.021900135911</v>
      </c>
      <c r="K188">
        <f t="shared" si="40"/>
        <v>9597.5313631339413</v>
      </c>
      <c r="L188">
        <f t="shared" si="47"/>
        <v>9597.5313631339413</v>
      </c>
      <c r="M188">
        <f t="shared" si="41"/>
        <v>9608.021900135911</v>
      </c>
      <c r="N188" s="29">
        <f t="shared" si="48"/>
        <v>0</v>
      </c>
      <c r="O188" s="29">
        <f t="shared" si="42"/>
        <v>0</v>
      </c>
      <c r="P188" s="29">
        <f t="shared" si="49"/>
        <v>9608.021900135911</v>
      </c>
      <c r="Q188">
        <f t="shared" si="50"/>
        <v>0</v>
      </c>
      <c r="R188" s="29">
        <f t="shared" si="51"/>
        <v>0</v>
      </c>
      <c r="S188" s="29">
        <f t="shared" si="43"/>
        <v>0</v>
      </c>
      <c r="T188" s="29">
        <f t="shared" si="52"/>
        <v>9608.021900135911</v>
      </c>
      <c r="U188">
        <f t="shared" si="53"/>
        <v>0</v>
      </c>
      <c r="V188" s="29">
        <f t="shared" si="54"/>
        <v>0</v>
      </c>
      <c r="W188" s="29">
        <f t="shared" si="44"/>
        <v>0</v>
      </c>
      <c r="X188" s="29">
        <f t="shared" si="55"/>
        <v>9608.021900135911</v>
      </c>
      <c r="Y188">
        <f t="shared" si="56"/>
        <v>0</v>
      </c>
    </row>
    <row r="189" spans="1:25" x14ac:dyDescent="0.25">
      <c r="A189" s="4" t="s">
        <v>1022</v>
      </c>
      <c r="B189" s="7" t="s">
        <v>526</v>
      </c>
      <c r="C189" s="2" t="s">
        <v>1023</v>
      </c>
      <c r="D189">
        <f>VLOOKUP(B189,'Model allocations'!$A$1:$L$316,4,FALSE)</f>
        <v>51879.227289207352</v>
      </c>
      <c r="E189" s="31">
        <f>VLOOKUP(B189,'Initial adjusted formula count'!$A$1:$P$316,12,FALSE)</f>
        <v>0.19738751814223501</v>
      </c>
      <c r="F189">
        <f>VLOOKUP(B189,'Model allocations'!$A$1:$L$316,9,FALSE)</f>
        <v>46691.304560286619</v>
      </c>
      <c r="G189" s="30">
        <f t="shared" si="45"/>
        <v>0.9</v>
      </c>
      <c r="H189">
        <f t="shared" si="46"/>
        <v>46691.304560286619</v>
      </c>
      <c r="I189">
        <f t="shared" si="38"/>
        <v>0</v>
      </c>
      <c r="J189">
        <f t="shared" si="39"/>
        <v>46691.304560286619</v>
      </c>
      <c r="K189">
        <f t="shared" si="40"/>
        <v>46640.324570518584</v>
      </c>
      <c r="L189">
        <f t="shared" si="47"/>
        <v>46640.324570518584</v>
      </c>
      <c r="M189">
        <f t="shared" si="41"/>
        <v>46691.304560286619</v>
      </c>
      <c r="N189" s="29">
        <f t="shared" si="48"/>
        <v>0</v>
      </c>
      <c r="O189" s="29">
        <f t="shared" si="42"/>
        <v>0</v>
      </c>
      <c r="P189" s="29">
        <f t="shared" si="49"/>
        <v>46691.304560286619</v>
      </c>
      <c r="Q189">
        <f t="shared" si="50"/>
        <v>0</v>
      </c>
      <c r="R189" s="29">
        <f t="shared" si="51"/>
        <v>0</v>
      </c>
      <c r="S189" s="29">
        <f t="shared" si="43"/>
        <v>0</v>
      </c>
      <c r="T189" s="29">
        <f t="shared" si="52"/>
        <v>46691.304560286619</v>
      </c>
      <c r="U189">
        <f t="shared" si="53"/>
        <v>0</v>
      </c>
      <c r="V189" s="29">
        <f t="shared" si="54"/>
        <v>0</v>
      </c>
      <c r="W189" s="29">
        <f t="shared" si="44"/>
        <v>0</v>
      </c>
      <c r="X189" s="29">
        <f t="shared" si="55"/>
        <v>46691.304560286619</v>
      </c>
      <c r="Y189">
        <f t="shared" si="56"/>
        <v>0</v>
      </c>
    </row>
    <row r="190" spans="1:25" x14ac:dyDescent="0.25">
      <c r="A190" s="4" t="s">
        <v>1024</v>
      </c>
      <c r="B190" s="7" t="s">
        <v>291</v>
      </c>
      <c r="C190" s="2" t="s">
        <v>1025</v>
      </c>
      <c r="D190">
        <f>VLOOKUP(B190,'Model allocations'!$A$1:$L$316,4,FALSE)</f>
        <v>0</v>
      </c>
      <c r="E190" s="31">
        <f>VLOOKUP(B190,'Initial adjusted formula count'!$A$1:$P$316,12,FALSE)</f>
        <v>6.4693317058285002E-2</v>
      </c>
      <c r="F190">
        <f>VLOOKUP(B190,'Model allocations'!$A$1:$L$316,9,FALSE)</f>
        <v>0</v>
      </c>
      <c r="G190" s="30">
        <f t="shared" si="45"/>
        <v>0.85</v>
      </c>
      <c r="H190">
        <f t="shared" si="46"/>
        <v>0</v>
      </c>
      <c r="I190">
        <f t="shared" si="38"/>
        <v>0</v>
      </c>
      <c r="J190">
        <f t="shared" si="39"/>
        <v>0</v>
      </c>
      <c r="K190">
        <f t="shared" si="40"/>
        <v>0</v>
      </c>
      <c r="L190">
        <f t="shared" si="47"/>
        <v>0</v>
      </c>
      <c r="M190">
        <f t="shared" si="41"/>
        <v>0</v>
      </c>
      <c r="N190" s="29">
        <f t="shared" si="48"/>
        <v>0</v>
      </c>
      <c r="O190" s="29">
        <f t="shared" si="42"/>
        <v>0</v>
      </c>
      <c r="P190" s="29">
        <f t="shared" si="49"/>
        <v>0</v>
      </c>
      <c r="Q190">
        <f t="shared" si="50"/>
        <v>0</v>
      </c>
      <c r="R190" s="29">
        <f t="shared" si="51"/>
        <v>0</v>
      </c>
      <c r="S190" s="29">
        <f t="shared" si="43"/>
        <v>0</v>
      </c>
      <c r="T190" s="29">
        <f t="shared" si="52"/>
        <v>0</v>
      </c>
      <c r="U190">
        <f t="shared" si="53"/>
        <v>0</v>
      </c>
      <c r="V190" s="29">
        <f t="shared" si="54"/>
        <v>0</v>
      </c>
      <c r="W190" s="29">
        <f t="shared" si="44"/>
        <v>0</v>
      </c>
      <c r="X190" s="29">
        <f t="shared" si="55"/>
        <v>0</v>
      </c>
      <c r="Y190">
        <f t="shared" si="56"/>
        <v>0</v>
      </c>
    </row>
    <row r="191" spans="1:25" x14ac:dyDescent="0.25">
      <c r="A191" s="4" t="s">
        <v>1026</v>
      </c>
      <c r="B191" s="7" t="s">
        <v>528</v>
      </c>
      <c r="C191" s="2" t="s">
        <v>1027</v>
      </c>
      <c r="D191">
        <f>VLOOKUP(B191,'Model allocations'!$A$1:$L$316,4,FALSE)</f>
        <v>211115.03546500692</v>
      </c>
      <c r="E191" s="31">
        <f>VLOOKUP(B191,'Initial adjusted formula count'!$A$1:$P$316,12,FALSE)</f>
        <v>0.20232609172701299</v>
      </c>
      <c r="F191">
        <f>VLOOKUP(B191,'Model allocations'!$A$1:$L$316,9,FALSE)</f>
        <v>218891.90787580947</v>
      </c>
      <c r="G191" s="30">
        <f t="shared" si="45"/>
        <v>0.9</v>
      </c>
      <c r="H191">
        <f t="shared" si="46"/>
        <v>190003.53191850623</v>
      </c>
      <c r="I191">
        <f t="shared" si="38"/>
        <v>0</v>
      </c>
      <c r="J191">
        <f t="shared" si="39"/>
        <v>218891.90787580947</v>
      </c>
      <c r="K191">
        <f t="shared" si="40"/>
        <v>218652.91032950181</v>
      </c>
      <c r="L191">
        <f t="shared" si="47"/>
        <v>218652.91032950181</v>
      </c>
      <c r="M191">
        <f t="shared" si="41"/>
        <v>0</v>
      </c>
      <c r="N191" s="29">
        <f t="shared" si="48"/>
        <v>218652.91032950181</v>
      </c>
      <c r="O191" s="29">
        <f t="shared" si="42"/>
        <v>218594.40253125611</v>
      </c>
      <c r="P191" s="29">
        <f t="shared" si="49"/>
        <v>218594.40253125611</v>
      </c>
      <c r="Q191">
        <f t="shared" si="50"/>
        <v>0</v>
      </c>
      <c r="R191" s="29">
        <f t="shared" si="51"/>
        <v>218594.40253125611</v>
      </c>
      <c r="S191" s="29">
        <f t="shared" si="43"/>
        <v>218587.76415765312</v>
      </c>
      <c r="T191" s="29">
        <f t="shared" si="52"/>
        <v>218587.76415765312</v>
      </c>
      <c r="U191">
        <f t="shared" si="53"/>
        <v>0</v>
      </c>
      <c r="V191" s="29">
        <f t="shared" si="54"/>
        <v>218587.76415765312</v>
      </c>
      <c r="W191" s="29">
        <f t="shared" si="44"/>
        <v>218587.76415765312</v>
      </c>
      <c r="X191" s="29">
        <f t="shared" si="55"/>
        <v>218587.76415765312</v>
      </c>
      <c r="Y191">
        <f t="shared" si="56"/>
        <v>0</v>
      </c>
    </row>
    <row r="192" spans="1:25" x14ac:dyDescent="0.25">
      <c r="A192" s="4" t="s">
        <v>1028</v>
      </c>
      <c r="B192" s="7" t="s">
        <v>530</v>
      </c>
      <c r="C192" s="2" t="s">
        <v>1029</v>
      </c>
      <c r="D192">
        <f>VLOOKUP(B192,'Model allocations'!$A$1:$L$316,4,FALSE)</f>
        <v>2102.5690869090085</v>
      </c>
      <c r="E192" s="31">
        <f>VLOOKUP(B192,'Initial adjusted formula count'!$A$1:$P$316,12,FALSE)</f>
        <v>8.6956521739130405E-2</v>
      </c>
      <c r="F192">
        <f>VLOOKUP(B192,'Model allocations'!$A$1:$L$316,9,FALSE)</f>
        <v>1787.1837238726573</v>
      </c>
      <c r="G192" s="30">
        <f t="shared" si="45"/>
        <v>0.85</v>
      </c>
      <c r="H192">
        <f t="shared" si="46"/>
        <v>1787.1837238726573</v>
      </c>
      <c r="I192">
        <f t="shared" si="38"/>
        <v>0</v>
      </c>
      <c r="J192">
        <f t="shared" si="39"/>
        <v>1787.1837238726573</v>
      </c>
      <c r="K192">
        <f t="shared" si="40"/>
        <v>1785.2323839215755</v>
      </c>
      <c r="L192">
        <f t="shared" si="47"/>
        <v>1785.2323839215755</v>
      </c>
      <c r="M192">
        <f t="shared" si="41"/>
        <v>1787.1837238726573</v>
      </c>
      <c r="N192" s="29">
        <f t="shared" si="48"/>
        <v>0</v>
      </c>
      <c r="O192" s="29">
        <f t="shared" si="42"/>
        <v>0</v>
      </c>
      <c r="P192" s="29">
        <f t="shared" si="49"/>
        <v>1787.1837238726573</v>
      </c>
      <c r="Q192">
        <f t="shared" si="50"/>
        <v>0</v>
      </c>
      <c r="R192" s="29">
        <f t="shared" si="51"/>
        <v>0</v>
      </c>
      <c r="S192" s="29">
        <f t="shared" si="43"/>
        <v>0</v>
      </c>
      <c r="T192" s="29">
        <f t="shared" si="52"/>
        <v>1787.1837238726573</v>
      </c>
      <c r="U192">
        <f t="shared" si="53"/>
        <v>0</v>
      </c>
      <c r="V192" s="29">
        <f t="shared" si="54"/>
        <v>0</v>
      </c>
      <c r="W192" s="29">
        <f t="shared" si="44"/>
        <v>0</v>
      </c>
      <c r="X192" s="29">
        <f t="shared" si="55"/>
        <v>1787.1837238726573</v>
      </c>
      <c r="Y192">
        <f t="shared" si="56"/>
        <v>0</v>
      </c>
    </row>
    <row r="193" spans="1:25" x14ac:dyDescent="0.25">
      <c r="A193" s="4" t="s">
        <v>1030</v>
      </c>
      <c r="B193" s="7" t="s">
        <v>532</v>
      </c>
      <c r="C193" s="2" t="s">
        <v>1031</v>
      </c>
      <c r="D193">
        <f>VLOOKUP(B193,'Model allocations'!$A$1:$L$316,4,FALSE)</f>
        <v>0</v>
      </c>
      <c r="E193" s="31">
        <f>VLOOKUP(B193,'Initial adjusted formula count'!$A$1:$P$316,12,FALSE)</f>
        <v>5.6680161943319797E-2</v>
      </c>
      <c r="F193">
        <f>VLOOKUP(B193,'Model allocations'!$A$1:$L$316,9,FALSE)</f>
        <v>0</v>
      </c>
      <c r="G193" s="30">
        <f t="shared" si="45"/>
        <v>0.85</v>
      </c>
      <c r="H193">
        <f t="shared" si="46"/>
        <v>0</v>
      </c>
      <c r="I193">
        <f t="shared" si="38"/>
        <v>0</v>
      </c>
      <c r="J193">
        <f t="shared" si="39"/>
        <v>0</v>
      </c>
      <c r="K193">
        <f t="shared" si="40"/>
        <v>0</v>
      </c>
      <c r="L193">
        <f t="shared" si="47"/>
        <v>0</v>
      </c>
      <c r="M193">
        <f t="shared" si="41"/>
        <v>0</v>
      </c>
      <c r="N193" s="29">
        <f t="shared" si="48"/>
        <v>0</v>
      </c>
      <c r="O193" s="29">
        <f t="shared" si="42"/>
        <v>0</v>
      </c>
      <c r="P193" s="29">
        <f t="shared" si="49"/>
        <v>0</v>
      </c>
      <c r="Q193">
        <f t="shared" si="50"/>
        <v>0</v>
      </c>
      <c r="R193" s="29">
        <f t="shared" si="51"/>
        <v>0</v>
      </c>
      <c r="S193" s="29">
        <f t="shared" si="43"/>
        <v>0</v>
      </c>
      <c r="T193" s="29">
        <f t="shared" si="52"/>
        <v>0</v>
      </c>
      <c r="U193">
        <f t="shared" si="53"/>
        <v>0</v>
      </c>
      <c r="V193" s="29">
        <f t="shared" si="54"/>
        <v>0</v>
      </c>
      <c r="W193" s="29">
        <f t="shared" si="44"/>
        <v>0</v>
      </c>
      <c r="X193" s="29">
        <f t="shared" si="55"/>
        <v>0</v>
      </c>
      <c r="Y193">
        <f t="shared" si="56"/>
        <v>0</v>
      </c>
    </row>
    <row r="194" spans="1:25" x14ac:dyDescent="0.25">
      <c r="A194" s="4" t="s">
        <v>1032</v>
      </c>
      <c r="B194" s="7" t="s">
        <v>534</v>
      </c>
      <c r="C194" s="2" t="s">
        <v>1033</v>
      </c>
      <c r="D194">
        <f>VLOOKUP(B194,'Model allocations'!$A$1:$L$316,4,FALSE)</f>
        <v>746267.10210886225</v>
      </c>
      <c r="E194" s="31">
        <f>VLOOKUP(B194,'Initial adjusted formula count'!$A$1:$P$316,12,FALSE)</f>
        <v>0.177343788528875</v>
      </c>
      <c r="F194">
        <f>VLOOKUP(B194,'Model allocations'!$A$1:$L$316,9,FALSE)</f>
        <v>853725.92269133485</v>
      </c>
      <c r="G194" s="30">
        <f t="shared" si="45"/>
        <v>0.9</v>
      </c>
      <c r="H194">
        <f t="shared" si="46"/>
        <v>671640.39189797605</v>
      </c>
      <c r="I194">
        <f t="shared" si="38"/>
        <v>0</v>
      </c>
      <c r="J194">
        <f t="shared" si="39"/>
        <v>853725.92269133485</v>
      </c>
      <c r="K194">
        <f t="shared" si="40"/>
        <v>852793.78041744942</v>
      </c>
      <c r="L194">
        <f t="shared" si="47"/>
        <v>852793.78041744942</v>
      </c>
      <c r="M194">
        <f t="shared" si="41"/>
        <v>0</v>
      </c>
      <c r="N194" s="29">
        <f t="shared" si="48"/>
        <v>852793.78041744942</v>
      </c>
      <c r="O194" s="29">
        <f t="shared" si="42"/>
        <v>852565.58731279487</v>
      </c>
      <c r="P194" s="29">
        <f t="shared" si="49"/>
        <v>852565.58731279487</v>
      </c>
      <c r="Q194">
        <f t="shared" si="50"/>
        <v>0</v>
      </c>
      <c r="R194" s="29">
        <f t="shared" si="51"/>
        <v>852565.58731279487</v>
      </c>
      <c r="S194" s="29">
        <f t="shared" si="43"/>
        <v>852539.6962157489</v>
      </c>
      <c r="T194" s="29">
        <f t="shared" si="52"/>
        <v>852539.6962157489</v>
      </c>
      <c r="U194">
        <f t="shared" si="53"/>
        <v>0</v>
      </c>
      <c r="V194" s="29">
        <f t="shared" si="54"/>
        <v>852539.6962157489</v>
      </c>
      <c r="W194" s="29">
        <f t="shared" si="44"/>
        <v>852539.6962157489</v>
      </c>
      <c r="X194" s="29">
        <f t="shared" si="55"/>
        <v>852539.6962157489</v>
      </c>
      <c r="Y194">
        <f t="shared" si="56"/>
        <v>0</v>
      </c>
    </row>
    <row r="195" spans="1:25" x14ac:dyDescent="0.25">
      <c r="A195" s="4" t="s">
        <v>1034</v>
      </c>
      <c r="B195" s="7" t="s">
        <v>536</v>
      </c>
      <c r="C195" s="2" t="s">
        <v>1035</v>
      </c>
      <c r="D195">
        <f>VLOOKUP(B195,'Model allocations'!$A$1:$L$316,4,FALSE)</f>
        <v>9809.9923304690983</v>
      </c>
      <c r="E195" s="31">
        <f>VLOOKUP(B195,'Initial adjusted formula count'!$A$1:$P$316,12,FALSE)</f>
        <v>0.20979020979021001</v>
      </c>
      <c r="F195">
        <f>VLOOKUP(B195,'Model allocations'!$A$1:$L$316,9,FALSE)</f>
        <v>14244.592703414935</v>
      </c>
      <c r="G195" s="30">
        <f t="shared" si="45"/>
        <v>0.9</v>
      </c>
      <c r="H195">
        <f t="shared" si="46"/>
        <v>8828.9930974221879</v>
      </c>
      <c r="I195">
        <f t="shared" si="38"/>
        <v>0</v>
      </c>
      <c r="J195">
        <f t="shared" si="39"/>
        <v>14244.592703414935</v>
      </c>
      <c r="K195">
        <f t="shared" si="40"/>
        <v>14229.039717755</v>
      </c>
      <c r="L195">
        <f t="shared" si="47"/>
        <v>14229.039717755</v>
      </c>
      <c r="M195">
        <f t="shared" si="41"/>
        <v>0</v>
      </c>
      <c r="N195" s="29">
        <f t="shared" si="48"/>
        <v>14229.039717755</v>
      </c>
      <c r="O195" s="29">
        <f t="shared" si="42"/>
        <v>14225.232268845302</v>
      </c>
      <c r="P195" s="29">
        <f t="shared" si="49"/>
        <v>14225.232268845302</v>
      </c>
      <c r="Q195">
        <f t="shared" si="50"/>
        <v>0</v>
      </c>
      <c r="R195" s="29">
        <f t="shared" si="51"/>
        <v>14225.232268845302</v>
      </c>
      <c r="S195" s="29">
        <f t="shared" si="43"/>
        <v>14224.800270563112</v>
      </c>
      <c r="T195" s="29">
        <f t="shared" si="52"/>
        <v>14224.800270563112</v>
      </c>
      <c r="U195">
        <f t="shared" si="53"/>
        <v>0</v>
      </c>
      <c r="V195" s="29">
        <f t="shared" si="54"/>
        <v>14224.800270563112</v>
      </c>
      <c r="W195" s="29">
        <f t="shared" si="44"/>
        <v>14224.800270563112</v>
      </c>
      <c r="X195" s="29">
        <f t="shared" si="55"/>
        <v>14224.800270563112</v>
      </c>
      <c r="Y195">
        <f t="shared" si="56"/>
        <v>0</v>
      </c>
    </row>
    <row r="196" spans="1:25" x14ac:dyDescent="0.25">
      <c r="A196" s="4" t="s">
        <v>1036</v>
      </c>
      <c r="B196" s="7" t="s">
        <v>190</v>
      </c>
      <c r="C196" s="2" t="s">
        <v>1037</v>
      </c>
      <c r="D196">
        <f>VLOOKUP(B196,'Model allocations'!$A$1:$L$316,4,FALSE)</f>
        <v>0</v>
      </c>
      <c r="E196" s="31">
        <f>VLOOKUP(B196,'Initial adjusted formula count'!$A$1:$P$316,12,FALSE)</f>
        <v>4.49438202247191E-2</v>
      </c>
      <c r="F196">
        <f>VLOOKUP(B196,'Model allocations'!$A$1:$L$316,9,FALSE)</f>
        <v>0</v>
      </c>
      <c r="G196" s="30">
        <f t="shared" si="45"/>
        <v>0.85</v>
      </c>
      <c r="H196">
        <f t="shared" si="46"/>
        <v>0</v>
      </c>
      <c r="I196">
        <f t="shared" ref="I196:I258" si="57">IF(F196&lt;H196,H196,0)</f>
        <v>0</v>
      </c>
      <c r="J196">
        <f t="shared" ref="J196:J258" si="58">IF(I196=0,F196,0)</f>
        <v>0</v>
      </c>
      <c r="K196">
        <f t="shared" ref="K196:K258" si="59">(J196/$J$3)*($F$3-$I$3)</f>
        <v>0</v>
      </c>
      <c r="L196">
        <f t="shared" si="47"/>
        <v>0</v>
      </c>
      <c r="M196">
        <f t="shared" ref="M196:M258" si="60">IF(L196&lt;H196,H196,0)</f>
        <v>0</v>
      </c>
      <c r="N196" s="29">
        <f t="shared" si="48"/>
        <v>0</v>
      </c>
      <c r="O196" s="29">
        <f t="shared" ref="O196:O258" si="61">((N196/$N$3)*($F$3-$I$3-$M$3))</f>
        <v>0</v>
      </c>
      <c r="P196" s="29">
        <f t="shared" si="49"/>
        <v>0</v>
      </c>
      <c r="Q196">
        <f t="shared" si="50"/>
        <v>0</v>
      </c>
      <c r="R196" s="29">
        <f t="shared" si="51"/>
        <v>0</v>
      </c>
      <c r="S196" s="29">
        <f t="shared" ref="S196:S258" si="62">((R196/$R$3)*($F$3-$I$3-$M$3-$Q$3))</f>
        <v>0</v>
      </c>
      <c r="T196" s="29">
        <f t="shared" si="52"/>
        <v>0</v>
      </c>
      <c r="U196">
        <f t="shared" si="53"/>
        <v>0</v>
      </c>
      <c r="V196" s="29">
        <f t="shared" si="54"/>
        <v>0</v>
      </c>
      <c r="W196" s="29">
        <f t="shared" ref="W196:W258" si="63">((V196/$V$3)*($F$3-$I$3-$M$3-$Q$3-$U$3))</f>
        <v>0</v>
      </c>
      <c r="X196" s="29">
        <f t="shared" si="55"/>
        <v>0</v>
      </c>
      <c r="Y196">
        <f t="shared" si="56"/>
        <v>0</v>
      </c>
    </row>
    <row r="197" spans="1:25" x14ac:dyDescent="0.25">
      <c r="A197" s="4" t="s">
        <v>1038</v>
      </c>
      <c r="B197" s="7" t="s">
        <v>293</v>
      </c>
      <c r="C197" s="2" t="s">
        <v>1039</v>
      </c>
      <c r="D197">
        <f>VLOOKUP(B197,'Model allocations'!$A$1:$L$316,4,FALSE)</f>
        <v>0</v>
      </c>
      <c r="E197" s="31">
        <f>VLOOKUP(B197,'Initial adjusted formula count'!$A$1:$P$316,12,FALSE)</f>
        <v>9.8039215686274495E-2</v>
      </c>
      <c r="F197">
        <f>VLOOKUP(B197,'Model allocations'!$A$1:$L$316,9,FALSE)</f>
        <v>0</v>
      </c>
      <c r="G197" s="30">
        <f t="shared" ref="G197:G259" si="64">IF(E197&lt;0.15,0.85,IF(AND(E197&gt;=0.15,E197&lt;0.3),0.9,0.95))</f>
        <v>0.85</v>
      </c>
      <c r="H197">
        <f t="shared" ref="H197:H259" si="65">IF(F197 = 0, 0, D197*G197)</f>
        <v>0</v>
      </c>
      <c r="I197">
        <f t="shared" si="57"/>
        <v>0</v>
      </c>
      <c r="J197">
        <f t="shared" si="58"/>
        <v>0</v>
      </c>
      <c r="K197">
        <f t="shared" si="59"/>
        <v>0</v>
      </c>
      <c r="L197">
        <f t="shared" ref="L197:L259" si="66">I197+K197</f>
        <v>0</v>
      </c>
      <c r="M197">
        <f t="shared" si="60"/>
        <v>0</v>
      </c>
      <c r="N197" s="29">
        <f t="shared" ref="N197:N259" si="67">IF(I197+M197=0,L197,0)</f>
        <v>0</v>
      </c>
      <c r="O197" s="29">
        <f t="shared" si="61"/>
        <v>0</v>
      </c>
      <c r="P197" s="29">
        <f t="shared" ref="P197:P259" si="68">$I197+$M197+O197</f>
        <v>0</v>
      </c>
      <c r="Q197">
        <f t="shared" ref="Q197:Q259" si="69">IF(P197&lt;H197,H197,0)</f>
        <v>0</v>
      </c>
      <c r="R197" s="29">
        <f t="shared" ref="R197:R259" si="70">IF($I197+$M197+$Q197=0,P197,0)</f>
        <v>0</v>
      </c>
      <c r="S197" s="29">
        <f t="shared" si="62"/>
        <v>0</v>
      </c>
      <c r="T197" s="29">
        <f t="shared" ref="T197:T259" si="71">$I197+$M197+$Q197+S197</f>
        <v>0</v>
      </c>
      <c r="U197">
        <f t="shared" ref="U197:U259" si="72">IF(T197&lt;H197,H197,0)</f>
        <v>0</v>
      </c>
      <c r="V197" s="29">
        <f t="shared" ref="V197:V259" si="73">IF($I197+$M197+$Q197+U197=0,T197,0)</f>
        <v>0</v>
      </c>
      <c r="W197" s="29">
        <f t="shared" si="63"/>
        <v>0</v>
      </c>
      <c r="X197" s="29">
        <f t="shared" ref="X197:X259" si="74">$I197+$M197+$Q197+$U197+W197</f>
        <v>0</v>
      </c>
      <c r="Y197">
        <f t="shared" ref="Y197:Y259" si="75">IF(X197&lt;H197,H197,0)</f>
        <v>0</v>
      </c>
    </row>
    <row r="198" spans="1:25" x14ac:dyDescent="0.25">
      <c r="A198" s="4" t="s">
        <v>1040</v>
      </c>
      <c r="B198" s="7" t="s">
        <v>192</v>
      </c>
      <c r="C198" s="2" t="s">
        <v>1041</v>
      </c>
      <c r="D198">
        <f>VLOOKUP(B198,'Model allocations'!$A$1:$L$316,4,FALSE)</f>
        <v>0</v>
      </c>
      <c r="E198" s="31">
        <f>VLOOKUP(B198,'Initial adjusted formula count'!$A$1:$P$316,12,FALSE)</f>
        <v>5.3457785320322401E-2</v>
      </c>
      <c r="F198">
        <f>VLOOKUP(B198,'Model allocations'!$A$1:$L$316,9,FALSE)</f>
        <v>0</v>
      </c>
      <c r="G198" s="30">
        <f t="shared" si="64"/>
        <v>0.85</v>
      </c>
      <c r="H198">
        <f t="shared" si="65"/>
        <v>0</v>
      </c>
      <c r="I198">
        <f t="shared" si="57"/>
        <v>0</v>
      </c>
      <c r="J198">
        <f t="shared" si="58"/>
        <v>0</v>
      </c>
      <c r="K198">
        <f t="shared" si="59"/>
        <v>0</v>
      </c>
      <c r="L198">
        <f t="shared" si="66"/>
        <v>0</v>
      </c>
      <c r="M198">
        <f t="shared" si="60"/>
        <v>0</v>
      </c>
      <c r="N198" s="29">
        <f t="shared" si="67"/>
        <v>0</v>
      </c>
      <c r="O198" s="29">
        <f t="shared" si="61"/>
        <v>0</v>
      </c>
      <c r="P198" s="29">
        <f t="shared" si="68"/>
        <v>0</v>
      </c>
      <c r="Q198">
        <f t="shared" si="69"/>
        <v>0</v>
      </c>
      <c r="R198" s="29">
        <f t="shared" si="70"/>
        <v>0</v>
      </c>
      <c r="S198" s="29">
        <f t="shared" si="62"/>
        <v>0</v>
      </c>
      <c r="T198" s="29">
        <f t="shared" si="71"/>
        <v>0</v>
      </c>
      <c r="U198">
        <f t="shared" si="72"/>
        <v>0</v>
      </c>
      <c r="V198" s="29">
        <f t="shared" si="73"/>
        <v>0</v>
      </c>
      <c r="W198" s="29">
        <f t="shared" si="63"/>
        <v>0</v>
      </c>
      <c r="X198" s="29">
        <f t="shared" si="74"/>
        <v>0</v>
      </c>
      <c r="Y198">
        <f t="shared" si="75"/>
        <v>0</v>
      </c>
    </row>
    <row r="199" spans="1:25" x14ac:dyDescent="0.25">
      <c r="A199" s="4" t="s">
        <v>52</v>
      </c>
      <c r="B199" s="7" t="s">
        <v>82</v>
      </c>
      <c r="C199" s="2" t="s">
        <v>1042</v>
      </c>
      <c r="D199">
        <f>VLOOKUP(B199,'Model allocations'!$A$1:$L$316,4,FALSE)</f>
        <v>0</v>
      </c>
      <c r="E199" s="31">
        <f>VLOOKUP(B199,'Initial adjusted formula count'!$A$1:$P$316,12,FALSE)</f>
        <v>0.116091427297897</v>
      </c>
      <c r="F199">
        <f>VLOOKUP(B199,'Model allocations'!$A$1:$L$316,9,FALSE)</f>
        <v>0</v>
      </c>
      <c r="G199" s="30">
        <f t="shared" si="64"/>
        <v>0.85</v>
      </c>
      <c r="H199">
        <f t="shared" si="65"/>
        <v>0</v>
      </c>
      <c r="I199">
        <f t="shared" si="57"/>
        <v>0</v>
      </c>
      <c r="J199">
        <f t="shared" si="58"/>
        <v>0</v>
      </c>
      <c r="K199">
        <f t="shared" si="59"/>
        <v>0</v>
      </c>
      <c r="L199">
        <f t="shared" si="66"/>
        <v>0</v>
      </c>
      <c r="M199">
        <f t="shared" si="60"/>
        <v>0</v>
      </c>
      <c r="N199" s="29">
        <f t="shared" si="67"/>
        <v>0</v>
      </c>
      <c r="O199" s="29">
        <f t="shared" si="61"/>
        <v>0</v>
      </c>
      <c r="P199" s="29">
        <f t="shared" si="68"/>
        <v>0</v>
      </c>
      <c r="Q199">
        <f t="shared" si="69"/>
        <v>0</v>
      </c>
      <c r="R199" s="29">
        <f t="shared" si="70"/>
        <v>0</v>
      </c>
      <c r="S199" s="29">
        <f t="shared" si="62"/>
        <v>0</v>
      </c>
      <c r="T199" s="29">
        <f t="shared" si="71"/>
        <v>0</v>
      </c>
      <c r="U199">
        <f t="shared" si="72"/>
        <v>0</v>
      </c>
      <c r="V199" s="29">
        <f t="shared" si="73"/>
        <v>0</v>
      </c>
      <c r="W199" s="29">
        <f t="shared" si="63"/>
        <v>0</v>
      </c>
      <c r="X199" s="29">
        <f t="shared" si="74"/>
        <v>0</v>
      </c>
      <c r="Y199">
        <f t="shared" si="75"/>
        <v>0</v>
      </c>
    </row>
    <row r="200" spans="1:25" x14ac:dyDescent="0.25">
      <c r="A200" s="4" t="s">
        <v>1043</v>
      </c>
      <c r="B200" s="7" t="s">
        <v>538</v>
      </c>
      <c r="C200" s="2" t="s">
        <v>1044</v>
      </c>
      <c r="D200">
        <f>VLOOKUP(B200,'Model allocations'!$A$1:$L$316,4,FALSE)</f>
        <v>38067.047760051493</v>
      </c>
      <c r="E200" s="31">
        <f>VLOOKUP(B200,'Initial adjusted formula count'!$A$1:$P$316,12,FALSE)</f>
        <v>0.152542372881356</v>
      </c>
      <c r="F200">
        <f>VLOOKUP(B200,'Model allocations'!$A$1:$L$316,9,FALSE)</f>
        <v>55553.911543318252</v>
      </c>
      <c r="G200" s="30">
        <f t="shared" si="64"/>
        <v>0.9</v>
      </c>
      <c r="H200">
        <f t="shared" si="65"/>
        <v>34260.342984046343</v>
      </c>
      <c r="I200">
        <f t="shared" si="57"/>
        <v>0</v>
      </c>
      <c r="J200">
        <f t="shared" si="58"/>
        <v>55553.911543318252</v>
      </c>
      <c r="K200">
        <f t="shared" si="59"/>
        <v>55493.254899244501</v>
      </c>
      <c r="L200">
        <f t="shared" si="66"/>
        <v>55493.254899244501</v>
      </c>
      <c r="M200">
        <f t="shared" si="60"/>
        <v>0</v>
      </c>
      <c r="N200" s="29">
        <f t="shared" si="67"/>
        <v>55493.254899244501</v>
      </c>
      <c r="O200" s="29">
        <f t="shared" si="61"/>
        <v>55478.405848496681</v>
      </c>
      <c r="P200" s="29">
        <f t="shared" si="68"/>
        <v>55478.405848496681</v>
      </c>
      <c r="Q200">
        <f t="shared" si="69"/>
        <v>0</v>
      </c>
      <c r="R200" s="29">
        <f t="shared" si="70"/>
        <v>55478.405848496681</v>
      </c>
      <c r="S200" s="29">
        <f t="shared" si="62"/>
        <v>55476.72105519614</v>
      </c>
      <c r="T200" s="29">
        <f t="shared" si="71"/>
        <v>55476.72105519614</v>
      </c>
      <c r="U200">
        <f t="shared" si="72"/>
        <v>0</v>
      </c>
      <c r="V200" s="29">
        <f t="shared" si="73"/>
        <v>55476.72105519614</v>
      </c>
      <c r="W200" s="29">
        <f t="shared" si="63"/>
        <v>55476.72105519614</v>
      </c>
      <c r="X200" s="29">
        <f t="shared" si="74"/>
        <v>55476.72105519614</v>
      </c>
      <c r="Y200">
        <f t="shared" si="75"/>
        <v>0</v>
      </c>
    </row>
    <row r="201" spans="1:25" x14ac:dyDescent="0.25">
      <c r="A201" s="4" t="s">
        <v>1045</v>
      </c>
      <c r="B201" s="7" t="s">
        <v>540</v>
      </c>
      <c r="C201" s="2" t="s">
        <v>1046</v>
      </c>
      <c r="D201">
        <f>VLOOKUP(B201,'Model allocations'!$A$1:$L$316,4,FALSE)</f>
        <v>13793.78415552094</v>
      </c>
      <c r="E201" s="31">
        <f>VLOOKUP(B201,'Initial adjusted formula count'!$A$1:$P$316,12,FALSE)</f>
        <v>0.162983425414365</v>
      </c>
      <c r="F201">
        <f>VLOOKUP(B201,'Model allocations'!$A$1:$L$316,9,FALSE)</f>
        <v>14007.182825024685</v>
      </c>
      <c r="G201" s="30">
        <f t="shared" si="64"/>
        <v>0.9</v>
      </c>
      <c r="H201">
        <f t="shared" si="65"/>
        <v>12414.405739968846</v>
      </c>
      <c r="I201">
        <f t="shared" si="57"/>
        <v>0</v>
      </c>
      <c r="J201">
        <f t="shared" si="58"/>
        <v>14007.182825024685</v>
      </c>
      <c r="K201">
        <f t="shared" si="59"/>
        <v>13991.889055792415</v>
      </c>
      <c r="L201">
        <f t="shared" si="66"/>
        <v>13991.889055792415</v>
      </c>
      <c r="M201">
        <f t="shared" si="60"/>
        <v>0</v>
      </c>
      <c r="N201" s="29">
        <f t="shared" si="67"/>
        <v>13991.889055792415</v>
      </c>
      <c r="O201" s="29">
        <f t="shared" si="61"/>
        <v>13988.145064364546</v>
      </c>
      <c r="P201" s="29">
        <f t="shared" si="68"/>
        <v>13988.145064364546</v>
      </c>
      <c r="Q201">
        <f t="shared" si="69"/>
        <v>0</v>
      </c>
      <c r="R201" s="29">
        <f t="shared" si="70"/>
        <v>13988.145064364546</v>
      </c>
      <c r="S201" s="29">
        <f t="shared" si="62"/>
        <v>13987.720266053726</v>
      </c>
      <c r="T201" s="29">
        <f t="shared" si="71"/>
        <v>13987.720266053726</v>
      </c>
      <c r="U201">
        <f t="shared" si="72"/>
        <v>0</v>
      </c>
      <c r="V201" s="29">
        <f t="shared" si="73"/>
        <v>13987.720266053726</v>
      </c>
      <c r="W201" s="29">
        <f t="shared" si="63"/>
        <v>13987.720266053726</v>
      </c>
      <c r="X201" s="29">
        <f t="shared" si="74"/>
        <v>13987.720266053726</v>
      </c>
      <c r="Y201">
        <f t="shared" si="75"/>
        <v>0</v>
      </c>
    </row>
    <row r="202" spans="1:25" x14ac:dyDescent="0.25">
      <c r="A202" s="4" t="s">
        <v>1047</v>
      </c>
      <c r="B202" s="7" t="s">
        <v>542</v>
      </c>
      <c r="C202" s="2" t="s">
        <v>1048</v>
      </c>
      <c r="D202">
        <f>VLOOKUP(B202,'Model allocations'!$A$1:$L$316,4,FALSE)</f>
        <v>108605.78014303076</v>
      </c>
      <c r="E202" s="31">
        <f>VLOOKUP(B202,'Initial adjusted formula count'!$A$1:$P$316,12,FALSE)</f>
        <v>0.126034523528021</v>
      </c>
      <c r="F202">
        <f>VLOOKUP(B202,'Model allocations'!$A$1:$L$316,9,FALSE)</f>
        <v>92314.913121576144</v>
      </c>
      <c r="G202" s="30">
        <f t="shared" si="64"/>
        <v>0.85</v>
      </c>
      <c r="H202">
        <f t="shared" si="65"/>
        <v>92314.913121576144</v>
      </c>
      <c r="I202">
        <f t="shared" si="57"/>
        <v>0</v>
      </c>
      <c r="J202">
        <f t="shared" si="58"/>
        <v>92314.913121576144</v>
      </c>
      <c r="K202">
        <f t="shared" si="59"/>
        <v>92214.118907949101</v>
      </c>
      <c r="L202">
        <f t="shared" si="66"/>
        <v>92214.118907949101</v>
      </c>
      <c r="M202">
        <f t="shared" si="60"/>
        <v>92314.913121576144</v>
      </c>
      <c r="N202" s="29">
        <f t="shared" si="67"/>
        <v>0</v>
      </c>
      <c r="O202" s="29">
        <f t="shared" si="61"/>
        <v>0</v>
      </c>
      <c r="P202" s="29">
        <f t="shared" si="68"/>
        <v>92314.913121576144</v>
      </c>
      <c r="Q202">
        <f t="shared" si="69"/>
        <v>0</v>
      </c>
      <c r="R202" s="29">
        <f t="shared" si="70"/>
        <v>0</v>
      </c>
      <c r="S202" s="29">
        <f t="shared" si="62"/>
        <v>0</v>
      </c>
      <c r="T202" s="29">
        <f t="shared" si="71"/>
        <v>92314.913121576144</v>
      </c>
      <c r="U202">
        <f t="shared" si="72"/>
        <v>0</v>
      </c>
      <c r="V202" s="29">
        <f t="shared" si="73"/>
        <v>0</v>
      </c>
      <c r="W202" s="29">
        <f t="shared" si="63"/>
        <v>0</v>
      </c>
      <c r="X202" s="29">
        <f t="shared" si="74"/>
        <v>92314.913121576144</v>
      </c>
      <c r="Y202">
        <f t="shared" si="75"/>
        <v>0</v>
      </c>
    </row>
    <row r="203" spans="1:25" x14ac:dyDescent="0.25">
      <c r="A203" s="4" t="s">
        <v>1049</v>
      </c>
      <c r="B203" s="7" t="s">
        <v>544</v>
      </c>
      <c r="C203" s="2" t="s">
        <v>1050</v>
      </c>
      <c r="D203">
        <f>VLOOKUP(B203,'Model allocations'!$A$1:$L$316,4,FALSE)</f>
        <v>52837.20710419886</v>
      </c>
      <c r="E203" s="31">
        <f>VLOOKUP(B203,'Initial adjusted formula count'!$A$1:$P$316,12,FALSE)</f>
        <v>0.15167682926829301</v>
      </c>
      <c r="F203">
        <f>VLOOKUP(B203,'Model allocations'!$A$1:$L$316,9,FALSE)</f>
        <v>47610.540595296734</v>
      </c>
      <c r="G203" s="30">
        <f t="shared" si="64"/>
        <v>0.9</v>
      </c>
      <c r="H203">
        <f t="shared" si="65"/>
        <v>47553.486393778978</v>
      </c>
      <c r="I203">
        <f t="shared" si="57"/>
        <v>0</v>
      </c>
      <c r="J203">
        <f t="shared" si="58"/>
        <v>47610.540595296734</v>
      </c>
      <c r="K203">
        <f t="shared" si="59"/>
        <v>47558.55693591397</v>
      </c>
      <c r="L203">
        <f t="shared" si="66"/>
        <v>47558.55693591397</v>
      </c>
      <c r="M203">
        <f t="shared" si="60"/>
        <v>0</v>
      </c>
      <c r="N203" s="29">
        <f t="shared" si="67"/>
        <v>47558.55693591397</v>
      </c>
      <c r="O203" s="29">
        <f t="shared" si="61"/>
        <v>47545.831075325746</v>
      </c>
      <c r="P203" s="29">
        <f t="shared" si="68"/>
        <v>47545.831075325746</v>
      </c>
      <c r="Q203">
        <f t="shared" si="69"/>
        <v>47553.486393778978</v>
      </c>
      <c r="R203" s="29">
        <f t="shared" si="70"/>
        <v>0</v>
      </c>
      <c r="S203" s="29">
        <f t="shared" si="62"/>
        <v>0</v>
      </c>
      <c r="T203" s="29">
        <f t="shared" si="71"/>
        <v>47553.486393778978</v>
      </c>
      <c r="U203">
        <f t="shared" si="72"/>
        <v>0</v>
      </c>
      <c r="V203" s="29">
        <f t="shared" si="73"/>
        <v>0</v>
      </c>
      <c r="W203" s="29">
        <f t="shared" si="63"/>
        <v>0</v>
      </c>
      <c r="X203" s="29">
        <f t="shared" si="74"/>
        <v>47553.486393778978</v>
      </c>
      <c r="Y203">
        <f t="shared" si="75"/>
        <v>0</v>
      </c>
    </row>
    <row r="204" spans="1:25" x14ac:dyDescent="0.25">
      <c r="A204" s="4" t="s">
        <v>1051</v>
      </c>
      <c r="B204" s="7" t="s">
        <v>546</v>
      </c>
      <c r="C204" s="2" t="s">
        <v>1052</v>
      </c>
      <c r="D204">
        <f>VLOOKUP(B204,'Model allocations'!$A$1:$L$316,4,FALSE)</f>
        <v>16131.713673405853</v>
      </c>
      <c r="E204" s="31">
        <f>VLOOKUP(B204,'Initial adjusted formula count'!$A$1:$P$316,12,FALSE)</f>
        <v>0.168604651162791</v>
      </c>
      <c r="F204">
        <f>VLOOKUP(B204,'Model allocations'!$A$1:$L$316,9,FALSE)</f>
        <v>14535.961509183519</v>
      </c>
      <c r="G204" s="30">
        <f t="shared" si="64"/>
        <v>0.9</v>
      </c>
      <c r="H204">
        <f t="shared" si="65"/>
        <v>14518.542306065268</v>
      </c>
      <c r="I204">
        <f t="shared" si="57"/>
        <v>0</v>
      </c>
      <c r="J204">
        <f t="shared" si="58"/>
        <v>14535.961509183519</v>
      </c>
      <c r="K204">
        <f t="shared" si="59"/>
        <v>14520.090391938342</v>
      </c>
      <c r="L204">
        <f t="shared" si="66"/>
        <v>14520.090391938342</v>
      </c>
      <c r="M204">
        <f t="shared" si="60"/>
        <v>0</v>
      </c>
      <c r="N204" s="29">
        <f t="shared" si="67"/>
        <v>14520.090391938342</v>
      </c>
      <c r="O204" s="29">
        <f t="shared" si="61"/>
        <v>14516.205062820698</v>
      </c>
      <c r="P204" s="29">
        <f t="shared" si="68"/>
        <v>14516.205062820698</v>
      </c>
      <c r="Q204">
        <f t="shared" si="69"/>
        <v>14518.542306065268</v>
      </c>
      <c r="R204" s="29">
        <f t="shared" si="70"/>
        <v>0</v>
      </c>
      <c r="S204" s="29">
        <f t="shared" si="62"/>
        <v>0</v>
      </c>
      <c r="T204" s="29">
        <f t="shared" si="71"/>
        <v>14518.542306065268</v>
      </c>
      <c r="U204">
        <f t="shared" si="72"/>
        <v>0</v>
      </c>
      <c r="V204" s="29">
        <f t="shared" si="73"/>
        <v>0</v>
      </c>
      <c r="W204" s="29">
        <f t="shared" si="63"/>
        <v>0</v>
      </c>
      <c r="X204" s="29">
        <f t="shared" si="74"/>
        <v>14518.542306065268</v>
      </c>
      <c r="Y204">
        <f t="shared" si="75"/>
        <v>0</v>
      </c>
    </row>
    <row r="205" spans="1:25" x14ac:dyDescent="0.25">
      <c r="A205" s="4" t="s">
        <v>33</v>
      </c>
      <c r="B205" s="7" t="s">
        <v>77</v>
      </c>
      <c r="C205" s="2" t="s">
        <v>1053</v>
      </c>
      <c r="D205">
        <f>VLOOKUP(B205,'Model allocations'!$A$1:$L$316,4,FALSE)</f>
        <v>12331.665858523715</v>
      </c>
      <c r="E205" s="31">
        <f>VLOOKUP(B205,'Initial adjusted formula count'!$A$1:$P$316,12,FALSE)</f>
        <v>8.3709505447087995E-2</v>
      </c>
      <c r="F205">
        <f>VLOOKUP(B205,'Model allocations'!$A$1:$L$316,9,FALSE)</f>
        <v>4080.8669082905976</v>
      </c>
      <c r="G205" s="30">
        <f t="shared" si="64"/>
        <v>0.85</v>
      </c>
      <c r="H205">
        <f t="shared" si="65"/>
        <v>10481.915979745158</v>
      </c>
      <c r="I205">
        <f t="shared" si="57"/>
        <v>10481.915979745158</v>
      </c>
      <c r="J205">
        <f t="shared" si="58"/>
        <v>0</v>
      </c>
      <c r="K205">
        <f t="shared" si="59"/>
        <v>0</v>
      </c>
      <c r="L205">
        <f t="shared" si="66"/>
        <v>10481.915979745158</v>
      </c>
      <c r="M205">
        <f t="shared" si="60"/>
        <v>0</v>
      </c>
      <c r="N205" s="29">
        <f t="shared" si="67"/>
        <v>0</v>
      </c>
      <c r="O205" s="29">
        <f t="shared" si="61"/>
        <v>0</v>
      </c>
      <c r="P205" s="29">
        <f t="shared" si="68"/>
        <v>10481.915979745158</v>
      </c>
      <c r="Q205">
        <f t="shared" si="69"/>
        <v>0</v>
      </c>
      <c r="R205" s="29">
        <f t="shared" si="70"/>
        <v>0</v>
      </c>
      <c r="S205" s="29">
        <f t="shared" si="62"/>
        <v>0</v>
      </c>
      <c r="T205" s="29">
        <f t="shared" si="71"/>
        <v>10481.915979745158</v>
      </c>
      <c r="U205">
        <f t="shared" si="72"/>
        <v>0</v>
      </c>
      <c r="V205" s="29">
        <f t="shared" si="73"/>
        <v>0</v>
      </c>
      <c r="W205" s="29">
        <f t="shared" si="63"/>
        <v>0</v>
      </c>
      <c r="X205" s="29">
        <f t="shared" si="74"/>
        <v>10481.915979745158</v>
      </c>
      <c r="Y205">
        <f t="shared" si="75"/>
        <v>0</v>
      </c>
    </row>
    <row r="206" spans="1:25" x14ac:dyDescent="0.25">
      <c r="A206" s="4" t="s">
        <v>1054</v>
      </c>
      <c r="B206" s="7" t="s">
        <v>548</v>
      </c>
      <c r="C206" s="2" t="s">
        <v>1055</v>
      </c>
      <c r="D206">
        <f>VLOOKUP(B206,'Model allocations'!$A$1:$L$316,4,FALSE)</f>
        <v>0</v>
      </c>
      <c r="E206" s="31">
        <f>VLOOKUP(B206,'Initial adjusted formula count'!$A$1:$P$316,12,FALSE)</f>
        <v>9.7660223804679605E-2</v>
      </c>
      <c r="F206">
        <f>VLOOKUP(B206,'Model allocations'!$A$1:$L$316,9,FALSE)</f>
        <v>0</v>
      </c>
      <c r="G206" s="30">
        <f t="shared" si="64"/>
        <v>0.85</v>
      </c>
      <c r="H206">
        <f t="shared" si="65"/>
        <v>0</v>
      </c>
      <c r="I206">
        <f t="shared" si="57"/>
        <v>0</v>
      </c>
      <c r="J206">
        <f t="shared" si="58"/>
        <v>0</v>
      </c>
      <c r="K206">
        <f t="shared" si="59"/>
        <v>0</v>
      </c>
      <c r="L206">
        <f t="shared" si="66"/>
        <v>0</v>
      </c>
      <c r="M206">
        <f t="shared" si="60"/>
        <v>0</v>
      </c>
      <c r="N206" s="29">
        <f t="shared" si="67"/>
        <v>0</v>
      </c>
      <c r="O206" s="29">
        <f t="shared" si="61"/>
        <v>0</v>
      </c>
      <c r="P206" s="29">
        <f t="shared" si="68"/>
        <v>0</v>
      </c>
      <c r="Q206">
        <f t="shared" si="69"/>
        <v>0</v>
      </c>
      <c r="R206" s="29">
        <f t="shared" si="70"/>
        <v>0</v>
      </c>
      <c r="S206" s="29">
        <f t="shared" si="62"/>
        <v>0</v>
      </c>
      <c r="T206" s="29">
        <f t="shared" si="71"/>
        <v>0</v>
      </c>
      <c r="U206">
        <f t="shared" si="72"/>
        <v>0</v>
      </c>
      <c r="V206" s="29">
        <f t="shared" si="73"/>
        <v>0</v>
      </c>
      <c r="W206" s="29">
        <f t="shared" si="63"/>
        <v>0</v>
      </c>
      <c r="X206" s="29">
        <f t="shared" si="74"/>
        <v>0</v>
      </c>
      <c r="Y206">
        <f t="shared" si="75"/>
        <v>0</v>
      </c>
    </row>
    <row r="207" spans="1:25" x14ac:dyDescent="0.25">
      <c r="A207" s="4" t="s">
        <v>20</v>
      </c>
      <c r="B207" s="7" t="s">
        <v>58</v>
      </c>
      <c r="C207" s="2" t="s">
        <v>1056</v>
      </c>
      <c r="D207">
        <f>VLOOKUP(B207,'Model allocations'!$A$1:$L$316,4,FALSE)</f>
        <v>0</v>
      </c>
      <c r="E207" s="31">
        <f>VLOOKUP(B207,'Initial adjusted formula count'!$A$1:$P$316,12,FALSE)</f>
        <v>0.12808320950965801</v>
      </c>
      <c r="F207">
        <f>VLOOKUP(B207,'Model allocations'!$A$1:$L$316,9,FALSE)</f>
        <v>0</v>
      </c>
      <c r="G207" s="30">
        <f t="shared" si="64"/>
        <v>0.85</v>
      </c>
      <c r="H207">
        <f t="shared" si="65"/>
        <v>0</v>
      </c>
      <c r="I207">
        <f t="shared" si="57"/>
        <v>0</v>
      </c>
      <c r="J207">
        <f t="shared" si="58"/>
        <v>0</v>
      </c>
      <c r="K207">
        <f t="shared" si="59"/>
        <v>0</v>
      </c>
      <c r="L207">
        <f t="shared" si="66"/>
        <v>0</v>
      </c>
      <c r="M207">
        <f t="shared" si="60"/>
        <v>0</v>
      </c>
      <c r="N207" s="29">
        <f t="shared" si="67"/>
        <v>0</v>
      </c>
      <c r="O207" s="29">
        <f t="shared" si="61"/>
        <v>0</v>
      </c>
      <c r="P207" s="29">
        <f t="shared" si="68"/>
        <v>0</v>
      </c>
      <c r="Q207">
        <f t="shared" si="69"/>
        <v>0</v>
      </c>
      <c r="R207" s="29">
        <f t="shared" si="70"/>
        <v>0</v>
      </c>
      <c r="S207" s="29">
        <f t="shared" si="62"/>
        <v>0</v>
      </c>
      <c r="T207" s="29">
        <f t="shared" si="71"/>
        <v>0</v>
      </c>
      <c r="U207">
        <f t="shared" si="72"/>
        <v>0</v>
      </c>
      <c r="V207" s="29">
        <f t="shared" si="73"/>
        <v>0</v>
      </c>
      <c r="W207" s="29">
        <f t="shared" si="63"/>
        <v>0</v>
      </c>
      <c r="X207" s="29">
        <f t="shared" si="74"/>
        <v>0</v>
      </c>
      <c r="Y207">
        <f t="shared" si="75"/>
        <v>0</v>
      </c>
    </row>
    <row r="208" spans="1:25" x14ac:dyDescent="0.25">
      <c r="A208" s="4" t="s">
        <v>1057</v>
      </c>
      <c r="B208" s="7" t="s">
        <v>194</v>
      </c>
      <c r="C208" s="2" t="s">
        <v>1058</v>
      </c>
      <c r="D208">
        <f>VLOOKUP(B208,'Model allocations'!$A$1:$L$316,4,FALSE)</f>
        <v>0</v>
      </c>
      <c r="E208" s="31">
        <f>VLOOKUP(B208,'Initial adjusted formula count'!$A$1:$P$316,12,FALSE)</f>
        <v>9.0887923005277899E-2</v>
      </c>
      <c r="F208">
        <f>VLOOKUP(B208,'Model allocations'!$A$1:$L$316,9,FALSE)</f>
        <v>0</v>
      </c>
      <c r="G208" s="30">
        <f t="shared" si="64"/>
        <v>0.85</v>
      </c>
      <c r="H208">
        <f t="shared" si="65"/>
        <v>0</v>
      </c>
      <c r="I208">
        <f t="shared" si="57"/>
        <v>0</v>
      </c>
      <c r="J208">
        <f t="shared" si="58"/>
        <v>0</v>
      </c>
      <c r="K208">
        <f t="shared" si="59"/>
        <v>0</v>
      </c>
      <c r="L208">
        <f t="shared" si="66"/>
        <v>0</v>
      </c>
      <c r="M208">
        <f t="shared" si="60"/>
        <v>0</v>
      </c>
      <c r="N208" s="29">
        <f t="shared" si="67"/>
        <v>0</v>
      </c>
      <c r="O208" s="29">
        <f t="shared" si="61"/>
        <v>0</v>
      </c>
      <c r="P208" s="29">
        <f t="shared" si="68"/>
        <v>0</v>
      </c>
      <c r="Q208">
        <f t="shared" si="69"/>
        <v>0</v>
      </c>
      <c r="R208" s="29">
        <f t="shared" si="70"/>
        <v>0</v>
      </c>
      <c r="S208" s="29">
        <f t="shared" si="62"/>
        <v>0</v>
      </c>
      <c r="T208" s="29">
        <f t="shared" si="71"/>
        <v>0</v>
      </c>
      <c r="U208">
        <f t="shared" si="72"/>
        <v>0</v>
      </c>
      <c r="V208" s="29">
        <f t="shared" si="73"/>
        <v>0</v>
      </c>
      <c r="W208" s="29">
        <f t="shared" si="63"/>
        <v>0</v>
      </c>
      <c r="X208" s="29">
        <f t="shared" si="74"/>
        <v>0</v>
      </c>
      <c r="Y208">
        <f t="shared" si="75"/>
        <v>0</v>
      </c>
    </row>
    <row r="209" spans="1:25" x14ac:dyDescent="0.25">
      <c r="A209" s="4" t="s">
        <v>1059</v>
      </c>
      <c r="B209" s="7" t="s">
        <v>550</v>
      </c>
      <c r="C209" s="2" t="s">
        <v>1060</v>
      </c>
      <c r="D209">
        <f>VLOOKUP(B209,'Model allocations'!$A$1:$L$316,4,FALSE)</f>
        <v>2358.8185889551291</v>
      </c>
      <c r="E209" s="31">
        <f>VLOOKUP(B209,'Initial adjusted formula count'!$A$1:$P$316,12,FALSE)</f>
        <v>0.45161290322580599</v>
      </c>
      <c r="F209">
        <f>VLOOKUP(B209,'Model allocations'!$A$1:$L$316,9,FALSE)</f>
        <v>3323.7382974634843</v>
      </c>
      <c r="G209" s="30">
        <f t="shared" si="64"/>
        <v>0.95</v>
      </c>
      <c r="H209">
        <f t="shared" si="65"/>
        <v>2240.8776595073728</v>
      </c>
      <c r="I209">
        <f t="shared" si="57"/>
        <v>0</v>
      </c>
      <c r="J209">
        <f t="shared" si="58"/>
        <v>3323.7382974634843</v>
      </c>
      <c r="K209">
        <f t="shared" si="59"/>
        <v>3320.1092674761662</v>
      </c>
      <c r="L209">
        <f t="shared" si="66"/>
        <v>3320.1092674761662</v>
      </c>
      <c r="M209">
        <f t="shared" si="60"/>
        <v>0</v>
      </c>
      <c r="N209" s="29">
        <f t="shared" si="67"/>
        <v>3320.1092674761662</v>
      </c>
      <c r="O209" s="29">
        <f t="shared" si="61"/>
        <v>3319.2208627305699</v>
      </c>
      <c r="P209" s="29">
        <f t="shared" si="68"/>
        <v>3319.2208627305699</v>
      </c>
      <c r="Q209">
        <f t="shared" si="69"/>
        <v>0</v>
      </c>
      <c r="R209" s="29">
        <f t="shared" si="70"/>
        <v>3319.2208627305699</v>
      </c>
      <c r="S209" s="29">
        <f t="shared" si="62"/>
        <v>3319.1200631313923</v>
      </c>
      <c r="T209" s="29">
        <f t="shared" si="71"/>
        <v>3319.1200631313923</v>
      </c>
      <c r="U209">
        <f t="shared" si="72"/>
        <v>0</v>
      </c>
      <c r="V209" s="29">
        <f t="shared" si="73"/>
        <v>3319.1200631313923</v>
      </c>
      <c r="W209" s="29">
        <f t="shared" si="63"/>
        <v>3319.1200631313923</v>
      </c>
      <c r="X209" s="29">
        <f t="shared" si="74"/>
        <v>3319.1200631313923</v>
      </c>
      <c r="Y209">
        <f t="shared" si="75"/>
        <v>0</v>
      </c>
    </row>
    <row r="210" spans="1:25" x14ac:dyDescent="0.25">
      <c r="A210" s="4" t="s">
        <v>1061</v>
      </c>
      <c r="B210" s="7" t="s">
        <v>552</v>
      </c>
      <c r="C210" s="2" t="s">
        <v>1062</v>
      </c>
      <c r="D210">
        <f>VLOOKUP(B210,'Model allocations'!$A$1:$L$316,4,FALSE)</f>
        <v>7247.5815054432087</v>
      </c>
      <c r="E210" s="31">
        <f>VLOOKUP(B210,'Initial adjusted formula count'!$A$1:$P$316,12,FALSE)</f>
        <v>0.123711340206186</v>
      </c>
      <c r="F210">
        <f>VLOOKUP(B210,'Model allocations'!$A$1:$L$316,9,FALSE)</f>
        <v>6167.8355195971935</v>
      </c>
      <c r="G210" s="30">
        <f t="shared" si="64"/>
        <v>0.85</v>
      </c>
      <c r="H210">
        <f t="shared" si="65"/>
        <v>6160.4442796267276</v>
      </c>
      <c r="I210">
        <f t="shared" si="57"/>
        <v>0</v>
      </c>
      <c r="J210">
        <f t="shared" si="58"/>
        <v>6167.8355195971935</v>
      </c>
      <c r="K210">
        <f t="shared" si="59"/>
        <v>6161.1011566437237</v>
      </c>
      <c r="L210">
        <f t="shared" si="66"/>
        <v>6161.1011566437237</v>
      </c>
      <c r="M210">
        <f t="shared" si="60"/>
        <v>0</v>
      </c>
      <c r="N210" s="29">
        <f t="shared" si="67"/>
        <v>6161.1011566437237</v>
      </c>
      <c r="O210" s="29">
        <f t="shared" si="61"/>
        <v>6159.4525508103925</v>
      </c>
      <c r="P210" s="29">
        <f t="shared" si="68"/>
        <v>6159.4525508103925</v>
      </c>
      <c r="Q210">
        <f t="shared" si="69"/>
        <v>6160.4442796267276</v>
      </c>
      <c r="R210" s="29">
        <f t="shared" si="70"/>
        <v>0</v>
      </c>
      <c r="S210" s="29">
        <f t="shared" si="62"/>
        <v>0</v>
      </c>
      <c r="T210" s="29">
        <f t="shared" si="71"/>
        <v>6160.4442796267276</v>
      </c>
      <c r="U210">
        <f t="shared" si="72"/>
        <v>0</v>
      </c>
      <c r="V210" s="29">
        <f t="shared" si="73"/>
        <v>0</v>
      </c>
      <c r="W210" s="29">
        <f t="shared" si="63"/>
        <v>0</v>
      </c>
      <c r="X210" s="29">
        <f t="shared" si="74"/>
        <v>6160.4442796267276</v>
      </c>
      <c r="Y210">
        <f t="shared" si="75"/>
        <v>0</v>
      </c>
    </row>
    <row r="211" spans="1:25" x14ac:dyDescent="0.25">
      <c r="A211" s="4" t="s">
        <v>1063</v>
      </c>
      <c r="B211" s="7" t="s">
        <v>554</v>
      </c>
      <c r="C211" s="2" t="s">
        <v>1064</v>
      </c>
      <c r="D211">
        <f>VLOOKUP(B211,'Model allocations'!$A$1:$L$316,4,FALSE)</f>
        <v>57711.240186380295</v>
      </c>
      <c r="E211" s="31">
        <f>VLOOKUP(B211,'Initial adjusted formula count'!$A$1:$P$316,12,FALSE)</f>
        <v>0.14830875975715499</v>
      </c>
      <c r="F211">
        <f>VLOOKUP(B211,'Model allocations'!$A$1:$L$316,9,FALSE)</f>
        <v>49054.554158423249</v>
      </c>
      <c r="G211" s="30">
        <f t="shared" si="64"/>
        <v>0.85</v>
      </c>
      <c r="H211">
        <f t="shared" si="65"/>
        <v>49054.554158423249</v>
      </c>
      <c r="I211">
        <f t="shared" si="57"/>
        <v>0</v>
      </c>
      <c r="J211">
        <f t="shared" si="58"/>
        <v>49054.554158423249</v>
      </c>
      <c r="K211">
        <f t="shared" si="59"/>
        <v>49000.993850082697</v>
      </c>
      <c r="L211">
        <f t="shared" si="66"/>
        <v>49000.993850082697</v>
      </c>
      <c r="M211">
        <f t="shared" si="60"/>
        <v>49054.554158423249</v>
      </c>
      <c r="N211" s="29">
        <f t="shared" si="67"/>
        <v>0</v>
      </c>
      <c r="O211" s="29">
        <f t="shared" si="61"/>
        <v>0</v>
      </c>
      <c r="P211" s="29">
        <f t="shared" si="68"/>
        <v>49054.554158423249</v>
      </c>
      <c r="Q211">
        <f t="shared" si="69"/>
        <v>0</v>
      </c>
      <c r="R211" s="29">
        <f t="shared" si="70"/>
        <v>0</v>
      </c>
      <c r="S211" s="29">
        <f t="shared" si="62"/>
        <v>0</v>
      </c>
      <c r="T211" s="29">
        <f t="shared" si="71"/>
        <v>49054.554158423249</v>
      </c>
      <c r="U211">
        <f t="shared" si="72"/>
        <v>0</v>
      </c>
      <c r="V211" s="29">
        <f t="shared" si="73"/>
        <v>0</v>
      </c>
      <c r="W211" s="29">
        <f t="shared" si="63"/>
        <v>0</v>
      </c>
      <c r="X211" s="29">
        <f t="shared" si="74"/>
        <v>49054.554158423249</v>
      </c>
      <c r="Y211">
        <f t="shared" si="75"/>
        <v>0</v>
      </c>
    </row>
    <row r="212" spans="1:25" x14ac:dyDescent="0.25">
      <c r="A212" s="4" t="s">
        <v>1065</v>
      </c>
      <c r="B212" s="7" t="s">
        <v>444</v>
      </c>
      <c r="C212" s="2" t="s">
        <v>1066</v>
      </c>
      <c r="D212">
        <f>VLOOKUP(B212,'Model allocations'!$A$1:$L$316,4,FALSE)</f>
        <v>8160.7747063877987</v>
      </c>
      <c r="E212" s="31">
        <f>VLOOKUP(B212,'Initial adjusted formula count'!$A$1:$P$316,12,FALSE)</f>
        <v>9.8837209302325604E-2</v>
      </c>
      <c r="F212">
        <f>VLOOKUP(B212,'Model allocations'!$A$1:$L$316,9,FALSE)</f>
        <v>6936.6585004296285</v>
      </c>
      <c r="G212" s="30">
        <f t="shared" si="64"/>
        <v>0.85</v>
      </c>
      <c r="H212">
        <f t="shared" si="65"/>
        <v>6936.6585004296285</v>
      </c>
      <c r="I212">
        <f t="shared" si="57"/>
        <v>0</v>
      </c>
      <c r="J212">
        <f t="shared" si="58"/>
        <v>6936.6585004296285</v>
      </c>
      <c r="K212">
        <f t="shared" si="59"/>
        <v>6929.0846966409681</v>
      </c>
      <c r="L212">
        <f t="shared" si="66"/>
        <v>6929.0846966409681</v>
      </c>
      <c r="M212">
        <f t="shared" si="60"/>
        <v>6936.6585004296285</v>
      </c>
      <c r="N212" s="29">
        <f t="shared" si="67"/>
        <v>0</v>
      </c>
      <c r="O212" s="29">
        <f t="shared" si="61"/>
        <v>0</v>
      </c>
      <c r="P212" s="29">
        <f t="shared" si="68"/>
        <v>6936.6585004296285</v>
      </c>
      <c r="Q212">
        <f t="shared" si="69"/>
        <v>0</v>
      </c>
      <c r="R212" s="29">
        <f t="shared" si="70"/>
        <v>0</v>
      </c>
      <c r="S212" s="29">
        <f t="shared" si="62"/>
        <v>0</v>
      </c>
      <c r="T212" s="29">
        <f t="shared" si="71"/>
        <v>6936.6585004296285</v>
      </c>
      <c r="U212">
        <f t="shared" si="72"/>
        <v>0</v>
      </c>
      <c r="V212" s="29">
        <f t="shared" si="73"/>
        <v>0</v>
      </c>
      <c r="W212" s="29">
        <f t="shared" si="63"/>
        <v>0</v>
      </c>
      <c r="X212" s="29">
        <f t="shared" si="74"/>
        <v>6936.6585004296285</v>
      </c>
      <c r="Y212">
        <f t="shared" si="75"/>
        <v>0</v>
      </c>
    </row>
    <row r="213" spans="1:25" x14ac:dyDescent="0.25">
      <c r="A213" s="4" t="s">
        <v>1067</v>
      </c>
      <c r="B213" s="7" t="s">
        <v>556</v>
      </c>
      <c r="C213" s="2" t="s">
        <v>1068</v>
      </c>
      <c r="D213">
        <f>VLOOKUP(B213,'Model allocations'!$A$1:$L$316,4,FALSE)</f>
        <v>82038.824787116231</v>
      </c>
      <c r="E213" s="31">
        <f>VLOOKUP(B213,'Initial adjusted formula count'!$A$1:$P$316,12,FALSE)</f>
        <v>0.19065898912348</v>
      </c>
      <c r="F213">
        <f>VLOOKUP(B213,'Model allocations'!$A$1:$L$316,9,FALSE)</f>
        <v>141496.28752058835</v>
      </c>
      <c r="G213" s="30">
        <f t="shared" si="64"/>
        <v>0.9</v>
      </c>
      <c r="H213">
        <f t="shared" si="65"/>
        <v>73834.942308404614</v>
      </c>
      <c r="I213">
        <f t="shared" si="57"/>
        <v>0</v>
      </c>
      <c r="J213">
        <f t="shared" si="58"/>
        <v>141496.28752058835</v>
      </c>
      <c r="K213">
        <f t="shared" si="59"/>
        <v>141341.79452969963</v>
      </c>
      <c r="L213">
        <f t="shared" si="66"/>
        <v>141341.79452969963</v>
      </c>
      <c r="M213">
        <f t="shared" si="60"/>
        <v>0</v>
      </c>
      <c r="N213" s="29">
        <f t="shared" si="67"/>
        <v>141341.79452969963</v>
      </c>
      <c r="O213" s="29">
        <f t="shared" si="61"/>
        <v>141303.97387052997</v>
      </c>
      <c r="P213" s="29">
        <f t="shared" si="68"/>
        <v>141303.97387052997</v>
      </c>
      <c r="Q213">
        <f t="shared" si="69"/>
        <v>0</v>
      </c>
      <c r="R213" s="29">
        <f t="shared" si="70"/>
        <v>141303.97387052997</v>
      </c>
      <c r="S213" s="29">
        <f t="shared" si="62"/>
        <v>141299.68268759354</v>
      </c>
      <c r="T213" s="29">
        <f t="shared" si="71"/>
        <v>141299.68268759354</v>
      </c>
      <c r="U213">
        <f t="shared" si="72"/>
        <v>0</v>
      </c>
      <c r="V213" s="29">
        <f t="shared" si="73"/>
        <v>141299.68268759354</v>
      </c>
      <c r="W213" s="29">
        <f t="shared" si="63"/>
        <v>141299.68268759354</v>
      </c>
      <c r="X213" s="29">
        <f t="shared" si="74"/>
        <v>141299.68268759354</v>
      </c>
      <c r="Y213">
        <f t="shared" si="75"/>
        <v>0</v>
      </c>
    </row>
    <row r="214" spans="1:25" x14ac:dyDescent="0.25">
      <c r="A214" s="4" t="s">
        <v>1069</v>
      </c>
      <c r="B214" s="7" t="s">
        <v>196</v>
      </c>
      <c r="C214" s="2" t="s">
        <v>1070</v>
      </c>
      <c r="D214">
        <f>VLOOKUP(B214,'Model allocations'!$A$1:$L$316,4,FALSE)</f>
        <v>24613.633290635702</v>
      </c>
      <c r="E214" s="31">
        <f>VLOOKUP(B214,'Initial adjusted formula count'!$A$1:$P$316,12,FALSE)</f>
        <v>5.9280855199222597E-2</v>
      </c>
      <c r="F214">
        <f>VLOOKUP(B214,'Model allocations'!$A$1:$L$316,9,FALSE)</f>
        <v>20898.797895845313</v>
      </c>
      <c r="G214" s="30">
        <f t="shared" si="64"/>
        <v>0.85</v>
      </c>
      <c r="H214">
        <f t="shared" si="65"/>
        <v>20921.588297040347</v>
      </c>
      <c r="I214">
        <f t="shared" si="57"/>
        <v>20921.588297040347</v>
      </c>
      <c r="J214">
        <f t="shared" si="58"/>
        <v>0</v>
      </c>
      <c r="K214">
        <f t="shared" si="59"/>
        <v>0</v>
      </c>
      <c r="L214">
        <f t="shared" si="66"/>
        <v>20921.588297040347</v>
      </c>
      <c r="M214">
        <f t="shared" si="60"/>
        <v>0</v>
      </c>
      <c r="N214" s="29">
        <f t="shared" si="67"/>
        <v>0</v>
      </c>
      <c r="O214" s="29">
        <f t="shared" si="61"/>
        <v>0</v>
      </c>
      <c r="P214" s="29">
        <f t="shared" si="68"/>
        <v>20921.588297040347</v>
      </c>
      <c r="Q214">
        <f t="shared" si="69"/>
        <v>0</v>
      </c>
      <c r="R214" s="29">
        <f t="shared" si="70"/>
        <v>0</v>
      </c>
      <c r="S214" s="29">
        <f t="shared" si="62"/>
        <v>0</v>
      </c>
      <c r="T214" s="29">
        <f t="shared" si="71"/>
        <v>20921.588297040347</v>
      </c>
      <c r="U214">
        <f t="shared" si="72"/>
        <v>0</v>
      </c>
      <c r="V214" s="29">
        <f t="shared" si="73"/>
        <v>0</v>
      </c>
      <c r="W214" s="29">
        <f t="shared" si="63"/>
        <v>0</v>
      </c>
      <c r="X214" s="29">
        <f t="shared" si="74"/>
        <v>20921.588297040347</v>
      </c>
      <c r="Y214">
        <f t="shared" si="75"/>
        <v>0</v>
      </c>
    </row>
    <row r="215" spans="1:25" x14ac:dyDescent="0.25">
      <c r="A215" s="4" t="s">
        <v>15</v>
      </c>
      <c r="B215" s="7" t="s">
        <v>69</v>
      </c>
      <c r="C215" s="2" t="s">
        <v>1071</v>
      </c>
      <c r="D215">
        <f>VLOOKUP(B215,'Model allocations'!$A$1:$L$316,4,FALSE)</f>
        <v>16066.574148383796</v>
      </c>
      <c r="E215" s="31">
        <f>VLOOKUP(B215,'Initial adjusted formula count'!$A$1:$P$316,12,FALSE)</f>
        <v>0.17293702827634</v>
      </c>
      <c r="F215">
        <f>VLOOKUP(B215,'Model allocations'!$A$1:$L$316,9,FALSE)</f>
        <v>16282.700897711511</v>
      </c>
      <c r="G215" s="30">
        <f t="shared" si="64"/>
        <v>0.9</v>
      </c>
      <c r="H215">
        <f t="shared" si="65"/>
        <v>14459.916733545417</v>
      </c>
      <c r="I215">
        <f t="shared" si="57"/>
        <v>0</v>
      </c>
      <c r="J215">
        <f t="shared" si="58"/>
        <v>16282.700897711511</v>
      </c>
      <c r="K215">
        <f t="shared" si="59"/>
        <v>16264.922599739788</v>
      </c>
      <c r="L215">
        <f t="shared" si="66"/>
        <v>16264.922599739788</v>
      </c>
      <c r="M215">
        <f t="shared" si="60"/>
        <v>0</v>
      </c>
      <c r="N215" s="29">
        <f t="shared" si="67"/>
        <v>16264.922599739788</v>
      </c>
      <c r="O215" s="29">
        <f t="shared" si="61"/>
        <v>16260.570383213086</v>
      </c>
      <c r="P215" s="29">
        <f t="shared" si="68"/>
        <v>16260.570383213086</v>
      </c>
      <c r="Q215">
        <f t="shared" si="69"/>
        <v>0</v>
      </c>
      <c r="R215" s="29">
        <f t="shared" si="70"/>
        <v>16260.570383213086</v>
      </c>
      <c r="S215" s="29">
        <f t="shared" si="62"/>
        <v>16260.076574863231</v>
      </c>
      <c r="T215" s="29">
        <f t="shared" si="71"/>
        <v>16260.076574863231</v>
      </c>
      <c r="U215">
        <f t="shared" si="72"/>
        <v>0</v>
      </c>
      <c r="V215" s="29">
        <f t="shared" si="73"/>
        <v>16260.076574863231</v>
      </c>
      <c r="W215" s="29">
        <f t="shared" si="63"/>
        <v>16260.076574863231</v>
      </c>
      <c r="X215" s="29">
        <f t="shared" si="74"/>
        <v>16260.076574863231</v>
      </c>
      <c r="Y215">
        <f t="shared" si="75"/>
        <v>0</v>
      </c>
    </row>
    <row r="216" spans="1:25" x14ac:dyDescent="0.25">
      <c r="A216" s="4" t="s">
        <v>21</v>
      </c>
      <c r="B216" s="7" t="s">
        <v>71</v>
      </c>
      <c r="C216" s="2" t="s">
        <v>1072</v>
      </c>
      <c r="D216">
        <f>VLOOKUP(B216,'Model allocations'!$A$1:$L$316,4,FALSE)</f>
        <v>11450.564836992338</v>
      </c>
      <c r="E216" s="31">
        <f>VLOOKUP(B216,'Initial adjusted formula count'!$A$1:$P$316,12,FALSE)</f>
        <v>0.152332290292609</v>
      </c>
      <c r="F216">
        <f>VLOOKUP(B216,'Model allocations'!$A$1:$L$316,9,FALSE)</f>
        <v>5851.0575501990634</v>
      </c>
      <c r="G216" s="30">
        <f t="shared" si="64"/>
        <v>0.9</v>
      </c>
      <c r="H216">
        <f t="shared" si="65"/>
        <v>10305.508353293104</v>
      </c>
      <c r="I216">
        <f t="shared" si="57"/>
        <v>10305.508353293104</v>
      </c>
      <c r="J216">
        <f t="shared" si="58"/>
        <v>0</v>
      </c>
      <c r="K216">
        <f t="shared" si="59"/>
        <v>0</v>
      </c>
      <c r="L216">
        <f t="shared" si="66"/>
        <v>10305.508353293104</v>
      </c>
      <c r="M216">
        <f t="shared" si="60"/>
        <v>0</v>
      </c>
      <c r="N216" s="29">
        <f t="shared" si="67"/>
        <v>0</v>
      </c>
      <c r="O216" s="29">
        <f t="shared" si="61"/>
        <v>0</v>
      </c>
      <c r="P216" s="29">
        <f t="shared" si="68"/>
        <v>10305.508353293104</v>
      </c>
      <c r="Q216">
        <f t="shared" si="69"/>
        <v>0</v>
      </c>
      <c r="R216" s="29">
        <f t="shared" si="70"/>
        <v>0</v>
      </c>
      <c r="S216" s="29">
        <f t="shared" si="62"/>
        <v>0</v>
      </c>
      <c r="T216" s="29">
        <f t="shared" si="71"/>
        <v>10305.508353293104</v>
      </c>
      <c r="U216">
        <f t="shared" si="72"/>
        <v>0</v>
      </c>
      <c r="V216" s="29">
        <f t="shared" si="73"/>
        <v>0</v>
      </c>
      <c r="W216" s="29">
        <f t="shared" si="63"/>
        <v>0</v>
      </c>
      <c r="X216" s="29">
        <f t="shared" si="74"/>
        <v>10305.508353293104</v>
      </c>
      <c r="Y216">
        <f t="shared" si="75"/>
        <v>0</v>
      </c>
    </row>
    <row r="217" spans="1:25" x14ac:dyDescent="0.25">
      <c r="A217" s="4" t="s">
        <v>1073</v>
      </c>
      <c r="B217" s="7" t="s">
        <v>558</v>
      </c>
      <c r="C217" s="2" t="s">
        <v>1074</v>
      </c>
      <c r="D217">
        <f>VLOOKUP(B217,'Model allocations'!$A$1:$L$316,4,FALSE)</f>
        <v>28055.154214618866</v>
      </c>
      <c r="E217" s="31">
        <f>VLOOKUP(B217,'Initial adjusted formula count'!$A$1:$P$316,12,FALSE)</f>
        <v>0.223168654173765</v>
      </c>
      <c r="F217">
        <f>VLOOKUP(B217,'Model allocations'!$A$1:$L$316,9,FALSE)</f>
        <v>31100.694069122608</v>
      </c>
      <c r="G217" s="30">
        <f t="shared" si="64"/>
        <v>0.9</v>
      </c>
      <c r="H217">
        <f t="shared" si="65"/>
        <v>25249.638793156981</v>
      </c>
      <c r="I217">
        <f t="shared" si="57"/>
        <v>0</v>
      </c>
      <c r="J217">
        <f t="shared" si="58"/>
        <v>31100.694069122608</v>
      </c>
      <c r="K217">
        <f t="shared" si="59"/>
        <v>31066.736717098414</v>
      </c>
      <c r="L217">
        <f t="shared" si="66"/>
        <v>31066.736717098414</v>
      </c>
      <c r="M217">
        <f t="shared" si="60"/>
        <v>0</v>
      </c>
      <c r="N217" s="29">
        <f t="shared" si="67"/>
        <v>31066.736717098414</v>
      </c>
      <c r="O217" s="29">
        <f t="shared" si="61"/>
        <v>31058.423786978907</v>
      </c>
      <c r="P217" s="29">
        <f t="shared" si="68"/>
        <v>31058.423786978907</v>
      </c>
      <c r="Q217">
        <f t="shared" si="69"/>
        <v>0</v>
      </c>
      <c r="R217" s="29">
        <f t="shared" si="70"/>
        <v>31058.423786978907</v>
      </c>
      <c r="S217" s="29">
        <f t="shared" si="62"/>
        <v>31057.480590729458</v>
      </c>
      <c r="T217" s="29">
        <f t="shared" si="71"/>
        <v>31057.480590729458</v>
      </c>
      <c r="U217">
        <f t="shared" si="72"/>
        <v>0</v>
      </c>
      <c r="V217" s="29">
        <f t="shared" si="73"/>
        <v>31057.480590729458</v>
      </c>
      <c r="W217" s="29">
        <f t="shared" si="63"/>
        <v>31057.480590729458</v>
      </c>
      <c r="X217" s="29">
        <f t="shared" si="74"/>
        <v>31057.480590729458</v>
      </c>
      <c r="Y217">
        <f t="shared" si="75"/>
        <v>0</v>
      </c>
    </row>
    <row r="218" spans="1:25" x14ac:dyDescent="0.25">
      <c r="A218" s="4" t="s">
        <v>1075</v>
      </c>
      <c r="B218" s="7" t="s">
        <v>560</v>
      </c>
      <c r="C218" s="2" t="s">
        <v>1076</v>
      </c>
      <c r="D218">
        <f>VLOOKUP(B218,'Model allocations'!$A$1:$L$316,4,FALSE)</f>
        <v>19042.926288557661</v>
      </c>
      <c r="E218" s="31">
        <f>VLOOKUP(B218,'Initial adjusted formula count'!$A$1:$P$316,12,FALSE)</f>
        <v>8.1325301204819303E-2</v>
      </c>
      <c r="F218">
        <f>VLOOKUP(B218,'Model allocations'!$A$1:$L$316,9,FALSE)</f>
        <v>16186.487345274012</v>
      </c>
      <c r="G218" s="30">
        <f t="shared" si="64"/>
        <v>0.85</v>
      </c>
      <c r="H218">
        <f t="shared" si="65"/>
        <v>16186.487345274012</v>
      </c>
      <c r="I218">
        <f t="shared" si="57"/>
        <v>0</v>
      </c>
      <c r="J218">
        <f t="shared" si="58"/>
        <v>16186.487345274012</v>
      </c>
      <c r="K218">
        <f t="shared" si="59"/>
        <v>16168.814098252677</v>
      </c>
      <c r="L218">
        <f t="shared" si="66"/>
        <v>16168.814098252677</v>
      </c>
      <c r="M218">
        <f t="shared" si="60"/>
        <v>16186.487345274012</v>
      </c>
      <c r="N218" s="29">
        <f t="shared" si="67"/>
        <v>0</v>
      </c>
      <c r="O218" s="29">
        <f t="shared" si="61"/>
        <v>0</v>
      </c>
      <c r="P218" s="29">
        <f t="shared" si="68"/>
        <v>16186.487345274012</v>
      </c>
      <c r="Q218">
        <f t="shared" si="69"/>
        <v>0</v>
      </c>
      <c r="R218" s="29">
        <f t="shared" si="70"/>
        <v>0</v>
      </c>
      <c r="S218" s="29">
        <f t="shared" si="62"/>
        <v>0</v>
      </c>
      <c r="T218" s="29">
        <f t="shared" si="71"/>
        <v>16186.487345274012</v>
      </c>
      <c r="U218">
        <f t="shared" si="72"/>
        <v>0</v>
      </c>
      <c r="V218" s="29">
        <f t="shared" si="73"/>
        <v>0</v>
      </c>
      <c r="W218" s="29">
        <f t="shared" si="63"/>
        <v>0</v>
      </c>
      <c r="X218" s="29">
        <f t="shared" si="74"/>
        <v>16186.487345274012</v>
      </c>
      <c r="Y218">
        <f t="shared" si="75"/>
        <v>0</v>
      </c>
    </row>
    <row r="219" spans="1:25" x14ac:dyDescent="0.25">
      <c r="A219" s="4" t="s">
        <v>1077</v>
      </c>
      <c r="B219" s="7" t="s">
        <v>562</v>
      </c>
      <c r="C219" s="2" t="s">
        <v>1078</v>
      </c>
      <c r="D219">
        <f>VLOOKUP(B219,'Model allocations'!$A$1:$L$316,4,FALSE)</f>
        <v>0</v>
      </c>
      <c r="E219" s="31">
        <f>VLOOKUP(B219,'Initial adjusted formula count'!$A$1:$P$316,12,FALSE)</f>
        <v>0.12677871174366601</v>
      </c>
      <c r="F219">
        <f>VLOOKUP(B219,'Model allocations'!$A$1:$L$316,9,FALSE)</f>
        <v>0</v>
      </c>
      <c r="G219" s="30">
        <f t="shared" si="64"/>
        <v>0.85</v>
      </c>
      <c r="H219">
        <f t="shared" si="65"/>
        <v>0</v>
      </c>
      <c r="I219">
        <f t="shared" si="57"/>
        <v>0</v>
      </c>
      <c r="J219">
        <f t="shared" si="58"/>
        <v>0</v>
      </c>
      <c r="K219">
        <f t="shared" si="59"/>
        <v>0</v>
      </c>
      <c r="L219">
        <f t="shared" si="66"/>
        <v>0</v>
      </c>
      <c r="M219">
        <f t="shared" si="60"/>
        <v>0</v>
      </c>
      <c r="N219" s="29">
        <f t="shared" si="67"/>
        <v>0</v>
      </c>
      <c r="O219" s="29">
        <f t="shared" si="61"/>
        <v>0</v>
      </c>
      <c r="P219" s="29">
        <f t="shared" si="68"/>
        <v>0</v>
      </c>
      <c r="Q219">
        <f t="shared" si="69"/>
        <v>0</v>
      </c>
      <c r="R219" s="29">
        <f t="shared" si="70"/>
        <v>0</v>
      </c>
      <c r="S219" s="29">
        <f t="shared" si="62"/>
        <v>0</v>
      </c>
      <c r="T219" s="29">
        <f t="shared" si="71"/>
        <v>0</v>
      </c>
      <c r="U219">
        <f t="shared" si="72"/>
        <v>0</v>
      </c>
      <c r="V219" s="29">
        <f t="shared" si="73"/>
        <v>0</v>
      </c>
      <c r="W219" s="29">
        <f t="shared" si="63"/>
        <v>0</v>
      </c>
      <c r="X219" s="29">
        <f t="shared" si="74"/>
        <v>0</v>
      </c>
      <c r="Y219">
        <f t="shared" si="75"/>
        <v>0</v>
      </c>
    </row>
    <row r="220" spans="1:25" x14ac:dyDescent="0.25">
      <c r="A220" s="4" t="s">
        <v>1079</v>
      </c>
      <c r="B220" s="7" t="s">
        <v>563</v>
      </c>
      <c r="C220" s="2" t="s">
        <v>1080</v>
      </c>
      <c r="D220">
        <f>VLOOKUP(B220,'Model allocations'!$A$1:$L$316,4,FALSE)</f>
        <v>22210.330419906608</v>
      </c>
      <c r="E220" s="31">
        <f>VLOOKUP(B220,'Initial adjusted formula count'!$A$1:$P$316,12,FALSE)</f>
        <v>0.213720316622691</v>
      </c>
      <c r="F220">
        <f>VLOOKUP(B220,'Model allocations'!$A$1:$L$316,9,FALSE)</f>
        <v>20013.280338730936</v>
      </c>
      <c r="G220" s="30">
        <f t="shared" si="64"/>
        <v>0.9</v>
      </c>
      <c r="H220">
        <f t="shared" si="65"/>
        <v>19989.297377915947</v>
      </c>
      <c r="I220">
        <f t="shared" si="57"/>
        <v>0</v>
      </c>
      <c r="J220">
        <f t="shared" si="58"/>
        <v>20013.280338730936</v>
      </c>
      <c r="K220">
        <f t="shared" si="59"/>
        <v>19991.428800494821</v>
      </c>
      <c r="L220">
        <f t="shared" si="66"/>
        <v>19991.428800494821</v>
      </c>
      <c r="M220">
        <f t="shared" si="60"/>
        <v>0</v>
      </c>
      <c r="N220" s="29">
        <f t="shared" si="67"/>
        <v>19991.428800494821</v>
      </c>
      <c r="O220" s="29">
        <f t="shared" si="61"/>
        <v>19986.079434318355</v>
      </c>
      <c r="P220" s="29">
        <f t="shared" si="68"/>
        <v>19986.079434318355</v>
      </c>
      <c r="Q220">
        <f t="shared" si="69"/>
        <v>19989.297377915947</v>
      </c>
      <c r="R220" s="29">
        <f t="shared" si="70"/>
        <v>0</v>
      </c>
      <c r="S220" s="29">
        <f t="shared" si="62"/>
        <v>0</v>
      </c>
      <c r="T220" s="29">
        <f t="shared" si="71"/>
        <v>19989.297377915947</v>
      </c>
      <c r="U220">
        <f t="shared" si="72"/>
        <v>0</v>
      </c>
      <c r="V220" s="29">
        <f t="shared" si="73"/>
        <v>0</v>
      </c>
      <c r="W220" s="29">
        <f t="shared" si="63"/>
        <v>0</v>
      </c>
      <c r="X220" s="29">
        <f t="shared" si="74"/>
        <v>19989.297377915947</v>
      </c>
      <c r="Y220">
        <f t="shared" si="75"/>
        <v>0</v>
      </c>
    </row>
    <row r="221" spans="1:25" x14ac:dyDescent="0.25">
      <c r="A221" s="4" t="s">
        <v>1081</v>
      </c>
      <c r="B221" s="7" t="s">
        <v>198</v>
      </c>
      <c r="C221" s="2" t="s">
        <v>1082</v>
      </c>
      <c r="D221">
        <f>VLOOKUP(B221,'Model allocations'!$A$1:$L$316,4,FALSE)</f>
        <v>0</v>
      </c>
      <c r="E221" s="31">
        <f>VLOOKUP(B221,'Initial adjusted formula count'!$A$1:$P$316,12,FALSE)</f>
        <v>8.0586778433987399E-2</v>
      </c>
      <c r="F221">
        <f>VLOOKUP(B221,'Model allocations'!$A$1:$L$316,9,FALSE)</f>
        <v>0</v>
      </c>
      <c r="G221" s="30">
        <f t="shared" si="64"/>
        <v>0.85</v>
      </c>
      <c r="H221">
        <f t="shared" si="65"/>
        <v>0</v>
      </c>
      <c r="I221">
        <f t="shared" si="57"/>
        <v>0</v>
      </c>
      <c r="J221">
        <f t="shared" si="58"/>
        <v>0</v>
      </c>
      <c r="K221">
        <f t="shared" si="59"/>
        <v>0</v>
      </c>
      <c r="L221">
        <f t="shared" si="66"/>
        <v>0</v>
      </c>
      <c r="M221">
        <f t="shared" si="60"/>
        <v>0</v>
      </c>
      <c r="N221" s="29">
        <f t="shared" si="67"/>
        <v>0</v>
      </c>
      <c r="O221" s="29">
        <f t="shared" si="61"/>
        <v>0</v>
      </c>
      <c r="P221" s="29">
        <f t="shared" si="68"/>
        <v>0</v>
      </c>
      <c r="Q221">
        <f t="shared" si="69"/>
        <v>0</v>
      </c>
      <c r="R221" s="29">
        <f t="shared" si="70"/>
        <v>0</v>
      </c>
      <c r="S221" s="29">
        <f t="shared" si="62"/>
        <v>0</v>
      </c>
      <c r="T221" s="29">
        <f t="shared" si="71"/>
        <v>0</v>
      </c>
      <c r="U221">
        <f t="shared" si="72"/>
        <v>0</v>
      </c>
      <c r="V221" s="29">
        <f t="shared" si="73"/>
        <v>0</v>
      </c>
      <c r="W221" s="29">
        <f t="shared" si="63"/>
        <v>0</v>
      </c>
      <c r="X221" s="29">
        <f t="shared" si="74"/>
        <v>0</v>
      </c>
      <c r="Y221">
        <f t="shared" si="75"/>
        <v>0</v>
      </c>
    </row>
    <row r="222" spans="1:25" x14ac:dyDescent="0.25">
      <c r="A222" s="4" t="s">
        <v>1083</v>
      </c>
      <c r="B222" s="7" t="s">
        <v>200</v>
      </c>
      <c r="C222" s="2" t="s">
        <v>1084</v>
      </c>
      <c r="D222">
        <f>VLOOKUP(B222,'Model allocations'!$A$1:$L$316,4,FALSE)</f>
        <v>0</v>
      </c>
      <c r="E222" s="31">
        <f>VLOOKUP(B222,'Initial adjusted formula count'!$A$1:$P$316,12,FALSE)</f>
        <v>3.9120985269258599E-2</v>
      </c>
      <c r="F222">
        <f>VLOOKUP(B222,'Model allocations'!$A$1:$L$316,9,FALSE)</f>
        <v>0</v>
      </c>
      <c r="G222" s="30">
        <f t="shared" si="64"/>
        <v>0.85</v>
      </c>
      <c r="H222">
        <f t="shared" si="65"/>
        <v>0</v>
      </c>
      <c r="I222">
        <f t="shared" si="57"/>
        <v>0</v>
      </c>
      <c r="J222">
        <f t="shared" si="58"/>
        <v>0</v>
      </c>
      <c r="K222">
        <f t="shared" si="59"/>
        <v>0</v>
      </c>
      <c r="L222">
        <f t="shared" si="66"/>
        <v>0</v>
      </c>
      <c r="M222">
        <f t="shared" si="60"/>
        <v>0</v>
      </c>
      <c r="N222" s="29">
        <f t="shared" si="67"/>
        <v>0</v>
      </c>
      <c r="O222" s="29">
        <f t="shared" si="61"/>
        <v>0</v>
      </c>
      <c r="P222" s="29">
        <f t="shared" si="68"/>
        <v>0</v>
      </c>
      <c r="Q222">
        <f t="shared" si="69"/>
        <v>0</v>
      </c>
      <c r="R222" s="29">
        <f t="shared" si="70"/>
        <v>0</v>
      </c>
      <c r="S222" s="29">
        <f t="shared" si="62"/>
        <v>0</v>
      </c>
      <c r="T222" s="29">
        <f t="shared" si="71"/>
        <v>0</v>
      </c>
      <c r="U222">
        <f t="shared" si="72"/>
        <v>0</v>
      </c>
      <c r="V222" s="29">
        <f t="shared" si="73"/>
        <v>0</v>
      </c>
      <c r="W222" s="29">
        <f t="shared" si="63"/>
        <v>0</v>
      </c>
      <c r="X222" s="29">
        <f t="shared" si="74"/>
        <v>0</v>
      </c>
      <c r="Y222">
        <f t="shared" si="75"/>
        <v>0</v>
      </c>
    </row>
    <row r="223" spans="1:25" x14ac:dyDescent="0.25">
      <c r="A223" s="4" t="s">
        <v>1085</v>
      </c>
      <c r="B223" s="7" t="s">
        <v>202</v>
      </c>
      <c r="C223" s="2" t="s">
        <v>1086</v>
      </c>
      <c r="D223">
        <f>VLOOKUP(B223,'Model allocations'!$A$1:$L$316,4,FALSE)</f>
        <v>0</v>
      </c>
      <c r="E223" s="31">
        <f>VLOOKUP(B223,'Initial adjusted formula count'!$A$1:$P$316,12,FALSE)</f>
        <v>0.12980769230769201</v>
      </c>
      <c r="F223">
        <f>VLOOKUP(B223,'Model allocations'!$A$1:$L$316,9,FALSE)</f>
        <v>0</v>
      </c>
      <c r="G223" s="30">
        <f t="shared" si="64"/>
        <v>0.85</v>
      </c>
      <c r="H223">
        <f t="shared" si="65"/>
        <v>0</v>
      </c>
      <c r="I223">
        <f t="shared" si="57"/>
        <v>0</v>
      </c>
      <c r="J223">
        <f t="shared" si="58"/>
        <v>0</v>
      </c>
      <c r="K223">
        <f t="shared" si="59"/>
        <v>0</v>
      </c>
      <c r="L223">
        <f t="shared" si="66"/>
        <v>0</v>
      </c>
      <c r="M223">
        <f t="shared" si="60"/>
        <v>0</v>
      </c>
      <c r="N223" s="29">
        <f t="shared" si="67"/>
        <v>0</v>
      </c>
      <c r="O223" s="29">
        <f t="shared" si="61"/>
        <v>0</v>
      </c>
      <c r="P223" s="29">
        <f t="shared" si="68"/>
        <v>0</v>
      </c>
      <c r="Q223">
        <f t="shared" si="69"/>
        <v>0</v>
      </c>
      <c r="R223" s="29">
        <f t="shared" si="70"/>
        <v>0</v>
      </c>
      <c r="S223" s="29">
        <f t="shared" si="62"/>
        <v>0</v>
      </c>
      <c r="T223" s="29">
        <f t="shared" si="71"/>
        <v>0</v>
      </c>
      <c r="U223">
        <f t="shared" si="72"/>
        <v>0</v>
      </c>
      <c r="V223" s="29">
        <f t="shared" si="73"/>
        <v>0</v>
      </c>
      <c r="W223" s="29">
        <f t="shared" si="63"/>
        <v>0</v>
      </c>
      <c r="X223" s="29">
        <f t="shared" si="74"/>
        <v>0</v>
      </c>
      <c r="Y223">
        <f t="shared" si="75"/>
        <v>0</v>
      </c>
    </row>
    <row r="224" spans="1:25" x14ac:dyDescent="0.25">
      <c r="A224" s="4" t="s">
        <v>1087</v>
      </c>
      <c r="B224" s="7" t="s">
        <v>295</v>
      </c>
      <c r="C224" s="2" t="s">
        <v>1088</v>
      </c>
      <c r="D224">
        <f>VLOOKUP(B224,'Model allocations'!$A$1:$L$316,4,FALSE)</f>
        <v>0</v>
      </c>
      <c r="E224" s="31">
        <f>VLOOKUP(B224,'Initial adjusted formula count'!$A$1:$P$316,12,FALSE)</f>
        <v>0.103750608865076</v>
      </c>
      <c r="F224">
        <f>VLOOKUP(B224,'Model allocations'!$A$1:$L$316,9,FALSE)</f>
        <v>0</v>
      </c>
      <c r="G224" s="30">
        <f t="shared" si="64"/>
        <v>0.85</v>
      </c>
      <c r="H224">
        <f t="shared" si="65"/>
        <v>0</v>
      </c>
      <c r="I224">
        <f t="shared" si="57"/>
        <v>0</v>
      </c>
      <c r="J224">
        <f t="shared" si="58"/>
        <v>0</v>
      </c>
      <c r="K224">
        <f t="shared" si="59"/>
        <v>0</v>
      </c>
      <c r="L224">
        <f t="shared" si="66"/>
        <v>0</v>
      </c>
      <c r="M224">
        <f t="shared" si="60"/>
        <v>0</v>
      </c>
      <c r="N224" s="29">
        <f t="shared" si="67"/>
        <v>0</v>
      </c>
      <c r="O224" s="29">
        <f t="shared" si="61"/>
        <v>0</v>
      </c>
      <c r="P224" s="29">
        <f t="shared" si="68"/>
        <v>0</v>
      </c>
      <c r="Q224">
        <f t="shared" si="69"/>
        <v>0</v>
      </c>
      <c r="R224" s="29">
        <f t="shared" si="70"/>
        <v>0</v>
      </c>
      <c r="S224" s="29">
        <f t="shared" si="62"/>
        <v>0</v>
      </c>
      <c r="T224" s="29">
        <f t="shared" si="71"/>
        <v>0</v>
      </c>
      <c r="U224">
        <f t="shared" si="72"/>
        <v>0</v>
      </c>
      <c r="V224" s="29">
        <f t="shared" si="73"/>
        <v>0</v>
      </c>
      <c r="W224" s="29">
        <f t="shared" si="63"/>
        <v>0</v>
      </c>
      <c r="X224" s="29">
        <f t="shared" si="74"/>
        <v>0</v>
      </c>
      <c r="Y224">
        <f t="shared" si="75"/>
        <v>0</v>
      </c>
    </row>
    <row r="225" spans="1:25" x14ac:dyDescent="0.25">
      <c r="A225" s="4" t="s">
        <v>1089</v>
      </c>
      <c r="B225" s="7" t="s">
        <v>204</v>
      </c>
      <c r="C225" s="2" t="s">
        <v>1090</v>
      </c>
      <c r="D225">
        <f>VLOOKUP(B225,'Model allocations'!$A$1:$L$316,4,FALSE)</f>
        <v>0</v>
      </c>
      <c r="E225" s="31">
        <f>VLOOKUP(B225,'Initial adjusted formula count'!$A$1:$P$316,12,FALSE)</f>
        <v>3.3876389966382203E-2</v>
      </c>
      <c r="F225">
        <f>VLOOKUP(B225,'Model allocations'!$A$1:$L$316,9,FALSE)</f>
        <v>0</v>
      </c>
      <c r="G225" s="30">
        <f t="shared" si="64"/>
        <v>0.85</v>
      </c>
      <c r="H225">
        <f t="shared" si="65"/>
        <v>0</v>
      </c>
      <c r="I225">
        <f t="shared" si="57"/>
        <v>0</v>
      </c>
      <c r="J225">
        <f t="shared" si="58"/>
        <v>0</v>
      </c>
      <c r="K225">
        <f t="shared" si="59"/>
        <v>0</v>
      </c>
      <c r="L225">
        <f t="shared" si="66"/>
        <v>0</v>
      </c>
      <c r="M225">
        <f t="shared" si="60"/>
        <v>0</v>
      </c>
      <c r="N225" s="29">
        <f t="shared" si="67"/>
        <v>0</v>
      </c>
      <c r="O225" s="29">
        <f t="shared" si="61"/>
        <v>0</v>
      </c>
      <c r="P225" s="29">
        <f t="shared" si="68"/>
        <v>0</v>
      </c>
      <c r="Q225">
        <f t="shared" si="69"/>
        <v>0</v>
      </c>
      <c r="R225" s="29">
        <f t="shared" si="70"/>
        <v>0</v>
      </c>
      <c r="S225" s="29">
        <f t="shared" si="62"/>
        <v>0</v>
      </c>
      <c r="T225" s="29">
        <f t="shared" si="71"/>
        <v>0</v>
      </c>
      <c r="U225">
        <f t="shared" si="72"/>
        <v>0</v>
      </c>
      <c r="V225" s="29">
        <f t="shared" si="73"/>
        <v>0</v>
      </c>
      <c r="W225" s="29">
        <f t="shared" si="63"/>
        <v>0</v>
      </c>
      <c r="X225" s="29">
        <f t="shared" si="74"/>
        <v>0</v>
      </c>
      <c r="Y225">
        <f t="shared" si="75"/>
        <v>0</v>
      </c>
    </row>
    <row r="226" spans="1:25" x14ac:dyDescent="0.25">
      <c r="A226" s="4" t="s">
        <v>1091</v>
      </c>
      <c r="B226" s="7" t="s">
        <v>565</v>
      </c>
      <c r="C226" s="2" t="s">
        <v>1092</v>
      </c>
      <c r="D226">
        <f>VLOOKUP(B226,'Model allocations'!$A$1:$L$316,4,FALSE)</f>
        <v>0</v>
      </c>
      <c r="E226" s="31">
        <f>VLOOKUP(B226,'Initial adjusted formula count'!$A$1:$P$316,12,FALSE)</f>
        <v>0.105622489959839</v>
      </c>
      <c r="F226">
        <f>VLOOKUP(B226,'Model allocations'!$A$1:$L$316,9,FALSE)</f>
        <v>0</v>
      </c>
      <c r="G226" s="30">
        <f t="shared" si="64"/>
        <v>0.85</v>
      </c>
      <c r="H226">
        <f t="shared" si="65"/>
        <v>0</v>
      </c>
      <c r="I226">
        <f t="shared" si="57"/>
        <v>0</v>
      </c>
      <c r="J226">
        <f t="shared" si="58"/>
        <v>0</v>
      </c>
      <c r="K226">
        <f t="shared" si="59"/>
        <v>0</v>
      </c>
      <c r="L226">
        <f t="shared" si="66"/>
        <v>0</v>
      </c>
      <c r="M226">
        <f t="shared" si="60"/>
        <v>0</v>
      </c>
      <c r="N226" s="29">
        <f t="shared" si="67"/>
        <v>0</v>
      </c>
      <c r="O226" s="29">
        <f t="shared" si="61"/>
        <v>0</v>
      </c>
      <c r="P226" s="29">
        <f t="shared" si="68"/>
        <v>0</v>
      </c>
      <c r="Q226">
        <f t="shared" si="69"/>
        <v>0</v>
      </c>
      <c r="R226" s="29">
        <f t="shared" si="70"/>
        <v>0</v>
      </c>
      <c r="S226" s="29">
        <f t="shared" si="62"/>
        <v>0</v>
      </c>
      <c r="T226" s="29">
        <f t="shared" si="71"/>
        <v>0</v>
      </c>
      <c r="U226">
        <f t="shared" si="72"/>
        <v>0</v>
      </c>
      <c r="V226" s="29">
        <f t="shared" si="73"/>
        <v>0</v>
      </c>
      <c r="W226" s="29">
        <f t="shared" si="63"/>
        <v>0</v>
      </c>
      <c r="X226" s="29">
        <f t="shared" si="74"/>
        <v>0</v>
      </c>
      <c r="Y226">
        <f t="shared" si="75"/>
        <v>0</v>
      </c>
    </row>
    <row r="227" spans="1:25" x14ac:dyDescent="0.25">
      <c r="A227" s="4" t="s">
        <v>1093</v>
      </c>
      <c r="B227" s="7" t="s">
        <v>297</v>
      </c>
      <c r="C227" s="2" t="s">
        <v>1094</v>
      </c>
      <c r="D227">
        <f>VLOOKUP(B227,'Model allocations'!$A$1:$L$316,4,FALSE)</f>
        <v>1528.7970987972483</v>
      </c>
      <c r="E227" s="31">
        <f>VLOOKUP(B227,'Initial adjusted formula count'!$A$1:$P$316,12,FALSE)</f>
        <v>0.116279069767442</v>
      </c>
      <c r="F227">
        <f>VLOOKUP(B227,'Model allocations'!$A$1:$L$316,9,FALSE)</f>
        <v>1299.4775339776611</v>
      </c>
      <c r="G227" s="30">
        <f t="shared" si="64"/>
        <v>0.85</v>
      </c>
      <c r="H227">
        <f t="shared" si="65"/>
        <v>1299.4775339776611</v>
      </c>
      <c r="I227">
        <f t="shared" si="57"/>
        <v>0</v>
      </c>
      <c r="J227">
        <f t="shared" si="58"/>
        <v>1299.4775339776611</v>
      </c>
      <c r="K227">
        <f t="shared" si="59"/>
        <v>1298.0586969584378</v>
      </c>
      <c r="L227">
        <f t="shared" si="66"/>
        <v>1298.0586969584378</v>
      </c>
      <c r="M227">
        <f t="shared" si="60"/>
        <v>1299.4775339776611</v>
      </c>
      <c r="N227" s="29">
        <f t="shared" si="67"/>
        <v>0</v>
      </c>
      <c r="O227" s="29">
        <f t="shared" si="61"/>
        <v>0</v>
      </c>
      <c r="P227" s="29">
        <f t="shared" si="68"/>
        <v>1299.4775339776611</v>
      </c>
      <c r="Q227">
        <f t="shared" si="69"/>
        <v>0</v>
      </c>
      <c r="R227" s="29">
        <f t="shared" si="70"/>
        <v>0</v>
      </c>
      <c r="S227" s="29">
        <f t="shared" si="62"/>
        <v>0</v>
      </c>
      <c r="T227" s="29">
        <f t="shared" si="71"/>
        <v>1299.4775339776611</v>
      </c>
      <c r="U227">
        <f t="shared" si="72"/>
        <v>0</v>
      </c>
      <c r="V227" s="29">
        <f t="shared" si="73"/>
        <v>0</v>
      </c>
      <c r="W227" s="29">
        <f t="shared" si="63"/>
        <v>0</v>
      </c>
      <c r="X227" s="29">
        <f t="shared" si="74"/>
        <v>1299.4775339776611</v>
      </c>
      <c r="Y227">
        <f t="shared" si="75"/>
        <v>0</v>
      </c>
    </row>
    <row r="228" spans="1:25" x14ac:dyDescent="0.25">
      <c r="A228" s="4" t="s">
        <v>1095</v>
      </c>
      <c r="B228" s="7" t="s">
        <v>567</v>
      </c>
      <c r="C228" s="2" t="s">
        <v>1096</v>
      </c>
      <c r="D228">
        <f>VLOOKUP(B228,'Model allocations'!$A$1:$L$316,4,FALSE)</f>
        <v>10988.268734059058</v>
      </c>
      <c r="E228" s="31">
        <f>VLOOKUP(B228,'Initial adjusted formula count'!$A$1:$P$316,12,FALSE)</f>
        <v>0.11740890688259099</v>
      </c>
      <c r="F228">
        <f>VLOOKUP(B228,'Model allocations'!$A$1:$L$316,9,FALSE)</f>
        <v>9351.23449745381</v>
      </c>
      <c r="G228" s="30">
        <f t="shared" si="64"/>
        <v>0.85</v>
      </c>
      <c r="H228">
        <f t="shared" si="65"/>
        <v>9340.0284239501998</v>
      </c>
      <c r="I228">
        <f t="shared" si="57"/>
        <v>0</v>
      </c>
      <c r="J228">
        <f t="shared" si="58"/>
        <v>9351.23449745381</v>
      </c>
      <c r="K228">
        <f t="shared" si="59"/>
        <v>9341.0243342662907</v>
      </c>
      <c r="L228">
        <f t="shared" si="66"/>
        <v>9341.0243342662907</v>
      </c>
      <c r="M228">
        <f t="shared" si="60"/>
        <v>0</v>
      </c>
      <c r="N228" s="29">
        <f t="shared" si="67"/>
        <v>9341.0243342662907</v>
      </c>
      <c r="O228" s="29">
        <f t="shared" si="61"/>
        <v>9338.5248350996262</v>
      </c>
      <c r="P228" s="29">
        <f t="shared" si="68"/>
        <v>9338.5248350996262</v>
      </c>
      <c r="Q228">
        <f t="shared" si="69"/>
        <v>9340.0284239501998</v>
      </c>
      <c r="R228" s="29">
        <f t="shared" si="70"/>
        <v>0</v>
      </c>
      <c r="S228" s="29">
        <f t="shared" si="62"/>
        <v>0</v>
      </c>
      <c r="T228" s="29">
        <f t="shared" si="71"/>
        <v>9340.0284239501998</v>
      </c>
      <c r="U228">
        <f t="shared" si="72"/>
        <v>0</v>
      </c>
      <c r="V228" s="29">
        <f t="shared" si="73"/>
        <v>0</v>
      </c>
      <c r="W228" s="29">
        <f t="shared" si="63"/>
        <v>0</v>
      </c>
      <c r="X228" s="29">
        <f t="shared" si="74"/>
        <v>9340.0284239501998</v>
      </c>
      <c r="Y228">
        <f t="shared" si="75"/>
        <v>0</v>
      </c>
    </row>
    <row r="229" spans="1:25" x14ac:dyDescent="0.25">
      <c r="A229" s="4" t="s">
        <v>1097</v>
      </c>
      <c r="B229" s="7" t="s">
        <v>569</v>
      </c>
      <c r="C229" s="2" t="s">
        <v>1098</v>
      </c>
      <c r="D229">
        <f>VLOOKUP(B229,'Model allocations'!$A$1:$L$316,4,FALSE)</f>
        <v>52370.564365381637</v>
      </c>
      <c r="E229" s="31">
        <f>VLOOKUP(B229,'Initial adjusted formula count'!$A$1:$P$316,12,FALSE)</f>
        <v>0.146951219512195</v>
      </c>
      <c r="F229">
        <f>VLOOKUP(B229,'Model allocations'!$A$1:$L$316,9,FALSE)</f>
        <v>44514.979710574393</v>
      </c>
      <c r="G229" s="30">
        <f t="shared" si="64"/>
        <v>0.85</v>
      </c>
      <c r="H229">
        <f t="shared" si="65"/>
        <v>44514.979710574393</v>
      </c>
      <c r="I229">
        <f t="shared" si="57"/>
        <v>0</v>
      </c>
      <c r="J229">
        <f t="shared" si="58"/>
        <v>44514.979710574393</v>
      </c>
      <c r="K229">
        <f t="shared" si="59"/>
        <v>44466.375945236483</v>
      </c>
      <c r="L229">
        <f t="shared" si="66"/>
        <v>44466.375945236483</v>
      </c>
      <c r="M229">
        <f t="shared" si="60"/>
        <v>44514.979710574393</v>
      </c>
      <c r="N229" s="29">
        <f t="shared" si="67"/>
        <v>0</v>
      </c>
      <c r="O229" s="29">
        <f t="shared" si="61"/>
        <v>0</v>
      </c>
      <c r="P229" s="29">
        <f t="shared" si="68"/>
        <v>44514.979710574393</v>
      </c>
      <c r="Q229">
        <f t="shared" si="69"/>
        <v>0</v>
      </c>
      <c r="R229" s="29">
        <f t="shared" si="70"/>
        <v>0</v>
      </c>
      <c r="S229" s="29">
        <f t="shared" si="62"/>
        <v>0</v>
      </c>
      <c r="T229" s="29">
        <f t="shared" si="71"/>
        <v>44514.979710574393</v>
      </c>
      <c r="U229">
        <f t="shared" si="72"/>
        <v>0</v>
      </c>
      <c r="V229" s="29">
        <f t="shared" si="73"/>
        <v>0</v>
      </c>
      <c r="W229" s="29">
        <f t="shared" si="63"/>
        <v>0</v>
      </c>
      <c r="X229" s="29">
        <f t="shared" si="74"/>
        <v>44514.979710574393</v>
      </c>
      <c r="Y229">
        <f t="shared" si="75"/>
        <v>0</v>
      </c>
    </row>
    <row r="230" spans="1:25" x14ac:dyDescent="0.25">
      <c r="A230" s="4" t="s">
        <v>1099</v>
      </c>
      <c r="B230" s="7" t="s">
        <v>206</v>
      </c>
      <c r="C230" s="2" t="s">
        <v>1100</v>
      </c>
      <c r="D230">
        <f>VLOOKUP(B230,'Model allocations'!$A$1:$L$316,4,FALSE)</f>
        <v>0</v>
      </c>
      <c r="E230" s="31">
        <f>VLOOKUP(B230,'Initial adjusted formula count'!$A$1:$P$316,12,FALSE)</f>
        <v>8.7310826542491296E-2</v>
      </c>
      <c r="F230">
        <f>VLOOKUP(B230,'Model allocations'!$A$1:$L$316,9,FALSE)</f>
        <v>0</v>
      </c>
      <c r="G230" s="30">
        <f t="shared" si="64"/>
        <v>0.85</v>
      </c>
      <c r="H230">
        <f t="shared" si="65"/>
        <v>0</v>
      </c>
      <c r="I230">
        <f t="shared" si="57"/>
        <v>0</v>
      </c>
      <c r="J230">
        <f t="shared" si="58"/>
        <v>0</v>
      </c>
      <c r="K230">
        <f t="shared" si="59"/>
        <v>0</v>
      </c>
      <c r="L230">
        <f t="shared" si="66"/>
        <v>0</v>
      </c>
      <c r="M230">
        <f t="shared" si="60"/>
        <v>0</v>
      </c>
      <c r="N230" s="29">
        <f t="shared" si="67"/>
        <v>0</v>
      </c>
      <c r="O230" s="29">
        <f t="shared" si="61"/>
        <v>0</v>
      </c>
      <c r="P230" s="29">
        <f t="shared" si="68"/>
        <v>0</v>
      </c>
      <c r="Q230">
        <f t="shared" si="69"/>
        <v>0</v>
      </c>
      <c r="R230" s="29">
        <f t="shared" si="70"/>
        <v>0</v>
      </c>
      <c r="S230" s="29">
        <f t="shared" si="62"/>
        <v>0</v>
      </c>
      <c r="T230" s="29">
        <f t="shared" si="71"/>
        <v>0</v>
      </c>
      <c r="U230">
        <f t="shared" si="72"/>
        <v>0</v>
      </c>
      <c r="V230" s="29">
        <f t="shared" si="73"/>
        <v>0</v>
      </c>
      <c r="W230" s="29">
        <f t="shared" si="63"/>
        <v>0</v>
      </c>
      <c r="X230" s="29">
        <f t="shared" si="74"/>
        <v>0</v>
      </c>
      <c r="Y230">
        <f t="shared" si="75"/>
        <v>0</v>
      </c>
    </row>
    <row r="231" spans="1:25" x14ac:dyDescent="0.25">
      <c r="A231" s="4" t="s">
        <v>1101</v>
      </c>
      <c r="B231" s="7" t="s">
        <v>571</v>
      </c>
      <c r="C231" s="2" t="s">
        <v>1102</v>
      </c>
      <c r="D231">
        <f>VLOOKUP(B231,'Model allocations'!$A$1:$L$316,4,FALSE)</f>
        <v>3561.1979477865334</v>
      </c>
      <c r="E231" s="31">
        <f>VLOOKUP(B231,'Initial adjusted formula count'!$A$1:$P$316,12,FALSE)</f>
        <v>0.155963302752294</v>
      </c>
      <c r="F231">
        <f>VLOOKUP(B231,'Model allocations'!$A$1:$L$316,9,FALSE)</f>
        <v>4035.9679326342316</v>
      </c>
      <c r="G231" s="30">
        <f t="shared" si="64"/>
        <v>0.9</v>
      </c>
      <c r="H231">
        <f t="shared" si="65"/>
        <v>3205.0781530078802</v>
      </c>
      <c r="I231">
        <f t="shared" si="57"/>
        <v>0</v>
      </c>
      <c r="J231">
        <f t="shared" si="58"/>
        <v>4035.9679326342316</v>
      </c>
      <c r="K231">
        <f t="shared" si="59"/>
        <v>4031.561253363916</v>
      </c>
      <c r="L231">
        <f t="shared" si="66"/>
        <v>4031.561253363916</v>
      </c>
      <c r="M231">
        <f t="shared" si="60"/>
        <v>0</v>
      </c>
      <c r="N231" s="29">
        <f t="shared" si="67"/>
        <v>4031.561253363916</v>
      </c>
      <c r="O231" s="29">
        <f t="shared" si="61"/>
        <v>4030.482476172835</v>
      </c>
      <c r="P231" s="29">
        <f t="shared" si="68"/>
        <v>4030.482476172835</v>
      </c>
      <c r="Q231">
        <f t="shared" si="69"/>
        <v>0</v>
      </c>
      <c r="R231" s="29">
        <f t="shared" si="70"/>
        <v>4030.482476172835</v>
      </c>
      <c r="S231" s="29">
        <f t="shared" si="62"/>
        <v>4030.3600766595478</v>
      </c>
      <c r="T231" s="29">
        <f t="shared" si="71"/>
        <v>4030.3600766595478</v>
      </c>
      <c r="U231">
        <f t="shared" si="72"/>
        <v>0</v>
      </c>
      <c r="V231" s="29">
        <f t="shared" si="73"/>
        <v>4030.3600766595478</v>
      </c>
      <c r="W231" s="29">
        <f t="shared" si="63"/>
        <v>4030.3600766595478</v>
      </c>
      <c r="X231" s="29">
        <f t="shared" si="74"/>
        <v>4030.3600766595478</v>
      </c>
      <c r="Y231">
        <f t="shared" si="75"/>
        <v>0</v>
      </c>
    </row>
    <row r="232" spans="1:25" x14ac:dyDescent="0.25">
      <c r="A232" s="8" t="s">
        <v>50</v>
      </c>
      <c r="B232" s="7" t="s">
        <v>81</v>
      </c>
      <c r="C232" s="2" t="s">
        <v>1103</v>
      </c>
      <c r="D232">
        <f>VLOOKUP(B232,'Model allocations'!$A$1:$L$316,4,FALSE)</f>
        <v>0</v>
      </c>
      <c r="E232" s="31">
        <f>VLOOKUP(B232,'Initial adjusted formula count'!$A$1:$P$316,12,FALSE)</f>
        <v>0.120764644973055</v>
      </c>
      <c r="F232">
        <f>VLOOKUP(B232,'Model allocations'!$A$1:$L$316,9,FALSE)</f>
        <v>0</v>
      </c>
      <c r="G232" s="30">
        <f t="shared" si="64"/>
        <v>0.85</v>
      </c>
      <c r="H232">
        <f t="shared" si="65"/>
        <v>0</v>
      </c>
      <c r="I232">
        <f t="shared" si="57"/>
        <v>0</v>
      </c>
      <c r="J232">
        <f t="shared" si="58"/>
        <v>0</v>
      </c>
      <c r="K232">
        <f t="shared" si="59"/>
        <v>0</v>
      </c>
      <c r="L232">
        <f t="shared" si="66"/>
        <v>0</v>
      </c>
      <c r="M232">
        <f t="shared" si="60"/>
        <v>0</v>
      </c>
      <c r="N232" s="29">
        <f t="shared" si="67"/>
        <v>0</v>
      </c>
      <c r="O232" s="29">
        <f t="shared" si="61"/>
        <v>0</v>
      </c>
      <c r="P232" s="29">
        <f t="shared" si="68"/>
        <v>0</v>
      </c>
      <c r="Q232">
        <f t="shared" si="69"/>
        <v>0</v>
      </c>
      <c r="R232" s="29">
        <f t="shared" si="70"/>
        <v>0</v>
      </c>
      <c r="S232" s="29">
        <f t="shared" si="62"/>
        <v>0</v>
      </c>
      <c r="T232" s="29">
        <f t="shared" si="71"/>
        <v>0</v>
      </c>
      <c r="U232">
        <f t="shared" si="72"/>
        <v>0</v>
      </c>
      <c r="V232" s="29">
        <f t="shared" si="73"/>
        <v>0</v>
      </c>
      <c r="W232" s="29">
        <f t="shared" si="63"/>
        <v>0</v>
      </c>
      <c r="X232" s="29">
        <f t="shared" si="74"/>
        <v>0</v>
      </c>
      <c r="Y232">
        <f t="shared" si="75"/>
        <v>0</v>
      </c>
    </row>
    <row r="233" spans="1:25" x14ac:dyDescent="0.25">
      <c r="A233" s="4" t="s">
        <v>46</v>
      </c>
      <c r="B233" s="7" t="s">
        <v>80</v>
      </c>
      <c r="C233" s="2" t="s">
        <v>1104</v>
      </c>
      <c r="D233">
        <f>VLOOKUP(B233,'Model allocations'!$A$1:$L$316,4,FALSE)</f>
        <v>0</v>
      </c>
      <c r="E233" s="31">
        <f>VLOOKUP(B233,'Initial adjusted formula count'!$A$1:$P$316,12,FALSE)</f>
        <v>0.104075599186366</v>
      </c>
      <c r="F233">
        <f>VLOOKUP(B233,'Model allocations'!$A$1:$L$316,9,FALSE)</f>
        <v>0</v>
      </c>
      <c r="G233" s="30">
        <f t="shared" si="64"/>
        <v>0.85</v>
      </c>
      <c r="H233">
        <f t="shared" si="65"/>
        <v>0</v>
      </c>
      <c r="I233">
        <f t="shared" si="57"/>
        <v>0</v>
      </c>
      <c r="J233">
        <f t="shared" si="58"/>
        <v>0</v>
      </c>
      <c r="K233">
        <f t="shared" si="59"/>
        <v>0</v>
      </c>
      <c r="L233">
        <f t="shared" si="66"/>
        <v>0</v>
      </c>
      <c r="M233">
        <f t="shared" si="60"/>
        <v>0</v>
      </c>
      <c r="N233" s="29">
        <f t="shared" si="67"/>
        <v>0</v>
      </c>
      <c r="O233" s="29">
        <f t="shared" si="61"/>
        <v>0</v>
      </c>
      <c r="P233" s="29">
        <f t="shared" si="68"/>
        <v>0</v>
      </c>
      <c r="Q233">
        <f t="shared" si="69"/>
        <v>0</v>
      </c>
      <c r="R233" s="29">
        <f t="shared" si="70"/>
        <v>0</v>
      </c>
      <c r="S233" s="29">
        <f t="shared" si="62"/>
        <v>0</v>
      </c>
      <c r="T233" s="29">
        <f t="shared" si="71"/>
        <v>0</v>
      </c>
      <c r="U233">
        <f t="shared" si="72"/>
        <v>0</v>
      </c>
      <c r="V233" s="29">
        <f t="shared" si="73"/>
        <v>0</v>
      </c>
      <c r="W233" s="29">
        <f t="shared" si="63"/>
        <v>0</v>
      </c>
      <c r="X233" s="29">
        <f t="shared" si="74"/>
        <v>0</v>
      </c>
      <c r="Y233">
        <f t="shared" si="75"/>
        <v>0</v>
      </c>
    </row>
    <row r="234" spans="1:25" x14ac:dyDescent="0.25">
      <c r="A234" s="4" t="s">
        <v>24</v>
      </c>
      <c r="B234" s="7" t="s">
        <v>59</v>
      </c>
      <c r="C234" s="2" t="s">
        <v>1105</v>
      </c>
      <c r="D234">
        <f>VLOOKUP(B234,'Model allocations'!$A$1:$L$316,4,FALSE)</f>
        <v>1520470.5971846825</v>
      </c>
      <c r="E234" s="31">
        <f>VLOOKUP(B234,'Initial adjusted formula count'!$A$1:$P$316,12,FALSE)</f>
        <v>8.5865311603711206E-2</v>
      </c>
      <c r="F234">
        <f>VLOOKUP(B234,'Model allocations'!$A$1:$L$316,9,FALSE)</f>
        <v>1292438.3549068831</v>
      </c>
      <c r="G234" s="30">
        <f t="shared" si="64"/>
        <v>0.85</v>
      </c>
      <c r="H234">
        <f t="shared" si="65"/>
        <v>1292400.0076069802</v>
      </c>
      <c r="I234">
        <f t="shared" si="57"/>
        <v>0</v>
      </c>
      <c r="J234">
        <f t="shared" si="58"/>
        <v>1292438.3549068831</v>
      </c>
      <c r="K234">
        <f t="shared" si="59"/>
        <v>1291027.2036287284</v>
      </c>
      <c r="L234">
        <f t="shared" si="66"/>
        <v>1291027.2036287284</v>
      </c>
      <c r="M234">
        <f t="shared" si="60"/>
        <v>1292400.0076069802</v>
      </c>
      <c r="N234" s="29">
        <f t="shared" si="67"/>
        <v>0</v>
      </c>
      <c r="O234" s="29">
        <f t="shared" si="61"/>
        <v>0</v>
      </c>
      <c r="P234" s="29">
        <f t="shared" si="68"/>
        <v>1292400.0076069802</v>
      </c>
      <c r="Q234">
        <f t="shared" si="69"/>
        <v>0</v>
      </c>
      <c r="R234" s="29">
        <f t="shared" si="70"/>
        <v>0</v>
      </c>
      <c r="S234" s="29">
        <f t="shared" si="62"/>
        <v>0</v>
      </c>
      <c r="T234" s="29">
        <f t="shared" si="71"/>
        <v>1292400.0076069802</v>
      </c>
      <c r="U234">
        <f t="shared" si="72"/>
        <v>0</v>
      </c>
      <c r="V234" s="29">
        <f t="shared" si="73"/>
        <v>0</v>
      </c>
      <c r="W234" s="29">
        <f t="shared" si="63"/>
        <v>0</v>
      </c>
      <c r="X234" s="29">
        <f t="shared" si="74"/>
        <v>1292400.0076069802</v>
      </c>
      <c r="Y234">
        <f t="shared" si="75"/>
        <v>0</v>
      </c>
    </row>
    <row r="235" spans="1:25" x14ac:dyDescent="0.25">
      <c r="A235" s="4" t="s">
        <v>1106</v>
      </c>
      <c r="B235" s="7" t="s">
        <v>299</v>
      </c>
      <c r="C235" s="2" t="s">
        <v>1107</v>
      </c>
      <c r="D235">
        <f>VLOOKUP(B235,'Model allocations'!$A$1:$L$316,4,FALSE)</f>
        <v>0</v>
      </c>
      <c r="E235" s="31">
        <f>VLOOKUP(B235,'Initial adjusted formula count'!$A$1:$P$316,12,FALSE)</f>
        <v>9.0155849279936903E-2</v>
      </c>
      <c r="F235">
        <f>VLOOKUP(B235,'Model allocations'!$A$1:$L$316,9,FALSE)</f>
        <v>0</v>
      </c>
      <c r="G235" s="30">
        <f t="shared" si="64"/>
        <v>0.85</v>
      </c>
      <c r="H235">
        <f t="shared" si="65"/>
        <v>0</v>
      </c>
      <c r="I235">
        <f t="shared" si="57"/>
        <v>0</v>
      </c>
      <c r="J235">
        <f t="shared" si="58"/>
        <v>0</v>
      </c>
      <c r="K235">
        <f t="shared" si="59"/>
        <v>0</v>
      </c>
      <c r="L235">
        <f t="shared" si="66"/>
        <v>0</v>
      </c>
      <c r="M235">
        <f t="shared" si="60"/>
        <v>0</v>
      </c>
      <c r="N235" s="29">
        <f t="shared" si="67"/>
        <v>0</v>
      </c>
      <c r="O235" s="29">
        <f t="shared" si="61"/>
        <v>0</v>
      </c>
      <c r="P235" s="29">
        <f t="shared" si="68"/>
        <v>0</v>
      </c>
      <c r="Q235">
        <f t="shared" si="69"/>
        <v>0</v>
      </c>
      <c r="R235" s="29">
        <f t="shared" si="70"/>
        <v>0</v>
      </c>
      <c r="S235" s="29">
        <f t="shared" si="62"/>
        <v>0</v>
      </c>
      <c r="T235" s="29">
        <f t="shared" si="71"/>
        <v>0</v>
      </c>
      <c r="U235">
        <f t="shared" si="72"/>
        <v>0</v>
      </c>
      <c r="V235" s="29">
        <f t="shared" si="73"/>
        <v>0</v>
      </c>
      <c r="W235" s="29">
        <f t="shared" si="63"/>
        <v>0</v>
      </c>
      <c r="X235" s="29">
        <f t="shared" si="74"/>
        <v>0</v>
      </c>
      <c r="Y235">
        <f t="shared" si="75"/>
        <v>0</v>
      </c>
    </row>
    <row r="236" spans="1:25" x14ac:dyDescent="0.25">
      <c r="A236" s="4" t="s">
        <v>1108</v>
      </c>
      <c r="B236" s="7" t="s">
        <v>573</v>
      </c>
      <c r="C236" s="2" t="s">
        <v>1109</v>
      </c>
      <c r="D236">
        <f>VLOOKUP(B236,'Model allocations'!$A$1:$L$316,4,FALSE)</f>
        <v>0</v>
      </c>
      <c r="E236" s="31">
        <f>VLOOKUP(B236,'Initial adjusted formula count'!$A$1:$P$316,12,FALSE)</f>
        <v>0.130539499036609</v>
      </c>
      <c r="F236">
        <f>VLOOKUP(B236,'Model allocations'!$A$1:$L$316,9,FALSE)</f>
        <v>0</v>
      </c>
      <c r="G236" s="30">
        <f t="shared" si="64"/>
        <v>0.85</v>
      </c>
      <c r="H236">
        <f t="shared" si="65"/>
        <v>0</v>
      </c>
      <c r="I236">
        <f t="shared" si="57"/>
        <v>0</v>
      </c>
      <c r="J236">
        <f t="shared" si="58"/>
        <v>0</v>
      </c>
      <c r="K236">
        <f t="shared" si="59"/>
        <v>0</v>
      </c>
      <c r="L236">
        <f t="shared" si="66"/>
        <v>0</v>
      </c>
      <c r="M236">
        <f t="shared" si="60"/>
        <v>0</v>
      </c>
      <c r="N236" s="29">
        <f t="shared" si="67"/>
        <v>0</v>
      </c>
      <c r="O236" s="29">
        <f t="shared" si="61"/>
        <v>0</v>
      </c>
      <c r="P236" s="29">
        <f t="shared" si="68"/>
        <v>0</v>
      </c>
      <c r="Q236">
        <f t="shared" si="69"/>
        <v>0</v>
      </c>
      <c r="R236" s="29">
        <f t="shared" si="70"/>
        <v>0</v>
      </c>
      <c r="S236" s="29">
        <f t="shared" si="62"/>
        <v>0</v>
      </c>
      <c r="T236" s="29">
        <f t="shared" si="71"/>
        <v>0</v>
      </c>
      <c r="U236">
        <f t="shared" si="72"/>
        <v>0</v>
      </c>
      <c r="V236" s="29">
        <f t="shared" si="73"/>
        <v>0</v>
      </c>
      <c r="W236" s="29">
        <f t="shared" si="63"/>
        <v>0</v>
      </c>
      <c r="X236" s="29">
        <f t="shared" si="74"/>
        <v>0</v>
      </c>
      <c r="Y236">
        <f t="shared" si="75"/>
        <v>0</v>
      </c>
    </row>
    <row r="237" spans="1:25" x14ac:dyDescent="0.25">
      <c r="A237" s="4" t="s">
        <v>1110</v>
      </c>
      <c r="B237" s="7" t="s">
        <v>575</v>
      </c>
      <c r="C237" s="2" t="s">
        <v>1111</v>
      </c>
      <c r="D237">
        <f>VLOOKUP(B237,'Model allocations'!$A$1:$L$316,4,FALSE)</f>
        <v>19404.81499844473</v>
      </c>
      <c r="E237" s="31">
        <f>VLOOKUP(B237,'Initial adjusted formula count'!$A$1:$P$316,12,FALSE)</f>
        <v>0.341614906832298</v>
      </c>
      <c r="F237">
        <f>VLOOKUP(B237,'Model allocations'!$A$1:$L$316,9,FALSE)</f>
        <v>26115.086622927378</v>
      </c>
      <c r="G237" s="30">
        <f t="shared" si="64"/>
        <v>0.95</v>
      </c>
      <c r="H237">
        <f t="shared" si="65"/>
        <v>18434.574248522491</v>
      </c>
      <c r="I237">
        <f t="shared" si="57"/>
        <v>0</v>
      </c>
      <c r="J237">
        <f t="shared" si="58"/>
        <v>26115.086622927378</v>
      </c>
      <c r="K237">
        <f t="shared" si="59"/>
        <v>26086.572815884163</v>
      </c>
      <c r="L237">
        <f t="shared" si="66"/>
        <v>26086.572815884163</v>
      </c>
      <c r="M237">
        <f t="shared" si="60"/>
        <v>0</v>
      </c>
      <c r="N237" s="29">
        <f t="shared" si="67"/>
        <v>26086.572815884163</v>
      </c>
      <c r="O237" s="29">
        <f t="shared" si="61"/>
        <v>26079.59249288305</v>
      </c>
      <c r="P237" s="29">
        <f t="shared" si="68"/>
        <v>26079.59249288305</v>
      </c>
      <c r="Q237">
        <f t="shared" si="69"/>
        <v>0</v>
      </c>
      <c r="R237" s="29">
        <f t="shared" si="70"/>
        <v>26079.59249288305</v>
      </c>
      <c r="S237" s="29">
        <f t="shared" si="62"/>
        <v>26078.800496032367</v>
      </c>
      <c r="T237" s="29">
        <f t="shared" si="71"/>
        <v>26078.800496032367</v>
      </c>
      <c r="U237">
        <f t="shared" si="72"/>
        <v>0</v>
      </c>
      <c r="V237" s="29">
        <f t="shared" si="73"/>
        <v>26078.800496032367</v>
      </c>
      <c r="W237" s="29">
        <f t="shared" si="63"/>
        <v>26078.800496032367</v>
      </c>
      <c r="X237" s="29">
        <f t="shared" si="74"/>
        <v>26078.800496032367</v>
      </c>
      <c r="Y237">
        <f t="shared" si="75"/>
        <v>0</v>
      </c>
    </row>
    <row r="238" spans="1:25" x14ac:dyDescent="0.25">
      <c r="A238" s="4" t="s">
        <v>1112</v>
      </c>
      <c r="B238" s="7" t="s">
        <v>577</v>
      </c>
      <c r="C238" s="2" t="s">
        <v>1113</v>
      </c>
      <c r="D238">
        <f>VLOOKUP(B238,'Model allocations'!$A$1:$L$316,4,FALSE)</f>
        <v>76286.975229982709</v>
      </c>
      <c r="E238" s="31">
        <f>VLOOKUP(B238,'Initial adjusted formula count'!$A$1:$P$316,12,FALSE)</f>
        <v>0.12733720180528699</v>
      </c>
      <c r="F238">
        <f>VLOOKUP(B238,'Model allocations'!$A$1:$L$316,9,FALSE)</f>
        <v>64843.928945485299</v>
      </c>
      <c r="G238" s="30">
        <f t="shared" si="64"/>
        <v>0.85</v>
      </c>
      <c r="H238">
        <f t="shared" si="65"/>
        <v>64843.928945485299</v>
      </c>
      <c r="I238">
        <f t="shared" si="57"/>
        <v>0</v>
      </c>
      <c r="J238">
        <f t="shared" si="58"/>
        <v>64843.928945485299</v>
      </c>
      <c r="K238">
        <f t="shared" si="59"/>
        <v>64773.128978226057</v>
      </c>
      <c r="L238">
        <f t="shared" si="66"/>
        <v>64773.128978226057</v>
      </c>
      <c r="M238">
        <f t="shared" si="60"/>
        <v>64843.928945485299</v>
      </c>
      <c r="N238" s="29">
        <f t="shared" si="67"/>
        <v>0</v>
      </c>
      <c r="O238" s="29">
        <f t="shared" si="61"/>
        <v>0</v>
      </c>
      <c r="P238" s="29">
        <f t="shared" si="68"/>
        <v>64843.928945485299</v>
      </c>
      <c r="Q238">
        <f t="shared" si="69"/>
        <v>0</v>
      </c>
      <c r="R238" s="29">
        <f t="shared" si="70"/>
        <v>0</v>
      </c>
      <c r="S238" s="29">
        <f t="shared" si="62"/>
        <v>0</v>
      </c>
      <c r="T238" s="29">
        <f t="shared" si="71"/>
        <v>64843.928945485299</v>
      </c>
      <c r="U238">
        <f t="shared" si="72"/>
        <v>0</v>
      </c>
      <c r="V238" s="29">
        <f t="shared" si="73"/>
        <v>0</v>
      </c>
      <c r="W238" s="29">
        <f t="shared" si="63"/>
        <v>0</v>
      </c>
      <c r="X238" s="29">
        <f t="shared" si="74"/>
        <v>64843.928945485299</v>
      </c>
      <c r="Y238">
        <f t="shared" si="75"/>
        <v>0</v>
      </c>
    </row>
    <row r="239" spans="1:25" x14ac:dyDescent="0.25">
      <c r="A239" s="4" t="s">
        <v>1114</v>
      </c>
      <c r="B239" s="7" t="s">
        <v>208</v>
      </c>
      <c r="C239" s="2" t="s">
        <v>1115</v>
      </c>
      <c r="D239">
        <f>VLOOKUP(B239,'Model allocations'!$A$1:$L$316,4,FALSE)</f>
        <v>0</v>
      </c>
      <c r="E239" s="31">
        <f>VLOOKUP(B239,'Initial adjusted formula count'!$A$1:$P$316,12,FALSE)</f>
        <v>9.0909090909090898E-2</v>
      </c>
      <c r="F239">
        <f>VLOOKUP(B239,'Model allocations'!$A$1:$L$316,9,FALSE)</f>
        <v>0</v>
      </c>
      <c r="G239" s="30">
        <f t="shared" si="64"/>
        <v>0.85</v>
      </c>
      <c r="H239">
        <f t="shared" si="65"/>
        <v>0</v>
      </c>
      <c r="I239">
        <f t="shared" si="57"/>
        <v>0</v>
      </c>
      <c r="J239">
        <f t="shared" si="58"/>
        <v>0</v>
      </c>
      <c r="K239">
        <f t="shared" si="59"/>
        <v>0</v>
      </c>
      <c r="L239">
        <f t="shared" si="66"/>
        <v>0</v>
      </c>
      <c r="M239">
        <f t="shared" si="60"/>
        <v>0</v>
      </c>
      <c r="N239" s="29">
        <f t="shared" si="67"/>
        <v>0</v>
      </c>
      <c r="O239" s="29">
        <f t="shared" si="61"/>
        <v>0</v>
      </c>
      <c r="P239" s="29">
        <f t="shared" si="68"/>
        <v>0</v>
      </c>
      <c r="Q239">
        <f t="shared" si="69"/>
        <v>0</v>
      </c>
      <c r="R239" s="29">
        <f t="shared" si="70"/>
        <v>0</v>
      </c>
      <c r="S239" s="29">
        <f t="shared" si="62"/>
        <v>0</v>
      </c>
      <c r="T239" s="29">
        <f t="shared" si="71"/>
        <v>0</v>
      </c>
      <c r="U239">
        <f t="shared" si="72"/>
        <v>0</v>
      </c>
      <c r="V239" s="29">
        <f t="shared" si="73"/>
        <v>0</v>
      </c>
      <c r="W239" s="29">
        <f t="shared" si="63"/>
        <v>0</v>
      </c>
      <c r="X239" s="29">
        <f t="shared" si="74"/>
        <v>0</v>
      </c>
      <c r="Y239">
        <f t="shared" si="75"/>
        <v>0</v>
      </c>
    </row>
    <row r="240" spans="1:25" x14ac:dyDescent="0.25">
      <c r="A240" s="4" t="s">
        <v>1116</v>
      </c>
      <c r="B240" s="7" t="s">
        <v>579</v>
      </c>
      <c r="C240" s="2" t="s">
        <v>1117</v>
      </c>
      <c r="D240">
        <f>VLOOKUP(B240,'Model allocations'!$A$1:$L$316,4,FALSE)</f>
        <v>176981.26450388736</v>
      </c>
      <c r="E240" s="31">
        <f>VLOOKUP(B240,'Initial adjusted formula count'!$A$1:$P$316,12,FALSE)</f>
        <v>0.211978307003065</v>
      </c>
      <c r="F240">
        <f>VLOOKUP(B240,'Model allocations'!$A$1:$L$316,9,FALSE)</f>
        <v>213431.48067283371</v>
      </c>
      <c r="G240" s="30">
        <f t="shared" si="64"/>
        <v>0.9</v>
      </c>
      <c r="H240">
        <f t="shared" si="65"/>
        <v>159283.13805349864</v>
      </c>
      <c r="I240">
        <f t="shared" si="57"/>
        <v>0</v>
      </c>
      <c r="J240">
        <f t="shared" si="58"/>
        <v>213431.48067283371</v>
      </c>
      <c r="K240">
        <f t="shared" si="59"/>
        <v>213198.44510436236</v>
      </c>
      <c r="L240">
        <f t="shared" si="66"/>
        <v>213198.44510436236</v>
      </c>
      <c r="M240">
        <f t="shared" si="60"/>
        <v>0</v>
      </c>
      <c r="N240" s="29">
        <f t="shared" si="67"/>
        <v>213198.44510436236</v>
      </c>
      <c r="O240" s="29">
        <f t="shared" si="61"/>
        <v>213141.39682819872</v>
      </c>
      <c r="P240" s="29">
        <f t="shared" si="68"/>
        <v>213141.39682819872</v>
      </c>
      <c r="Q240">
        <f t="shared" si="69"/>
        <v>0</v>
      </c>
      <c r="R240" s="29">
        <f t="shared" si="70"/>
        <v>213141.39682819872</v>
      </c>
      <c r="S240" s="29">
        <f t="shared" si="62"/>
        <v>213134.92405393723</v>
      </c>
      <c r="T240" s="29">
        <f t="shared" si="71"/>
        <v>213134.92405393723</v>
      </c>
      <c r="U240">
        <f t="shared" si="72"/>
        <v>0</v>
      </c>
      <c r="V240" s="29">
        <f t="shared" si="73"/>
        <v>213134.92405393723</v>
      </c>
      <c r="W240" s="29">
        <f t="shared" si="63"/>
        <v>213134.92405393723</v>
      </c>
      <c r="X240" s="29">
        <f t="shared" si="74"/>
        <v>213134.92405393723</v>
      </c>
      <c r="Y240">
        <f t="shared" si="75"/>
        <v>0</v>
      </c>
    </row>
    <row r="241" spans="1:25" x14ac:dyDescent="0.25">
      <c r="A241" s="4" t="s">
        <v>1118</v>
      </c>
      <c r="B241" s="7" t="s">
        <v>210</v>
      </c>
      <c r="C241" s="2" t="s">
        <v>1119</v>
      </c>
      <c r="D241">
        <f>VLOOKUP(B241,'Model allocations'!$A$1:$L$316,4,FALSE)</f>
        <v>0</v>
      </c>
      <c r="E241" s="31">
        <f>VLOOKUP(B241,'Initial adjusted formula count'!$A$1:$P$316,12,FALSE)</f>
        <v>6.5839694656488604E-2</v>
      </c>
      <c r="F241">
        <f>VLOOKUP(B241,'Model allocations'!$A$1:$L$316,9,FALSE)</f>
        <v>0</v>
      </c>
      <c r="G241" s="30">
        <f t="shared" si="64"/>
        <v>0.85</v>
      </c>
      <c r="H241">
        <f t="shared" si="65"/>
        <v>0</v>
      </c>
      <c r="I241">
        <f t="shared" si="57"/>
        <v>0</v>
      </c>
      <c r="J241">
        <f t="shared" si="58"/>
        <v>0</v>
      </c>
      <c r="K241">
        <f t="shared" si="59"/>
        <v>0</v>
      </c>
      <c r="L241">
        <f t="shared" si="66"/>
        <v>0</v>
      </c>
      <c r="M241">
        <f t="shared" si="60"/>
        <v>0</v>
      </c>
      <c r="N241" s="29">
        <f t="shared" si="67"/>
        <v>0</v>
      </c>
      <c r="O241" s="29">
        <f t="shared" si="61"/>
        <v>0</v>
      </c>
      <c r="P241" s="29">
        <f t="shared" si="68"/>
        <v>0</v>
      </c>
      <c r="Q241">
        <f t="shared" si="69"/>
        <v>0</v>
      </c>
      <c r="R241" s="29">
        <f t="shared" si="70"/>
        <v>0</v>
      </c>
      <c r="S241" s="29">
        <f t="shared" si="62"/>
        <v>0</v>
      </c>
      <c r="T241" s="29">
        <f t="shared" si="71"/>
        <v>0</v>
      </c>
      <c r="U241">
        <f t="shared" si="72"/>
        <v>0</v>
      </c>
      <c r="V241" s="29">
        <f t="shared" si="73"/>
        <v>0</v>
      </c>
      <c r="W241" s="29">
        <f t="shared" si="63"/>
        <v>0</v>
      </c>
      <c r="X241" s="29">
        <f t="shared" si="74"/>
        <v>0</v>
      </c>
      <c r="Y241">
        <f t="shared" si="75"/>
        <v>0</v>
      </c>
    </row>
    <row r="242" spans="1:25" x14ac:dyDescent="0.25">
      <c r="A242" s="4" t="s">
        <v>1120</v>
      </c>
      <c r="B242" s="7" t="s">
        <v>301</v>
      </c>
      <c r="C242" s="2" t="s">
        <v>1121</v>
      </c>
      <c r="D242">
        <f>VLOOKUP(B242,'Model allocations'!$A$1:$L$316,4,FALSE)</f>
        <v>0</v>
      </c>
      <c r="E242" s="31">
        <f>VLOOKUP(B242,'Initial adjusted formula count'!$A$1:$P$316,12,FALSE)</f>
        <v>0.13934426229508201</v>
      </c>
      <c r="F242">
        <f>VLOOKUP(B242,'Model allocations'!$A$1:$L$316,9,FALSE)</f>
        <v>0</v>
      </c>
      <c r="G242" s="30">
        <f t="shared" si="64"/>
        <v>0.85</v>
      </c>
      <c r="H242">
        <f t="shared" si="65"/>
        <v>0</v>
      </c>
      <c r="I242">
        <f t="shared" si="57"/>
        <v>0</v>
      </c>
      <c r="J242">
        <f t="shared" si="58"/>
        <v>0</v>
      </c>
      <c r="K242">
        <f t="shared" si="59"/>
        <v>0</v>
      </c>
      <c r="L242">
        <f t="shared" si="66"/>
        <v>0</v>
      </c>
      <c r="M242">
        <f t="shared" si="60"/>
        <v>0</v>
      </c>
      <c r="N242" s="29">
        <f t="shared" si="67"/>
        <v>0</v>
      </c>
      <c r="O242" s="29">
        <f t="shared" si="61"/>
        <v>0</v>
      </c>
      <c r="P242" s="29">
        <f t="shared" si="68"/>
        <v>0</v>
      </c>
      <c r="Q242">
        <f t="shared" si="69"/>
        <v>0</v>
      </c>
      <c r="R242" s="29">
        <f t="shared" si="70"/>
        <v>0</v>
      </c>
      <c r="S242" s="29">
        <f t="shared" si="62"/>
        <v>0</v>
      </c>
      <c r="T242" s="29">
        <f t="shared" si="71"/>
        <v>0</v>
      </c>
      <c r="U242">
        <f t="shared" si="72"/>
        <v>0</v>
      </c>
      <c r="V242" s="29">
        <f t="shared" si="73"/>
        <v>0</v>
      </c>
      <c r="W242" s="29">
        <f t="shared" si="63"/>
        <v>0</v>
      </c>
      <c r="X242" s="29">
        <f t="shared" si="74"/>
        <v>0</v>
      </c>
      <c r="Y242">
        <f t="shared" si="75"/>
        <v>0</v>
      </c>
    </row>
    <row r="243" spans="1:25" x14ac:dyDescent="0.25">
      <c r="A243" s="4" t="s">
        <v>1122</v>
      </c>
      <c r="B243" s="7" t="s">
        <v>212</v>
      </c>
      <c r="C243" s="2" t="s">
        <v>1123</v>
      </c>
      <c r="D243">
        <f>VLOOKUP(B243,'Model allocations'!$A$1:$L$316,4,FALSE)</f>
        <v>0</v>
      </c>
      <c r="E243" s="31">
        <f>VLOOKUP(B243,'Initial adjusted formula count'!$A$1:$P$316,12,FALSE)</f>
        <v>7.2463768115942004E-2</v>
      </c>
      <c r="F243">
        <f>VLOOKUP(B243,'Model allocations'!$A$1:$L$316,9,FALSE)</f>
        <v>0</v>
      </c>
      <c r="G243" s="30">
        <f t="shared" si="64"/>
        <v>0.85</v>
      </c>
      <c r="H243">
        <f t="shared" si="65"/>
        <v>0</v>
      </c>
      <c r="I243">
        <f t="shared" si="57"/>
        <v>0</v>
      </c>
      <c r="J243">
        <f t="shared" si="58"/>
        <v>0</v>
      </c>
      <c r="K243">
        <f t="shared" si="59"/>
        <v>0</v>
      </c>
      <c r="L243">
        <f t="shared" si="66"/>
        <v>0</v>
      </c>
      <c r="M243">
        <f t="shared" si="60"/>
        <v>0</v>
      </c>
      <c r="N243" s="29">
        <f t="shared" si="67"/>
        <v>0</v>
      </c>
      <c r="O243" s="29">
        <f t="shared" si="61"/>
        <v>0</v>
      </c>
      <c r="P243" s="29">
        <f t="shared" si="68"/>
        <v>0</v>
      </c>
      <c r="Q243">
        <f t="shared" si="69"/>
        <v>0</v>
      </c>
      <c r="R243" s="29">
        <f t="shared" si="70"/>
        <v>0</v>
      </c>
      <c r="S243" s="29">
        <f t="shared" si="62"/>
        <v>0</v>
      </c>
      <c r="T243" s="29">
        <f t="shared" si="71"/>
        <v>0</v>
      </c>
      <c r="U243">
        <f t="shared" si="72"/>
        <v>0</v>
      </c>
      <c r="V243" s="29">
        <f t="shared" si="73"/>
        <v>0</v>
      </c>
      <c r="W243" s="29">
        <f t="shared" si="63"/>
        <v>0</v>
      </c>
      <c r="X243" s="29">
        <f t="shared" si="74"/>
        <v>0</v>
      </c>
      <c r="Y243">
        <f t="shared" si="75"/>
        <v>0</v>
      </c>
    </row>
    <row r="244" spans="1:25" x14ac:dyDescent="0.25">
      <c r="A244" s="4" t="s">
        <v>1124</v>
      </c>
      <c r="B244" s="7" t="s">
        <v>214</v>
      </c>
      <c r="C244" s="2" t="s">
        <v>1125</v>
      </c>
      <c r="D244">
        <f>VLOOKUP(B244,'Model allocations'!$A$1:$L$316,4,FALSE)</f>
        <v>0</v>
      </c>
      <c r="E244" s="31">
        <f>VLOOKUP(B244,'Initial adjusted formula count'!$A$1:$P$316,12,FALSE)</f>
        <v>5.1329224542360399E-2</v>
      </c>
      <c r="F244">
        <f>VLOOKUP(B244,'Model allocations'!$A$1:$L$316,9,FALSE)</f>
        <v>0</v>
      </c>
      <c r="G244" s="30">
        <f t="shared" si="64"/>
        <v>0.85</v>
      </c>
      <c r="H244">
        <f t="shared" si="65"/>
        <v>0</v>
      </c>
      <c r="I244">
        <f t="shared" si="57"/>
        <v>0</v>
      </c>
      <c r="J244">
        <f t="shared" si="58"/>
        <v>0</v>
      </c>
      <c r="K244">
        <f t="shared" si="59"/>
        <v>0</v>
      </c>
      <c r="L244">
        <f t="shared" si="66"/>
        <v>0</v>
      </c>
      <c r="M244">
        <f t="shared" si="60"/>
        <v>0</v>
      </c>
      <c r="N244" s="29">
        <f t="shared" si="67"/>
        <v>0</v>
      </c>
      <c r="O244" s="29">
        <f t="shared" si="61"/>
        <v>0</v>
      </c>
      <c r="P244" s="29">
        <f t="shared" si="68"/>
        <v>0</v>
      </c>
      <c r="Q244">
        <f t="shared" si="69"/>
        <v>0</v>
      </c>
      <c r="R244" s="29">
        <f t="shared" si="70"/>
        <v>0</v>
      </c>
      <c r="S244" s="29">
        <f t="shared" si="62"/>
        <v>0</v>
      </c>
      <c r="T244" s="29">
        <f t="shared" si="71"/>
        <v>0</v>
      </c>
      <c r="U244">
        <f t="shared" si="72"/>
        <v>0</v>
      </c>
      <c r="V244" s="29">
        <f t="shared" si="73"/>
        <v>0</v>
      </c>
      <c r="W244" s="29">
        <f t="shared" si="63"/>
        <v>0</v>
      </c>
      <c r="X244" s="29">
        <f t="shared" si="74"/>
        <v>0</v>
      </c>
      <c r="Y244">
        <f t="shared" si="75"/>
        <v>0</v>
      </c>
    </row>
    <row r="245" spans="1:25" x14ac:dyDescent="0.25">
      <c r="A245" s="8" t="s">
        <v>1126</v>
      </c>
      <c r="B245" s="7" t="s">
        <v>216</v>
      </c>
      <c r="C245" s="2" t="s">
        <v>1127</v>
      </c>
      <c r="D245">
        <f>VLOOKUP(B245,'Model allocations'!$A$1:$L$316,4,FALSE)</f>
        <v>0</v>
      </c>
      <c r="E245" s="31">
        <f>VLOOKUP(B245,'Initial adjusted formula count'!$A$1:$P$316,12,FALSE)</f>
        <v>2.5588796944621298E-2</v>
      </c>
      <c r="F245">
        <f>VLOOKUP(B245,'Model allocations'!$A$1:$L$316,9,FALSE)</f>
        <v>0</v>
      </c>
      <c r="G245" s="30">
        <f t="shared" si="64"/>
        <v>0.85</v>
      </c>
      <c r="H245">
        <f t="shared" si="65"/>
        <v>0</v>
      </c>
      <c r="I245">
        <f t="shared" si="57"/>
        <v>0</v>
      </c>
      <c r="J245">
        <f t="shared" si="58"/>
        <v>0</v>
      </c>
      <c r="K245">
        <f t="shared" si="59"/>
        <v>0</v>
      </c>
      <c r="L245">
        <f t="shared" si="66"/>
        <v>0</v>
      </c>
      <c r="M245">
        <f t="shared" si="60"/>
        <v>0</v>
      </c>
      <c r="N245" s="29">
        <f t="shared" si="67"/>
        <v>0</v>
      </c>
      <c r="O245" s="29">
        <f t="shared" si="61"/>
        <v>0</v>
      </c>
      <c r="P245" s="29">
        <f t="shared" si="68"/>
        <v>0</v>
      </c>
      <c r="Q245">
        <f t="shared" si="69"/>
        <v>0</v>
      </c>
      <c r="R245" s="29">
        <f t="shared" si="70"/>
        <v>0</v>
      </c>
      <c r="S245" s="29">
        <f t="shared" si="62"/>
        <v>0</v>
      </c>
      <c r="T245" s="29">
        <f t="shared" si="71"/>
        <v>0</v>
      </c>
      <c r="U245">
        <f t="shared" si="72"/>
        <v>0</v>
      </c>
      <c r="V245" s="29">
        <f t="shared" si="73"/>
        <v>0</v>
      </c>
      <c r="W245" s="29">
        <f t="shared" si="63"/>
        <v>0</v>
      </c>
      <c r="X245" s="29">
        <f t="shared" si="74"/>
        <v>0</v>
      </c>
      <c r="Y245">
        <f t="shared" si="75"/>
        <v>0</v>
      </c>
    </row>
    <row r="246" spans="1:25" x14ac:dyDescent="0.25">
      <c r="A246" s="4" t="s">
        <v>1128</v>
      </c>
      <c r="B246" s="7" t="s">
        <v>581</v>
      </c>
      <c r="C246" s="2" t="s">
        <v>1129</v>
      </c>
      <c r="D246">
        <f>VLOOKUP(B246,'Model allocations'!$A$1:$L$316,4,FALSE)</f>
        <v>47927.555116640571</v>
      </c>
      <c r="E246" s="31">
        <f>VLOOKUP(B246,'Initial adjusted formula count'!$A$1:$P$316,12,FALSE)</f>
        <v>0.24711696869851699</v>
      </c>
      <c r="F246">
        <f>VLOOKUP(B246,'Model allocations'!$A$1:$L$316,9,FALSE)</f>
        <v>43186.552309893064</v>
      </c>
      <c r="G246" s="30">
        <f t="shared" si="64"/>
        <v>0.9</v>
      </c>
      <c r="H246">
        <f t="shared" si="65"/>
        <v>43134.799604976513</v>
      </c>
      <c r="I246">
        <f t="shared" si="57"/>
        <v>0</v>
      </c>
      <c r="J246">
        <f t="shared" si="58"/>
        <v>43186.552309893064</v>
      </c>
      <c r="K246">
        <f t="shared" si="59"/>
        <v>43139.398990541442</v>
      </c>
      <c r="L246">
        <f t="shared" si="66"/>
        <v>43139.398990541442</v>
      </c>
      <c r="M246">
        <f t="shared" si="60"/>
        <v>0</v>
      </c>
      <c r="N246" s="29">
        <f t="shared" si="67"/>
        <v>43139.398990541442</v>
      </c>
      <c r="O246" s="29">
        <f t="shared" si="61"/>
        <v>43127.855621423805</v>
      </c>
      <c r="P246" s="29">
        <f t="shared" si="68"/>
        <v>43127.855621423805</v>
      </c>
      <c r="Q246">
        <f t="shared" si="69"/>
        <v>43134.799604976513</v>
      </c>
      <c r="R246" s="29">
        <f t="shared" si="70"/>
        <v>0</v>
      </c>
      <c r="S246" s="29">
        <f t="shared" si="62"/>
        <v>0</v>
      </c>
      <c r="T246" s="29">
        <f t="shared" si="71"/>
        <v>43134.799604976513</v>
      </c>
      <c r="U246">
        <f t="shared" si="72"/>
        <v>0</v>
      </c>
      <c r="V246" s="29">
        <f t="shared" si="73"/>
        <v>0</v>
      </c>
      <c r="W246" s="29">
        <f t="shared" si="63"/>
        <v>0</v>
      </c>
      <c r="X246" s="29">
        <f t="shared" si="74"/>
        <v>43134.799604976513</v>
      </c>
      <c r="Y246">
        <f t="shared" si="75"/>
        <v>0</v>
      </c>
    </row>
    <row r="247" spans="1:25" x14ac:dyDescent="0.25">
      <c r="A247" s="4" t="s">
        <v>1130</v>
      </c>
      <c r="B247" s="7" t="s">
        <v>583</v>
      </c>
      <c r="C247" s="2" t="s">
        <v>1131</v>
      </c>
      <c r="D247">
        <f>VLOOKUP(B247,'Model allocations'!$A$1:$L$316,4,FALSE)</f>
        <v>18769.781824691938</v>
      </c>
      <c r="E247" s="31">
        <f>VLOOKUP(B247,'Initial adjusted formula count'!$A$1:$P$316,12,FALSE)</f>
        <v>0.17318435754189901</v>
      </c>
      <c r="F247">
        <f>VLOOKUP(B247,'Model allocations'!$A$1:$L$316,9,FALSE)</f>
        <v>16892.803642222745</v>
      </c>
      <c r="G247" s="30">
        <f t="shared" si="64"/>
        <v>0.9</v>
      </c>
      <c r="H247">
        <f t="shared" si="65"/>
        <v>16892.803642222745</v>
      </c>
      <c r="I247">
        <f t="shared" si="57"/>
        <v>0</v>
      </c>
      <c r="J247">
        <f t="shared" si="58"/>
        <v>16892.803642222745</v>
      </c>
      <c r="K247">
        <f t="shared" si="59"/>
        <v>16874.359202408006</v>
      </c>
      <c r="L247">
        <f t="shared" si="66"/>
        <v>16874.359202408006</v>
      </c>
      <c r="M247">
        <f t="shared" si="60"/>
        <v>16892.803642222745</v>
      </c>
      <c r="N247" s="29">
        <f t="shared" si="67"/>
        <v>0</v>
      </c>
      <c r="O247" s="29">
        <f t="shared" si="61"/>
        <v>0</v>
      </c>
      <c r="P247" s="29">
        <f t="shared" si="68"/>
        <v>16892.803642222745</v>
      </c>
      <c r="Q247">
        <f t="shared" si="69"/>
        <v>0</v>
      </c>
      <c r="R247" s="29">
        <f t="shared" si="70"/>
        <v>0</v>
      </c>
      <c r="S247" s="29">
        <f t="shared" si="62"/>
        <v>0</v>
      </c>
      <c r="T247" s="29">
        <f t="shared" si="71"/>
        <v>16892.803642222745</v>
      </c>
      <c r="U247">
        <f t="shared" si="72"/>
        <v>0</v>
      </c>
      <c r="V247" s="29">
        <f t="shared" si="73"/>
        <v>0</v>
      </c>
      <c r="W247" s="29">
        <f t="shared" si="63"/>
        <v>0</v>
      </c>
      <c r="X247" s="29">
        <f t="shared" si="74"/>
        <v>16892.803642222745</v>
      </c>
      <c r="Y247">
        <f t="shared" si="75"/>
        <v>0</v>
      </c>
    </row>
    <row r="248" spans="1:25" x14ac:dyDescent="0.25">
      <c r="A248" s="4" t="s">
        <v>1132</v>
      </c>
      <c r="B248" s="7" t="s">
        <v>218</v>
      </c>
      <c r="C248" s="2" t="s">
        <v>1133</v>
      </c>
      <c r="D248">
        <f>VLOOKUP(B248,'Model allocations'!$A$1:$L$316,4,FALSE)</f>
        <v>0</v>
      </c>
      <c r="E248" s="31">
        <f>VLOOKUP(B248,'Initial adjusted formula count'!$A$1:$P$316,12,FALSE)</f>
        <v>8.3006312915884603E-2</v>
      </c>
      <c r="F248">
        <f>VLOOKUP(B248,'Model allocations'!$A$1:$L$316,9,FALSE)</f>
        <v>0</v>
      </c>
      <c r="G248" s="30">
        <f t="shared" si="64"/>
        <v>0.85</v>
      </c>
      <c r="H248">
        <f t="shared" si="65"/>
        <v>0</v>
      </c>
      <c r="I248">
        <f t="shared" si="57"/>
        <v>0</v>
      </c>
      <c r="J248">
        <f t="shared" si="58"/>
        <v>0</v>
      </c>
      <c r="K248">
        <f t="shared" si="59"/>
        <v>0</v>
      </c>
      <c r="L248">
        <f t="shared" si="66"/>
        <v>0</v>
      </c>
      <c r="M248">
        <f t="shared" si="60"/>
        <v>0</v>
      </c>
      <c r="N248" s="29">
        <f t="shared" si="67"/>
        <v>0</v>
      </c>
      <c r="O248" s="29">
        <f t="shared" si="61"/>
        <v>0</v>
      </c>
      <c r="P248" s="29">
        <f t="shared" si="68"/>
        <v>0</v>
      </c>
      <c r="Q248">
        <f t="shared" si="69"/>
        <v>0</v>
      </c>
      <c r="R248" s="29">
        <f t="shared" si="70"/>
        <v>0</v>
      </c>
      <c r="S248" s="29">
        <f t="shared" si="62"/>
        <v>0</v>
      </c>
      <c r="T248" s="29">
        <f t="shared" si="71"/>
        <v>0</v>
      </c>
      <c r="U248">
        <f t="shared" si="72"/>
        <v>0</v>
      </c>
      <c r="V248" s="29">
        <f t="shared" si="73"/>
        <v>0</v>
      </c>
      <c r="W248" s="29">
        <f t="shared" si="63"/>
        <v>0</v>
      </c>
      <c r="X248" s="29">
        <f t="shared" si="74"/>
        <v>0</v>
      </c>
      <c r="Y248">
        <f t="shared" si="75"/>
        <v>0</v>
      </c>
    </row>
    <row r="249" spans="1:25" x14ac:dyDescent="0.25">
      <c r="A249" s="4" t="s">
        <v>1134</v>
      </c>
      <c r="B249" s="7" t="s">
        <v>220</v>
      </c>
      <c r="C249" s="2" t="s">
        <v>1135</v>
      </c>
      <c r="D249">
        <f>VLOOKUP(B249,'Model allocations'!$A$1:$L$316,4,FALSE)</f>
        <v>0</v>
      </c>
      <c r="E249" s="31">
        <f>VLOOKUP(B249,'Initial adjusted formula count'!$A$1:$P$316,12,FALSE)</f>
        <v>8.1468732071141706E-2</v>
      </c>
      <c r="F249">
        <f>VLOOKUP(B249,'Model allocations'!$A$1:$L$316,9,FALSE)</f>
        <v>0</v>
      </c>
      <c r="G249" s="30">
        <f t="shared" si="64"/>
        <v>0.85</v>
      </c>
      <c r="H249">
        <f t="shared" si="65"/>
        <v>0</v>
      </c>
      <c r="I249">
        <f t="shared" si="57"/>
        <v>0</v>
      </c>
      <c r="J249">
        <f t="shared" si="58"/>
        <v>0</v>
      </c>
      <c r="K249">
        <f t="shared" si="59"/>
        <v>0</v>
      </c>
      <c r="L249">
        <f t="shared" si="66"/>
        <v>0</v>
      </c>
      <c r="M249">
        <f t="shared" si="60"/>
        <v>0</v>
      </c>
      <c r="N249" s="29">
        <f t="shared" si="67"/>
        <v>0</v>
      </c>
      <c r="O249" s="29">
        <f t="shared" si="61"/>
        <v>0</v>
      </c>
      <c r="P249" s="29">
        <f t="shared" si="68"/>
        <v>0</v>
      </c>
      <c r="Q249">
        <f t="shared" si="69"/>
        <v>0</v>
      </c>
      <c r="R249" s="29">
        <f t="shared" si="70"/>
        <v>0</v>
      </c>
      <c r="S249" s="29">
        <f t="shared" si="62"/>
        <v>0</v>
      </c>
      <c r="T249" s="29">
        <f t="shared" si="71"/>
        <v>0</v>
      </c>
      <c r="U249">
        <f t="shared" si="72"/>
        <v>0</v>
      </c>
      <c r="V249" s="29">
        <f t="shared" si="73"/>
        <v>0</v>
      </c>
      <c r="W249" s="29">
        <f t="shared" si="63"/>
        <v>0</v>
      </c>
      <c r="X249" s="29">
        <f t="shared" si="74"/>
        <v>0</v>
      </c>
      <c r="Y249">
        <f t="shared" si="75"/>
        <v>0</v>
      </c>
    </row>
    <row r="250" spans="1:25" x14ac:dyDescent="0.25">
      <c r="A250" s="4" t="s">
        <v>1136</v>
      </c>
      <c r="B250" s="7" t="s">
        <v>585</v>
      </c>
      <c r="C250" s="2" t="s">
        <v>1137</v>
      </c>
      <c r="D250">
        <f>VLOOKUP(B250,'Model allocations'!$A$1:$L$316,4,FALSE)</f>
        <v>16131.713673405853</v>
      </c>
      <c r="E250" s="31">
        <f>VLOOKUP(B250,'Initial adjusted formula count'!$A$1:$P$316,12,FALSE)</f>
        <v>0.207182320441989</v>
      </c>
      <c r="F250">
        <f>VLOOKUP(B250,'Model allocations'!$A$1:$L$316,9,FALSE)</f>
        <v>17805.740879268666</v>
      </c>
      <c r="G250" s="30">
        <f t="shared" si="64"/>
        <v>0.9</v>
      </c>
      <c r="H250">
        <f t="shared" si="65"/>
        <v>14518.542306065268</v>
      </c>
      <c r="I250">
        <f t="shared" si="57"/>
        <v>0</v>
      </c>
      <c r="J250">
        <f t="shared" si="58"/>
        <v>17805.740879268666</v>
      </c>
      <c r="K250">
        <f t="shared" si="59"/>
        <v>17786.299647193748</v>
      </c>
      <c r="L250">
        <f t="shared" si="66"/>
        <v>17786.299647193748</v>
      </c>
      <c r="M250">
        <f t="shared" si="60"/>
        <v>0</v>
      </c>
      <c r="N250" s="29">
        <f t="shared" si="67"/>
        <v>17786.299647193748</v>
      </c>
      <c r="O250" s="29">
        <f t="shared" si="61"/>
        <v>17781.540336056627</v>
      </c>
      <c r="P250" s="29">
        <f t="shared" si="68"/>
        <v>17781.540336056627</v>
      </c>
      <c r="Q250">
        <f t="shared" si="69"/>
        <v>0</v>
      </c>
      <c r="R250" s="29">
        <f t="shared" si="70"/>
        <v>17781.540336056627</v>
      </c>
      <c r="S250" s="29">
        <f t="shared" si="62"/>
        <v>17781.000338203889</v>
      </c>
      <c r="T250" s="29">
        <f t="shared" si="71"/>
        <v>17781.000338203889</v>
      </c>
      <c r="U250">
        <f t="shared" si="72"/>
        <v>0</v>
      </c>
      <c r="V250" s="29">
        <f t="shared" si="73"/>
        <v>17781.000338203889</v>
      </c>
      <c r="W250" s="29">
        <f t="shared" si="63"/>
        <v>17781.000338203889</v>
      </c>
      <c r="X250" s="29">
        <f t="shared" si="74"/>
        <v>17781.000338203889</v>
      </c>
      <c r="Y250">
        <f t="shared" si="75"/>
        <v>0</v>
      </c>
    </row>
    <row r="251" spans="1:25" x14ac:dyDescent="0.25">
      <c r="A251" s="4" t="s">
        <v>32</v>
      </c>
      <c r="B251" s="7" t="s">
        <v>61</v>
      </c>
      <c r="C251" s="2" t="s">
        <v>1138</v>
      </c>
      <c r="D251">
        <f>VLOOKUP(B251,'Model allocations'!$A$1:$L$316,4,FALSE)</f>
        <v>1162307.3328683204</v>
      </c>
      <c r="E251" s="31">
        <f>VLOOKUP(B251,'Initial adjusted formula count'!$A$1:$P$316,12,FALSE)</f>
        <v>0.116013323751325</v>
      </c>
      <c r="F251">
        <f>VLOOKUP(B251,'Model allocations'!$A$1:$L$316,9,FALSE)</f>
        <v>984988.15219393873</v>
      </c>
      <c r="G251" s="30">
        <f t="shared" si="64"/>
        <v>0.85</v>
      </c>
      <c r="H251">
        <f t="shared" si="65"/>
        <v>987961.23293807229</v>
      </c>
      <c r="I251">
        <f t="shared" si="57"/>
        <v>987961.23293807229</v>
      </c>
      <c r="J251">
        <f t="shared" si="58"/>
        <v>0</v>
      </c>
      <c r="K251">
        <f t="shared" si="59"/>
        <v>0</v>
      </c>
      <c r="L251">
        <f t="shared" si="66"/>
        <v>987961.23293807229</v>
      </c>
      <c r="M251">
        <f t="shared" si="60"/>
        <v>0</v>
      </c>
      <c r="N251" s="29">
        <f t="shared" si="67"/>
        <v>0</v>
      </c>
      <c r="O251" s="29">
        <f t="shared" si="61"/>
        <v>0</v>
      </c>
      <c r="P251" s="29">
        <f t="shared" si="68"/>
        <v>987961.23293807229</v>
      </c>
      <c r="Q251">
        <f t="shared" si="69"/>
        <v>0</v>
      </c>
      <c r="R251" s="29">
        <f t="shared" si="70"/>
        <v>0</v>
      </c>
      <c r="S251" s="29">
        <f t="shared" si="62"/>
        <v>0</v>
      </c>
      <c r="T251" s="29">
        <f t="shared" si="71"/>
        <v>987961.23293807229</v>
      </c>
      <c r="U251">
        <f t="shared" si="72"/>
        <v>0</v>
      </c>
      <c r="V251" s="29">
        <f t="shared" si="73"/>
        <v>0</v>
      </c>
      <c r="W251" s="29">
        <f t="shared" si="63"/>
        <v>0</v>
      </c>
      <c r="X251" s="29">
        <f t="shared" si="74"/>
        <v>987961.23293807229</v>
      </c>
      <c r="Y251">
        <f t="shared" si="75"/>
        <v>0</v>
      </c>
    </row>
    <row r="252" spans="1:25" x14ac:dyDescent="0.25">
      <c r="A252" s="4" t="s">
        <v>35</v>
      </c>
      <c r="B252" s="7" t="s">
        <v>78</v>
      </c>
      <c r="C252" s="2" t="s">
        <v>1139</v>
      </c>
      <c r="D252">
        <f>VLOOKUP(B252,'Model allocations'!$A$1:$L$316,4,FALSE)</f>
        <v>0</v>
      </c>
      <c r="E252" s="31">
        <f>VLOOKUP(B252,'Initial adjusted formula count'!$A$1:$P$316,12,FALSE)</f>
        <v>0.100417652703664</v>
      </c>
      <c r="F252">
        <f>VLOOKUP(B252,'Model allocations'!$A$1:$L$316,9,FALSE)</f>
        <v>0</v>
      </c>
      <c r="G252" s="30">
        <f t="shared" si="64"/>
        <v>0.85</v>
      </c>
      <c r="H252">
        <f t="shared" si="65"/>
        <v>0</v>
      </c>
      <c r="I252">
        <f t="shared" si="57"/>
        <v>0</v>
      </c>
      <c r="J252">
        <f t="shared" si="58"/>
        <v>0</v>
      </c>
      <c r="K252">
        <f t="shared" si="59"/>
        <v>0</v>
      </c>
      <c r="L252">
        <f t="shared" si="66"/>
        <v>0</v>
      </c>
      <c r="M252">
        <f t="shared" si="60"/>
        <v>0</v>
      </c>
      <c r="N252" s="29">
        <f t="shared" si="67"/>
        <v>0</v>
      </c>
      <c r="O252" s="29">
        <f t="shared" si="61"/>
        <v>0</v>
      </c>
      <c r="P252" s="29">
        <f t="shared" si="68"/>
        <v>0</v>
      </c>
      <c r="Q252">
        <f t="shared" si="69"/>
        <v>0</v>
      </c>
      <c r="R252" s="29">
        <f t="shared" si="70"/>
        <v>0</v>
      </c>
      <c r="S252" s="29">
        <f t="shared" si="62"/>
        <v>0</v>
      </c>
      <c r="T252" s="29">
        <f t="shared" si="71"/>
        <v>0</v>
      </c>
      <c r="U252">
        <f t="shared" si="72"/>
        <v>0</v>
      </c>
      <c r="V252" s="29">
        <f t="shared" si="73"/>
        <v>0</v>
      </c>
      <c r="W252" s="29">
        <f t="shared" si="63"/>
        <v>0</v>
      </c>
      <c r="X252" s="29">
        <f t="shared" si="74"/>
        <v>0</v>
      </c>
      <c r="Y252">
        <f t="shared" si="75"/>
        <v>0</v>
      </c>
    </row>
    <row r="253" spans="1:25" x14ac:dyDescent="0.25">
      <c r="A253" s="4" t="s">
        <v>1140</v>
      </c>
      <c r="B253" s="7" t="s">
        <v>587</v>
      </c>
      <c r="C253" s="2" t="s">
        <v>1141</v>
      </c>
      <c r="D253">
        <f>VLOOKUP(B253,'Model allocations'!$A$1:$L$316,4,FALSE)</f>
        <v>4675.8590357698122</v>
      </c>
      <c r="E253" s="31">
        <f>VLOOKUP(B253,'Initial adjusted formula count'!$A$1:$P$316,12,FALSE)</f>
        <v>0.27906976744186002</v>
      </c>
      <c r="F253">
        <f>VLOOKUP(B253,'Model allocations'!$A$1:$L$316,9,FALSE)</f>
        <v>8546.7556220489623</v>
      </c>
      <c r="G253" s="30">
        <f t="shared" si="64"/>
        <v>0.9</v>
      </c>
      <c r="H253">
        <f t="shared" si="65"/>
        <v>4208.2731321928313</v>
      </c>
      <c r="I253">
        <f t="shared" si="57"/>
        <v>0</v>
      </c>
      <c r="J253">
        <f t="shared" si="58"/>
        <v>8546.7556220489623</v>
      </c>
      <c r="K253">
        <f t="shared" si="59"/>
        <v>8537.4238306530006</v>
      </c>
      <c r="L253">
        <f t="shared" si="66"/>
        <v>8537.4238306530006</v>
      </c>
      <c r="M253">
        <f t="shared" si="60"/>
        <v>0</v>
      </c>
      <c r="N253" s="29">
        <f t="shared" si="67"/>
        <v>8537.4238306530006</v>
      </c>
      <c r="O253" s="29">
        <f t="shared" si="61"/>
        <v>8535.1393613071832</v>
      </c>
      <c r="P253" s="29">
        <f t="shared" si="68"/>
        <v>8535.1393613071832</v>
      </c>
      <c r="Q253">
        <f t="shared" si="69"/>
        <v>0</v>
      </c>
      <c r="R253" s="29">
        <f t="shared" si="70"/>
        <v>8535.1393613071832</v>
      </c>
      <c r="S253" s="29">
        <f t="shared" si="62"/>
        <v>8534.8801623378695</v>
      </c>
      <c r="T253" s="29">
        <f t="shared" si="71"/>
        <v>8534.8801623378695</v>
      </c>
      <c r="U253">
        <f t="shared" si="72"/>
        <v>0</v>
      </c>
      <c r="V253" s="29">
        <f t="shared" si="73"/>
        <v>8534.8801623378695</v>
      </c>
      <c r="W253" s="29">
        <f t="shared" si="63"/>
        <v>8534.8801623378695</v>
      </c>
      <c r="X253" s="29">
        <f t="shared" si="74"/>
        <v>8534.8801623378695</v>
      </c>
      <c r="Y253">
        <f t="shared" si="75"/>
        <v>0</v>
      </c>
    </row>
    <row r="254" spans="1:25" x14ac:dyDescent="0.25">
      <c r="A254" s="4" t="s">
        <v>1142</v>
      </c>
      <c r="B254" s="7" t="s">
        <v>589</v>
      </c>
      <c r="C254" s="2" t="s">
        <v>1143</v>
      </c>
      <c r="D254">
        <f>VLOOKUP(B254,'Model allocations'!$A$1:$L$316,4,FALSE)</f>
        <v>0</v>
      </c>
      <c r="E254" s="31">
        <f>VLOOKUP(B254,'Initial adjusted formula count'!$A$1:$P$316,12,FALSE)</f>
        <v>0.117283950617284</v>
      </c>
      <c r="F254">
        <f>VLOOKUP(B254,'Model allocations'!$A$1:$L$316,9,FALSE)</f>
        <v>0</v>
      </c>
      <c r="G254" s="30">
        <f t="shared" si="64"/>
        <v>0.85</v>
      </c>
      <c r="H254">
        <f t="shared" si="65"/>
        <v>0</v>
      </c>
      <c r="I254">
        <f t="shared" si="57"/>
        <v>0</v>
      </c>
      <c r="J254">
        <f t="shared" si="58"/>
        <v>0</v>
      </c>
      <c r="K254">
        <f t="shared" si="59"/>
        <v>0</v>
      </c>
      <c r="L254">
        <f t="shared" si="66"/>
        <v>0</v>
      </c>
      <c r="M254">
        <f t="shared" si="60"/>
        <v>0</v>
      </c>
      <c r="N254" s="29">
        <f t="shared" si="67"/>
        <v>0</v>
      </c>
      <c r="O254" s="29">
        <f t="shared" si="61"/>
        <v>0</v>
      </c>
      <c r="P254" s="29">
        <f t="shared" si="68"/>
        <v>0</v>
      </c>
      <c r="Q254">
        <f t="shared" si="69"/>
        <v>0</v>
      </c>
      <c r="R254" s="29">
        <f t="shared" si="70"/>
        <v>0</v>
      </c>
      <c r="S254" s="29">
        <f t="shared" si="62"/>
        <v>0</v>
      </c>
      <c r="T254" s="29">
        <f t="shared" si="71"/>
        <v>0</v>
      </c>
      <c r="U254">
        <f t="shared" si="72"/>
        <v>0</v>
      </c>
      <c r="V254" s="29">
        <f t="shared" si="73"/>
        <v>0</v>
      </c>
      <c r="W254" s="29">
        <f t="shared" si="63"/>
        <v>0</v>
      </c>
      <c r="X254" s="29">
        <f t="shared" si="74"/>
        <v>0</v>
      </c>
      <c r="Y254">
        <f t="shared" si="75"/>
        <v>0</v>
      </c>
    </row>
    <row r="255" spans="1:25" x14ac:dyDescent="0.25">
      <c r="A255" s="4" t="s">
        <v>1144</v>
      </c>
      <c r="B255" s="7" t="s">
        <v>222</v>
      </c>
      <c r="C255" s="2" t="s">
        <v>1145</v>
      </c>
      <c r="D255">
        <f>VLOOKUP(B255,'Model allocations'!$A$1:$L$316,4,FALSE)</f>
        <v>0</v>
      </c>
      <c r="E255" s="31">
        <f>VLOOKUP(B255,'Initial adjusted formula count'!$A$1:$P$316,12,FALSE)</f>
        <v>7.4352854782449102E-2</v>
      </c>
      <c r="F255">
        <f>VLOOKUP(B255,'Model allocations'!$A$1:$L$316,9,FALSE)</f>
        <v>0</v>
      </c>
      <c r="G255" s="30">
        <f t="shared" si="64"/>
        <v>0.85</v>
      </c>
      <c r="H255">
        <f t="shared" si="65"/>
        <v>0</v>
      </c>
      <c r="I255">
        <f t="shared" si="57"/>
        <v>0</v>
      </c>
      <c r="J255">
        <f t="shared" si="58"/>
        <v>0</v>
      </c>
      <c r="K255">
        <f t="shared" si="59"/>
        <v>0</v>
      </c>
      <c r="L255">
        <f t="shared" si="66"/>
        <v>0</v>
      </c>
      <c r="M255">
        <f t="shared" si="60"/>
        <v>0</v>
      </c>
      <c r="N255" s="29">
        <f t="shared" si="67"/>
        <v>0</v>
      </c>
      <c r="O255" s="29">
        <f t="shared" si="61"/>
        <v>0</v>
      </c>
      <c r="P255" s="29">
        <f t="shared" si="68"/>
        <v>0</v>
      </c>
      <c r="Q255">
        <f t="shared" si="69"/>
        <v>0</v>
      </c>
      <c r="R255" s="29">
        <f t="shared" si="70"/>
        <v>0</v>
      </c>
      <c r="S255" s="29">
        <f t="shared" si="62"/>
        <v>0</v>
      </c>
      <c r="T255" s="29">
        <f t="shared" si="71"/>
        <v>0</v>
      </c>
      <c r="U255">
        <f t="shared" si="72"/>
        <v>0</v>
      </c>
      <c r="V255" s="29">
        <f t="shared" si="73"/>
        <v>0</v>
      </c>
      <c r="W255" s="29">
        <f t="shared" si="63"/>
        <v>0</v>
      </c>
      <c r="X255" s="29">
        <f t="shared" si="74"/>
        <v>0</v>
      </c>
      <c r="Y255">
        <f t="shared" si="75"/>
        <v>0</v>
      </c>
    </row>
    <row r="256" spans="1:25" x14ac:dyDescent="0.25">
      <c r="A256" s="4" t="s">
        <v>1146</v>
      </c>
      <c r="B256" s="7" t="s">
        <v>224</v>
      </c>
      <c r="C256" s="2" t="s">
        <v>1147</v>
      </c>
      <c r="D256">
        <f>VLOOKUP(B256,'Model allocations'!$A$1:$L$316,4,FALSE)</f>
        <v>0</v>
      </c>
      <c r="E256" s="31">
        <f>VLOOKUP(B256,'Initial adjusted formula count'!$A$1:$P$316,12,FALSE)</f>
        <v>0.08</v>
      </c>
      <c r="F256">
        <f>VLOOKUP(B256,'Model allocations'!$A$1:$L$316,9,FALSE)</f>
        <v>0</v>
      </c>
      <c r="G256" s="30">
        <f t="shared" si="64"/>
        <v>0.85</v>
      </c>
      <c r="H256">
        <f t="shared" si="65"/>
        <v>0</v>
      </c>
      <c r="I256">
        <f t="shared" si="57"/>
        <v>0</v>
      </c>
      <c r="J256">
        <f t="shared" si="58"/>
        <v>0</v>
      </c>
      <c r="K256">
        <f t="shared" si="59"/>
        <v>0</v>
      </c>
      <c r="L256">
        <f t="shared" si="66"/>
        <v>0</v>
      </c>
      <c r="M256">
        <f t="shared" si="60"/>
        <v>0</v>
      </c>
      <c r="N256" s="29">
        <f t="shared" si="67"/>
        <v>0</v>
      </c>
      <c r="O256" s="29">
        <f t="shared" si="61"/>
        <v>0</v>
      </c>
      <c r="P256" s="29">
        <f t="shared" si="68"/>
        <v>0</v>
      </c>
      <c r="Q256">
        <f t="shared" si="69"/>
        <v>0</v>
      </c>
      <c r="R256" s="29">
        <f t="shared" si="70"/>
        <v>0</v>
      </c>
      <c r="S256" s="29">
        <f t="shared" si="62"/>
        <v>0</v>
      </c>
      <c r="T256" s="29">
        <f t="shared" si="71"/>
        <v>0</v>
      </c>
      <c r="U256">
        <f t="shared" si="72"/>
        <v>0</v>
      </c>
      <c r="V256" s="29">
        <f t="shared" si="73"/>
        <v>0</v>
      </c>
      <c r="W256" s="29">
        <f t="shared" si="63"/>
        <v>0</v>
      </c>
      <c r="X256" s="29">
        <f t="shared" si="74"/>
        <v>0</v>
      </c>
      <c r="Y256">
        <f t="shared" si="75"/>
        <v>0</v>
      </c>
    </row>
    <row r="257" spans="1:25" x14ac:dyDescent="0.25">
      <c r="A257" s="4" t="s">
        <v>1148</v>
      </c>
      <c r="B257" s="7" t="s">
        <v>591</v>
      </c>
      <c r="C257" s="2" t="s">
        <v>1149</v>
      </c>
      <c r="D257">
        <f>VLOOKUP(B257,'Model allocations'!$A$1:$L$316,4,FALSE)</f>
        <v>3230.306654611838</v>
      </c>
      <c r="E257" s="31">
        <f>VLOOKUP(B257,'Initial adjusted formula count'!$A$1:$P$316,12,FALSE)</f>
        <v>0.3125</v>
      </c>
      <c r="F257">
        <f>VLOOKUP(B257,'Model allocations'!$A$1:$L$316,9,FALSE)</f>
        <v>3068.7913218812459</v>
      </c>
      <c r="G257" s="30">
        <f t="shared" si="64"/>
        <v>0.95</v>
      </c>
      <c r="H257">
        <f t="shared" si="65"/>
        <v>3068.7913218812459</v>
      </c>
      <c r="I257">
        <f t="shared" si="57"/>
        <v>0</v>
      </c>
      <c r="J257">
        <f t="shared" si="58"/>
        <v>3068.7913218812459</v>
      </c>
      <c r="K257">
        <f t="shared" si="59"/>
        <v>3065.4406562345466</v>
      </c>
      <c r="L257">
        <f t="shared" si="66"/>
        <v>3065.4406562345466</v>
      </c>
      <c r="M257">
        <f t="shared" si="60"/>
        <v>3068.7913218812459</v>
      </c>
      <c r="N257" s="29">
        <f t="shared" si="67"/>
        <v>0</v>
      </c>
      <c r="O257" s="29">
        <f t="shared" si="61"/>
        <v>0</v>
      </c>
      <c r="P257" s="29">
        <f t="shared" si="68"/>
        <v>3068.7913218812459</v>
      </c>
      <c r="Q257">
        <f t="shared" si="69"/>
        <v>0</v>
      </c>
      <c r="R257" s="29">
        <f t="shared" si="70"/>
        <v>0</v>
      </c>
      <c r="S257" s="29">
        <f t="shared" si="62"/>
        <v>0</v>
      </c>
      <c r="T257" s="29">
        <f t="shared" si="71"/>
        <v>3068.7913218812459</v>
      </c>
      <c r="U257">
        <f t="shared" si="72"/>
        <v>0</v>
      </c>
      <c r="V257" s="29">
        <f t="shared" si="73"/>
        <v>0</v>
      </c>
      <c r="W257" s="29">
        <f t="shared" si="63"/>
        <v>0</v>
      </c>
      <c r="X257" s="29">
        <f t="shared" si="74"/>
        <v>3068.7913218812459</v>
      </c>
      <c r="Y257">
        <f t="shared" si="75"/>
        <v>0</v>
      </c>
    </row>
    <row r="258" spans="1:25" x14ac:dyDescent="0.25">
      <c r="A258" s="4" t="s">
        <v>1150</v>
      </c>
      <c r="B258" s="7" t="s">
        <v>226</v>
      </c>
      <c r="C258" s="2" t="s">
        <v>1151</v>
      </c>
      <c r="D258">
        <f>VLOOKUP(B258,'Model allocations'!$A$1:$L$316,4,FALSE)</f>
        <v>0</v>
      </c>
      <c r="E258" s="31">
        <f>VLOOKUP(B258,'Initial adjusted formula count'!$A$1:$P$316,12,FALSE)</f>
        <v>6.6666666666666693E-2</v>
      </c>
      <c r="F258">
        <f>VLOOKUP(B258,'Model allocations'!$A$1:$L$316,9,FALSE)</f>
        <v>0</v>
      </c>
      <c r="G258" s="30">
        <f t="shared" si="64"/>
        <v>0.85</v>
      </c>
      <c r="H258">
        <f t="shared" si="65"/>
        <v>0</v>
      </c>
      <c r="I258">
        <f t="shared" si="57"/>
        <v>0</v>
      </c>
      <c r="J258">
        <f t="shared" si="58"/>
        <v>0</v>
      </c>
      <c r="K258">
        <f t="shared" si="59"/>
        <v>0</v>
      </c>
      <c r="L258">
        <f t="shared" si="66"/>
        <v>0</v>
      </c>
      <c r="M258">
        <f t="shared" si="60"/>
        <v>0</v>
      </c>
      <c r="N258" s="29">
        <f t="shared" si="67"/>
        <v>0</v>
      </c>
      <c r="O258" s="29">
        <f t="shared" si="61"/>
        <v>0</v>
      </c>
      <c r="P258" s="29">
        <f t="shared" si="68"/>
        <v>0</v>
      </c>
      <c r="Q258">
        <f t="shared" si="69"/>
        <v>0</v>
      </c>
      <c r="R258" s="29">
        <f t="shared" si="70"/>
        <v>0</v>
      </c>
      <c r="S258" s="29">
        <f t="shared" si="62"/>
        <v>0</v>
      </c>
      <c r="T258" s="29">
        <f t="shared" si="71"/>
        <v>0</v>
      </c>
      <c r="U258">
        <f t="shared" si="72"/>
        <v>0</v>
      </c>
      <c r="V258" s="29">
        <f t="shared" si="73"/>
        <v>0</v>
      </c>
      <c r="W258" s="29">
        <f t="shared" si="63"/>
        <v>0</v>
      </c>
      <c r="X258" s="29">
        <f t="shared" si="74"/>
        <v>0</v>
      </c>
      <c r="Y258">
        <f t="shared" si="75"/>
        <v>0</v>
      </c>
    </row>
    <row r="259" spans="1:25" x14ac:dyDescent="0.25">
      <c r="A259" s="4" t="s">
        <v>1152</v>
      </c>
      <c r="B259" s="7" t="s">
        <v>228</v>
      </c>
      <c r="C259" s="2" t="s">
        <v>1153</v>
      </c>
      <c r="D259">
        <f>VLOOKUP(B259,'Model allocations'!$A$1:$L$316,4,FALSE)</f>
        <v>0</v>
      </c>
      <c r="E259" s="31">
        <f>VLOOKUP(B259,'Initial adjusted formula count'!$A$1:$P$316,12,FALSE)</f>
        <v>6.6716829696513699E-2</v>
      </c>
      <c r="F259">
        <f>VLOOKUP(B259,'Model allocations'!$A$1:$L$316,9,FALSE)</f>
        <v>0</v>
      </c>
      <c r="G259" s="30">
        <f t="shared" si="64"/>
        <v>0.85</v>
      </c>
      <c r="H259">
        <f t="shared" si="65"/>
        <v>0</v>
      </c>
      <c r="I259">
        <f t="shared" ref="I259:I315" si="76">IF(F259&lt;H259,H259,0)</f>
        <v>0</v>
      </c>
      <c r="J259">
        <f t="shared" ref="J259:J315" si="77">IF(I259=0,F259,0)</f>
        <v>0</v>
      </c>
      <c r="K259">
        <f t="shared" ref="K259:K315" si="78">(J259/$J$3)*($F$3-$I$3)</f>
        <v>0</v>
      </c>
      <c r="L259">
        <f t="shared" si="66"/>
        <v>0</v>
      </c>
      <c r="M259">
        <f t="shared" ref="M259:M315" si="79">IF(L259&lt;H259,H259,0)</f>
        <v>0</v>
      </c>
      <c r="N259" s="29">
        <f t="shared" si="67"/>
        <v>0</v>
      </c>
      <c r="O259" s="29">
        <f t="shared" ref="O259:O315" si="80">((N259/$N$3)*($F$3-$I$3-$M$3))</f>
        <v>0</v>
      </c>
      <c r="P259" s="29">
        <f t="shared" si="68"/>
        <v>0</v>
      </c>
      <c r="Q259">
        <f t="shared" si="69"/>
        <v>0</v>
      </c>
      <c r="R259" s="29">
        <f t="shared" si="70"/>
        <v>0</v>
      </c>
      <c r="S259" s="29">
        <f t="shared" ref="S259:S315" si="81">((R259/$R$3)*($F$3-$I$3-$M$3-$Q$3))</f>
        <v>0</v>
      </c>
      <c r="T259" s="29">
        <f t="shared" si="71"/>
        <v>0</v>
      </c>
      <c r="U259">
        <f t="shared" si="72"/>
        <v>0</v>
      </c>
      <c r="V259" s="29">
        <f t="shared" si="73"/>
        <v>0</v>
      </c>
      <c r="W259" s="29">
        <f t="shared" ref="W259:W315" si="82">((V259/$V$3)*($F$3-$I$3-$M$3-$Q$3-$U$3))</f>
        <v>0</v>
      </c>
      <c r="X259" s="29">
        <f t="shared" si="74"/>
        <v>0</v>
      </c>
      <c r="Y259">
        <f t="shared" si="75"/>
        <v>0</v>
      </c>
    </row>
    <row r="260" spans="1:25" x14ac:dyDescent="0.25">
      <c r="A260" s="4" t="s">
        <v>1154</v>
      </c>
      <c r="B260" s="7" t="s">
        <v>593</v>
      </c>
      <c r="C260" s="2" t="s">
        <v>1155</v>
      </c>
      <c r="D260">
        <f>VLOOKUP(B260,'Model allocations'!$A$1:$L$316,4,FALSE)</f>
        <v>1617.3608360838525</v>
      </c>
      <c r="E260" s="31">
        <f>VLOOKUP(B260,'Initial adjusted formula count'!$A$1:$P$316,12,FALSE)</f>
        <v>1.88679245283019E-2</v>
      </c>
      <c r="F260">
        <f>VLOOKUP(B260,'Model allocations'!$A$1:$L$316,9,FALSE)</f>
        <v>1374.7567106712745</v>
      </c>
      <c r="G260" s="30">
        <f t="shared" ref="G260:G315" si="83">IF(E260&lt;0.15,0.85,IF(AND(E260&gt;=0.15,E260&lt;0.3),0.9,0.95))</f>
        <v>0.85</v>
      </c>
      <c r="H260">
        <f t="shared" ref="H260:H315" si="84">IF(F260 = 0, 0, D260*G260)</f>
        <v>1374.7567106712745</v>
      </c>
      <c r="I260">
        <f t="shared" si="76"/>
        <v>0</v>
      </c>
      <c r="J260">
        <f t="shared" si="77"/>
        <v>1374.7567106712745</v>
      </c>
      <c r="K260">
        <f t="shared" si="78"/>
        <v>1373.255679939673</v>
      </c>
      <c r="L260">
        <f t="shared" ref="L260:L315" si="85">I260+K260</f>
        <v>1373.255679939673</v>
      </c>
      <c r="M260">
        <f t="shared" si="79"/>
        <v>1374.7567106712745</v>
      </c>
      <c r="N260" s="29">
        <f t="shared" ref="N260:N315" si="86">IF(I260+M260=0,L260,0)</f>
        <v>0</v>
      </c>
      <c r="O260" s="29">
        <f t="shared" si="80"/>
        <v>0</v>
      </c>
      <c r="P260" s="29">
        <f t="shared" ref="P260:P315" si="87">$I260+$M260+O260</f>
        <v>1374.7567106712745</v>
      </c>
      <c r="Q260">
        <f t="shared" ref="Q260:Q315" si="88">IF(P260&lt;H260,H260,0)</f>
        <v>0</v>
      </c>
      <c r="R260" s="29">
        <f t="shared" ref="R260:R315" si="89">IF($I260+$M260+$Q260=0,P260,0)</f>
        <v>0</v>
      </c>
      <c r="S260" s="29">
        <f t="shared" si="81"/>
        <v>0</v>
      </c>
      <c r="T260" s="29">
        <f t="shared" ref="T260:T315" si="90">$I260+$M260+$Q260+S260</f>
        <v>1374.7567106712745</v>
      </c>
      <c r="U260">
        <f t="shared" ref="U260:U315" si="91">IF(T260&lt;H260,H260,0)</f>
        <v>0</v>
      </c>
      <c r="V260" s="29">
        <f t="shared" ref="V260:V315" si="92">IF($I260+$M260+$Q260+U260=0,T260,0)</f>
        <v>0</v>
      </c>
      <c r="W260" s="29">
        <f t="shared" si="82"/>
        <v>0</v>
      </c>
      <c r="X260" s="29">
        <f t="shared" ref="X260:X315" si="93">$I260+$M260+$Q260+$U260+W260</f>
        <v>1374.7567106712745</v>
      </c>
      <c r="Y260">
        <f t="shared" ref="Y260:Y315" si="94">IF(X260&lt;H260,H260,0)</f>
        <v>0</v>
      </c>
    </row>
    <row r="261" spans="1:25" x14ac:dyDescent="0.25">
      <c r="A261" s="4" t="s">
        <v>1156</v>
      </c>
      <c r="B261" s="7" t="s">
        <v>595</v>
      </c>
      <c r="C261" s="2" t="s">
        <v>1157</v>
      </c>
      <c r="D261">
        <f>VLOOKUP(B261,'Model allocations'!$A$1:$L$316,4,FALSE)</f>
        <v>33198.599153965675</v>
      </c>
      <c r="E261" s="31">
        <f>VLOOKUP(B261,'Initial adjusted formula count'!$A$1:$P$316,12,FALSE)</f>
        <v>0.133333333333333</v>
      </c>
      <c r="F261">
        <f>VLOOKUP(B261,'Model allocations'!$A$1:$L$316,9,FALSE)</f>
        <v>28252.665928477476</v>
      </c>
      <c r="G261" s="30">
        <f t="shared" si="83"/>
        <v>0.85</v>
      </c>
      <c r="H261">
        <f t="shared" si="84"/>
        <v>28218.809280870824</v>
      </c>
      <c r="I261">
        <f t="shared" si="76"/>
        <v>0</v>
      </c>
      <c r="J261">
        <f t="shared" si="77"/>
        <v>28252.665928477476</v>
      </c>
      <c r="K261">
        <f t="shared" si="78"/>
        <v>28221.818201400296</v>
      </c>
      <c r="L261">
        <f t="shared" si="85"/>
        <v>28221.818201400296</v>
      </c>
      <c r="M261">
        <f t="shared" si="79"/>
        <v>0</v>
      </c>
      <c r="N261" s="29">
        <f t="shared" si="86"/>
        <v>28221.818201400296</v>
      </c>
      <c r="O261" s="29">
        <f t="shared" si="80"/>
        <v>28214.266523066966</v>
      </c>
      <c r="P261" s="29">
        <f t="shared" si="87"/>
        <v>28214.266523066966</v>
      </c>
      <c r="Q261">
        <f t="shared" si="88"/>
        <v>28218.809280870824</v>
      </c>
      <c r="R261" s="29">
        <f t="shared" si="89"/>
        <v>0</v>
      </c>
      <c r="S261" s="29">
        <f t="shared" si="81"/>
        <v>0</v>
      </c>
      <c r="T261" s="29">
        <f t="shared" si="90"/>
        <v>28218.809280870824</v>
      </c>
      <c r="U261">
        <f t="shared" si="91"/>
        <v>0</v>
      </c>
      <c r="V261" s="29">
        <f t="shared" si="92"/>
        <v>0</v>
      </c>
      <c r="W261" s="29">
        <f t="shared" si="82"/>
        <v>0</v>
      </c>
      <c r="X261" s="29">
        <f t="shared" si="93"/>
        <v>28218.809280870824</v>
      </c>
      <c r="Y261">
        <f t="shared" si="94"/>
        <v>0</v>
      </c>
    </row>
    <row r="262" spans="1:25" x14ac:dyDescent="0.25">
      <c r="A262" s="4" t="s">
        <v>1158</v>
      </c>
      <c r="B262" s="7" t="s">
        <v>230</v>
      </c>
      <c r="C262" s="2" t="s">
        <v>1159</v>
      </c>
      <c r="D262">
        <f>VLOOKUP(B262,'Model allocations'!$A$1:$L$316,4,FALSE)</f>
        <v>0</v>
      </c>
      <c r="E262" s="31">
        <f>VLOOKUP(B262,'Initial adjusted formula count'!$A$1:$P$316,12,FALSE)</f>
        <v>8.1689029202841407E-2</v>
      </c>
      <c r="F262">
        <f>VLOOKUP(B262,'Model allocations'!$A$1:$L$316,9,FALSE)</f>
        <v>0</v>
      </c>
      <c r="G262" s="30">
        <f t="shared" si="83"/>
        <v>0.85</v>
      </c>
      <c r="H262">
        <f t="shared" si="84"/>
        <v>0</v>
      </c>
      <c r="I262">
        <f t="shared" si="76"/>
        <v>0</v>
      </c>
      <c r="J262">
        <f t="shared" si="77"/>
        <v>0</v>
      </c>
      <c r="K262">
        <f t="shared" si="78"/>
        <v>0</v>
      </c>
      <c r="L262">
        <f t="shared" si="85"/>
        <v>0</v>
      </c>
      <c r="M262">
        <f t="shared" si="79"/>
        <v>0</v>
      </c>
      <c r="N262" s="29">
        <f t="shared" si="86"/>
        <v>0</v>
      </c>
      <c r="O262" s="29">
        <f t="shared" si="80"/>
        <v>0</v>
      </c>
      <c r="P262" s="29">
        <f t="shared" si="87"/>
        <v>0</v>
      </c>
      <c r="Q262">
        <f t="shared" si="88"/>
        <v>0</v>
      </c>
      <c r="R262" s="29">
        <f t="shared" si="89"/>
        <v>0</v>
      </c>
      <c r="S262" s="29">
        <f t="shared" si="81"/>
        <v>0</v>
      </c>
      <c r="T262" s="29">
        <f t="shared" si="90"/>
        <v>0</v>
      </c>
      <c r="U262">
        <f t="shared" si="91"/>
        <v>0</v>
      </c>
      <c r="V262" s="29">
        <f t="shared" si="92"/>
        <v>0</v>
      </c>
      <c r="W262" s="29">
        <f t="shared" si="82"/>
        <v>0</v>
      </c>
      <c r="X262" s="29">
        <f t="shared" si="93"/>
        <v>0</v>
      </c>
      <c r="Y262">
        <f t="shared" si="94"/>
        <v>0</v>
      </c>
    </row>
    <row r="263" spans="1:25" x14ac:dyDescent="0.25">
      <c r="A263" s="4" t="s">
        <v>25</v>
      </c>
      <c r="B263" s="7" t="s">
        <v>72</v>
      </c>
      <c r="C263" s="2" t="s">
        <v>1160</v>
      </c>
      <c r="D263">
        <f>VLOOKUP(B263,'Model allocations'!$A$1:$L$316,4,FALSE)</f>
        <v>23650.877842814029</v>
      </c>
      <c r="E263" s="31">
        <f>VLOOKUP(B263,'Initial adjusted formula count'!$A$1:$P$316,12,FALSE)</f>
        <v>0.118556300717947</v>
      </c>
      <c r="F263">
        <f>VLOOKUP(B263,'Model allocations'!$A$1:$L$316,9,FALSE)</f>
        <v>21822.863295337072</v>
      </c>
      <c r="G263" s="30">
        <f t="shared" si="83"/>
        <v>0.85</v>
      </c>
      <c r="H263">
        <f t="shared" si="84"/>
        <v>20103.246166391924</v>
      </c>
      <c r="I263">
        <f t="shared" si="76"/>
        <v>0</v>
      </c>
      <c r="J263">
        <f t="shared" si="77"/>
        <v>21822.863295337072</v>
      </c>
      <c r="K263">
        <f t="shared" si="78"/>
        <v>21799.035960504974</v>
      </c>
      <c r="L263">
        <f t="shared" si="85"/>
        <v>21799.035960504974</v>
      </c>
      <c r="M263">
        <f t="shared" si="79"/>
        <v>0</v>
      </c>
      <c r="N263" s="29">
        <f t="shared" si="86"/>
        <v>21799.035960504974</v>
      </c>
      <c r="O263" s="29">
        <f t="shared" si="80"/>
        <v>21793.202909410407</v>
      </c>
      <c r="P263" s="29">
        <f t="shared" si="87"/>
        <v>21793.202909410407</v>
      </c>
      <c r="Q263">
        <f t="shared" si="88"/>
        <v>0</v>
      </c>
      <c r="R263" s="29">
        <f t="shared" si="89"/>
        <v>21793.202909410407</v>
      </c>
      <c r="S263" s="29">
        <f t="shared" si="81"/>
        <v>21792.541083575699</v>
      </c>
      <c r="T263" s="29">
        <f t="shared" si="90"/>
        <v>21792.541083575699</v>
      </c>
      <c r="U263">
        <f t="shared" si="91"/>
        <v>0</v>
      </c>
      <c r="V263" s="29">
        <f t="shared" si="92"/>
        <v>21792.541083575699</v>
      </c>
      <c r="W263" s="29">
        <f t="shared" si="82"/>
        <v>21792.541083575699</v>
      </c>
      <c r="X263" s="29">
        <f t="shared" si="93"/>
        <v>21792.541083575699</v>
      </c>
      <c r="Y263">
        <f t="shared" si="94"/>
        <v>0</v>
      </c>
    </row>
    <row r="264" spans="1:25" x14ac:dyDescent="0.25">
      <c r="A264" s="4" t="s">
        <v>27</v>
      </c>
      <c r="B264" s="7" t="s">
        <v>73</v>
      </c>
      <c r="C264" s="2" t="s">
        <v>1161</v>
      </c>
      <c r="D264">
        <f>VLOOKUP(B264,'Model allocations'!$A$1:$L$316,4,FALSE)</f>
        <v>0</v>
      </c>
      <c r="E264" s="31">
        <f>VLOOKUP(B264,'Initial adjusted formula count'!$A$1:$P$316,12,FALSE)</f>
        <v>0.110844701876119</v>
      </c>
      <c r="F264">
        <f>VLOOKUP(B264,'Model allocations'!$A$1:$L$316,9,FALSE)</f>
        <v>0</v>
      </c>
      <c r="G264" s="30">
        <f t="shared" si="83"/>
        <v>0.85</v>
      </c>
      <c r="H264">
        <f t="shared" si="84"/>
        <v>0</v>
      </c>
      <c r="I264">
        <f t="shared" si="76"/>
        <v>0</v>
      </c>
      <c r="J264">
        <f t="shared" si="77"/>
        <v>0</v>
      </c>
      <c r="K264">
        <f t="shared" si="78"/>
        <v>0</v>
      </c>
      <c r="L264">
        <f t="shared" si="85"/>
        <v>0</v>
      </c>
      <c r="M264">
        <f t="shared" si="79"/>
        <v>0</v>
      </c>
      <c r="N264" s="29">
        <f t="shared" si="86"/>
        <v>0</v>
      </c>
      <c r="O264" s="29">
        <f t="shared" si="80"/>
        <v>0</v>
      </c>
      <c r="P264" s="29">
        <f t="shared" si="87"/>
        <v>0</v>
      </c>
      <c r="Q264">
        <f t="shared" si="88"/>
        <v>0</v>
      </c>
      <c r="R264" s="29">
        <f t="shared" si="89"/>
        <v>0</v>
      </c>
      <c r="S264" s="29">
        <f t="shared" si="81"/>
        <v>0</v>
      </c>
      <c r="T264" s="29">
        <f t="shared" si="90"/>
        <v>0</v>
      </c>
      <c r="U264">
        <f t="shared" si="91"/>
        <v>0</v>
      </c>
      <c r="V264" s="29">
        <f t="shared" si="92"/>
        <v>0</v>
      </c>
      <c r="W264" s="29">
        <f t="shared" si="82"/>
        <v>0</v>
      </c>
      <c r="X264" s="29">
        <f t="shared" si="93"/>
        <v>0</v>
      </c>
      <c r="Y264">
        <f t="shared" si="94"/>
        <v>0</v>
      </c>
    </row>
    <row r="265" spans="1:25" x14ac:dyDescent="0.25">
      <c r="A265" s="4" t="s">
        <v>1162</v>
      </c>
      <c r="B265" s="7" t="s">
        <v>597</v>
      </c>
      <c r="C265" s="2" t="s">
        <v>1163</v>
      </c>
      <c r="D265">
        <f>VLOOKUP(B265,'Model allocations'!$A$1:$L$316,4,FALSE)</f>
        <v>6078.6167465007529</v>
      </c>
      <c r="E265" s="31">
        <f>VLOOKUP(B265,'Initial adjusted formula count'!$A$1:$P$316,12,FALSE)</f>
        <v>0.23008849557522101</v>
      </c>
      <c r="F265">
        <f>VLOOKUP(B265,'Model allocations'!$A$1:$L$316,9,FALSE)</f>
        <v>6172.6568381464704</v>
      </c>
      <c r="G265" s="30">
        <f t="shared" si="83"/>
        <v>0.9</v>
      </c>
      <c r="H265">
        <f t="shared" si="84"/>
        <v>5470.7550718506782</v>
      </c>
      <c r="I265">
        <f t="shared" si="76"/>
        <v>0</v>
      </c>
      <c r="J265">
        <f t="shared" si="77"/>
        <v>6172.6568381464704</v>
      </c>
      <c r="K265">
        <f t="shared" si="78"/>
        <v>6165.9172110271647</v>
      </c>
      <c r="L265">
        <f t="shared" si="85"/>
        <v>6165.9172110271647</v>
      </c>
      <c r="M265">
        <f t="shared" si="79"/>
        <v>0</v>
      </c>
      <c r="N265" s="29">
        <f t="shared" si="86"/>
        <v>6165.9172110271647</v>
      </c>
      <c r="O265" s="29">
        <f t="shared" si="80"/>
        <v>6164.2673164996286</v>
      </c>
      <c r="P265" s="29">
        <f t="shared" si="87"/>
        <v>6164.2673164996286</v>
      </c>
      <c r="Q265">
        <f t="shared" si="88"/>
        <v>0</v>
      </c>
      <c r="R265" s="29">
        <f t="shared" si="89"/>
        <v>6164.2673164996286</v>
      </c>
      <c r="S265" s="29">
        <f t="shared" si="81"/>
        <v>6164.0801172440124</v>
      </c>
      <c r="T265" s="29">
        <f t="shared" si="90"/>
        <v>6164.0801172440124</v>
      </c>
      <c r="U265">
        <f t="shared" si="91"/>
        <v>0</v>
      </c>
      <c r="V265" s="29">
        <f t="shared" si="92"/>
        <v>6164.0801172440124</v>
      </c>
      <c r="W265" s="29">
        <f t="shared" si="82"/>
        <v>6164.0801172440124</v>
      </c>
      <c r="X265" s="29">
        <f t="shared" si="93"/>
        <v>6164.0801172440124</v>
      </c>
      <c r="Y265">
        <f t="shared" si="94"/>
        <v>0</v>
      </c>
    </row>
    <row r="266" spans="1:25" x14ac:dyDescent="0.25">
      <c r="A266" s="4" t="s">
        <v>1164</v>
      </c>
      <c r="B266" s="7" t="s">
        <v>232</v>
      </c>
      <c r="C266" s="2" t="s">
        <v>1165</v>
      </c>
      <c r="D266">
        <f>VLOOKUP(B266,'Model allocations'!$A$1:$L$316,4,FALSE)</f>
        <v>0</v>
      </c>
      <c r="E266" s="31">
        <f>VLOOKUP(B266,'Initial adjusted formula count'!$A$1:$P$316,12,FALSE)</f>
        <v>6.0631539611360197E-2</v>
      </c>
      <c r="F266">
        <f>VLOOKUP(B266,'Model allocations'!$A$1:$L$316,9,FALSE)</f>
        <v>0</v>
      </c>
      <c r="G266" s="30">
        <f t="shared" si="83"/>
        <v>0.85</v>
      </c>
      <c r="H266">
        <f t="shared" si="84"/>
        <v>0</v>
      </c>
      <c r="I266">
        <f t="shared" si="76"/>
        <v>0</v>
      </c>
      <c r="J266">
        <f t="shared" si="77"/>
        <v>0</v>
      </c>
      <c r="K266">
        <f t="shared" si="78"/>
        <v>0</v>
      </c>
      <c r="L266">
        <f t="shared" si="85"/>
        <v>0</v>
      </c>
      <c r="M266">
        <f t="shared" si="79"/>
        <v>0</v>
      </c>
      <c r="N266" s="29">
        <f t="shared" si="86"/>
        <v>0</v>
      </c>
      <c r="O266" s="29">
        <f t="shared" si="80"/>
        <v>0</v>
      </c>
      <c r="P266" s="29">
        <f t="shared" si="87"/>
        <v>0</v>
      </c>
      <c r="Q266">
        <f t="shared" si="88"/>
        <v>0</v>
      </c>
      <c r="R266" s="29">
        <f t="shared" si="89"/>
        <v>0</v>
      </c>
      <c r="S266" s="29">
        <f t="shared" si="81"/>
        <v>0</v>
      </c>
      <c r="T266" s="29">
        <f t="shared" si="90"/>
        <v>0</v>
      </c>
      <c r="U266">
        <f t="shared" si="91"/>
        <v>0</v>
      </c>
      <c r="V266" s="29">
        <f t="shared" si="92"/>
        <v>0</v>
      </c>
      <c r="W266" s="29">
        <f t="shared" si="82"/>
        <v>0</v>
      </c>
      <c r="X266" s="29">
        <f t="shared" si="93"/>
        <v>0</v>
      </c>
      <c r="Y266">
        <f t="shared" si="94"/>
        <v>0</v>
      </c>
    </row>
    <row r="267" spans="1:25" x14ac:dyDescent="0.25">
      <c r="A267" s="4" t="s">
        <v>1166</v>
      </c>
      <c r="B267" s="7" t="s">
        <v>599</v>
      </c>
      <c r="C267" s="2" t="s">
        <v>1167</v>
      </c>
      <c r="D267">
        <f>VLOOKUP(B267,'Model allocations'!$A$1:$L$316,4,FALSE)</f>
        <v>306736.3527464997</v>
      </c>
      <c r="E267" s="31">
        <f>VLOOKUP(B267,'Initial adjusted formula count'!$A$1:$P$316,12,FALSE)</f>
        <v>0.22602628589972401</v>
      </c>
      <c r="F267">
        <f>VLOOKUP(B267,'Model allocations'!$A$1:$L$316,9,FALSE)</f>
        <v>330711.96059761674</v>
      </c>
      <c r="G267" s="30">
        <f t="shared" si="83"/>
        <v>0.9</v>
      </c>
      <c r="H267">
        <f t="shared" si="84"/>
        <v>276062.71747184976</v>
      </c>
      <c r="I267">
        <f t="shared" si="76"/>
        <v>0</v>
      </c>
      <c r="J267">
        <f t="shared" si="77"/>
        <v>330711.96059761674</v>
      </c>
      <c r="K267">
        <f t="shared" si="78"/>
        <v>330350.87211387855</v>
      </c>
      <c r="L267">
        <f t="shared" si="85"/>
        <v>330350.87211387855</v>
      </c>
      <c r="M267">
        <f t="shared" si="79"/>
        <v>0</v>
      </c>
      <c r="N267" s="29">
        <f t="shared" si="86"/>
        <v>330350.87211387855</v>
      </c>
      <c r="O267" s="29">
        <f t="shared" si="80"/>
        <v>330262.47584169172</v>
      </c>
      <c r="P267" s="29">
        <f t="shared" si="87"/>
        <v>330262.47584169172</v>
      </c>
      <c r="Q267">
        <f t="shared" si="88"/>
        <v>0</v>
      </c>
      <c r="R267" s="29">
        <f t="shared" si="89"/>
        <v>330262.47584169172</v>
      </c>
      <c r="S267" s="29">
        <f t="shared" si="81"/>
        <v>330252.4462815735</v>
      </c>
      <c r="T267" s="29">
        <f t="shared" si="90"/>
        <v>330252.4462815735</v>
      </c>
      <c r="U267">
        <f t="shared" si="91"/>
        <v>0</v>
      </c>
      <c r="V267" s="29">
        <f t="shared" si="92"/>
        <v>330252.4462815735</v>
      </c>
      <c r="W267" s="29">
        <f t="shared" si="82"/>
        <v>330252.4462815735</v>
      </c>
      <c r="X267" s="29">
        <f t="shared" si="93"/>
        <v>330252.4462815735</v>
      </c>
      <c r="Y267">
        <f t="shared" si="94"/>
        <v>0</v>
      </c>
    </row>
    <row r="268" spans="1:25" x14ac:dyDescent="0.25">
      <c r="A268" s="4" t="s">
        <v>11</v>
      </c>
      <c r="B268" s="7" t="s">
        <v>67</v>
      </c>
      <c r="C268" s="2" t="s">
        <v>1168</v>
      </c>
      <c r="D268">
        <f>VLOOKUP(B268,'Model allocations'!$A$1:$L$316,4,FALSE)</f>
        <v>3881.0824915780217</v>
      </c>
      <c r="E268" s="31">
        <f>VLOOKUP(B268,'Initial adjusted formula count'!$A$1:$P$316,12,FALSE)</f>
        <v>0.20287569859097099</v>
      </c>
      <c r="F268">
        <f>VLOOKUP(B268,'Model allocations'!$A$1:$L$316,9,FALSE)</f>
        <v>4378.4319030996658</v>
      </c>
      <c r="G268" s="30">
        <f t="shared" si="83"/>
        <v>0.9</v>
      </c>
      <c r="H268">
        <f t="shared" si="84"/>
        <v>3492.9742424202195</v>
      </c>
      <c r="I268">
        <f t="shared" si="76"/>
        <v>0</v>
      </c>
      <c r="J268">
        <f t="shared" si="77"/>
        <v>4378.4319030996658</v>
      </c>
      <c r="K268">
        <f t="shared" si="78"/>
        <v>4373.6513038912663</v>
      </c>
      <c r="L268">
        <f t="shared" si="85"/>
        <v>4373.6513038912663</v>
      </c>
      <c r="M268">
        <f t="shared" si="79"/>
        <v>0</v>
      </c>
      <c r="N268" s="29">
        <f t="shared" si="86"/>
        <v>4373.6513038912663</v>
      </c>
      <c r="O268" s="29">
        <f t="shared" si="80"/>
        <v>4372.4809892236071</v>
      </c>
      <c r="P268" s="29">
        <f t="shared" si="87"/>
        <v>4372.4809892236071</v>
      </c>
      <c r="Q268">
        <f t="shared" si="88"/>
        <v>0</v>
      </c>
      <c r="R268" s="29">
        <f t="shared" si="89"/>
        <v>4372.4809892236071</v>
      </c>
      <c r="S268" s="29">
        <f t="shared" si="81"/>
        <v>4372.3482037449203</v>
      </c>
      <c r="T268" s="29">
        <f t="shared" si="90"/>
        <v>4372.3482037449203</v>
      </c>
      <c r="U268">
        <f t="shared" si="91"/>
        <v>0</v>
      </c>
      <c r="V268" s="29">
        <f t="shared" si="92"/>
        <v>4372.3482037449203</v>
      </c>
      <c r="W268" s="29">
        <f t="shared" si="82"/>
        <v>4372.3482037449203</v>
      </c>
      <c r="X268" s="29">
        <f t="shared" si="93"/>
        <v>4372.3482037449203</v>
      </c>
      <c r="Y268">
        <f t="shared" si="94"/>
        <v>0</v>
      </c>
    </row>
    <row r="269" spans="1:25" x14ac:dyDescent="0.25">
      <c r="A269" s="4" t="s">
        <v>39</v>
      </c>
      <c r="B269" s="7" t="s">
        <v>62</v>
      </c>
      <c r="C269" s="2" t="s">
        <v>1169</v>
      </c>
      <c r="D269">
        <f>VLOOKUP(B269,'Model allocations'!$A$1:$L$316,4,FALSE)</f>
        <v>0</v>
      </c>
      <c r="E269" s="31">
        <f>VLOOKUP(B269,'Initial adjusted formula count'!$A$1:$P$316,12,FALSE)</f>
        <v>0.14818460413962301</v>
      </c>
      <c r="F269">
        <f>VLOOKUP(B269,'Model allocations'!$A$1:$L$316,9,FALSE)</f>
        <v>0</v>
      </c>
      <c r="G269" s="30">
        <f t="shared" si="83"/>
        <v>0.85</v>
      </c>
      <c r="H269">
        <f t="shared" si="84"/>
        <v>0</v>
      </c>
      <c r="I269">
        <f t="shared" si="76"/>
        <v>0</v>
      </c>
      <c r="J269">
        <f t="shared" si="77"/>
        <v>0</v>
      </c>
      <c r="K269">
        <f t="shared" si="78"/>
        <v>0</v>
      </c>
      <c r="L269">
        <f t="shared" si="85"/>
        <v>0</v>
      </c>
      <c r="M269">
        <f t="shared" si="79"/>
        <v>0</v>
      </c>
      <c r="N269" s="29">
        <f t="shared" si="86"/>
        <v>0</v>
      </c>
      <c r="O269" s="29">
        <f t="shared" si="80"/>
        <v>0</v>
      </c>
      <c r="P269" s="29">
        <f t="shared" si="87"/>
        <v>0</v>
      </c>
      <c r="Q269">
        <f t="shared" si="88"/>
        <v>0</v>
      </c>
      <c r="R269" s="29">
        <f t="shared" si="89"/>
        <v>0</v>
      </c>
      <c r="S269" s="29">
        <f t="shared" si="81"/>
        <v>0</v>
      </c>
      <c r="T269" s="29">
        <f t="shared" si="90"/>
        <v>0</v>
      </c>
      <c r="U269">
        <f t="shared" si="91"/>
        <v>0</v>
      </c>
      <c r="V269" s="29">
        <f t="shared" si="92"/>
        <v>0</v>
      </c>
      <c r="W269" s="29">
        <f t="shared" si="82"/>
        <v>0</v>
      </c>
      <c r="X269" s="29">
        <f t="shared" si="93"/>
        <v>0</v>
      </c>
      <c r="Y269">
        <f t="shared" si="94"/>
        <v>0</v>
      </c>
    </row>
    <row r="270" spans="1:25" x14ac:dyDescent="0.25">
      <c r="A270" s="4" t="s">
        <v>1170</v>
      </c>
      <c r="B270" s="7" t="s">
        <v>601</v>
      </c>
      <c r="C270" s="2" t="s">
        <v>1171</v>
      </c>
      <c r="D270">
        <f>VLOOKUP(B270,'Model allocations'!$A$1:$L$316,4,FALSE)</f>
        <v>17749.684986393455</v>
      </c>
      <c r="E270" s="31">
        <f>VLOOKUP(B270,'Initial adjusted formula count'!$A$1:$P$316,12,FALSE)</f>
        <v>0.134110787172012</v>
      </c>
      <c r="F270">
        <f>VLOOKUP(B270,'Model allocations'!$A$1:$L$316,9,FALSE)</f>
        <v>15087.232238434437</v>
      </c>
      <c r="G270" s="30">
        <f t="shared" si="83"/>
        <v>0.85</v>
      </c>
      <c r="H270">
        <f t="shared" si="84"/>
        <v>15087.232238434437</v>
      </c>
      <c r="I270">
        <f t="shared" si="76"/>
        <v>0</v>
      </c>
      <c r="J270">
        <f t="shared" si="77"/>
        <v>15087.232238434437</v>
      </c>
      <c r="K270">
        <f t="shared" si="78"/>
        <v>15070.759215194099</v>
      </c>
      <c r="L270">
        <f t="shared" si="85"/>
        <v>15070.759215194099</v>
      </c>
      <c r="M270">
        <f t="shared" si="79"/>
        <v>15087.232238434437</v>
      </c>
      <c r="N270" s="29">
        <f t="shared" si="86"/>
        <v>0</v>
      </c>
      <c r="O270" s="29">
        <f t="shared" si="80"/>
        <v>0</v>
      </c>
      <c r="P270" s="29">
        <f t="shared" si="87"/>
        <v>15087.232238434437</v>
      </c>
      <c r="Q270">
        <f t="shared" si="88"/>
        <v>0</v>
      </c>
      <c r="R270" s="29">
        <f t="shared" si="89"/>
        <v>0</v>
      </c>
      <c r="S270" s="29">
        <f t="shared" si="81"/>
        <v>0</v>
      </c>
      <c r="T270" s="29">
        <f t="shared" si="90"/>
        <v>15087.232238434437</v>
      </c>
      <c r="U270">
        <f t="shared" si="91"/>
        <v>0</v>
      </c>
      <c r="V270" s="29">
        <f t="shared" si="92"/>
        <v>0</v>
      </c>
      <c r="W270" s="29">
        <f t="shared" si="82"/>
        <v>0</v>
      </c>
      <c r="X270" s="29">
        <f t="shared" si="93"/>
        <v>15087.232238434437</v>
      </c>
      <c r="Y270">
        <f t="shared" si="94"/>
        <v>0</v>
      </c>
    </row>
    <row r="271" spans="1:25" x14ac:dyDescent="0.25">
      <c r="A271" s="4" t="s">
        <v>1172</v>
      </c>
      <c r="B271" s="7" t="s">
        <v>234</v>
      </c>
      <c r="C271" s="2" t="s">
        <v>1173</v>
      </c>
      <c r="D271">
        <f>VLOOKUP(B271,'Model allocations'!$A$1:$L$316,4,FALSE)</f>
        <v>0</v>
      </c>
      <c r="E271" s="31">
        <f>VLOOKUP(B271,'Initial adjusted formula count'!$A$1:$P$316,12,FALSE)</f>
        <v>4.37099054039361E-2</v>
      </c>
      <c r="F271">
        <f>VLOOKUP(B271,'Model allocations'!$A$1:$L$316,9,FALSE)</f>
        <v>0</v>
      </c>
      <c r="G271" s="30">
        <f t="shared" si="83"/>
        <v>0.85</v>
      </c>
      <c r="H271">
        <f t="shared" si="84"/>
        <v>0</v>
      </c>
      <c r="I271">
        <f t="shared" si="76"/>
        <v>0</v>
      </c>
      <c r="J271">
        <f t="shared" si="77"/>
        <v>0</v>
      </c>
      <c r="K271">
        <f t="shared" si="78"/>
        <v>0</v>
      </c>
      <c r="L271">
        <f t="shared" si="85"/>
        <v>0</v>
      </c>
      <c r="M271">
        <f t="shared" si="79"/>
        <v>0</v>
      </c>
      <c r="N271" s="29">
        <f t="shared" si="86"/>
        <v>0</v>
      </c>
      <c r="O271" s="29">
        <f t="shared" si="80"/>
        <v>0</v>
      </c>
      <c r="P271" s="29">
        <f t="shared" si="87"/>
        <v>0</v>
      </c>
      <c r="Q271">
        <f t="shared" si="88"/>
        <v>0</v>
      </c>
      <c r="R271" s="29">
        <f t="shared" si="89"/>
        <v>0</v>
      </c>
      <c r="S271" s="29">
        <f t="shared" si="81"/>
        <v>0</v>
      </c>
      <c r="T271" s="29">
        <f t="shared" si="90"/>
        <v>0</v>
      </c>
      <c r="U271">
        <f t="shared" si="91"/>
        <v>0</v>
      </c>
      <c r="V271" s="29">
        <f t="shared" si="92"/>
        <v>0</v>
      </c>
      <c r="W271" s="29">
        <f t="shared" si="82"/>
        <v>0</v>
      </c>
      <c r="X271" s="29">
        <f t="shared" si="93"/>
        <v>0</v>
      </c>
      <c r="Y271">
        <f t="shared" si="94"/>
        <v>0</v>
      </c>
    </row>
    <row r="272" spans="1:25" x14ac:dyDescent="0.25">
      <c r="A272" s="4" t="s">
        <v>1174</v>
      </c>
      <c r="B272" s="7" t="s">
        <v>236</v>
      </c>
      <c r="C272" s="2" t="s">
        <v>1175</v>
      </c>
      <c r="D272">
        <f>VLOOKUP(B272,'Model allocations'!$A$1:$L$316,4,FALSE)</f>
        <v>5395.1788336674917</v>
      </c>
      <c r="E272" s="31">
        <f>VLOOKUP(B272,'Initial adjusted formula count'!$A$1:$P$316,12,FALSE)</f>
        <v>0.100591715976331</v>
      </c>
      <c r="F272">
        <f>VLOOKUP(B272,'Model allocations'!$A$1:$L$316,9,FALSE)</f>
        <v>4585.9020086173678</v>
      </c>
      <c r="G272" s="30">
        <f t="shared" si="83"/>
        <v>0.85</v>
      </c>
      <c r="H272">
        <f t="shared" si="84"/>
        <v>4585.9020086173678</v>
      </c>
      <c r="I272">
        <f t="shared" si="76"/>
        <v>0</v>
      </c>
      <c r="J272">
        <f t="shared" si="77"/>
        <v>4585.9020086173678</v>
      </c>
      <c r="K272">
        <f t="shared" si="78"/>
        <v>4580.8948827793083</v>
      </c>
      <c r="L272">
        <f t="shared" si="85"/>
        <v>4580.8948827793083</v>
      </c>
      <c r="M272">
        <f t="shared" si="79"/>
        <v>4585.9020086173678</v>
      </c>
      <c r="N272" s="29">
        <f t="shared" si="86"/>
        <v>0</v>
      </c>
      <c r="O272" s="29">
        <f t="shared" si="80"/>
        <v>0</v>
      </c>
      <c r="P272" s="29">
        <f t="shared" si="87"/>
        <v>4585.9020086173678</v>
      </c>
      <c r="Q272">
        <f t="shared" si="88"/>
        <v>0</v>
      </c>
      <c r="R272" s="29">
        <f t="shared" si="89"/>
        <v>0</v>
      </c>
      <c r="S272" s="29">
        <f t="shared" si="81"/>
        <v>0</v>
      </c>
      <c r="T272" s="29">
        <f t="shared" si="90"/>
        <v>4585.9020086173678</v>
      </c>
      <c r="U272">
        <f t="shared" si="91"/>
        <v>0</v>
      </c>
      <c r="V272" s="29">
        <f t="shared" si="92"/>
        <v>0</v>
      </c>
      <c r="W272" s="29">
        <f t="shared" si="82"/>
        <v>0</v>
      </c>
      <c r="X272" s="29">
        <f t="shared" si="93"/>
        <v>4585.9020086173678</v>
      </c>
      <c r="Y272">
        <f t="shared" si="94"/>
        <v>0</v>
      </c>
    </row>
    <row r="273" spans="1:25" x14ac:dyDescent="0.25">
      <c r="A273" s="4" t="s">
        <v>1176</v>
      </c>
      <c r="B273" s="7" t="s">
        <v>303</v>
      </c>
      <c r="C273" s="2" t="s">
        <v>1177</v>
      </c>
      <c r="D273">
        <f>VLOOKUP(B273,'Model allocations'!$A$1:$L$316,4,FALSE)</f>
        <v>0</v>
      </c>
      <c r="E273" s="31">
        <f>VLOOKUP(B273,'Initial adjusted formula count'!$A$1:$P$316,12,FALSE)</f>
        <v>9.03693931398417E-2</v>
      </c>
      <c r="F273">
        <f>VLOOKUP(B273,'Model allocations'!$A$1:$L$316,9,FALSE)</f>
        <v>0</v>
      </c>
      <c r="G273" s="30">
        <f t="shared" si="83"/>
        <v>0.85</v>
      </c>
      <c r="H273">
        <f t="shared" si="84"/>
        <v>0</v>
      </c>
      <c r="I273">
        <f t="shared" si="76"/>
        <v>0</v>
      </c>
      <c r="J273">
        <f t="shared" si="77"/>
        <v>0</v>
      </c>
      <c r="K273">
        <f t="shared" si="78"/>
        <v>0</v>
      </c>
      <c r="L273">
        <f t="shared" si="85"/>
        <v>0</v>
      </c>
      <c r="M273">
        <f t="shared" si="79"/>
        <v>0</v>
      </c>
      <c r="N273" s="29">
        <f t="shared" si="86"/>
        <v>0</v>
      </c>
      <c r="O273" s="29">
        <f t="shared" si="80"/>
        <v>0</v>
      </c>
      <c r="P273" s="29">
        <f t="shared" si="87"/>
        <v>0</v>
      </c>
      <c r="Q273">
        <f t="shared" si="88"/>
        <v>0</v>
      </c>
      <c r="R273" s="29">
        <f t="shared" si="89"/>
        <v>0</v>
      </c>
      <c r="S273" s="29">
        <f t="shared" si="81"/>
        <v>0</v>
      </c>
      <c r="T273" s="29">
        <f t="shared" si="90"/>
        <v>0</v>
      </c>
      <c r="U273">
        <f t="shared" si="91"/>
        <v>0</v>
      </c>
      <c r="V273" s="29">
        <f t="shared" si="92"/>
        <v>0</v>
      </c>
      <c r="W273" s="29">
        <f t="shared" si="82"/>
        <v>0</v>
      </c>
      <c r="X273" s="29">
        <f t="shared" si="93"/>
        <v>0</v>
      </c>
      <c r="Y273">
        <f t="shared" si="94"/>
        <v>0</v>
      </c>
    </row>
    <row r="274" spans="1:25" x14ac:dyDescent="0.25">
      <c r="A274" s="4" t="s">
        <v>1178</v>
      </c>
      <c r="B274" s="7" t="s">
        <v>238</v>
      </c>
      <c r="C274" s="2" t="s">
        <v>1179</v>
      </c>
      <c r="D274">
        <f>VLOOKUP(B274,'Model allocations'!$A$1:$L$316,4,FALSE)</f>
        <v>4739.2710062714723</v>
      </c>
      <c r="E274" s="31">
        <f>VLOOKUP(B274,'Initial adjusted formula count'!$A$1:$P$316,12,FALSE)</f>
        <v>0.137440758293839</v>
      </c>
      <c r="F274">
        <f>VLOOKUP(B274,'Model allocations'!$A$1:$L$316,9,FALSE)</f>
        <v>4028.3803553307512</v>
      </c>
      <c r="G274" s="30">
        <f t="shared" si="83"/>
        <v>0.85</v>
      </c>
      <c r="H274">
        <f t="shared" si="84"/>
        <v>4028.3803553307512</v>
      </c>
      <c r="I274">
        <f t="shared" si="76"/>
        <v>0</v>
      </c>
      <c r="J274">
        <f t="shared" si="77"/>
        <v>4028.3803553307512</v>
      </c>
      <c r="K274">
        <f t="shared" si="78"/>
        <v>4023.9819605711591</v>
      </c>
      <c r="L274">
        <f t="shared" si="85"/>
        <v>4023.9819605711591</v>
      </c>
      <c r="M274">
        <f t="shared" si="79"/>
        <v>4028.3803553307512</v>
      </c>
      <c r="N274" s="29">
        <f t="shared" si="86"/>
        <v>0</v>
      </c>
      <c r="O274" s="29">
        <f t="shared" si="80"/>
        <v>0</v>
      </c>
      <c r="P274" s="29">
        <f t="shared" si="87"/>
        <v>4028.3803553307512</v>
      </c>
      <c r="Q274">
        <f t="shared" si="88"/>
        <v>0</v>
      </c>
      <c r="R274" s="29">
        <f t="shared" si="89"/>
        <v>0</v>
      </c>
      <c r="S274" s="29">
        <f t="shared" si="81"/>
        <v>0</v>
      </c>
      <c r="T274" s="29">
        <f t="shared" si="90"/>
        <v>4028.3803553307512</v>
      </c>
      <c r="U274">
        <f t="shared" si="91"/>
        <v>0</v>
      </c>
      <c r="V274" s="29">
        <f t="shared" si="92"/>
        <v>0</v>
      </c>
      <c r="W274" s="29">
        <f t="shared" si="82"/>
        <v>0</v>
      </c>
      <c r="X274" s="29">
        <f t="shared" si="93"/>
        <v>4028.3803553307512</v>
      </c>
      <c r="Y274">
        <f t="shared" si="94"/>
        <v>0</v>
      </c>
    </row>
    <row r="275" spans="1:25" x14ac:dyDescent="0.25">
      <c r="A275" s="4" t="s">
        <v>1180</v>
      </c>
      <c r="B275" s="7" t="s">
        <v>240</v>
      </c>
      <c r="C275" s="2" t="s">
        <v>1181</v>
      </c>
      <c r="D275">
        <f>VLOOKUP(B275,'Model allocations'!$A$1:$L$316,4,FALSE)</f>
        <v>0</v>
      </c>
      <c r="E275" s="31">
        <f>VLOOKUP(B275,'Initial adjusted formula count'!$A$1:$P$316,12,FALSE)</f>
        <v>8.3428571428571394E-2</v>
      </c>
      <c r="F275">
        <f>VLOOKUP(B275,'Model allocations'!$A$1:$L$316,9,FALSE)</f>
        <v>0</v>
      </c>
      <c r="G275" s="30">
        <f t="shared" si="83"/>
        <v>0.85</v>
      </c>
      <c r="H275">
        <f t="shared" si="84"/>
        <v>0</v>
      </c>
      <c r="I275">
        <f t="shared" si="76"/>
        <v>0</v>
      </c>
      <c r="J275">
        <f t="shared" si="77"/>
        <v>0</v>
      </c>
      <c r="K275">
        <f t="shared" si="78"/>
        <v>0</v>
      </c>
      <c r="L275">
        <f t="shared" si="85"/>
        <v>0</v>
      </c>
      <c r="M275">
        <f t="shared" si="79"/>
        <v>0</v>
      </c>
      <c r="N275" s="29">
        <f t="shared" si="86"/>
        <v>0</v>
      </c>
      <c r="O275" s="29">
        <f t="shared" si="80"/>
        <v>0</v>
      </c>
      <c r="P275" s="29">
        <f t="shared" si="87"/>
        <v>0</v>
      </c>
      <c r="Q275">
        <f t="shared" si="88"/>
        <v>0</v>
      </c>
      <c r="R275" s="29">
        <f t="shared" si="89"/>
        <v>0</v>
      </c>
      <c r="S275" s="29">
        <f t="shared" si="81"/>
        <v>0</v>
      </c>
      <c r="T275" s="29">
        <f t="shared" si="90"/>
        <v>0</v>
      </c>
      <c r="U275">
        <f t="shared" si="91"/>
        <v>0</v>
      </c>
      <c r="V275" s="29">
        <f t="shared" si="92"/>
        <v>0</v>
      </c>
      <c r="W275" s="29">
        <f t="shared" si="82"/>
        <v>0</v>
      </c>
      <c r="X275" s="29">
        <f t="shared" si="93"/>
        <v>0</v>
      </c>
      <c r="Y275">
        <f t="shared" si="94"/>
        <v>0</v>
      </c>
    </row>
    <row r="276" spans="1:25" x14ac:dyDescent="0.25">
      <c r="A276" s="8" t="s">
        <v>1182</v>
      </c>
      <c r="B276" s="7" t="s">
        <v>603</v>
      </c>
      <c r="C276" s="2" t="s">
        <v>1183</v>
      </c>
      <c r="D276">
        <f>VLOOKUP(B276,'Model allocations'!$A$1:$L$316,4,FALSE)</f>
        <v>62890.304031103966</v>
      </c>
      <c r="E276" s="31">
        <f>VLOOKUP(B276,'Initial adjusted formula count'!$A$1:$P$316,12,FALSE)</f>
        <v>0.25296803652967997</v>
      </c>
      <c r="F276">
        <f>VLOOKUP(B276,'Model allocations'!$A$1:$L$316,9,FALSE)</f>
        <v>65762.536314098921</v>
      </c>
      <c r="G276" s="30">
        <f t="shared" si="83"/>
        <v>0.9</v>
      </c>
      <c r="H276">
        <f t="shared" si="84"/>
        <v>56601.273627993571</v>
      </c>
      <c r="I276">
        <f t="shared" si="76"/>
        <v>0</v>
      </c>
      <c r="J276">
        <f t="shared" si="77"/>
        <v>65762.536314098921</v>
      </c>
      <c r="K276">
        <f t="shared" si="78"/>
        <v>65690.733363635547</v>
      </c>
      <c r="L276">
        <f t="shared" si="85"/>
        <v>65690.733363635547</v>
      </c>
      <c r="M276">
        <f t="shared" si="79"/>
        <v>0</v>
      </c>
      <c r="N276" s="29">
        <f t="shared" si="86"/>
        <v>65690.733363635547</v>
      </c>
      <c r="O276" s="29">
        <f t="shared" si="80"/>
        <v>65673.155641169113</v>
      </c>
      <c r="P276" s="29">
        <f t="shared" si="87"/>
        <v>65673.155641169113</v>
      </c>
      <c r="Q276">
        <f t="shared" si="88"/>
        <v>0</v>
      </c>
      <c r="R276" s="29">
        <f t="shared" si="89"/>
        <v>65673.155641169113</v>
      </c>
      <c r="S276" s="29">
        <f t="shared" si="81"/>
        <v>65671.161249099663</v>
      </c>
      <c r="T276" s="29">
        <f t="shared" si="90"/>
        <v>65671.161249099663</v>
      </c>
      <c r="U276">
        <f t="shared" si="91"/>
        <v>0</v>
      </c>
      <c r="V276" s="29">
        <f t="shared" si="92"/>
        <v>65671.161249099663</v>
      </c>
      <c r="W276" s="29">
        <f t="shared" si="82"/>
        <v>65671.161249099663</v>
      </c>
      <c r="X276" s="29">
        <f t="shared" si="93"/>
        <v>65671.161249099663</v>
      </c>
      <c r="Y276">
        <f t="shared" si="94"/>
        <v>0</v>
      </c>
    </row>
    <row r="277" spans="1:25" x14ac:dyDescent="0.25">
      <c r="A277" s="4" t="s">
        <v>1184</v>
      </c>
      <c r="B277" s="7" t="s">
        <v>605</v>
      </c>
      <c r="C277" s="2" t="s">
        <v>1185</v>
      </c>
      <c r="D277">
        <f>VLOOKUP(B277,'Model allocations'!$A$1:$L$316,4,FALSE)</f>
        <v>157576.44950544261</v>
      </c>
      <c r="E277" s="31">
        <f>VLOOKUP(B277,'Initial adjusted formula count'!$A$1:$P$316,12,FALSE)</f>
        <v>0.20956521739130399</v>
      </c>
      <c r="F277">
        <f>VLOOKUP(B277,'Model allocations'!$A$1:$L$316,9,FALSE)</f>
        <v>171647.34207614994</v>
      </c>
      <c r="G277" s="30">
        <f t="shared" si="83"/>
        <v>0.9</v>
      </c>
      <c r="H277">
        <f t="shared" si="84"/>
        <v>141818.80455489835</v>
      </c>
      <c r="I277">
        <f t="shared" si="76"/>
        <v>0</v>
      </c>
      <c r="J277">
        <f t="shared" si="77"/>
        <v>171647.34207614994</v>
      </c>
      <c r="K277">
        <f t="shared" si="78"/>
        <v>171459.92859894771</v>
      </c>
      <c r="L277">
        <f t="shared" si="85"/>
        <v>171459.92859894771</v>
      </c>
      <c r="M277">
        <f t="shared" si="79"/>
        <v>0</v>
      </c>
      <c r="N277" s="29">
        <f t="shared" si="86"/>
        <v>171459.92859894771</v>
      </c>
      <c r="O277" s="29">
        <f t="shared" si="80"/>
        <v>171414.04883958583</v>
      </c>
      <c r="P277" s="29">
        <f t="shared" si="87"/>
        <v>171414.04883958583</v>
      </c>
      <c r="Q277">
        <f t="shared" si="88"/>
        <v>0</v>
      </c>
      <c r="R277" s="29">
        <f t="shared" si="89"/>
        <v>171414.04883958583</v>
      </c>
      <c r="S277" s="29">
        <f t="shared" si="81"/>
        <v>171408.84326028544</v>
      </c>
      <c r="T277" s="29">
        <f t="shared" si="90"/>
        <v>171408.84326028544</v>
      </c>
      <c r="U277">
        <f t="shared" si="91"/>
        <v>0</v>
      </c>
      <c r="V277" s="29">
        <f t="shared" si="92"/>
        <v>171408.84326028544</v>
      </c>
      <c r="W277" s="29">
        <f t="shared" si="82"/>
        <v>171408.84326028544</v>
      </c>
      <c r="X277" s="29">
        <f t="shared" si="93"/>
        <v>171408.84326028544</v>
      </c>
      <c r="Y277">
        <f t="shared" si="94"/>
        <v>0</v>
      </c>
    </row>
    <row r="278" spans="1:25" x14ac:dyDescent="0.25">
      <c r="A278" s="4" t="s">
        <v>1186</v>
      </c>
      <c r="B278" s="7" t="s">
        <v>242</v>
      </c>
      <c r="C278" s="2" t="s">
        <v>1187</v>
      </c>
      <c r="D278">
        <f>VLOOKUP(B278,'Model allocations'!$A$1:$L$316,4,FALSE)</f>
        <v>0</v>
      </c>
      <c r="E278" s="31">
        <f>VLOOKUP(B278,'Initial adjusted formula count'!$A$1:$P$316,12,FALSE)</f>
        <v>9.6330275229357804E-2</v>
      </c>
      <c r="F278">
        <f>VLOOKUP(B278,'Model allocations'!$A$1:$L$316,9,FALSE)</f>
        <v>0</v>
      </c>
      <c r="G278" s="30">
        <f t="shared" si="83"/>
        <v>0.85</v>
      </c>
      <c r="H278">
        <f t="shared" si="84"/>
        <v>0</v>
      </c>
      <c r="I278">
        <f t="shared" si="76"/>
        <v>0</v>
      </c>
      <c r="J278">
        <f t="shared" si="77"/>
        <v>0</v>
      </c>
      <c r="K278">
        <f t="shared" si="78"/>
        <v>0</v>
      </c>
      <c r="L278">
        <f t="shared" si="85"/>
        <v>0</v>
      </c>
      <c r="M278">
        <f t="shared" si="79"/>
        <v>0</v>
      </c>
      <c r="N278" s="29">
        <f t="shared" si="86"/>
        <v>0</v>
      </c>
      <c r="O278" s="29">
        <f t="shared" si="80"/>
        <v>0</v>
      </c>
      <c r="P278" s="29">
        <f t="shared" si="87"/>
        <v>0</v>
      </c>
      <c r="Q278">
        <f t="shared" si="88"/>
        <v>0</v>
      </c>
      <c r="R278" s="29">
        <f t="shared" si="89"/>
        <v>0</v>
      </c>
      <c r="S278" s="29">
        <f t="shared" si="81"/>
        <v>0</v>
      </c>
      <c r="T278" s="29">
        <f t="shared" si="90"/>
        <v>0</v>
      </c>
      <c r="U278">
        <f t="shared" si="91"/>
        <v>0</v>
      </c>
      <c r="V278" s="29">
        <f t="shared" si="92"/>
        <v>0</v>
      </c>
      <c r="W278" s="29">
        <f t="shared" si="82"/>
        <v>0</v>
      </c>
      <c r="X278" s="29">
        <f t="shared" si="93"/>
        <v>0</v>
      </c>
      <c r="Y278">
        <f t="shared" si="94"/>
        <v>0</v>
      </c>
    </row>
    <row r="279" spans="1:25" x14ac:dyDescent="0.25">
      <c r="A279" s="4" t="s">
        <v>1188</v>
      </c>
      <c r="B279" s="7" t="s">
        <v>244</v>
      </c>
      <c r="C279" s="2" t="s">
        <v>1189</v>
      </c>
      <c r="D279">
        <f>VLOOKUP(B279,'Model allocations'!$A$1:$L$316,4,FALSE)</f>
        <v>0</v>
      </c>
      <c r="E279" s="31">
        <f>VLOOKUP(B279,'Initial adjusted formula count'!$A$1:$P$316,12,FALSE)</f>
        <v>0.102564102564103</v>
      </c>
      <c r="F279">
        <f>VLOOKUP(B279,'Model allocations'!$A$1:$L$316,9,FALSE)</f>
        <v>0</v>
      </c>
      <c r="G279" s="30">
        <f t="shared" si="83"/>
        <v>0.85</v>
      </c>
      <c r="H279">
        <f t="shared" si="84"/>
        <v>0</v>
      </c>
      <c r="I279">
        <f t="shared" si="76"/>
        <v>0</v>
      </c>
      <c r="J279">
        <f t="shared" si="77"/>
        <v>0</v>
      </c>
      <c r="K279">
        <f t="shared" si="78"/>
        <v>0</v>
      </c>
      <c r="L279">
        <f t="shared" si="85"/>
        <v>0</v>
      </c>
      <c r="M279">
        <f t="shared" si="79"/>
        <v>0</v>
      </c>
      <c r="N279" s="29">
        <f t="shared" si="86"/>
        <v>0</v>
      </c>
      <c r="O279" s="29">
        <f t="shared" si="80"/>
        <v>0</v>
      </c>
      <c r="P279" s="29">
        <f t="shared" si="87"/>
        <v>0</v>
      </c>
      <c r="Q279">
        <f t="shared" si="88"/>
        <v>0</v>
      </c>
      <c r="R279" s="29">
        <f t="shared" si="89"/>
        <v>0</v>
      </c>
      <c r="S279" s="29">
        <f t="shared" si="81"/>
        <v>0</v>
      </c>
      <c r="T279" s="29">
        <f t="shared" si="90"/>
        <v>0</v>
      </c>
      <c r="U279">
        <f t="shared" si="91"/>
        <v>0</v>
      </c>
      <c r="V279" s="29">
        <f t="shared" si="92"/>
        <v>0</v>
      </c>
      <c r="W279" s="29">
        <f t="shared" si="82"/>
        <v>0</v>
      </c>
      <c r="X279" s="29">
        <f t="shared" si="93"/>
        <v>0</v>
      </c>
      <c r="Y279">
        <f t="shared" si="94"/>
        <v>0</v>
      </c>
    </row>
    <row r="280" spans="1:25" x14ac:dyDescent="0.25">
      <c r="A280" s="4" t="s">
        <v>1190</v>
      </c>
      <c r="B280" s="7" t="s">
        <v>607</v>
      </c>
      <c r="C280" s="2" t="s">
        <v>1191</v>
      </c>
      <c r="D280">
        <f>VLOOKUP(B280,'Model allocations'!$A$1:$L$316,4,FALSE)</f>
        <v>10520.682830482085</v>
      </c>
      <c r="E280" s="31">
        <f>VLOOKUP(B280,'Initial adjusted formula count'!$A$1:$P$316,12,FALSE)</f>
        <v>0.173267326732673</v>
      </c>
      <c r="F280">
        <f>VLOOKUP(B280,'Model allocations'!$A$1:$L$316,9,FALSE)</f>
        <v>9479.9748972936068</v>
      </c>
      <c r="G280" s="30">
        <f t="shared" si="83"/>
        <v>0.9</v>
      </c>
      <c r="H280">
        <f t="shared" si="84"/>
        <v>9468.6145474338773</v>
      </c>
      <c r="I280">
        <f t="shared" si="76"/>
        <v>0</v>
      </c>
      <c r="J280">
        <f t="shared" si="77"/>
        <v>9479.9748972936068</v>
      </c>
      <c r="K280">
        <f t="shared" si="78"/>
        <v>9469.6241686554458</v>
      </c>
      <c r="L280">
        <f t="shared" si="85"/>
        <v>9469.6241686554458</v>
      </c>
      <c r="M280">
        <f t="shared" si="79"/>
        <v>0</v>
      </c>
      <c r="N280" s="29">
        <f t="shared" si="86"/>
        <v>9469.6241686554458</v>
      </c>
      <c r="O280" s="29">
        <f t="shared" si="80"/>
        <v>9467.0902583613297</v>
      </c>
      <c r="P280" s="29">
        <f t="shared" si="87"/>
        <v>9467.0902583613297</v>
      </c>
      <c r="Q280">
        <f t="shared" si="88"/>
        <v>9468.6145474338773</v>
      </c>
      <c r="R280" s="29">
        <f t="shared" si="89"/>
        <v>0</v>
      </c>
      <c r="S280" s="29">
        <f t="shared" si="81"/>
        <v>0</v>
      </c>
      <c r="T280" s="29">
        <f t="shared" si="90"/>
        <v>9468.6145474338773</v>
      </c>
      <c r="U280">
        <f t="shared" si="91"/>
        <v>0</v>
      </c>
      <c r="V280" s="29">
        <f t="shared" si="92"/>
        <v>0</v>
      </c>
      <c r="W280" s="29">
        <f t="shared" si="82"/>
        <v>0</v>
      </c>
      <c r="X280" s="29">
        <f t="shared" si="93"/>
        <v>9468.6145474338773</v>
      </c>
      <c r="Y280">
        <f t="shared" si="94"/>
        <v>0</v>
      </c>
    </row>
    <row r="281" spans="1:25" x14ac:dyDescent="0.25">
      <c r="A281" s="4" t="s">
        <v>43</v>
      </c>
      <c r="B281" s="7" t="s">
        <v>60</v>
      </c>
      <c r="C281" s="2" t="s">
        <v>1192</v>
      </c>
      <c r="D281">
        <f>VLOOKUP(B281,'Model allocations'!$A$1:$L$316,4,FALSE)</f>
        <v>118039.15989134953</v>
      </c>
      <c r="E281" s="31">
        <f>VLOOKUP(B281,'Initial adjusted formula count'!$A$1:$P$316,12,FALSE)</f>
        <v>0.210333702778842</v>
      </c>
      <c r="F281">
        <f>VLOOKUP(B281,'Model allocations'!$A$1:$L$316,9,FALSE)</f>
        <v>108845.62162862933</v>
      </c>
      <c r="G281" s="30">
        <f t="shared" si="83"/>
        <v>0.9</v>
      </c>
      <c r="H281">
        <f t="shared" si="84"/>
        <v>106235.24390221457</v>
      </c>
      <c r="I281">
        <f t="shared" si="76"/>
        <v>0</v>
      </c>
      <c r="J281">
        <f t="shared" si="77"/>
        <v>108845.62162862933</v>
      </c>
      <c r="K281">
        <f t="shared" si="78"/>
        <v>108726.77832945019</v>
      </c>
      <c r="L281">
        <f t="shared" si="85"/>
        <v>108726.77832945019</v>
      </c>
      <c r="M281">
        <f t="shared" si="79"/>
        <v>0</v>
      </c>
      <c r="N281" s="29">
        <f t="shared" si="86"/>
        <v>108726.77832945019</v>
      </c>
      <c r="O281" s="29">
        <f t="shared" si="80"/>
        <v>108697.68489364447</v>
      </c>
      <c r="P281" s="29">
        <f t="shared" si="87"/>
        <v>108697.68489364447</v>
      </c>
      <c r="Q281">
        <f t="shared" si="88"/>
        <v>0</v>
      </c>
      <c r="R281" s="29">
        <f t="shared" si="89"/>
        <v>108697.68489364447</v>
      </c>
      <c r="S281" s="29">
        <f t="shared" si="81"/>
        <v>108694.38391322711</v>
      </c>
      <c r="T281" s="29">
        <f t="shared" si="90"/>
        <v>108694.38391322711</v>
      </c>
      <c r="U281">
        <f t="shared" si="91"/>
        <v>0</v>
      </c>
      <c r="V281" s="29">
        <f t="shared" si="92"/>
        <v>108694.38391322711</v>
      </c>
      <c r="W281" s="29">
        <f t="shared" si="82"/>
        <v>108694.38391322711</v>
      </c>
      <c r="X281" s="29">
        <f t="shared" si="93"/>
        <v>108694.38391322711</v>
      </c>
      <c r="Y281">
        <f t="shared" si="94"/>
        <v>0</v>
      </c>
    </row>
    <row r="282" spans="1:25" x14ac:dyDescent="0.25">
      <c r="A282" s="4" t="s">
        <v>1193</v>
      </c>
      <c r="B282" s="7" t="s">
        <v>246</v>
      </c>
      <c r="C282" s="2" t="s">
        <v>1194</v>
      </c>
      <c r="D282">
        <f>VLOOKUP(B282,'Model allocations'!$A$1:$L$316,4,FALSE)</f>
        <v>0</v>
      </c>
      <c r="E282" s="31">
        <f>VLOOKUP(B282,'Initial adjusted formula count'!$A$1:$P$316,12,FALSE)</f>
        <v>7.9849558802256596E-2</v>
      </c>
      <c r="F282">
        <f>VLOOKUP(B282,'Model allocations'!$A$1:$L$316,9,FALSE)</f>
        <v>0</v>
      </c>
      <c r="G282" s="30">
        <f t="shared" si="83"/>
        <v>0.85</v>
      </c>
      <c r="H282">
        <f t="shared" si="84"/>
        <v>0</v>
      </c>
      <c r="I282">
        <f t="shared" si="76"/>
        <v>0</v>
      </c>
      <c r="J282">
        <f t="shared" si="77"/>
        <v>0</v>
      </c>
      <c r="K282">
        <f t="shared" si="78"/>
        <v>0</v>
      </c>
      <c r="L282">
        <f t="shared" si="85"/>
        <v>0</v>
      </c>
      <c r="M282">
        <f t="shared" si="79"/>
        <v>0</v>
      </c>
      <c r="N282" s="29">
        <f t="shared" si="86"/>
        <v>0</v>
      </c>
      <c r="O282" s="29">
        <f t="shared" si="80"/>
        <v>0</v>
      </c>
      <c r="P282" s="29">
        <f t="shared" si="87"/>
        <v>0</v>
      </c>
      <c r="Q282">
        <f t="shared" si="88"/>
        <v>0</v>
      </c>
      <c r="R282" s="29">
        <f t="shared" si="89"/>
        <v>0</v>
      </c>
      <c r="S282" s="29">
        <f t="shared" si="81"/>
        <v>0</v>
      </c>
      <c r="T282" s="29">
        <f t="shared" si="90"/>
        <v>0</v>
      </c>
      <c r="U282">
        <f t="shared" si="91"/>
        <v>0</v>
      </c>
      <c r="V282" s="29">
        <f t="shared" si="92"/>
        <v>0</v>
      </c>
      <c r="W282" s="29">
        <f t="shared" si="82"/>
        <v>0</v>
      </c>
      <c r="X282" s="29">
        <f t="shared" si="93"/>
        <v>0</v>
      </c>
      <c r="Y282">
        <f t="shared" si="94"/>
        <v>0</v>
      </c>
    </row>
    <row r="283" spans="1:25" x14ac:dyDescent="0.25">
      <c r="A283" s="4" t="s">
        <v>1195</v>
      </c>
      <c r="B283" s="7" t="s">
        <v>609</v>
      </c>
      <c r="C283" s="2" t="s">
        <v>1196</v>
      </c>
      <c r="D283">
        <f>VLOOKUP(B283,'Model allocations'!$A$1:$L$316,4,FALSE)</f>
        <v>59383.409754276603</v>
      </c>
      <c r="E283" s="31">
        <f>VLOOKUP(B283,'Initial adjusted formula count'!$A$1:$P$316,12,FALSE)</f>
        <v>0.314285714285714</v>
      </c>
      <c r="F283">
        <f>VLOOKUP(B283,'Model allocations'!$A$1:$L$316,9,FALSE)</f>
        <v>60064.699232732979</v>
      </c>
      <c r="G283" s="30">
        <f t="shared" si="83"/>
        <v>0.95</v>
      </c>
      <c r="H283">
        <f t="shared" si="84"/>
        <v>56414.23926656277</v>
      </c>
      <c r="I283">
        <f t="shared" si="76"/>
        <v>0</v>
      </c>
      <c r="J283">
        <f t="shared" si="77"/>
        <v>60064.699232732979</v>
      </c>
      <c r="K283">
        <f t="shared" si="78"/>
        <v>59999.117476533582</v>
      </c>
      <c r="L283">
        <f t="shared" si="85"/>
        <v>59999.117476533582</v>
      </c>
      <c r="M283">
        <f t="shared" si="79"/>
        <v>0</v>
      </c>
      <c r="N283" s="29">
        <f t="shared" si="86"/>
        <v>59999.117476533582</v>
      </c>
      <c r="O283" s="29">
        <f t="shared" si="80"/>
        <v>59983.062733631021</v>
      </c>
      <c r="P283" s="29">
        <f t="shared" si="87"/>
        <v>59983.062733631021</v>
      </c>
      <c r="Q283">
        <f t="shared" si="88"/>
        <v>0</v>
      </c>
      <c r="R283" s="29">
        <f t="shared" si="89"/>
        <v>59983.062733631021</v>
      </c>
      <c r="S283" s="29">
        <f t="shared" si="81"/>
        <v>59981.241140874452</v>
      </c>
      <c r="T283" s="29">
        <f t="shared" si="90"/>
        <v>59981.241140874452</v>
      </c>
      <c r="U283">
        <f t="shared" si="91"/>
        <v>0</v>
      </c>
      <c r="V283" s="29">
        <f t="shared" si="92"/>
        <v>59981.241140874452</v>
      </c>
      <c r="W283" s="29">
        <f t="shared" si="82"/>
        <v>59981.241140874452</v>
      </c>
      <c r="X283" s="29">
        <f t="shared" si="93"/>
        <v>59981.241140874452</v>
      </c>
      <c r="Y283">
        <f t="shared" si="94"/>
        <v>0</v>
      </c>
    </row>
    <row r="284" spans="1:25" x14ac:dyDescent="0.25">
      <c r="A284" s="4" t="s">
        <v>1197</v>
      </c>
      <c r="B284" s="7" t="s">
        <v>248</v>
      </c>
      <c r="C284" s="2" t="s">
        <v>1198</v>
      </c>
      <c r="D284">
        <f>VLOOKUP(B284,'Model allocations'!$A$1:$L$316,4,FALSE)</f>
        <v>0</v>
      </c>
      <c r="E284" s="31">
        <f>VLOOKUP(B284,'Initial adjusted formula count'!$A$1:$P$316,12,FALSE)</f>
        <v>9.6267875828391997E-2</v>
      </c>
      <c r="F284">
        <f>VLOOKUP(B284,'Model allocations'!$A$1:$L$316,9,FALSE)</f>
        <v>0</v>
      </c>
      <c r="G284" s="30">
        <f t="shared" si="83"/>
        <v>0.85</v>
      </c>
      <c r="H284">
        <f t="shared" si="84"/>
        <v>0</v>
      </c>
      <c r="I284">
        <f t="shared" si="76"/>
        <v>0</v>
      </c>
      <c r="J284">
        <f t="shared" si="77"/>
        <v>0</v>
      </c>
      <c r="K284">
        <f t="shared" si="78"/>
        <v>0</v>
      </c>
      <c r="L284">
        <f t="shared" si="85"/>
        <v>0</v>
      </c>
      <c r="M284">
        <f t="shared" si="79"/>
        <v>0</v>
      </c>
      <c r="N284" s="29">
        <f t="shared" si="86"/>
        <v>0</v>
      </c>
      <c r="O284" s="29">
        <f t="shared" si="80"/>
        <v>0</v>
      </c>
      <c r="P284" s="29">
        <f t="shared" si="87"/>
        <v>0</v>
      </c>
      <c r="Q284">
        <f t="shared" si="88"/>
        <v>0</v>
      </c>
      <c r="R284" s="29">
        <f t="shared" si="89"/>
        <v>0</v>
      </c>
      <c r="S284" s="29">
        <f t="shared" si="81"/>
        <v>0</v>
      </c>
      <c r="T284" s="29">
        <f t="shared" si="90"/>
        <v>0</v>
      </c>
      <c r="U284">
        <f t="shared" si="91"/>
        <v>0</v>
      </c>
      <c r="V284" s="29">
        <f t="shared" si="92"/>
        <v>0</v>
      </c>
      <c r="W284" s="29">
        <f t="shared" si="82"/>
        <v>0</v>
      </c>
      <c r="X284" s="29">
        <f t="shared" si="93"/>
        <v>0</v>
      </c>
      <c r="Y284">
        <f t="shared" si="94"/>
        <v>0</v>
      </c>
    </row>
    <row r="285" spans="1:25" x14ac:dyDescent="0.25">
      <c r="A285" s="4" t="s">
        <v>1199</v>
      </c>
      <c r="B285" s="7" t="s">
        <v>611</v>
      </c>
      <c r="C285" s="2" t="s">
        <v>1200</v>
      </c>
      <c r="D285">
        <f>VLOOKUP(B285,'Model allocations'!$A$1:$L$316,4,FALSE)</f>
        <v>18002.057287713775</v>
      </c>
      <c r="E285" s="31">
        <f>VLOOKUP(B285,'Initial adjusted formula count'!$A$1:$P$316,12,FALSE)</f>
        <v>0.243055555555556</v>
      </c>
      <c r="F285">
        <f>VLOOKUP(B285,'Model allocations'!$A$1:$L$316,9,FALSE)</f>
        <v>16618.691487317425</v>
      </c>
      <c r="G285" s="30">
        <f t="shared" si="83"/>
        <v>0.9</v>
      </c>
      <c r="H285">
        <f t="shared" si="84"/>
        <v>16201.851558942397</v>
      </c>
      <c r="I285">
        <f t="shared" si="76"/>
        <v>0</v>
      </c>
      <c r="J285">
        <f t="shared" si="77"/>
        <v>16618.691487317425</v>
      </c>
      <c r="K285">
        <f t="shared" si="78"/>
        <v>16600.546337380831</v>
      </c>
      <c r="L285">
        <f t="shared" si="85"/>
        <v>16600.546337380831</v>
      </c>
      <c r="M285">
        <f t="shared" si="79"/>
        <v>0</v>
      </c>
      <c r="N285" s="29">
        <f t="shared" si="86"/>
        <v>16600.546337380831</v>
      </c>
      <c r="O285" s="29">
        <f t="shared" si="80"/>
        <v>16596.10431365285</v>
      </c>
      <c r="P285" s="29">
        <f t="shared" si="87"/>
        <v>16596.10431365285</v>
      </c>
      <c r="Q285">
        <f t="shared" si="88"/>
        <v>0</v>
      </c>
      <c r="R285" s="29">
        <f t="shared" si="89"/>
        <v>16596.10431365285</v>
      </c>
      <c r="S285" s="29">
        <f t="shared" si="81"/>
        <v>16595.60031565696</v>
      </c>
      <c r="T285" s="29">
        <f t="shared" si="90"/>
        <v>16595.60031565696</v>
      </c>
      <c r="U285">
        <f t="shared" si="91"/>
        <v>0</v>
      </c>
      <c r="V285" s="29">
        <f t="shared" si="92"/>
        <v>16595.60031565696</v>
      </c>
      <c r="W285" s="29">
        <f t="shared" si="82"/>
        <v>16595.60031565696</v>
      </c>
      <c r="X285" s="29">
        <f t="shared" si="93"/>
        <v>16595.60031565696</v>
      </c>
      <c r="Y285">
        <f t="shared" si="94"/>
        <v>0</v>
      </c>
    </row>
    <row r="286" spans="1:25" x14ac:dyDescent="0.25">
      <c r="A286" s="4" t="s">
        <v>49</v>
      </c>
      <c r="B286" s="7" t="s">
        <v>63</v>
      </c>
      <c r="C286" s="2" t="s">
        <v>1201</v>
      </c>
      <c r="D286">
        <f>VLOOKUP(B286,'Model allocations'!$A$1:$L$316,4,FALSE)</f>
        <v>0</v>
      </c>
      <c r="E286" s="31">
        <f>VLOOKUP(B286,'Initial adjusted formula count'!$A$1:$P$316,12,FALSE)</f>
        <v>0.11281099129941199</v>
      </c>
      <c r="F286">
        <f>VLOOKUP(B286,'Model allocations'!$A$1:$L$316,9,FALSE)</f>
        <v>0</v>
      </c>
      <c r="G286" s="30">
        <f t="shared" si="83"/>
        <v>0.85</v>
      </c>
      <c r="H286">
        <f t="shared" si="84"/>
        <v>0</v>
      </c>
      <c r="I286">
        <f t="shared" si="76"/>
        <v>0</v>
      </c>
      <c r="J286">
        <f t="shared" si="77"/>
        <v>0</v>
      </c>
      <c r="K286">
        <f t="shared" si="78"/>
        <v>0</v>
      </c>
      <c r="L286">
        <f t="shared" si="85"/>
        <v>0</v>
      </c>
      <c r="M286">
        <f t="shared" si="79"/>
        <v>0</v>
      </c>
      <c r="N286" s="29">
        <f t="shared" si="86"/>
        <v>0</v>
      </c>
      <c r="O286" s="29">
        <f t="shared" si="80"/>
        <v>0</v>
      </c>
      <c r="P286" s="29">
        <f t="shared" si="87"/>
        <v>0</v>
      </c>
      <c r="Q286">
        <f t="shared" si="88"/>
        <v>0</v>
      </c>
      <c r="R286" s="29">
        <f t="shared" si="89"/>
        <v>0</v>
      </c>
      <c r="S286" s="29">
        <f t="shared" si="81"/>
        <v>0</v>
      </c>
      <c r="T286" s="29">
        <f t="shared" si="90"/>
        <v>0</v>
      </c>
      <c r="U286">
        <f t="shared" si="91"/>
        <v>0</v>
      </c>
      <c r="V286" s="29">
        <f t="shared" si="92"/>
        <v>0</v>
      </c>
      <c r="W286" s="29">
        <f t="shared" si="82"/>
        <v>0</v>
      </c>
      <c r="X286" s="29">
        <f t="shared" si="93"/>
        <v>0</v>
      </c>
      <c r="Y286">
        <f t="shared" si="94"/>
        <v>0</v>
      </c>
    </row>
    <row r="287" spans="1:25" x14ac:dyDescent="0.25">
      <c r="A287" s="4" t="s">
        <v>1202</v>
      </c>
      <c r="B287" s="7" t="s">
        <v>250</v>
      </c>
      <c r="C287" s="2" t="s">
        <v>1203</v>
      </c>
      <c r="D287">
        <f>VLOOKUP(B287,'Model allocations'!$A$1:$L$316,4,FALSE)</f>
        <v>0</v>
      </c>
      <c r="E287" s="31">
        <f>VLOOKUP(B287,'Initial adjusted formula count'!$A$1:$P$316,12,FALSE)</f>
        <v>7.9608938547486005E-2</v>
      </c>
      <c r="F287">
        <f>VLOOKUP(B287,'Model allocations'!$A$1:$L$316,9,FALSE)</f>
        <v>0</v>
      </c>
      <c r="G287" s="30">
        <f t="shared" si="83"/>
        <v>0.85</v>
      </c>
      <c r="H287">
        <f t="shared" si="84"/>
        <v>0</v>
      </c>
      <c r="I287">
        <f t="shared" si="76"/>
        <v>0</v>
      </c>
      <c r="J287">
        <f t="shared" si="77"/>
        <v>0</v>
      </c>
      <c r="K287">
        <f t="shared" si="78"/>
        <v>0</v>
      </c>
      <c r="L287">
        <f t="shared" si="85"/>
        <v>0</v>
      </c>
      <c r="M287">
        <f t="shared" si="79"/>
        <v>0</v>
      </c>
      <c r="N287" s="29">
        <f t="shared" si="86"/>
        <v>0</v>
      </c>
      <c r="O287" s="29">
        <f t="shared" si="80"/>
        <v>0</v>
      </c>
      <c r="P287" s="29">
        <f t="shared" si="87"/>
        <v>0</v>
      </c>
      <c r="Q287">
        <f t="shared" si="88"/>
        <v>0</v>
      </c>
      <c r="R287" s="29">
        <f t="shared" si="89"/>
        <v>0</v>
      </c>
      <c r="S287" s="29">
        <f t="shared" si="81"/>
        <v>0</v>
      </c>
      <c r="T287" s="29">
        <f t="shared" si="90"/>
        <v>0</v>
      </c>
      <c r="U287">
        <f t="shared" si="91"/>
        <v>0</v>
      </c>
      <c r="V287" s="29">
        <f t="shared" si="92"/>
        <v>0</v>
      </c>
      <c r="W287" s="29">
        <f t="shared" si="82"/>
        <v>0</v>
      </c>
      <c r="X287" s="29">
        <f t="shared" si="93"/>
        <v>0</v>
      </c>
      <c r="Y287">
        <f t="shared" si="94"/>
        <v>0</v>
      </c>
    </row>
    <row r="288" spans="1:25" x14ac:dyDescent="0.25">
      <c r="A288" s="4" t="s">
        <v>1204</v>
      </c>
      <c r="B288" s="7" t="s">
        <v>613</v>
      </c>
      <c r="C288" s="2" t="s">
        <v>1205</v>
      </c>
      <c r="D288">
        <f>VLOOKUP(B288,'Model allocations'!$A$1:$L$316,4,FALSE)</f>
        <v>22442.130442566453</v>
      </c>
      <c r="E288" s="31">
        <f>VLOOKUP(B288,'Initial adjusted formula count'!$A$1:$P$316,12,FALSE)</f>
        <v>0.158</v>
      </c>
      <c r="F288">
        <f>VLOOKUP(B288,'Model allocations'!$A$1:$L$316,9,FALSE)</f>
        <v>20197.917398309808</v>
      </c>
      <c r="G288" s="30">
        <f t="shared" si="83"/>
        <v>0.9</v>
      </c>
      <c r="H288">
        <f t="shared" si="84"/>
        <v>20197.917398309808</v>
      </c>
      <c r="I288">
        <f t="shared" si="76"/>
        <v>0</v>
      </c>
      <c r="J288">
        <f t="shared" si="77"/>
        <v>20197.917398309808</v>
      </c>
      <c r="K288">
        <f t="shared" si="78"/>
        <v>20175.864263748706</v>
      </c>
      <c r="L288">
        <f t="shared" si="85"/>
        <v>20175.864263748706</v>
      </c>
      <c r="M288">
        <f t="shared" si="79"/>
        <v>20197.917398309808</v>
      </c>
      <c r="N288" s="29">
        <f t="shared" si="86"/>
        <v>0</v>
      </c>
      <c r="O288" s="29">
        <f t="shared" si="80"/>
        <v>0</v>
      </c>
      <c r="P288" s="29">
        <f t="shared" si="87"/>
        <v>20197.917398309808</v>
      </c>
      <c r="Q288">
        <f t="shared" si="88"/>
        <v>0</v>
      </c>
      <c r="R288" s="29">
        <f t="shared" si="89"/>
        <v>0</v>
      </c>
      <c r="S288" s="29">
        <f t="shared" si="81"/>
        <v>0</v>
      </c>
      <c r="T288" s="29">
        <f t="shared" si="90"/>
        <v>20197.917398309808</v>
      </c>
      <c r="U288">
        <f t="shared" si="91"/>
        <v>0</v>
      </c>
      <c r="V288" s="29">
        <f t="shared" si="92"/>
        <v>0</v>
      </c>
      <c r="W288" s="29">
        <f t="shared" si="82"/>
        <v>0</v>
      </c>
      <c r="X288" s="29">
        <f t="shared" si="93"/>
        <v>20197.917398309808</v>
      </c>
      <c r="Y288">
        <f t="shared" si="94"/>
        <v>0</v>
      </c>
    </row>
    <row r="289" spans="1:25" x14ac:dyDescent="0.25">
      <c r="A289" s="4" t="s">
        <v>1206</v>
      </c>
      <c r="B289" s="7" t="s">
        <v>615</v>
      </c>
      <c r="C289" s="2" t="s">
        <v>1207</v>
      </c>
      <c r="D289">
        <f>VLOOKUP(B289,'Model allocations'!$A$1:$L$316,4,FALSE)</f>
        <v>71610.798048552926</v>
      </c>
      <c r="E289" s="31">
        <f>VLOOKUP(B289,'Initial adjusted formula count'!$A$1:$P$316,12,FALSE)</f>
        <v>0.176558603491272</v>
      </c>
      <c r="F289">
        <f>VLOOKUP(B289,'Model allocations'!$A$1:$L$316,9,FALSE)</f>
        <v>84043.09695014813</v>
      </c>
      <c r="G289" s="30">
        <f t="shared" si="83"/>
        <v>0.9</v>
      </c>
      <c r="H289">
        <f t="shared" si="84"/>
        <v>64449.718243697636</v>
      </c>
      <c r="I289">
        <f t="shared" si="76"/>
        <v>0</v>
      </c>
      <c r="J289">
        <f t="shared" si="77"/>
        <v>84043.09695014813</v>
      </c>
      <c r="K289">
        <f t="shared" si="78"/>
        <v>83951.334334754516</v>
      </c>
      <c r="L289">
        <f t="shared" si="85"/>
        <v>83951.334334754516</v>
      </c>
      <c r="M289">
        <f t="shared" si="79"/>
        <v>0</v>
      </c>
      <c r="N289" s="29">
        <f t="shared" si="86"/>
        <v>83951.334334754516</v>
      </c>
      <c r="O289" s="29">
        <f t="shared" si="80"/>
        <v>83928.870386187307</v>
      </c>
      <c r="P289" s="29">
        <f t="shared" si="87"/>
        <v>83928.870386187307</v>
      </c>
      <c r="Q289">
        <f t="shared" si="88"/>
        <v>0</v>
      </c>
      <c r="R289" s="29">
        <f t="shared" si="89"/>
        <v>83928.870386187307</v>
      </c>
      <c r="S289" s="29">
        <f t="shared" si="81"/>
        <v>83926.321596322392</v>
      </c>
      <c r="T289" s="29">
        <f t="shared" si="90"/>
        <v>83926.321596322392</v>
      </c>
      <c r="U289">
        <f t="shared" si="91"/>
        <v>0</v>
      </c>
      <c r="V289" s="29">
        <f t="shared" si="92"/>
        <v>83926.321596322392</v>
      </c>
      <c r="W289" s="29">
        <f t="shared" si="82"/>
        <v>83926.321596322392</v>
      </c>
      <c r="X289" s="29">
        <f t="shared" si="93"/>
        <v>83926.321596322392</v>
      </c>
      <c r="Y289">
        <f t="shared" si="94"/>
        <v>0</v>
      </c>
    </row>
    <row r="290" spans="1:25" x14ac:dyDescent="0.25">
      <c r="A290" s="4" t="s">
        <v>1208</v>
      </c>
      <c r="B290" s="7" t="s">
        <v>617</v>
      </c>
      <c r="C290" s="2" t="s">
        <v>1209</v>
      </c>
      <c r="D290">
        <f>VLOOKUP(B290,'Model allocations'!$A$1:$L$316,4,FALSE)</f>
        <v>0</v>
      </c>
      <c r="E290" s="31">
        <f>VLOOKUP(B290,'Initial adjusted formula count'!$A$1:$P$316,12,FALSE)</f>
        <v>5.4945054945054903E-2</v>
      </c>
      <c r="F290">
        <f>VLOOKUP(B290,'Model allocations'!$A$1:$L$316,9,FALSE)</f>
        <v>0</v>
      </c>
      <c r="G290" s="30">
        <f t="shared" si="83"/>
        <v>0.85</v>
      </c>
      <c r="H290">
        <f t="shared" si="84"/>
        <v>0</v>
      </c>
      <c r="I290">
        <f t="shared" si="76"/>
        <v>0</v>
      </c>
      <c r="J290">
        <f t="shared" si="77"/>
        <v>0</v>
      </c>
      <c r="K290">
        <f t="shared" si="78"/>
        <v>0</v>
      </c>
      <c r="L290">
        <f t="shared" si="85"/>
        <v>0</v>
      </c>
      <c r="M290">
        <f t="shared" si="79"/>
        <v>0</v>
      </c>
      <c r="N290" s="29">
        <f t="shared" si="86"/>
        <v>0</v>
      </c>
      <c r="O290" s="29">
        <f t="shared" si="80"/>
        <v>0</v>
      </c>
      <c r="P290" s="29">
        <f t="shared" si="87"/>
        <v>0</v>
      </c>
      <c r="Q290">
        <f t="shared" si="88"/>
        <v>0</v>
      </c>
      <c r="R290" s="29">
        <f t="shared" si="89"/>
        <v>0</v>
      </c>
      <c r="S290" s="29">
        <f t="shared" si="81"/>
        <v>0</v>
      </c>
      <c r="T290" s="29">
        <f t="shared" si="90"/>
        <v>0</v>
      </c>
      <c r="U290">
        <f t="shared" si="91"/>
        <v>0</v>
      </c>
      <c r="V290" s="29">
        <f t="shared" si="92"/>
        <v>0</v>
      </c>
      <c r="W290" s="29">
        <f t="shared" si="82"/>
        <v>0</v>
      </c>
      <c r="X290" s="29">
        <f t="shared" si="93"/>
        <v>0</v>
      </c>
      <c r="Y290">
        <f t="shared" si="94"/>
        <v>0</v>
      </c>
    </row>
    <row r="291" spans="1:25" x14ac:dyDescent="0.25">
      <c r="A291" s="4" t="s">
        <v>1210</v>
      </c>
      <c r="B291" s="7" t="s">
        <v>619</v>
      </c>
      <c r="C291" s="2" t="s">
        <v>1211</v>
      </c>
      <c r="D291">
        <f>VLOOKUP(B291,'Model allocations'!$A$1:$L$316,4,FALSE)</f>
        <v>248755.70070295394</v>
      </c>
      <c r="E291" s="31">
        <f>VLOOKUP(B291,'Initial adjusted formula count'!$A$1:$P$316,12,FALSE)</f>
        <v>0.134801016088061</v>
      </c>
      <c r="F291">
        <f>VLOOKUP(B291,'Model allocations'!$A$1:$L$316,9,FALSE)</f>
        <v>211696.03202746488</v>
      </c>
      <c r="G291" s="30">
        <f t="shared" si="83"/>
        <v>0.85</v>
      </c>
      <c r="H291">
        <f t="shared" si="84"/>
        <v>211442.34559751084</v>
      </c>
      <c r="I291">
        <f t="shared" si="76"/>
        <v>0</v>
      </c>
      <c r="J291">
        <f t="shared" si="77"/>
        <v>211696.03202746488</v>
      </c>
      <c r="K291">
        <f t="shared" si="78"/>
        <v>211464.89131190063</v>
      </c>
      <c r="L291">
        <f t="shared" si="85"/>
        <v>211464.89131190063</v>
      </c>
      <c r="M291">
        <f t="shared" si="79"/>
        <v>0</v>
      </c>
      <c r="N291" s="29">
        <f t="shared" si="86"/>
        <v>211464.89131190063</v>
      </c>
      <c r="O291" s="29">
        <f t="shared" si="80"/>
        <v>211408.306905234</v>
      </c>
      <c r="P291" s="29">
        <f t="shared" si="87"/>
        <v>211408.306905234</v>
      </c>
      <c r="Q291">
        <f t="shared" si="88"/>
        <v>211442.34559751084</v>
      </c>
      <c r="R291" s="29">
        <f t="shared" si="89"/>
        <v>0</v>
      </c>
      <c r="S291" s="29">
        <f t="shared" si="81"/>
        <v>0</v>
      </c>
      <c r="T291" s="29">
        <f t="shared" si="90"/>
        <v>211442.34559751084</v>
      </c>
      <c r="U291">
        <f t="shared" si="91"/>
        <v>0</v>
      </c>
      <c r="V291" s="29">
        <f t="shared" si="92"/>
        <v>0</v>
      </c>
      <c r="W291" s="29">
        <f t="shared" si="82"/>
        <v>0</v>
      </c>
      <c r="X291" s="29">
        <f t="shared" si="93"/>
        <v>211442.34559751084</v>
      </c>
      <c r="Y291">
        <f t="shared" si="94"/>
        <v>0</v>
      </c>
    </row>
    <row r="292" spans="1:25" x14ac:dyDescent="0.25">
      <c r="A292" s="4" t="s">
        <v>1212</v>
      </c>
      <c r="B292" s="7" t="s">
        <v>620</v>
      </c>
      <c r="C292" s="2" t="s">
        <v>1213</v>
      </c>
      <c r="D292">
        <f>VLOOKUP(B292,'Model allocations'!$A$1:$L$316,4,FALSE)</f>
        <v>175110.92088957946</v>
      </c>
      <c r="E292" s="31">
        <f>VLOOKUP(B292,'Initial adjusted formula count'!$A$1:$P$316,12,FALSE)</f>
        <v>0.25252234073219898</v>
      </c>
      <c r="F292">
        <f>VLOOKUP(B292,'Model allocations'!$A$1:$L$316,9,FALSE)</f>
        <v>207971.0534698581</v>
      </c>
      <c r="G292" s="30">
        <f t="shared" si="83"/>
        <v>0.9</v>
      </c>
      <c r="H292">
        <f t="shared" si="84"/>
        <v>157599.82880062153</v>
      </c>
      <c r="I292">
        <f t="shared" si="76"/>
        <v>0</v>
      </c>
      <c r="J292">
        <f t="shared" si="77"/>
        <v>207971.0534698581</v>
      </c>
      <c r="K292">
        <f t="shared" si="78"/>
        <v>207743.97987922304</v>
      </c>
      <c r="L292">
        <f t="shared" si="85"/>
        <v>207743.97987922304</v>
      </c>
      <c r="M292">
        <f t="shared" si="79"/>
        <v>0</v>
      </c>
      <c r="N292" s="29">
        <f t="shared" si="86"/>
        <v>207743.97987922304</v>
      </c>
      <c r="O292" s="29">
        <f t="shared" si="80"/>
        <v>207688.39112514144</v>
      </c>
      <c r="P292" s="29">
        <f t="shared" si="87"/>
        <v>207688.39112514144</v>
      </c>
      <c r="Q292">
        <f t="shared" si="88"/>
        <v>0</v>
      </c>
      <c r="R292" s="29">
        <f t="shared" si="89"/>
        <v>207688.39112514144</v>
      </c>
      <c r="S292" s="29">
        <f t="shared" si="81"/>
        <v>207682.08395022145</v>
      </c>
      <c r="T292" s="29">
        <f t="shared" si="90"/>
        <v>207682.08395022145</v>
      </c>
      <c r="U292">
        <f t="shared" si="91"/>
        <v>0</v>
      </c>
      <c r="V292" s="29">
        <f t="shared" si="92"/>
        <v>207682.08395022145</v>
      </c>
      <c r="W292" s="29">
        <f t="shared" si="82"/>
        <v>207682.08395022145</v>
      </c>
      <c r="X292" s="29">
        <f t="shared" si="93"/>
        <v>207682.08395022145</v>
      </c>
      <c r="Y292">
        <f t="shared" si="94"/>
        <v>0</v>
      </c>
    </row>
    <row r="293" spans="1:25" x14ac:dyDescent="0.25">
      <c r="A293" s="4" t="s">
        <v>1214</v>
      </c>
      <c r="B293" s="7" t="s">
        <v>622</v>
      </c>
      <c r="C293" s="2" t="s">
        <v>1215</v>
      </c>
      <c r="D293">
        <f>VLOOKUP(B293,'Model allocations'!$A$1:$L$316,4,FALSE)</f>
        <v>47226.176261275112</v>
      </c>
      <c r="E293" s="31">
        <f>VLOOKUP(B293,'Initial adjusted formula count'!$A$1:$P$316,12,FALSE)</f>
        <v>0.19351100811124</v>
      </c>
      <c r="F293">
        <f>VLOOKUP(B293,'Model allocations'!$A$1:$L$316,9,FALSE)</f>
        <v>42554.553983406826</v>
      </c>
      <c r="G293" s="30">
        <f t="shared" si="83"/>
        <v>0.9</v>
      </c>
      <c r="H293">
        <f t="shared" si="84"/>
        <v>42503.558635147601</v>
      </c>
      <c r="I293">
        <f t="shared" si="76"/>
        <v>0</v>
      </c>
      <c r="J293">
        <f t="shared" si="77"/>
        <v>42554.553983406826</v>
      </c>
      <c r="K293">
        <f t="shared" si="78"/>
        <v>42508.090712631085</v>
      </c>
      <c r="L293">
        <f t="shared" si="85"/>
        <v>42508.090712631085</v>
      </c>
      <c r="M293">
        <f t="shared" si="79"/>
        <v>0</v>
      </c>
      <c r="N293" s="29">
        <f t="shared" si="86"/>
        <v>42508.090712631085</v>
      </c>
      <c r="O293" s="29">
        <f t="shared" si="80"/>
        <v>42496.716270866396</v>
      </c>
      <c r="P293" s="29">
        <f t="shared" si="87"/>
        <v>42496.716270866396</v>
      </c>
      <c r="Q293">
        <f t="shared" si="88"/>
        <v>42503.558635147601</v>
      </c>
      <c r="R293" s="29">
        <f t="shared" si="89"/>
        <v>0</v>
      </c>
      <c r="S293" s="29">
        <f t="shared" si="81"/>
        <v>0</v>
      </c>
      <c r="T293" s="29">
        <f t="shared" si="90"/>
        <v>42503.558635147601</v>
      </c>
      <c r="U293">
        <f t="shared" si="91"/>
        <v>0</v>
      </c>
      <c r="V293" s="29">
        <f t="shared" si="92"/>
        <v>0</v>
      </c>
      <c r="W293" s="29">
        <f t="shared" si="82"/>
        <v>0</v>
      </c>
      <c r="X293" s="29">
        <f t="shared" si="93"/>
        <v>42503.558635147601</v>
      </c>
      <c r="Y293">
        <f t="shared" si="94"/>
        <v>0</v>
      </c>
    </row>
    <row r="294" spans="1:25" x14ac:dyDescent="0.25">
      <c r="A294" s="4" t="s">
        <v>1216</v>
      </c>
      <c r="B294" s="7" t="s">
        <v>252</v>
      </c>
      <c r="C294" s="2" t="s">
        <v>1217</v>
      </c>
      <c r="D294">
        <f>VLOOKUP(B294,'Model allocations'!$A$1:$L$316,4,FALSE)</f>
        <v>0</v>
      </c>
      <c r="E294" s="31">
        <f>VLOOKUP(B294,'Initial adjusted formula count'!$A$1:$P$316,12,FALSE)</f>
        <v>7.3478144274604404E-2</v>
      </c>
      <c r="F294">
        <f>VLOOKUP(B294,'Model allocations'!$A$1:$L$316,9,FALSE)</f>
        <v>0</v>
      </c>
      <c r="G294" s="30">
        <f t="shared" si="83"/>
        <v>0.85</v>
      </c>
      <c r="H294">
        <f t="shared" si="84"/>
        <v>0</v>
      </c>
      <c r="I294">
        <f t="shared" si="76"/>
        <v>0</v>
      </c>
      <c r="J294">
        <f t="shared" si="77"/>
        <v>0</v>
      </c>
      <c r="K294">
        <f t="shared" si="78"/>
        <v>0</v>
      </c>
      <c r="L294">
        <f t="shared" si="85"/>
        <v>0</v>
      </c>
      <c r="M294">
        <f t="shared" si="79"/>
        <v>0</v>
      </c>
      <c r="N294" s="29">
        <f t="shared" si="86"/>
        <v>0</v>
      </c>
      <c r="O294" s="29">
        <f t="shared" si="80"/>
        <v>0</v>
      </c>
      <c r="P294" s="29">
        <f t="shared" si="87"/>
        <v>0</v>
      </c>
      <c r="Q294">
        <f t="shared" si="88"/>
        <v>0</v>
      </c>
      <c r="R294" s="29">
        <f t="shared" si="89"/>
        <v>0</v>
      </c>
      <c r="S294" s="29">
        <f t="shared" si="81"/>
        <v>0</v>
      </c>
      <c r="T294" s="29">
        <f t="shared" si="90"/>
        <v>0</v>
      </c>
      <c r="U294">
        <f t="shared" si="91"/>
        <v>0</v>
      </c>
      <c r="V294" s="29">
        <f t="shared" si="92"/>
        <v>0</v>
      </c>
      <c r="W294" s="29">
        <f t="shared" si="82"/>
        <v>0</v>
      </c>
      <c r="X294" s="29">
        <f t="shared" si="93"/>
        <v>0</v>
      </c>
      <c r="Y294">
        <f t="shared" si="94"/>
        <v>0</v>
      </c>
    </row>
    <row r="295" spans="1:25" x14ac:dyDescent="0.25">
      <c r="A295" s="4" t="s">
        <v>1218</v>
      </c>
      <c r="B295" s="7" t="s">
        <v>624</v>
      </c>
      <c r="C295" s="2" t="s">
        <v>1219</v>
      </c>
      <c r="D295">
        <f>VLOOKUP(B295,'Model allocations'!$A$1:$L$316,4,FALSE)</f>
        <v>0</v>
      </c>
      <c r="E295" s="31">
        <f>VLOOKUP(B295,'Initial adjusted formula count'!$A$1:$P$316,12,FALSE)</f>
        <v>7.5757575757575801E-2</v>
      </c>
      <c r="F295">
        <f>VLOOKUP(B295,'Model allocations'!$A$1:$L$316,9,FALSE)</f>
        <v>0</v>
      </c>
      <c r="G295" s="30">
        <f t="shared" si="83"/>
        <v>0.85</v>
      </c>
      <c r="H295">
        <f t="shared" si="84"/>
        <v>0</v>
      </c>
      <c r="I295">
        <f t="shared" si="76"/>
        <v>0</v>
      </c>
      <c r="J295">
        <f t="shared" si="77"/>
        <v>0</v>
      </c>
      <c r="K295">
        <f t="shared" si="78"/>
        <v>0</v>
      </c>
      <c r="L295">
        <f t="shared" si="85"/>
        <v>0</v>
      </c>
      <c r="M295">
        <f t="shared" si="79"/>
        <v>0</v>
      </c>
      <c r="N295" s="29">
        <f t="shared" si="86"/>
        <v>0</v>
      </c>
      <c r="O295" s="29">
        <f t="shared" si="80"/>
        <v>0</v>
      </c>
      <c r="P295" s="29">
        <f t="shared" si="87"/>
        <v>0</v>
      </c>
      <c r="Q295">
        <f t="shared" si="88"/>
        <v>0</v>
      </c>
      <c r="R295" s="29">
        <f t="shared" si="89"/>
        <v>0</v>
      </c>
      <c r="S295" s="29">
        <f t="shared" si="81"/>
        <v>0</v>
      </c>
      <c r="T295" s="29">
        <f t="shared" si="90"/>
        <v>0</v>
      </c>
      <c r="U295">
        <f t="shared" si="91"/>
        <v>0</v>
      </c>
      <c r="V295" s="29">
        <f t="shared" si="92"/>
        <v>0</v>
      </c>
      <c r="W295" s="29">
        <f t="shared" si="82"/>
        <v>0</v>
      </c>
      <c r="X295" s="29">
        <f t="shared" si="93"/>
        <v>0</v>
      </c>
      <c r="Y295">
        <f t="shared" si="94"/>
        <v>0</v>
      </c>
    </row>
    <row r="296" spans="1:25" x14ac:dyDescent="0.25">
      <c r="A296" s="4" t="s">
        <v>1220</v>
      </c>
      <c r="B296" s="7" t="s">
        <v>626</v>
      </c>
      <c r="C296" s="2" t="s">
        <v>1221</v>
      </c>
      <c r="D296">
        <f>VLOOKUP(B296,'Model allocations'!$A$1:$L$316,4,FALSE)</f>
        <v>7949.7449137456952</v>
      </c>
      <c r="E296" s="31">
        <f>VLOOKUP(B296,'Initial adjusted formula count'!$A$1:$P$316,12,FALSE)</f>
        <v>0.13803680981595101</v>
      </c>
      <c r="F296">
        <f>VLOOKUP(B296,'Model allocations'!$A$1:$L$316,9,FALSE)</f>
        <v>6757.2831766838408</v>
      </c>
      <c r="G296" s="30">
        <f t="shared" si="83"/>
        <v>0.85</v>
      </c>
      <c r="H296">
        <f t="shared" si="84"/>
        <v>6757.2831766838408</v>
      </c>
      <c r="I296">
        <f t="shared" si="76"/>
        <v>0</v>
      </c>
      <c r="J296">
        <f t="shared" si="77"/>
        <v>6757.2831766838408</v>
      </c>
      <c r="K296">
        <f t="shared" si="78"/>
        <v>6749.905224183879</v>
      </c>
      <c r="L296">
        <f t="shared" si="85"/>
        <v>6749.905224183879</v>
      </c>
      <c r="M296">
        <f t="shared" si="79"/>
        <v>6757.2831766838408</v>
      </c>
      <c r="N296" s="29">
        <f t="shared" si="86"/>
        <v>0</v>
      </c>
      <c r="O296" s="29">
        <f t="shared" si="80"/>
        <v>0</v>
      </c>
      <c r="P296" s="29">
        <f t="shared" si="87"/>
        <v>6757.2831766838408</v>
      </c>
      <c r="Q296">
        <f t="shared" si="88"/>
        <v>0</v>
      </c>
      <c r="R296" s="29">
        <f t="shared" si="89"/>
        <v>0</v>
      </c>
      <c r="S296" s="29">
        <f t="shared" si="81"/>
        <v>0</v>
      </c>
      <c r="T296" s="29">
        <f t="shared" si="90"/>
        <v>6757.2831766838408</v>
      </c>
      <c r="U296">
        <f t="shared" si="91"/>
        <v>0</v>
      </c>
      <c r="V296" s="29">
        <f t="shared" si="92"/>
        <v>0</v>
      </c>
      <c r="W296" s="29">
        <f t="shared" si="82"/>
        <v>0</v>
      </c>
      <c r="X296" s="29">
        <f t="shared" si="93"/>
        <v>6757.2831766838408</v>
      </c>
      <c r="Y296">
        <f t="shared" si="94"/>
        <v>0</v>
      </c>
    </row>
    <row r="297" spans="1:25" x14ac:dyDescent="0.25">
      <c r="A297" s="4" t="s">
        <v>1222</v>
      </c>
      <c r="B297" s="7" t="s">
        <v>628</v>
      </c>
      <c r="C297" s="2" t="s">
        <v>1223</v>
      </c>
      <c r="D297">
        <f>VLOOKUP(B297,'Model allocations'!$A$1:$L$316,4,FALSE)</f>
        <v>19638.60795023321</v>
      </c>
      <c r="E297" s="31">
        <f>VLOOKUP(B297,'Initial adjusted formula count'!$A$1:$P$316,12,FALSE)</f>
        <v>0.22539682539682501</v>
      </c>
      <c r="F297">
        <f>VLOOKUP(B297,'Model allocations'!$A$1:$L$316,9,FALSE)</f>
        <v>17695.953141614718</v>
      </c>
      <c r="G297" s="30">
        <f t="shared" si="83"/>
        <v>0.9</v>
      </c>
      <c r="H297">
        <f t="shared" si="84"/>
        <v>17674.74715520989</v>
      </c>
      <c r="I297">
        <f t="shared" si="76"/>
        <v>0</v>
      </c>
      <c r="J297">
        <f t="shared" si="77"/>
        <v>17695.953141614718</v>
      </c>
      <c r="K297">
        <f t="shared" si="78"/>
        <v>17676.631781490152</v>
      </c>
      <c r="L297">
        <f t="shared" si="85"/>
        <v>17676.631781490152</v>
      </c>
      <c r="M297">
        <f t="shared" si="79"/>
        <v>0</v>
      </c>
      <c r="N297" s="29">
        <f t="shared" si="86"/>
        <v>17676.631781490152</v>
      </c>
      <c r="O297" s="29">
        <f t="shared" si="80"/>
        <v>17671.901815607805</v>
      </c>
      <c r="P297" s="29">
        <f t="shared" si="87"/>
        <v>17671.901815607805</v>
      </c>
      <c r="Q297">
        <f t="shared" si="88"/>
        <v>17674.74715520989</v>
      </c>
      <c r="R297" s="29">
        <f t="shared" si="89"/>
        <v>0</v>
      </c>
      <c r="S297" s="29">
        <f t="shared" si="81"/>
        <v>0</v>
      </c>
      <c r="T297" s="29">
        <f t="shared" si="90"/>
        <v>17674.74715520989</v>
      </c>
      <c r="U297">
        <f t="shared" si="91"/>
        <v>0</v>
      </c>
      <c r="V297" s="29">
        <f t="shared" si="92"/>
        <v>0</v>
      </c>
      <c r="W297" s="29">
        <f t="shared" si="82"/>
        <v>0</v>
      </c>
      <c r="X297" s="29">
        <f t="shared" si="93"/>
        <v>17674.74715520989</v>
      </c>
      <c r="Y297">
        <f t="shared" si="94"/>
        <v>0</v>
      </c>
    </row>
    <row r="298" spans="1:25" x14ac:dyDescent="0.25">
      <c r="A298" s="4" t="s">
        <v>53</v>
      </c>
      <c r="B298" s="7" t="s">
        <v>64</v>
      </c>
      <c r="C298" s="2" t="s">
        <v>1224</v>
      </c>
      <c r="D298">
        <f>VLOOKUP(B298,'Model allocations'!$A$1:$L$316,4,FALSE)</f>
        <v>0</v>
      </c>
      <c r="E298" s="31">
        <f>VLOOKUP(B298,'Initial adjusted formula count'!$A$1:$P$316,12,FALSE)</f>
        <v>0.123566627364634</v>
      </c>
      <c r="F298">
        <f>VLOOKUP(B298,'Model allocations'!$A$1:$L$316,9,FALSE)</f>
        <v>0</v>
      </c>
      <c r="G298" s="30">
        <f t="shared" si="83"/>
        <v>0.85</v>
      </c>
      <c r="H298">
        <f t="shared" si="84"/>
        <v>0</v>
      </c>
      <c r="I298">
        <f t="shared" si="76"/>
        <v>0</v>
      </c>
      <c r="J298">
        <f t="shared" si="77"/>
        <v>0</v>
      </c>
      <c r="K298">
        <f t="shared" si="78"/>
        <v>0</v>
      </c>
      <c r="L298">
        <f t="shared" si="85"/>
        <v>0</v>
      </c>
      <c r="M298">
        <f t="shared" si="79"/>
        <v>0</v>
      </c>
      <c r="N298" s="29">
        <f t="shared" si="86"/>
        <v>0</v>
      </c>
      <c r="O298" s="29">
        <f t="shared" si="80"/>
        <v>0</v>
      </c>
      <c r="P298" s="29">
        <f t="shared" si="87"/>
        <v>0</v>
      </c>
      <c r="Q298">
        <f t="shared" si="88"/>
        <v>0</v>
      </c>
      <c r="R298" s="29">
        <f t="shared" si="89"/>
        <v>0</v>
      </c>
      <c r="S298" s="29">
        <f t="shared" si="81"/>
        <v>0</v>
      </c>
      <c r="T298" s="29">
        <f t="shared" si="90"/>
        <v>0</v>
      </c>
      <c r="U298">
        <f t="shared" si="91"/>
        <v>0</v>
      </c>
      <c r="V298" s="29">
        <f t="shared" si="92"/>
        <v>0</v>
      </c>
      <c r="W298" s="29">
        <f t="shared" si="82"/>
        <v>0</v>
      </c>
      <c r="X298" s="29">
        <f t="shared" si="93"/>
        <v>0</v>
      </c>
      <c r="Y298">
        <f t="shared" si="94"/>
        <v>0</v>
      </c>
    </row>
    <row r="299" spans="1:25" x14ac:dyDescent="0.25">
      <c r="A299" s="4" t="s">
        <v>1225</v>
      </c>
      <c r="B299" s="7" t="s">
        <v>305</v>
      </c>
      <c r="C299" s="2" t="s">
        <v>1226</v>
      </c>
      <c r="D299">
        <f>VLOOKUP(B299,'Model allocations'!$A$1:$L$316,4,FALSE)</f>
        <v>0</v>
      </c>
      <c r="E299" s="31">
        <f>VLOOKUP(B299,'Initial adjusted formula count'!$A$1:$P$316,12,FALSE)</f>
        <v>8.4472049689440998E-2</v>
      </c>
      <c r="F299">
        <f>VLOOKUP(B299,'Model allocations'!$A$1:$L$316,9,FALSE)</f>
        <v>0</v>
      </c>
      <c r="G299" s="30">
        <f t="shared" si="83"/>
        <v>0.85</v>
      </c>
      <c r="H299">
        <f t="shared" si="84"/>
        <v>0</v>
      </c>
      <c r="I299">
        <f t="shared" si="76"/>
        <v>0</v>
      </c>
      <c r="J299">
        <f t="shared" si="77"/>
        <v>0</v>
      </c>
      <c r="K299">
        <f t="shared" si="78"/>
        <v>0</v>
      </c>
      <c r="L299">
        <f t="shared" si="85"/>
        <v>0</v>
      </c>
      <c r="M299">
        <f t="shared" si="79"/>
        <v>0</v>
      </c>
      <c r="N299" s="29">
        <f t="shared" si="86"/>
        <v>0</v>
      </c>
      <c r="O299" s="29">
        <f t="shared" si="80"/>
        <v>0</v>
      </c>
      <c r="P299" s="29">
        <f t="shared" si="87"/>
        <v>0</v>
      </c>
      <c r="Q299">
        <f t="shared" si="88"/>
        <v>0</v>
      </c>
      <c r="R299" s="29">
        <f t="shared" si="89"/>
        <v>0</v>
      </c>
      <c r="S299" s="29">
        <f t="shared" si="81"/>
        <v>0</v>
      </c>
      <c r="T299" s="29">
        <f t="shared" si="90"/>
        <v>0</v>
      </c>
      <c r="U299">
        <f t="shared" si="91"/>
        <v>0</v>
      </c>
      <c r="V299" s="29">
        <f t="shared" si="92"/>
        <v>0</v>
      </c>
      <c r="W299" s="29">
        <f t="shared" si="82"/>
        <v>0</v>
      </c>
      <c r="X299" s="29">
        <f t="shared" si="93"/>
        <v>0</v>
      </c>
      <c r="Y299">
        <f t="shared" si="94"/>
        <v>0</v>
      </c>
    </row>
    <row r="300" spans="1:25" x14ac:dyDescent="0.25">
      <c r="A300" s="4" t="s">
        <v>1227</v>
      </c>
      <c r="B300" s="7" t="s">
        <v>254</v>
      </c>
      <c r="C300" s="2" t="s">
        <v>1228</v>
      </c>
      <c r="D300">
        <f>VLOOKUP(B300,'Model allocations'!$A$1:$L$316,4,FALSE)</f>
        <v>0</v>
      </c>
      <c r="E300" s="31">
        <f>VLOOKUP(B300,'Initial adjusted formula count'!$A$1:$P$316,12,FALSE)</f>
        <v>0.12175999999999999</v>
      </c>
      <c r="F300">
        <f>VLOOKUP(B300,'Model allocations'!$A$1:$L$316,9,FALSE)</f>
        <v>0</v>
      </c>
      <c r="G300" s="30">
        <f t="shared" si="83"/>
        <v>0.85</v>
      </c>
      <c r="H300">
        <f t="shared" si="84"/>
        <v>0</v>
      </c>
      <c r="I300">
        <f t="shared" si="76"/>
        <v>0</v>
      </c>
      <c r="J300">
        <f t="shared" si="77"/>
        <v>0</v>
      </c>
      <c r="K300">
        <f t="shared" si="78"/>
        <v>0</v>
      </c>
      <c r="L300">
        <f t="shared" si="85"/>
        <v>0</v>
      </c>
      <c r="M300">
        <f t="shared" si="79"/>
        <v>0</v>
      </c>
      <c r="N300" s="29">
        <f t="shared" si="86"/>
        <v>0</v>
      </c>
      <c r="O300" s="29">
        <f t="shared" si="80"/>
        <v>0</v>
      </c>
      <c r="P300" s="29">
        <f t="shared" si="87"/>
        <v>0</v>
      </c>
      <c r="Q300">
        <f t="shared" si="88"/>
        <v>0</v>
      </c>
      <c r="R300" s="29">
        <f t="shared" si="89"/>
        <v>0</v>
      </c>
      <c r="S300" s="29">
        <f t="shared" si="81"/>
        <v>0</v>
      </c>
      <c r="T300" s="29">
        <f t="shared" si="90"/>
        <v>0</v>
      </c>
      <c r="U300">
        <f t="shared" si="91"/>
        <v>0</v>
      </c>
      <c r="V300" s="29">
        <f t="shared" si="92"/>
        <v>0</v>
      </c>
      <c r="W300" s="29">
        <f t="shared" si="82"/>
        <v>0</v>
      </c>
      <c r="X300" s="29">
        <f t="shared" si="93"/>
        <v>0</v>
      </c>
      <c r="Y300">
        <f t="shared" si="94"/>
        <v>0</v>
      </c>
    </row>
    <row r="301" spans="1:25" x14ac:dyDescent="0.25">
      <c r="A301" s="4" t="s">
        <v>13</v>
      </c>
      <c r="B301" s="7" t="s">
        <v>68</v>
      </c>
      <c r="C301" s="2" t="s">
        <v>1229</v>
      </c>
      <c r="D301">
        <f>VLOOKUP(B301,'Model allocations'!$A$1:$L$316,4,FALSE)</f>
        <v>0</v>
      </c>
      <c r="E301" s="31">
        <f>VLOOKUP(B301,'Initial adjusted formula count'!$A$1:$P$316,12,FALSE)</f>
        <v>6.5912500308918501E-2</v>
      </c>
      <c r="F301">
        <f>VLOOKUP(B301,'Model allocations'!$A$1:$L$316,9,FALSE)</f>
        <v>0</v>
      </c>
      <c r="G301" s="30">
        <f t="shared" si="83"/>
        <v>0.85</v>
      </c>
      <c r="H301">
        <f t="shared" si="84"/>
        <v>0</v>
      </c>
      <c r="I301">
        <f t="shared" si="76"/>
        <v>0</v>
      </c>
      <c r="J301">
        <f t="shared" si="77"/>
        <v>0</v>
      </c>
      <c r="K301">
        <f t="shared" si="78"/>
        <v>0</v>
      </c>
      <c r="L301">
        <f t="shared" si="85"/>
        <v>0</v>
      </c>
      <c r="M301">
        <f t="shared" si="79"/>
        <v>0</v>
      </c>
      <c r="N301" s="29">
        <f t="shared" si="86"/>
        <v>0</v>
      </c>
      <c r="O301" s="29">
        <f t="shared" si="80"/>
        <v>0</v>
      </c>
      <c r="P301" s="29">
        <f t="shared" si="87"/>
        <v>0</v>
      </c>
      <c r="Q301">
        <f t="shared" si="88"/>
        <v>0</v>
      </c>
      <c r="R301" s="29">
        <f t="shared" si="89"/>
        <v>0</v>
      </c>
      <c r="S301" s="29">
        <f t="shared" si="81"/>
        <v>0</v>
      </c>
      <c r="T301" s="29">
        <f t="shared" si="90"/>
        <v>0</v>
      </c>
      <c r="U301">
        <f t="shared" si="91"/>
        <v>0</v>
      </c>
      <c r="V301" s="29">
        <f t="shared" si="92"/>
        <v>0</v>
      </c>
      <c r="W301" s="29">
        <f t="shared" si="82"/>
        <v>0</v>
      </c>
      <c r="X301" s="29">
        <f t="shared" si="93"/>
        <v>0</v>
      </c>
      <c r="Y301">
        <f t="shared" si="94"/>
        <v>0</v>
      </c>
    </row>
    <row r="302" spans="1:25" x14ac:dyDescent="0.25">
      <c r="A302" s="4" t="s">
        <v>1230</v>
      </c>
      <c r="B302" s="7" t="s">
        <v>630</v>
      </c>
      <c r="C302" s="2" t="s">
        <v>1231</v>
      </c>
      <c r="D302">
        <f>VLOOKUP(B302,'Model allocations'!$A$1:$L$316,4,FALSE)</f>
        <v>22677.916323483594</v>
      </c>
      <c r="E302" s="31">
        <f>VLOOKUP(B302,'Initial adjusted formula count'!$A$1:$P$316,12,FALSE)</f>
        <v>0.166320166320166</v>
      </c>
      <c r="F302">
        <f>VLOOKUP(B302,'Model allocations'!$A$1:$L$316,9,FALSE)</f>
        <v>20434.612556388431</v>
      </c>
      <c r="G302" s="30">
        <f t="shared" si="83"/>
        <v>0.9</v>
      </c>
      <c r="H302">
        <f t="shared" si="84"/>
        <v>20410.124691135235</v>
      </c>
      <c r="I302">
        <f t="shared" si="76"/>
        <v>0</v>
      </c>
      <c r="J302">
        <f t="shared" si="77"/>
        <v>20434.612556388431</v>
      </c>
      <c r="K302">
        <f t="shared" si="78"/>
        <v>20412.300985768397</v>
      </c>
      <c r="L302">
        <f t="shared" si="85"/>
        <v>20412.300985768397</v>
      </c>
      <c r="M302">
        <f t="shared" si="79"/>
        <v>0</v>
      </c>
      <c r="N302" s="29">
        <f t="shared" si="86"/>
        <v>20412.300985768397</v>
      </c>
      <c r="O302" s="29">
        <f t="shared" si="80"/>
        <v>20406.839001356639</v>
      </c>
      <c r="P302" s="29">
        <f t="shared" si="87"/>
        <v>20406.839001356639</v>
      </c>
      <c r="Q302">
        <f t="shared" si="88"/>
        <v>20410.124691135235</v>
      </c>
      <c r="R302" s="29">
        <f t="shared" si="89"/>
        <v>0</v>
      </c>
      <c r="S302" s="29">
        <f t="shared" si="81"/>
        <v>0</v>
      </c>
      <c r="T302" s="29">
        <f t="shared" si="90"/>
        <v>20410.124691135235</v>
      </c>
      <c r="U302">
        <f t="shared" si="91"/>
        <v>0</v>
      </c>
      <c r="V302" s="29">
        <f t="shared" si="92"/>
        <v>0</v>
      </c>
      <c r="W302" s="29">
        <f t="shared" si="82"/>
        <v>0</v>
      </c>
      <c r="X302" s="29">
        <f t="shared" si="93"/>
        <v>20410.124691135235</v>
      </c>
      <c r="Y302">
        <f t="shared" si="94"/>
        <v>0</v>
      </c>
    </row>
    <row r="303" spans="1:25" x14ac:dyDescent="0.25">
      <c r="A303" s="4" t="s">
        <v>1232</v>
      </c>
      <c r="B303" s="7" t="s">
        <v>255</v>
      </c>
      <c r="C303" s="2" t="s">
        <v>1233</v>
      </c>
      <c r="D303">
        <f>VLOOKUP(B303,'Model allocations'!$A$1:$L$316,4,FALSE)</f>
        <v>0</v>
      </c>
      <c r="E303" s="31">
        <f>VLOOKUP(B303,'Initial adjusted formula count'!$A$1:$P$316,12,FALSE)</f>
        <v>5.1731418918918901E-2</v>
      </c>
      <c r="F303">
        <f>VLOOKUP(B303,'Model allocations'!$A$1:$L$316,9,FALSE)</f>
        <v>0</v>
      </c>
      <c r="G303" s="30">
        <f t="shared" si="83"/>
        <v>0.85</v>
      </c>
      <c r="H303">
        <f t="shared" si="84"/>
        <v>0</v>
      </c>
      <c r="I303">
        <f t="shared" si="76"/>
        <v>0</v>
      </c>
      <c r="J303">
        <f t="shared" si="77"/>
        <v>0</v>
      </c>
      <c r="K303">
        <f t="shared" si="78"/>
        <v>0</v>
      </c>
      <c r="L303">
        <f t="shared" si="85"/>
        <v>0</v>
      </c>
      <c r="M303">
        <f t="shared" si="79"/>
        <v>0</v>
      </c>
      <c r="N303" s="29">
        <f t="shared" si="86"/>
        <v>0</v>
      </c>
      <c r="O303" s="29">
        <f t="shared" si="80"/>
        <v>0</v>
      </c>
      <c r="P303" s="29">
        <f t="shared" si="87"/>
        <v>0</v>
      </c>
      <c r="Q303">
        <f t="shared" si="88"/>
        <v>0</v>
      </c>
      <c r="R303" s="29">
        <f t="shared" si="89"/>
        <v>0</v>
      </c>
      <c r="S303" s="29">
        <f t="shared" si="81"/>
        <v>0</v>
      </c>
      <c r="T303" s="29">
        <f t="shared" si="90"/>
        <v>0</v>
      </c>
      <c r="U303">
        <f t="shared" si="91"/>
        <v>0</v>
      </c>
      <c r="V303" s="29">
        <f t="shared" si="92"/>
        <v>0</v>
      </c>
      <c r="W303" s="29">
        <f t="shared" si="82"/>
        <v>0</v>
      </c>
      <c r="X303" s="29">
        <f t="shared" si="93"/>
        <v>0</v>
      </c>
      <c r="Y303">
        <f t="shared" si="94"/>
        <v>0</v>
      </c>
    </row>
    <row r="304" spans="1:25" x14ac:dyDescent="0.25">
      <c r="A304" s="4" t="s">
        <v>1234</v>
      </c>
      <c r="B304" s="7" t="s">
        <v>306</v>
      </c>
      <c r="C304" s="2" t="s">
        <v>1235</v>
      </c>
      <c r="D304">
        <f>VLOOKUP(B304,'Model allocations'!$A$1:$L$316,4,FALSE)</f>
        <v>0</v>
      </c>
      <c r="E304" s="31">
        <f>VLOOKUP(B304,'Initial adjusted formula count'!$A$1:$P$316,12,FALSE)</f>
        <v>0.113821138211382</v>
      </c>
      <c r="F304">
        <f>VLOOKUP(B304,'Model allocations'!$A$1:$L$316,9,FALSE)</f>
        <v>0</v>
      </c>
      <c r="G304" s="30">
        <f t="shared" si="83"/>
        <v>0.85</v>
      </c>
      <c r="H304">
        <f t="shared" si="84"/>
        <v>0</v>
      </c>
      <c r="I304">
        <f t="shared" si="76"/>
        <v>0</v>
      </c>
      <c r="J304">
        <f t="shared" si="77"/>
        <v>0</v>
      </c>
      <c r="K304">
        <f t="shared" si="78"/>
        <v>0</v>
      </c>
      <c r="L304">
        <f t="shared" si="85"/>
        <v>0</v>
      </c>
      <c r="M304">
        <f t="shared" si="79"/>
        <v>0</v>
      </c>
      <c r="N304" s="29">
        <f t="shared" si="86"/>
        <v>0</v>
      </c>
      <c r="O304" s="29">
        <f t="shared" si="80"/>
        <v>0</v>
      </c>
      <c r="P304" s="29">
        <f t="shared" si="87"/>
        <v>0</v>
      </c>
      <c r="Q304">
        <f t="shared" si="88"/>
        <v>0</v>
      </c>
      <c r="R304" s="29">
        <f t="shared" si="89"/>
        <v>0</v>
      </c>
      <c r="S304" s="29">
        <f t="shared" si="81"/>
        <v>0</v>
      </c>
      <c r="T304" s="29">
        <f t="shared" si="90"/>
        <v>0</v>
      </c>
      <c r="U304">
        <f t="shared" si="91"/>
        <v>0</v>
      </c>
      <c r="V304" s="29">
        <f t="shared" si="92"/>
        <v>0</v>
      </c>
      <c r="W304" s="29">
        <f t="shared" si="82"/>
        <v>0</v>
      </c>
      <c r="X304" s="29">
        <f t="shared" si="93"/>
        <v>0</v>
      </c>
      <c r="Y304">
        <f t="shared" si="94"/>
        <v>0</v>
      </c>
    </row>
    <row r="305" spans="1:25" x14ac:dyDescent="0.25">
      <c r="A305" s="4" t="s">
        <v>1237</v>
      </c>
      <c r="B305" s="7" t="s">
        <v>257</v>
      </c>
      <c r="C305" s="2" t="s">
        <v>1238</v>
      </c>
      <c r="D305">
        <f>VLOOKUP(B305,'Model allocations'!$A$1:$L$316,4,FALSE)</f>
        <v>0</v>
      </c>
      <c r="E305" s="31">
        <f>VLOOKUP(B305,'Initial adjusted formula count'!$A$1:$P$316,12,FALSE)</f>
        <v>0.172566371681416</v>
      </c>
      <c r="F305">
        <f>VLOOKUP(B305,'Model allocations'!$A$1:$L$316,9,FALSE)</f>
        <v>9258.9852572197087</v>
      </c>
      <c r="G305" s="30">
        <f t="shared" si="83"/>
        <v>0.9</v>
      </c>
      <c r="H305">
        <f t="shared" si="84"/>
        <v>0</v>
      </c>
      <c r="I305">
        <f t="shared" si="76"/>
        <v>0</v>
      </c>
      <c r="J305">
        <f t="shared" si="77"/>
        <v>9258.9852572197087</v>
      </c>
      <c r="K305">
        <f t="shared" si="78"/>
        <v>9248.8758165407507</v>
      </c>
      <c r="L305">
        <f t="shared" si="85"/>
        <v>9248.8758165407507</v>
      </c>
      <c r="M305">
        <f t="shared" si="79"/>
        <v>0</v>
      </c>
      <c r="N305" s="29">
        <f t="shared" si="86"/>
        <v>9248.8758165407507</v>
      </c>
      <c r="O305" s="29">
        <f t="shared" si="80"/>
        <v>9246.4009747494474</v>
      </c>
      <c r="P305" s="29">
        <f t="shared" si="87"/>
        <v>9246.4009747494474</v>
      </c>
      <c r="Q305">
        <f t="shared" si="88"/>
        <v>0</v>
      </c>
      <c r="R305" s="29">
        <f t="shared" si="89"/>
        <v>9246.4009747494474</v>
      </c>
      <c r="S305" s="29">
        <f t="shared" si="81"/>
        <v>9246.1201758660245</v>
      </c>
      <c r="T305" s="29">
        <f t="shared" si="90"/>
        <v>9246.1201758660245</v>
      </c>
      <c r="U305">
        <f t="shared" si="91"/>
        <v>0</v>
      </c>
      <c r="V305" s="29">
        <f t="shared" si="92"/>
        <v>9246.1201758660245</v>
      </c>
      <c r="W305" s="29">
        <f t="shared" si="82"/>
        <v>9246.1201758660245</v>
      </c>
      <c r="X305" s="29">
        <f t="shared" si="93"/>
        <v>9246.1201758660245</v>
      </c>
      <c r="Y305">
        <f t="shared" si="94"/>
        <v>0</v>
      </c>
    </row>
    <row r="306" spans="1:25" x14ac:dyDescent="0.25">
      <c r="A306" s="4" t="s">
        <v>1239</v>
      </c>
      <c r="B306" s="7" t="s">
        <v>632</v>
      </c>
      <c r="C306" s="2" t="s">
        <v>1240</v>
      </c>
      <c r="D306">
        <f>VLOOKUP(B306,'Model allocations'!$A$1:$L$316,4,FALSE)</f>
        <v>9623.296974698922</v>
      </c>
      <c r="E306" s="31">
        <f>VLOOKUP(B306,'Initial adjusted formula count'!$A$1:$P$316,12,FALSE)</f>
        <v>0.124590163934426</v>
      </c>
      <c r="F306">
        <f>VLOOKUP(B306,'Model allocations'!$A$1:$L$316,9,FALSE)</f>
        <v>8179.8024284940839</v>
      </c>
      <c r="G306" s="30">
        <f t="shared" si="83"/>
        <v>0.85</v>
      </c>
      <c r="H306">
        <f t="shared" si="84"/>
        <v>8179.8024284940839</v>
      </c>
      <c r="I306">
        <f t="shared" si="76"/>
        <v>0</v>
      </c>
      <c r="J306">
        <f t="shared" si="77"/>
        <v>8179.8024284940839</v>
      </c>
      <c r="K306">
        <f t="shared" si="78"/>
        <v>8170.8712956410545</v>
      </c>
      <c r="L306">
        <f t="shared" si="85"/>
        <v>8170.8712956410545</v>
      </c>
      <c r="M306">
        <f t="shared" si="79"/>
        <v>8179.8024284940839</v>
      </c>
      <c r="N306" s="29">
        <f t="shared" si="86"/>
        <v>0</v>
      </c>
      <c r="O306" s="29">
        <f t="shared" si="80"/>
        <v>0</v>
      </c>
      <c r="P306" s="29">
        <f t="shared" si="87"/>
        <v>8179.8024284940839</v>
      </c>
      <c r="Q306">
        <f t="shared" si="88"/>
        <v>0</v>
      </c>
      <c r="R306" s="29">
        <f t="shared" si="89"/>
        <v>0</v>
      </c>
      <c r="S306" s="29">
        <f t="shared" si="81"/>
        <v>0</v>
      </c>
      <c r="T306" s="29">
        <f t="shared" si="90"/>
        <v>8179.8024284940839</v>
      </c>
      <c r="U306">
        <f t="shared" si="91"/>
        <v>0</v>
      </c>
      <c r="V306" s="29">
        <f t="shared" si="92"/>
        <v>0</v>
      </c>
      <c r="W306" s="29">
        <f t="shared" si="82"/>
        <v>0</v>
      </c>
      <c r="X306" s="29">
        <f t="shared" si="93"/>
        <v>8179.8024284940839</v>
      </c>
      <c r="Y306">
        <f t="shared" si="94"/>
        <v>0</v>
      </c>
    </row>
    <row r="307" spans="1:25" x14ac:dyDescent="0.25">
      <c r="A307" s="4" t="s">
        <v>1241</v>
      </c>
      <c r="B307" s="7" t="s">
        <v>634</v>
      </c>
      <c r="C307" s="2" t="s">
        <v>1242</v>
      </c>
      <c r="D307">
        <f>VLOOKUP(B307,'Model allocations'!$A$1:$L$316,4,FALSE)</f>
        <v>0</v>
      </c>
      <c r="E307" s="31">
        <f>VLOOKUP(B307,'Initial adjusted formula count'!$A$1:$P$316,12,FALSE)</f>
        <v>0.22522522522522501</v>
      </c>
      <c r="F307">
        <f>VLOOKUP(B307,'Model allocations'!$A$1:$L$316,9,FALSE)</f>
        <v>5935.2469597562231</v>
      </c>
      <c r="G307" s="30">
        <f t="shared" si="83"/>
        <v>0.9</v>
      </c>
      <c r="H307">
        <f t="shared" si="84"/>
        <v>0</v>
      </c>
      <c r="I307">
        <f t="shared" si="76"/>
        <v>0</v>
      </c>
      <c r="J307">
        <f t="shared" si="77"/>
        <v>5935.2469597562231</v>
      </c>
      <c r="K307">
        <f t="shared" si="78"/>
        <v>5928.7665490645832</v>
      </c>
      <c r="L307">
        <f t="shared" si="85"/>
        <v>5928.7665490645832</v>
      </c>
      <c r="M307">
        <f t="shared" si="79"/>
        <v>0</v>
      </c>
      <c r="N307" s="29">
        <f t="shared" si="86"/>
        <v>5928.7665490645832</v>
      </c>
      <c r="O307" s="29">
        <f t="shared" si="80"/>
        <v>5927.1801120188757</v>
      </c>
      <c r="P307" s="29">
        <f t="shared" si="87"/>
        <v>5927.1801120188757</v>
      </c>
      <c r="Q307">
        <f t="shared" si="88"/>
        <v>0</v>
      </c>
      <c r="R307" s="29">
        <f t="shared" si="89"/>
        <v>5927.1801120188757</v>
      </c>
      <c r="S307" s="29">
        <f t="shared" si="81"/>
        <v>5927.0001127346295</v>
      </c>
      <c r="T307" s="29">
        <f t="shared" si="90"/>
        <v>5927.0001127346295</v>
      </c>
      <c r="U307">
        <f t="shared" si="91"/>
        <v>0</v>
      </c>
      <c r="V307" s="29">
        <f t="shared" si="92"/>
        <v>5927.0001127346295</v>
      </c>
      <c r="W307" s="29">
        <f t="shared" si="82"/>
        <v>5927.0001127346295</v>
      </c>
      <c r="X307" s="29">
        <f t="shared" si="93"/>
        <v>5927.0001127346295</v>
      </c>
      <c r="Y307">
        <f t="shared" si="94"/>
        <v>0</v>
      </c>
    </row>
    <row r="308" spans="1:25" x14ac:dyDescent="0.25">
      <c r="A308" s="4" t="s">
        <v>1243</v>
      </c>
      <c r="B308" s="7" t="s">
        <v>636</v>
      </c>
      <c r="C308" s="2" t="s">
        <v>1244</v>
      </c>
      <c r="D308">
        <f>VLOOKUP(B308,'Model allocations'!$A$1:$L$316,4,FALSE)</f>
        <v>18754.397102367388</v>
      </c>
      <c r="E308" s="31">
        <f>VLOOKUP(B308,'Initial adjusted formula count'!$A$1:$P$316,12,FALSE)</f>
        <v>0.102040816326531</v>
      </c>
      <c r="F308">
        <f>VLOOKUP(B308,'Model allocations'!$A$1:$L$316,9,FALSE)</f>
        <v>15941.237537012279</v>
      </c>
      <c r="G308" s="30">
        <f t="shared" si="83"/>
        <v>0.85</v>
      </c>
      <c r="H308">
        <f t="shared" si="84"/>
        <v>15941.237537012279</v>
      </c>
      <c r="I308">
        <f t="shared" si="76"/>
        <v>0</v>
      </c>
      <c r="J308">
        <f t="shared" si="77"/>
        <v>15941.237537012279</v>
      </c>
      <c r="K308">
        <f t="shared" si="78"/>
        <v>15923.832066460962</v>
      </c>
      <c r="L308">
        <f t="shared" si="85"/>
        <v>15923.832066460962</v>
      </c>
      <c r="M308">
        <f t="shared" si="79"/>
        <v>15941.237537012279</v>
      </c>
      <c r="N308" s="29">
        <f t="shared" si="86"/>
        <v>0</v>
      </c>
      <c r="O308" s="29">
        <f t="shared" si="80"/>
        <v>0</v>
      </c>
      <c r="P308" s="29">
        <f t="shared" si="87"/>
        <v>15941.237537012279</v>
      </c>
      <c r="Q308">
        <f t="shared" si="88"/>
        <v>0</v>
      </c>
      <c r="R308" s="29">
        <f t="shared" si="89"/>
        <v>0</v>
      </c>
      <c r="S308" s="29">
        <f t="shared" si="81"/>
        <v>0</v>
      </c>
      <c r="T308" s="29">
        <f t="shared" si="90"/>
        <v>15941.237537012279</v>
      </c>
      <c r="U308">
        <f t="shared" si="91"/>
        <v>0</v>
      </c>
      <c r="V308" s="29">
        <f t="shared" si="92"/>
        <v>0</v>
      </c>
      <c r="W308" s="29">
        <f t="shared" si="82"/>
        <v>0</v>
      </c>
      <c r="X308" s="29">
        <f t="shared" si="93"/>
        <v>15941.237537012279</v>
      </c>
      <c r="Y308">
        <f t="shared" si="94"/>
        <v>0</v>
      </c>
    </row>
    <row r="309" spans="1:25" x14ac:dyDescent="0.25">
      <c r="A309" s="4" t="s">
        <v>1245</v>
      </c>
      <c r="B309" s="7" t="s">
        <v>638</v>
      </c>
      <c r="C309" s="2" t="s">
        <v>1246</v>
      </c>
      <c r="D309">
        <f>VLOOKUP(B309,'Model allocations'!$A$1:$L$316,4,FALSE)</f>
        <v>6546.2026500777365</v>
      </c>
      <c r="E309" s="31">
        <f>VLOOKUP(B309,'Initial adjusted formula count'!$A$1:$P$316,12,FALSE)</f>
        <v>0.15862068965517201</v>
      </c>
      <c r="F309">
        <f>VLOOKUP(B309,'Model allocations'!$A$1:$L$316,9,FALSE)</f>
        <v>5898.6510472049076</v>
      </c>
      <c r="G309" s="30">
        <f t="shared" si="83"/>
        <v>0.9</v>
      </c>
      <c r="H309">
        <f t="shared" si="84"/>
        <v>5891.5823850699626</v>
      </c>
      <c r="I309">
        <f t="shared" si="76"/>
        <v>0</v>
      </c>
      <c r="J309">
        <f t="shared" si="77"/>
        <v>5898.6510472049076</v>
      </c>
      <c r="K309">
        <f t="shared" si="78"/>
        <v>5892.2105938300519</v>
      </c>
      <c r="L309">
        <f t="shared" si="85"/>
        <v>5892.2105938300519</v>
      </c>
      <c r="M309">
        <f t="shared" si="79"/>
        <v>0</v>
      </c>
      <c r="N309" s="29">
        <f t="shared" si="86"/>
        <v>5892.2105938300519</v>
      </c>
      <c r="O309" s="29">
        <f t="shared" si="80"/>
        <v>5890.6339385359352</v>
      </c>
      <c r="P309" s="29">
        <f t="shared" si="87"/>
        <v>5890.6339385359352</v>
      </c>
      <c r="Q309">
        <f t="shared" si="88"/>
        <v>5891.5823850699626</v>
      </c>
      <c r="R309" s="29">
        <f t="shared" si="89"/>
        <v>0</v>
      </c>
      <c r="S309" s="29">
        <f t="shared" si="81"/>
        <v>0</v>
      </c>
      <c r="T309" s="29">
        <f t="shared" si="90"/>
        <v>5891.5823850699626</v>
      </c>
      <c r="U309">
        <f t="shared" si="91"/>
        <v>0</v>
      </c>
      <c r="V309" s="29">
        <f t="shared" si="92"/>
        <v>0</v>
      </c>
      <c r="W309" s="29">
        <f t="shared" si="82"/>
        <v>0</v>
      </c>
      <c r="X309" s="29">
        <f t="shared" si="93"/>
        <v>5891.5823850699626</v>
      </c>
      <c r="Y309">
        <f t="shared" si="94"/>
        <v>0</v>
      </c>
    </row>
    <row r="310" spans="1:25" x14ac:dyDescent="0.25">
      <c r="A310" s="4" t="s">
        <v>1247</v>
      </c>
      <c r="B310" s="7" t="s">
        <v>640</v>
      </c>
      <c r="C310" s="2" t="s">
        <v>1248</v>
      </c>
      <c r="D310">
        <f>VLOOKUP(B310,'Model allocations'!$A$1:$L$316,4,FALSE)</f>
        <v>7247.5815054432087</v>
      </c>
      <c r="E310" s="31">
        <f>VLOOKUP(B310,'Initial adjusted formula count'!$A$1:$P$316,12,FALSE)</f>
        <v>0.47727272727272702</v>
      </c>
      <c r="F310">
        <f>VLOOKUP(B310,'Model allocations'!$A$1:$L$316,9,FALSE)</f>
        <v>6893.4632277850988</v>
      </c>
      <c r="G310" s="30">
        <f t="shared" si="83"/>
        <v>0.95</v>
      </c>
      <c r="H310">
        <f t="shared" si="84"/>
        <v>6885.202430171048</v>
      </c>
      <c r="I310">
        <f t="shared" si="76"/>
        <v>0</v>
      </c>
      <c r="J310">
        <f t="shared" si="77"/>
        <v>6893.4632277850988</v>
      </c>
      <c r="K310">
        <f t="shared" si="78"/>
        <v>6885.9365868371033</v>
      </c>
      <c r="L310">
        <f t="shared" si="85"/>
        <v>6885.9365868371033</v>
      </c>
      <c r="M310">
        <f t="shared" si="79"/>
        <v>0</v>
      </c>
      <c r="N310" s="29">
        <f t="shared" si="86"/>
        <v>6885.9365868371033</v>
      </c>
      <c r="O310" s="29">
        <f t="shared" si="80"/>
        <v>6884.0940273763208</v>
      </c>
      <c r="P310" s="29">
        <f t="shared" si="87"/>
        <v>6884.0940273763208</v>
      </c>
      <c r="Q310">
        <f t="shared" si="88"/>
        <v>6885.202430171048</v>
      </c>
      <c r="R310" s="29">
        <f t="shared" si="89"/>
        <v>0</v>
      </c>
      <c r="S310" s="29">
        <f t="shared" si="81"/>
        <v>0</v>
      </c>
      <c r="T310" s="29">
        <f t="shared" si="90"/>
        <v>6885.202430171048</v>
      </c>
      <c r="U310">
        <f t="shared" si="91"/>
        <v>0</v>
      </c>
      <c r="V310" s="29">
        <f t="shared" si="92"/>
        <v>0</v>
      </c>
      <c r="W310" s="29">
        <f t="shared" si="82"/>
        <v>0</v>
      </c>
      <c r="X310" s="29">
        <f t="shared" si="93"/>
        <v>6885.202430171048</v>
      </c>
      <c r="Y310">
        <f t="shared" si="94"/>
        <v>0</v>
      </c>
    </row>
    <row r="311" spans="1:25" x14ac:dyDescent="0.25">
      <c r="A311" s="4" t="s">
        <v>1249</v>
      </c>
      <c r="B311" s="7" t="s">
        <v>642</v>
      </c>
      <c r="C311" s="2" t="s">
        <v>1250</v>
      </c>
      <c r="D311">
        <f>VLOOKUP(B311,'Model allocations'!$A$1:$L$316,4,FALSE)</f>
        <v>0</v>
      </c>
      <c r="E311" s="31">
        <f>VLOOKUP(B311,'Initial adjusted formula count'!$A$1:$P$316,12,FALSE)</f>
        <v>8.0506895266492698E-2</v>
      </c>
      <c r="F311">
        <f>VLOOKUP(B311,'Model allocations'!$A$1:$L$316,9,FALSE)</f>
        <v>0</v>
      </c>
      <c r="G311" s="30">
        <f t="shared" si="83"/>
        <v>0.85</v>
      </c>
      <c r="H311">
        <f t="shared" si="84"/>
        <v>0</v>
      </c>
      <c r="I311">
        <f t="shared" si="76"/>
        <v>0</v>
      </c>
      <c r="J311">
        <f t="shared" si="77"/>
        <v>0</v>
      </c>
      <c r="K311">
        <f t="shared" si="78"/>
        <v>0</v>
      </c>
      <c r="L311">
        <f t="shared" si="85"/>
        <v>0</v>
      </c>
      <c r="M311">
        <f t="shared" si="79"/>
        <v>0</v>
      </c>
      <c r="N311" s="29">
        <f t="shared" si="86"/>
        <v>0</v>
      </c>
      <c r="O311" s="29">
        <f t="shared" si="80"/>
        <v>0</v>
      </c>
      <c r="P311" s="29">
        <f t="shared" si="87"/>
        <v>0</v>
      </c>
      <c r="Q311">
        <f t="shared" si="88"/>
        <v>0</v>
      </c>
      <c r="R311" s="29">
        <f t="shared" si="89"/>
        <v>0</v>
      </c>
      <c r="S311" s="29">
        <f t="shared" si="81"/>
        <v>0</v>
      </c>
      <c r="T311" s="29">
        <f t="shared" si="90"/>
        <v>0</v>
      </c>
      <c r="U311">
        <f t="shared" si="91"/>
        <v>0</v>
      </c>
      <c r="V311" s="29">
        <f t="shared" si="92"/>
        <v>0</v>
      </c>
      <c r="W311" s="29">
        <f t="shared" si="82"/>
        <v>0</v>
      </c>
      <c r="X311" s="29">
        <f t="shared" si="93"/>
        <v>0</v>
      </c>
      <c r="Y311">
        <f t="shared" si="94"/>
        <v>0</v>
      </c>
    </row>
    <row r="312" spans="1:25" x14ac:dyDescent="0.25">
      <c r="A312" s="4" t="s">
        <v>1251</v>
      </c>
      <c r="B312" s="7" t="s">
        <v>644</v>
      </c>
      <c r="C312" s="2" t="s">
        <v>1252</v>
      </c>
      <c r="D312">
        <f>VLOOKUP(B312,'Model allocations'!$A$1:$L$316,4,FALSE)</f>
        <v>1040612.4284105719</v>
      </c>
      <c r="E312" s="31">
        <f>VLOOKUP(B312,'Initial adjusted formula count'!$A$1:$P$316,12,FALSE)</f>
        <v>0.28777635665996698</v>
      </c>
      <c r="F312">
        <f>VLOOKUP(B312,'Model allocations'!$A$1:$L$316,9,FALSE)</f>
        <v>1121761.675393926</v>
      </c>
      <c r="G312" s="30">
        <f t="shared" si="83"/>
        <v>0.9</v>
      </c>
      <c r="H312">
        <f t="shared" si="84"/>
        <v>936551.18556951475</v>
      </c>
      <c r="I312">
        <f t="shared" si="76"/>
        <v>0</v>
      </c>
      <c r="J312">
        <f t="shared" si="77"/>
        <v>1121761.675393926</v>
      </c>
      <c r="K312">
        <f t="shared" si="78"/>
        <v>1120536.877773206</v>
      </c>
      <c r="L312">
        <f t="shared" si="85"/>
        <v>1120536.877773206</v>
      </c>
      <c r="M312">
        <f t="shared" si="79"/>
        <v>0</v>
      </c>
      <c r="N312" s="29">
        <f t="shared" si="86"/>
        <v>1120536.877773206</v>
      </c>
      <c r="O312" s="29">
        <f t="shared" si="80"/>
        <v>1120237.0411715673</v>
      </c>
      <c r="P312" s="29">
        <f t="shared" si="87"/>
        <v>1120237.0411715673</v>
      </c>
      <c r="Q312">
        <f t="shared" si="88"/>
        <v>0</v>
      </c>
      <c r="R312" s="29">
        <f t="shared" si="89"/>
        <v>1120237.0411715673</v>
      </c>
      <c r="S312" s="29">
        <f t="shared" si="81"/>
        <v>1120203.0213068447</v>
      </c>
      <c r="T312" s="29">
        <f t="shared" si="90"/>
        <v>1120203.0213068447</v>
      </c>
      <c r="U312">
        <f t="shared" si="91"/>
        <v>0</v>
      </c>
      <c r="V312" s="29">
        <f t="shared" si="92"/>
        <v>1120203.0213068447</v>
      </c>
      <c r="W312" s="29">
        <f t="shared" si="82"/>
        <v>1120203.0213068447</v>
      </c>
      <c r="X312" s="29">
        <f t="shared" si="93"/>
        <v>1120203.0213068447</v>
      </c>
      <c r="Y312">
        <f t="shared" si="94"/>
        <v>0</v>
      </c>
    </row>
    <row r="313" spans="1:25" x14ac:dyDescent="0.25">
      <c r="A313" s="4" t="s">
        <v>1253</v>
      </c>
      <c r="B313" s="7" t="s">
        <v>646</v>
      </c>
      <c r="C313" s="2" t="s">
        <v>1254</v>
      </c>
      <c r="D313">
        <f>VLOOKUP(B313,'Model allocations'!$A$1:$L$316,4,FALSE)</f>
        <v>0</v>
      </c>
      <c r="E313" s="31">
        <f>VLOOKUP(B313,'Initial adjusted formula count'!$A$1:$P$316,12,FALSE)</f>
        <v>8.4590763603109298E-2</v>
      </c>
      <c r="F313">
        <f>VLOOKUP(B313,'Model allocations'!$A$1:$L$316,9,FALSE)</f>
        <v>0</v>
      </c>
      <c r="G313" s="30">
        <f t="shared" si="83"/>
        <v>0.85</v>
      </c>
      <c r="H313">
        <f t="shared" si="84"/>
        <v>0</v>
      </c>
      <c r="I313">
        <f t="shared" si="76"/>
        <v>0</v>
      </c>
      <c r="J313">
        <f t="shared" si="77"/>
        <v>0</v>
      </c>
      <c r="K313">
        <f t="shared" si="78"/>
        <v>0</v>
      </c>
      <c r="L313">
        <f t="shared" si="85"/>
        <v>0</v>
      </c>
      <c r="M313">
        <f t="shared" si="79"/>
        <v>0</v>
      </c>
      <c r="N313" s="29">
        <f t="shared" si="86"/>
        <v>0</v>
      </c>
      <c r="O313" s="29">
        <f t="shared" si="80"/>
        <v>0</v>
      </c>
      <c r="P313" s="29">
        <f t="shared" si="87"/>
        <v>0</v>
      </c>
      <c r="Q313">
        <f t="shared" si="88"/>
        <v>0</v>
      </c>
      <c r="R313" s="29">
        <f t="shared" si="89"/>
        <v>0</v>
      </c>
      <c r="S313" s="29">
        <f t="shared" si="81"/>
        <v>0</v>
      </c>
      <c r="T313" s="29">
        <f t="shared" si="90"/>
        <v>0</v>
      </c>
      <c r="U313">
        <f t="shared" si="91"/>
        <v>0</v>
      </c>
      <c r="V313" s="29">
        <f t="shared" si="92"/>
        <v>0</v>
      </c>
      <c r="W313" s="29">
        <f t="shared" si="82"/>
        <v>0</v>
      </c>
      <c r="X313" s="29">
        <f t="shared" si="93"/>
        <v>0</v>
      </c>
      <c r="Y313">
        <f t="shared" si="94"/>
        <v>0</v>
      </c>
    </row>
    <row r="314" spans="1:25" x14ac:dyDescent="0.25">
      <c r="A314" s="4" t="s">
        <v>1255</v>
      </c>
      <c r="B314" s="7" t="s">
        <v>648</v>
      </c>
      <c r="C314" s="2" t="s">
        <v>1256</v>
      </c>
      <c r="D314">
        <f>VLOOKUP(B314,'Model allocations'!$A$1:$L$316,4,FALSE)</f>
        <v>0</v>
      </c>
      <c r="E314" s="31">
        <f>VLOOKUP(B314,'Initial adjusted formula count'!$A$1:$P$316,12,FALSE)</f>
        <v>0.112876254180602</v>
      </c>
      <c r="F314">
        <f>VLOOKUP(B314,'Model allocations'!$A$1:$L$316,9,FALSE)</f>
        <v>0</v>
      </c>
      <c r="G314" s="30">
        <f t="shared" si="83"/>
        <v>0.85</v>
      </c>
      <c r="H314">
        <f t="shared" si="84"/>
        <v>0</v>
      </c>
      <c r="I314">
        <f t="shared" si="76"/>
        <v>0</v>
      </c>
      <c r="J314">
        <f t="shared" si="77"/>
        <v>0</v>
      </c>
      <c r="K314">
        <f t="shared" si="78"/>
        <v>0</v>
      </c>
      <c r="L314">
        <f t="shared" si="85"/>
        <v>0</v>
      </c>
      <c r="M314">
        <f t="shared" si="79"/>
        <v>0</v>
      </c>
      <c r="N314" s="29">
        <f t="shared" si="86"/>
        <v>0</v>
      </c>
      <c r="O314" s="29">
        <f t="shared" si="80"/>
        <v>0</v>
      </c>
      <c r="P314" s="29">
        <f t="shared" si="87"/>
        <v>0</v>
      </c>
      <c r="Q314">
        <f t="shared" si="88"/>
        <v>0</v>
      </c>
      <c r="R314" s="29">
        <f t="shared" si="89"/>
        <v>0</v>
      </c>
      <c r="S314" s="29">
        <f t="shared" si="81"/>
        <v>0</v>
      </c>
      <c r="T314" s="29">
        <f t="shared" si="90"/>
        <v>0</v>
      </c>
      <c r="U314">
        <f t="shared" si="91"/>
        <v>0</v>
      </c>
      <c r="V314" s="29">
        <f t="shared" si="92"/>
        <v>0</v>
      </c>
      <c r="W314" s="29">
        <f t="shared" si="82"/>
        <v>0</v>
      </c>
      <c r="X314" s="29">
        <f t="shared" si="93"/>
        <v>0</v>
      </c>
      <c r="Y314">
        <f t="shared" si="94"/>
        <v>0</v>
      </c>
    </row>
    <row r="315" spans="1:25" x14ac:dyDescent="0.25">
      <c r="A315" s="1"/>
      <c r="B315" s="7" t="s">
        <v>650</v>
      </c>
      <c r="C315" s="2" t="s">
        <v>651</v>
      </c>
      <c r="D315">
        <f>VLOOKUP(B315,'Model allocations'!$A$1:$L$316,4,FALSE)</f>
        <v>203598.04963984294</v>
      </c>
      <c r="E315" s="31">
        <f>VLOOKUP(B315,'Initial adjusted formula count'!$A$1:$P$316,12,FALSE)</f>
        <v>1</v>
      </c>
      <c r="F315">
        <f>VLOOKUP(B315,'Model allocations'!$A$1:$L$316,9,FALSE)</f>
        <v>193418.14715785079</v>
      </c>
      <c r="G315" s="30">
        <f t="shared" si="83"/>
        <v>0.95</v>
      </c>
      <c r="H315">
        <f t="shared" si="84"/>
        <v>193418.14715785079</v>
      </c>
      <c r="I315">
        <f t="shared" si="76"/>
        <v>0</v>
      </c>
      <c r="J315">
        <f t="shared" si="77"/>
        <v>193418.14715785079</v>
      </c>
      <c r="K315">
        <f t="shared" si="78"/>
        <v>193206.96318567611</v>
      </c>
      <c r="L315">
        <f t="shared" si="85"/>
        <v>193206.96318567611</v>
      </c>
      <c r="M315">
        <f t="shared" si="79"/>
        <v>193418.14715785079</v>
      </c>
      <c r="N315" s="29">
        <f t="shared" si="86"/>
        <v>0</v>
      </c>
      <c r="O315" s="29">
        <f t="shared" si="80"/>
        <v>0</v>
      </c>
      <c r="P315" s="29">
        <f t="shared" si="87"/>
        <v>193418.14715785079</v>
      </c>
      <c r="Q315">
        <f t="shared" si="88"/>
        <v>0</v>
      </c>
      <c r="R315" s="29">
        <f t="shared" si="89"/>
        <v>0</v>
      </c>
      <c r="S315" s="29">
        <f t="shared" si="81"/>
        <v>0</v>
      </c>
      <c r="T315" s="29">
        <f t="shared" si="90"/>
        <v>193418.14715785079</v>
      </c>
      <c r="U315">
        <f t="shared" si="91"/>
        <v>0</v>
      </c>
      <c r="V315" s="29">
        <f t="shared" si="92"/>
        <v>0</v>
      </c>
      <c r="W315" s="29">
        <f t="shared" si="82"/>
        <v>0</v>
      </c>
      <c r="X315" s="29">
        <f t="shared" si="93"/>
        <v>193418.14715785079</v>
      </c>
      <c r="Y315">
        <f t="shared" si="94"/>
        <v>0</v>
      </c>
    </row>
    <row r="316" spans="1:25" x14ac:dyDescent="0.25">
      <c r="A316" t="s">
        <v>1425</v>
      </c>
      <c r="B316" t="s">
        <v>1418</v>
      </c>
      <c r="C316" t="s">
        <v>1419</v>
      </c>
      <c r="D316">
        <f>VLOOKUP(B316,'Model allocations'!$A$1:$L$316,4,FALSE)</f>
        <v>0</v>
      </c>
      <c r="E316" s="31">
        <f>VLOOKUP(B316,'Initial adjusted formula count'!$A$1:$P$316,12,FALSE)</f>
        <v>0.16428460450292401</v>
      </c>
      <c r="F316">
        <f>VLOOKUP(B316,'Model allocations'!$A$1:$L$316,9,FALSE)</f>
        <v>0</v>
      </c>
      <c r="G316" s="30">
        <f t="shared" ref="G316:G317" si="95">IF(E316&lt;0.15,0.85,IF(AND(E316&gt;=0.15,E316&lt;0.3),0.9,0.95))</f>
        <v>0.9</v>
      </c>
      <c r="H316">
        <f t="shared" ref="H316:H317" si="96">IF(F316 = 0, 0, D316*G316)</f>
        <v>0</v>
      </c>
      <c r="I316">
        <f t="shared" ref="I316:I317" si="97">IF(F316&lt;H316,H316,0)</f>
        <v>0</v>
      </c>
      <c r="J316">
        <f t="shared" ref="J316:J317" si="98">IF(I316=0,F316,0)</f>
        <v>0</v>
      </c>
      <c r="K316">
        <f t="shared" ref="K316:K317" si="99">(J316/$J$3)*($F$3-$I$3)</f>
        <v>0</v>
      </c>
      <c r="L316">
        <f t="shared" ref="L316:L317" si="100">I316+K316</f>
        <v>0</v>
      </c>
      <c r="M316">
        <f t="shared" ref="M316:M317" si="101">IF(L316&lt;H316,H316,0)</f>
        <v>0</v>
      </c>
      <c r="N316" s="29">
        <f t="shared" ref="N316:N317" si="102">IF(I316+M316=0,L316,0)</f>
        <v>0</v>
      </c>
      <c r="O316" s="29">
        <f t="shared" ref="O316:O317" si="103">((N316/$N$3)*($F$3-$I$3-$M$3))</f>
        <v>0</v>
      </c>
      <c r="P316" s="29">
        <f t="shared" ref="P316:P317" si="104">$I316+$M316+O316</f>
        <v>0</v>
      </c>
      <c r="Q316">
        <f t="shared" ref="Q316:Q317" si="105">IF(P316&lt;H316,H316,0)</f>
        <v>0</v>
      </c>
      <c r="R316" s="29">
        <f t="shared" ref="R316:R317" si="106">IF($I316+$M316+$Q316=0,P316,0)</f>
        <v>0</v>
      </c>
      <c r="S316" s="29">
        <f t="shared" ref="S316:S317" si="107">((R316/$R$3)*($F$3-$I$3-$M$3-$Q$3))</f>
        <v>0</v>
      </c>
      <c r="T316" s="29">
        <f t="shared" ref="T316:T317" si="108">$I316+$M316+$Q316+S316</f>
        <v>0</v>
      </c>
      <c r="U316">
        <f t="shared" ref="U316:U317" si="109">IF(T316&lt;H316,H316,0)</f>
        <v>0</v>
      </c>
      <c r="V316" s="29">
        <f t="shared" ref="V316:V317" si="110">IF($I316+$M316+$Q316+U316=0,T316,0)</f>
        <v>0</v>
      </c>
      <c r="W316" s="29">
        <f t="shared" ref="W316:W317" si="111">((V316/$V$3)*($F$3-$I$3-$M$3-$Q$3-$U$3))</f>
        <v>0</v>
      </c>
      <c r="X316" s="29">
        <f t="shared" ref="X316:X317" si="112">$I316+$M316+$Q316+$U316+W316</f>
        <v>0</v>
      </c>
      <c r="Y316">
        <f t="shared" ref="Y316:Y317" si="113">IF(X316&lt;H316,H316,0)</f>
        <v>0</v>
      </c>
    </row>
    <row r="317" spans="1:25" x14ac:dyDescent="0.25">
      <c r="A317" t="s">
        <v>1426</v>
      </c>
      <c r="B317" t="s">
        <v>1420</v>
      </c>
      <c r="C317" t="s">
        <v>1421</v>
      </c>
      <c r="D317">
        <f>VLOOKUP(B317,'Model allocations'!$A$1:$L$316,4,FALSE)</f>
        <v>0</v>
      </c>
      <c r="E317" s="31">
        <f>VLOOKUP(B317,'Initial adjusted formula count'!$A$1:$P$316,12,FALSE)</f>
        <v>0.10607705301687299</v>
      </c>
      <c r="F317">
        <f>VLOOKUP(B317,'Model allocations'!$A$1:$L$316,9,FALSE)</f>
        <v>0</v>
      </c>
      <c r="G317" s="30">
        <f t="shared" si="95"/>
        <v>0.85</v>
      </c>
      <c r="H317">
        <f t="shared" si="96"/>
        <v>0</v>
      </c>
      <c r="I317">
        <f t="shared" si="97"/>
        <v>0</v>
      </c>
      <c r="J317">
        <f t="shared" si="98"/>
        <v>0</v>
      </c>
      <c r="K317">
        <f t="shared" si="99"/>
        <v>0</v>
      </c>
      <c r="L317">
        <f t="shared" si="100"/>
        <v>0</v>
      </c>
      <c r="M317">
        <f t="shared" si="101"/>
        <v>0</v>
      </c>
      <c r="N317" s="29">
        <f t="shared" si="102"/>
        <v>0</v>
      </c>
      <c r="O317" s="29">
        <f t="shared" si="103"/>
        <v>0</v>
      </c>
      <c r="P317" s="29">
        <f t="shared" si="104"/>
        <v>0</v>
      </c>
      <c r="Q317">
        <f t="shared" si="105"/>
        <v>0</v>
      </c>
      <c r="R317" s="29">
        <f t="shared" si="106"/>
        <v>0</v>
      </c>
      <c r="S317" s="29">
        <f t="shared" si="107"/>
        <v>0</v>
      </c>
      <c r="T317" s="29">
        <f t="shared" si="108"/>
        <v>0</v>
      </c>
      <c r="U317">
        <f t="shared" si="109"/>
        <v>0</v>
      </c>
      <c r="V317" s="29">
        <f t="shared" si="110"/>
        <v>0</v>
      </c>
      <c r="W317" s="29">
        <f t="shared" si="111"/>
        <v>0</v>
      </c>
      <c r="X317" s="29">
        <f t="shared" si="112"/>
        <v>0</v>
      </c>
      <c r="Y317">
        <f t="shared" si="113"/>
        <v>0</v>
      </c>
    </row>
  </sheetData>
  <sheetProtection algorithmName="SHA-512" hashValue="kEVFxx6tjSuGI5pfAGXu7Wr9SpI1Gh2nz49489QxhQsfD61MA6GPpaBaKztVWDbNGHHitMDkV70ULJ9o4XJEQw==" saltValue="wH/Ht+77I7i0GLRS/0I9Mw==" spinCount="100000" sheet="1" objects="1" scenarios="1"/>
  <autoFilter ref="A3:Y317" xr:uid="{960B0794-1783-4202-AA7F-A166F63BFA92}"/>
  <conditionalFormatting sqref="B1:B315">
    <cfRule type="duplicateValues" dxfId="2" priority="17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CECE1-CFB0-4124-B246-34444E47CF8A}">
  <dimension ref="A1:Z325"/>
  <sheetViews>
    <sheetView topLeftCell="G1" workbookViewId="0">
      <selection activeCell="Y3" sqref="Y3"/>
    </sheetView>
    <sheetView workbookViewId="1"/>
  </sheetViews>
  <sheetFormatPr defaultRowHeight="15" x14ac:dyDescent="0.25"/>
  <cols>
    <col min="3" max="3" width="20.28515625" customWidth="1"/>
    <col min="4" max="4" width="19.28515625" customWidth="1"/>
    <col min="5" max="5" width="16.5703125" customWidth="1"/>
    <col min="6" max="6" width="38.7109375" customWidth="1"/>
    <col min="7" max="7" width="16.28515625" customWidth="1"/>
    <col min="8" max="8" width="13.5703125" bestFit="1" customWidth="1"/>
    <col min="9" max="9" width="12.7109375" customWidth="1"/>
    <col min="10" max="10" width="16.140625" customWidth="1"/>
    <col min="11" max="11" width="13.28515625" customWidth="1"/>
    <col min="12" max="12" width="16.42578125" customWidth="1"/>
    <col min="13" max="13" width="12.5703125" bestFit="1" customWidth="1"/>
    <col min="14" max="14" width="13.28515625" customWidth="1"/>
    <col min="15" max="15" width="16.42578125" customWidth="1"/>
    <col min="16" max="16" width="14.28515625" customWidth="1"/>
    <col min="17" max="17" width="11.85546875" customWidth="1"/>
    <col min="18" max="18" width="11.140625" customWidth="1"/>
    <col min="19" max="19" width="13.5703125" bestFit="1" customWidth="1"/>
    <col min="20" max="20" width="12.7109375" customWidth="1"/>
    <col min="22" max="22" width="13.85546875" customWidth="1"/>
    <col min="23" max="23" width="11.85546875" customWidth="1"/>
    <col min="24" max="24" width="12" customWidth="1"/>
  </cols>
  <sheetData>
    <row r="1" spans="1:26" x14ac:dyDescent="0.25">
      <c r="A1" s="1"/>
      <c r="B1" s="5"/>
      <c r="C1" s="4"/>
      <c r="F1" s="79" t="str">
        <f>IF(ROUND($F$3,2)=ROUND(SUM(Model_allocations[Targeted Allocation]),2), "Good","Check district list")</f>
        <v>Good</v>
      </c>
      <c r="G1" s="27">
        <f>F3</f>
        <v>75441670.905325979</v>
      </c>
      <c r="Y1" t="str" cm="1">
        <f t="array" ref="Y1">Assumptions[TARGETED GRANTS]</f>
        <v>75454465</v>
      </c>
      <c r="Z1" s="46">
        <f>X3-Y1</f>
        <v>-12794.094674006104</v>
      </c>
    </row>
    <row r="2" spans="1:26" ht="76.5" x14ac:dyDescent="0.25">
      <c r="A2" s="1" t="s">
        <v>0</v>
      </c>
      <c r="B2" s="5" t="s">
        <v>4</v>
      </c>
      <c r="C2" s="3" t="s">
        <v>1277</v>
      </c>
      <c r="D2" s="33" t="s">
        <v>1374</v>
      </c>
      <c r="E2" s="36" t="s">
        <v>1294</v>
      </c>
      <c r="F2" s="33" t="s">
        <v>1295</v>
      </c>
      <c r="G2" s="35" t="s">
        <v>653</v>
      </c>
      <c r="H2" s="34" t="s">
        <v>1375</v>
      </c>
      <c r="I2" s="34" t="s">
        <v>1366</v>
      </c>
      <c r="J2" s="34" t="s">
        <v>1367</v>
      </c>
      <c r="K2" s="34" t="s">
        <v>1368</v>
      </c>
      <c r="L2" s="34" t="s">
        <v>1369</v>
      </c>
      <c r="M2" s="32" t="s">
        <v>1291</v>
      </c>
      <c r="N2" s="34" t="s">
        <v>1367</v>
      </c>
      <c r="O2" s="32" t="s">
        <v>1368</v>
      </c>
      <c r="P2" s="32" t="s">
        <v>1369</v>
      </c>
      <c r="Q2" s="32" t="s">
        <v>1370</v>
      </c>
      <c r="R2" s="32" t="s">
        <v>1367</v>
      </c>
      <c r="S2" s="32" t="s">
        <v>1368</v>
      </c>
      <c r="T2" s="32" t="s">
        <v>1369</v>
      </c>
      <c r="U2" s="32" t="s">
        <v>1371</v>
      </c>
      <c r="V2" s="32" t="s">
        <v>1367</v>
      </c>
      <c r="W2" s="32" t="s">
        <v>1368</v>
      </c>
      <c r="X2" s="32" t="s">
        <v>1369</v>
      </c>
      <c r="Y2" s="32" t="s">
        <v>1372</v>
      </c>
      <c r="Z2" s="32"/>
    </row>
    <row r="3" spans="1:26" x14ac:dyDescent="0.25">
      <c r="A3" s="1"/>
      <c r="B3" s="5"/>
      <c r="C3" s="6"/>
      <c r="D3" s="33">
        <f>SUM(D4:D317)</f>
        <v>75266427.705933735</v>
      </c>
      <c r="E3" s="33"/>
      <c r="F3" s="82" cm="1">
        <f t="array" ref="F3">SUM(IF(ISERROR($F$4:$F$317),"",$F$4:$F$317))</f>
        <v>75441670.905325979</v>
      </c>
      <c r="G3" s="33"/>
      <c r="H3" s="33" cm="1">
        <f t="array" ref="H3">SUM(IF(ISERROR($H$4:$H$317),"",$H$4:$H$317))</f>
        <v>65187324.802855849</v>
      </c>
      <c r="I3" s="33" cm="1">
        <f t="array" ref="I3">SUM(IF(ISERROR($I$4:$I$317),"",$I$4:$I$317))</f>
        <v>5972278.3572360035</v>
      </c>
      <c r="J3" s="33" cm="1">
        <f t="array" ref="J3">SUM(IF(ISERROR($J$4:$J$317),"",$J$4:$J$317))</f>
        <v>69522477.281249627</v>
      </c>
      <c r="K3" s="33" cm="1">
        <f t="array" ref="K3">SUM(IF(ISERROR($K$4:$K$317),"",$K$4:$K$317))</f>
        <v>69469392.548089951</v>
      </c>
      <c r="L3" s="33" cm="1">
        <f t="array" ref="L3">SUM(IF(ISERROR($L$4:$L$317),0,$L$4:$L$317))</f>
        <v>75441670.905325934</v>
      </c>
      <c r="M3" s="33" cm="1">
        <f t="array" ref="M3">SUM(IF(ISERROR($M$4:$M$317),0,$M$4:$M$317))</f>
        <v>9193572.5762180649</v>
      </c>
      <c r="N3" s="33" cm="1">
        <f t="array" ref="N3">SUM(IF(ISERROR($N$4:$N$317),0,$N$4:$N$317))</f>
        <v>60279243.748257697</v>
      </c>
      <c r="O3" s="33" cm="1">
        <f t="array" ref="O3">SUM(IF(ISERROR($O$4:$O$317),0,$O$4:$O$317))</f>
        <v>60275819.971871935</v>
      </c>
      <c r="P3" s="33" cm="1">
        <f t="array" ref="P3">SUM(IF(ISERROR($P$4:$P$317),0,$P$4:$P$317))</f>
        <v>75441670.905326009</v>
      </c>
      <c r="Q3" s="33" cm="1">
        <f t="array" ref="Q3">SUM(IF(ISERROR($Q$4:$Q$317),0,$Q$4:$Q$317))</f>
        <v>1049366.133199492</v>
      </c>
      <c r="R3" s="33" cm="1">
        <f t="array" ref="R3">SUM(IF(ISERROR($R$4:$R$317),0,$R$4:$R$317))</f>
        <v>59226474.948904917</v>
      </c>
      <c r="S3" s="33" cm="1">
        <f t="array" ref="S3">SUM(IF(ISERROR($S$4:$S$317),0,$S$4:$S$317))</f>
        <v>59226453.838672414</v>
      </c>
      <c r="T3" s="33" cm="1">
        <f t="array" ref="T3">SUM(IF(ISERROR($T$4:$T$317),0,$T$4:$T$317))</f>
        <v>75441670.905325994</v>
      </c>
      <c r="U3" s="33" cm="1">
        <f t="array" ref="U3">SUM(IF(ISERROR($U$4:$U$317),0,$U$4:$U$317))</f>
        <v>0</v>
      </c>
      <c r="V3" s="33" cm="1">
        <f t="array" ref="V3">SUM(IF(ISERROR($V$4:$V$317),0,$V$4:$V$317))</f>
        <v>59226453.838672414</v>
      </c>
      <c r="W3" s="33" cm="1">
        <f t="array" ref="W3">SUM(IF(ISERROR($W$4:$W$317),0,$W$4:$W$317))</f>
        <v>59226453.838672429</v>
      </c>
      <c r="X3" s="33" cm="1">
        <f t="array" ref="X3">SUM(IF(ISERROR($X$4:$X$317),0,$X$4:$X$317))</f>
        <v>75441670.905325994</v>
      </c>
      <c r="Y3" s="33" cm="1">
        <f t="array" ref="Y3">SUM(IF(ISERROR($Y$4:$Y$317),0,$Y$4:$Y$317))</f>
        <v>0</v>
      </c>
      <c r="Z3" s="32"/>
    </row>
    <row r="4" spans="1:26" x14ac:dyDescent="0.25">
      <c r="A4" s="4" t="s">
        <v>660</v>
      </c>
      <c r="B4" s="7" t="s">
        <v>308</v>
      </c>
      <c r="C4" s="2" t="s">
        <v>661</v>
      </c>
      <c r="D4">
        <f>VLOOKUP(B4,'Model allocations'!$A$1:$L$316,5,FALSE)</f>
        <v>392655.00860822888</v>
      </c>
      <c r="E4" s="31">
        <f>VLOOKUP(B4,'Initial adjusted formula count'!$A$1:$P$316,12,FALSE)</f>
        <v>0.209235209235209</v>
      </c>
      <c r="F4">
        <f>VLOOKUP(B4,'Model allocations'!$A$1:$L$316,10,FALSE)</f>
        <v>367722.46401768707</v>
      </c>
      <c r="G4" s="30">
        <f>IF(E4&lt;0.15,0.85,IF(AND(E4&gt;=0.15,E4&lt;0.3),0.9,0.95))</f>
        <v>0.9</v>
      </c>
      <c r="H4">
        <f>IF(F4 = 0, 0, D4*G4)</f>
        <v>353389.50774740602</v>
      </c>
      <c r="I4">
        <f t="shared" ref="I4:I67" si="0">IF(F4&lt;H4,H4,0)</f>
        <v>0</v>
      </c>
      <c r="J4">
        <f t="shared" ref="J4:J67" si="1">IF(I4=0,F4,0)</f>
        <v>367722.46401768707</v>
      </c>
      <c r="K4">
        <f t="shared" ref="K4:K67" si="2">(J4/$J$3)*($F$3-$I$3)</f>
        <v>367441.68505752116</v>
      </c>
      <c r="L4">
        <f>I4+K4</f>
        <v>367441.68505752116</v>
      </c>
      <c r="M4">
        <f t="shared" ref="M4:M67" si="3">IF(L4&lt;H4,H4,0)</f>
        <v>0</v>
      </c>
      <c r="N4" s="29">
        <f>IF($I4+$M4=0,L4,0)</f>
        <v>367441.68505752116</v>
      </c>
      <c r="O4" s="29">
        <f t="shared" ref="O4:O67" si="4">((N4/$N$3)*($F$3-$I$3-$M$3))</f>
        <v>367420.81488586293</v>
      </c>
      <c r="P4" s="29">
        <f>$I4+$M4+O4</f>
        <v>367420.81488586293</v>
      </c>
      <c r="Q4">
        <f>IF(P4&lt;H4,H4,0)</f>
        <v>0</v>
      </c>
      <c r="R4" s="29">
        <f>IF($I4+$M4+$Q4=0,P4,0)</f>
        <v>367420.81488586293</v>
      </c>
      <c r="S4" s="29">
        <f t="shared" ref="S4:S67" si="5">((R4/$R$3)*($F$3-$I$3-$M$3-$Q$3))</f>
        <v>367420.68392519321</v>
      </c>
      <c r="T4" s="29">
        <f>$I4+$M4+$Q4+S4</f>
        <v>367420.68392519321</v>
      </c>
      <c r="U4">
        <f>IF(T4&lt;H4,H4,0)</f>
        <v>0</v>
      </c>
      <c r="V4" s="29">
        <f>IF($I4+$M4+$Q4+U4=0,T4,0)</f>
        <v>367420.68392519321</v>
      </c>
      <c r="W4" s="29">
        <f t="shared" ref="W4:W67" si="6">((V4/$V$3)*($F$3-$I$3-$M$3-$Q$3-$U$3))</f>
        <v>367420.68392519327</v>
      </c>
      <c r="X4" s="29">
        <f>$I4+$M4+$Q4+$U4+W4</f>
        <v>367420.68392519327</v>
      </c>
      <c r="Y4">
        <f>IF(X4&lt;H4,H4,0)</f>
        <v>0</v>
      </c>
    </row>
    <row r="5" spans="1:26" x14ac:dyDescent="0.25">
      <c r="A5" s="4" t="s">
        <v>662</v>
      </c>
      <c r="B5" s="7" t="s">
        <v>259</v>
      </c>
      <c r="C5" s="2" t="s">
        <v>663</v>
      </c>
      <c r="D5">
        <f>VLOOKUP(B5,'Model allocations'!$A$1:$L$316,5,FALSE)</f>
        <v>28924.902902532685</v>
      </c>
      <c r="E5" s="31">
        <f>VLOOKUP(B5,'Initial adjusted formula count'!$A$1:$P$316,12,FALSE)</f>
        <v>6.3324538258575203E-2</v>
      </c>
      <c r="F5">
        <f>VLOOKUP(B5,'Model allocations'!$A$1:$L$316,10,FALSE)</f>
        <v>24603.239078092218</v>
      </c>
      <c r="G5" s="30">
        <f t="shared" ref="G5:G68" si="7">IF(E5&lt;0.15,0.85,IF(AND(E5&gt;=0.15,E5&lt;0.3),0.9,0.95))</f>
        <v>0.85</v>
      </c>
      <c r="H5">
        <f t="shared" ref="H5:H68" si="8">IF(F5 = 0, 0, D5*G5)</f>
        <v>24586.167467152784</v>
      </c>
      <c r="I5">
        <f t="shared" si="0"/>
        <v>0</v>
      </c>
      <c r="J5">
        <f t="shared" si="1"/>
        <v>24603.239078092218</v>
      </c>
      <c r="K5">
        <f t="shared" si="2"/>
        <v>24584.452975634449</v>
      </c>
      <c r="L5">
        <f t="shared" ref="L5:L68" si="9">I5+K5</f>
        <v>24584.452975634449</v>
      </c>
      <c r="M5">
        <f t="shared" si="3"/>
        <v>24586.167467152784</v>
      </c>
      <c r="N5" s="29">
        <f t="shared" ref="N5:N68" si="10">IF($I5+$M5=0,L5,0)</f>
        <v>0</v>
      </c>
      <c r="O5" s="29">
        <f t="shared" si="4"/>
        <v>0</v>
      </c>
      <c r="P5" s="29">
        <f t="shared" ref="P5:P68" si="11">$I5+$M5+O5</f>
        <v>24586.167467152784</v>
      </c>
      <c r="Q5">
        <f t="shared" ref="Q5:Q68" si="12">IF(P5&lt;H5,H5,0)</f>
        <v>0</v>
      </c>
      <c r="R5" s="29">
        <f t="shared" ref="R5:R68" si="13">IF($I5+$M5+$Q5=0,P5,0)</f>
        <v>0</v>
      </c>
      <c r="S5" s="29">
        <f t="shared" si="5"/>
        <v>0</v>
      </c>
      <c r="T5" s="29">
        <f t="shared" ref="T5:T68" si="14">$I5+$M5+$Q5+S5</f>
        <v>24586.167467152784</v>
      </c>
      <c r="U5">
        <f t="shared" ref="U5:U68" si="15">IF(T5&lt;H5,H5,0)</f>
        <v>0</v>
      </c>
      <c r="V5" s="29">
        <f t="shared" ref="V5:V68" si="16">IF($I5+$M5+$Q5+U5=0,T5,0)</f>
        <v>0</v>
      </c>
      <c r="W5" s="29">
        <f t="shared" si="6"/>
        <v>0</v>
      </c>
      <c r="X5" s="29">
        <f t="shared" ref="X5:X68" si="17">$I5+$M5+$Q5+$U5+W5</f>
        <v>24586.167467152784</v>
      </c>
      <c r="Y5">
        <f t="shared" ref="Y5:Y68" si="18">IF(X5&lt;H5,H5,0)</f>
        <v>0</v>
      </c>
    </row>
    <row r="6" spans="1:26" x14ac:dyDescent="0.25">
      <c r="A6" s="4" t="s">
        <v>664</v>
      </c>
      <c r="B6" s="7" t="s">
        <v>261</v>
      </c>
      <c r="C6" s="2" t="s">
        <v>665</v>
      </c>
      <c r="D6">
        <f>VLOOKUP(B6,'Model allocations'!$A$1:$L$316,5,FALSE)</f>
        <v>8355.4612451861758</v>
      </c>
      <c r="E6" s="31">
        <f>VLOOKUP(B6,'Initial adjusted formula count'!$A$1:$P$316,12,FALSE)</f>
        <v>0.11224489795918401</v>
      </c>
      <c r="F6">
        <f>VLOOKUP(B6,'Model allocations'!$A$1:$L$316,10,FALSE)</f>
        <v>7107.0734901256892</v>
      </c>
      <c r="G6" s="30">
        <f t="shared" si="7"/>
        <v>0.85</v>
      </c>
      <c r="H6">
        <f t="shared" si="8"/>
        <v>7102.1420584082489</v>
      </c>
      <c r="I6">
        <f t="shared" si="0"/>
        <v>0</v>
      </c>
      <c r="J6">
        <f t="shared" si="1"/>
        <v>7107.0734901256892</v>
      </c>
      <c r="K6">
        <f t="shared" si="2"/>
        <v>7101.6467977159373</v>
      </c>
      <c r="L6">
        <f t="shared" si="9"/>
        <v>7101.6467977159373</v>
      </c>
      <c r="M6">
        <f t="shared" si="3"/>
        <v>7102.1420584082489</v>
      </c>
      <c r="N6" s="29">
        <f t="shared" si="10"/>
        <v>0</v>
      </c>
      <c r="O6" s="29">
        <f t="shared" si="4"/>
        <v>0</v>
      </c>
      <c r="P6" s="29">
        <f t="shared" si="11"/>
        <v>7102.1420584082489</v>
      </c>
      <c r="Q6">
        <f t="shared" si="12"/>
        <v>0</v>
      </c>
      <c r="R6" s="29">
        <f t="shared" si="13"/>
        <v>0</v>
      </c>
      <c r="S6" s="29">
        <f t="shared" si="5"/>
        <v>0</v>
      </c>
      <c r="T6" s="29">
        <f t="shared" si="14"/>
        <v>7102.1420584082489</v>
      </c>
      <c r="U6">
        <f t="shared" si="15"/>
        <v>0</v>
      </c>
      <c r="V6" s="29">
        <f t="shared" si="16"/>
        <v>0</v>
      </c>
      <c r="W6" s="29">
        <f t="shared" si="6"/>
        <v>0</v>
      </c>
      <c r="X6" s="29">
        <f t="shared" si="17"/>
        <v>7102.1420584082489</v>
      </c>
      <c r="Y6">
        <f t="shared" si="18"/>
        <v>0</v>
      </c>
    </row>
    <row r="7" spans="1:26" x14ac:dyDescent="0.25">
      <c r="A7" s="4" t="s">
        <v>666</v>
      </c>
      <c r="B7" s="7" t="s">
        <v>88</v>
      </c>
      <c r="C7" s="2" t="s">
        <v>667</v>
      </c>
      <c r="D7">
        <f>VLOOKUP(B7,'Model allocations'!$A$1:$L$316,5,FALSE)</f>
        <v>97673.947482465446</v>
      </c>
      <c r="E7" s="31">
        <f>VLOOKUP(B7,'Initial adjusted formula count'!$A$1:$P$316,12,FALSE)</f>
        <v>7.3249551166965896E-2</v>
      </c>
      <c r="F7">
        <f>VLOOKUP(B7,'Model allocations'!$A$1:$L$316,10,FALSE)</f>
        <v>86836.952960064838</v>
      </c>
      <c r="G7" s="30">
        <f t="shared" si="7"/>
        <v>0.85</v>
      </c>
      <c r="H7">
        <f t="shared" si="8"/>
        <v>83022.855360095622</v>
      </c>
      <c r="I7">
        <f t="shared" si="0"/>
        <v>0</v>
      </c>
      <c r="J7">
        <f t="shared" si="1"/>
        <v>86836.952960064838</v>
      </c>
      <c r="K7">
        <f t="shared" si="2"/>
        <v>86770.64754839729</v>
      </c>
      <c r="L7">
        <f t="shared" si="9"/>
        <v>86770.64754839729</v>
      </c>
      <c r="M7">
        <f t="shared" si="3"/>
        <v>0</v>
      </c>
      <c r="N7" s="29">
        <f t="shared" si="10"/>
        <v>86770.64754839729</v>
      </c>
      <c r="O7" s="29">
        <f t="shared" si="4"/>
        <v>86765.719097481488</v>
      </c>
      <c r="P7" s="29">
        <f t="shared" si="11"/>
        <v>86765.719097481488</v>
      </c>
      <c r="Q7">
        <f t="shared" si="12"/>
        <v>0</v>
      </c>
      <c r="R7" s="29">
        <f t="shared" si="13"/>
        <v>86765.719097481488</v>
      </c>
      <c r="S7" s="29">
        <f t="shared" si="5"/>
        <v>86765.68817137109</v>
      </c>
      <c r="T7" s="29">
        <f t="shared" si="14"/>
        <v>86765.68817137109</v>
      </c>
      <c r="U7">
        <f t="shared" si="15"/>
        <v>0</v>
      </c>
      <c r="V7" s="29">
        <f t="shared" si="16"/>
        <v>86765.68817137109</v>
      </c>
      <c r="W7" s="29">
        <f t="shared" si="6"/>
        <v>86765.688171371105</v>
      </c>
      <c r="X7" s="29">
        <f t="shared" si="17"/>
        <v>86765.688171371105</v>
      </c>
      <c r="Y7">
        <f t="shared" si="18"/>
        <v>0</v>
      </c>
    </row>
    <row r="8" spans="1:26" x14ac:dyDescent="0.25">
      <c r="A8" s="4" t="s">
        <v>668</v>
      </c>
      <c r="B8" s="7" t="s">
        <v>90</v>
      </c>
      <c r="C8" s="2" t="s">
        <v>669</v>
      </c>
      <c r="D8">
        <f>VLOOKUP(B8,'Model allocations'!$A$1:$L$316,5,FALSE)</f>
        <v>227626.40979819203</v>
      </c>
      <c r="E8" s="31">
        <f>VLOOKUP(B8,'Initial adjusted formula count'!$A$1:$P$316,12,FALSE)</f>
        <v>8.9803398867044304E-2</v>
      </c>
      <c r="F8">
        <f>VLOOKUP(B8,'Model allocations'!$A$1:$L$316,10,FALSE)</f>
        <v>229436.85120330853</v>
      </c>
      <c r="G8" s="30">
        <f t="shared" si="7"/>
        <v>0.85</v>
      </c>
      <c r="H8">
        <f t="shared" si="8"/>
        <v>193482.44832846322</v>
      </c>
      <c r="I8">
        <f t="shared" si="0"/>
        <v>0</v>
      </c>
      <c r="J8">
        <f t="shared" si="1"/>
        <v>229436.85120330853</v>
      </c>
      <c r="K8">
        <f t="shared" si="2"/>
        <v>229261.66190483392</v>
      </c>
      <c r="L8">
        <f t="shared" si="9"/>
        <v>229261.66190483392</v>
      </c>
      <c r="M8">
        <f t="shared" si="3"/>
        <v>0</v>
      </c>
      <c r="N8" s="29">
        <f t="shared" si="10"/>
        <v>229261.66190483392</v>
      </c>
      <c r="O8" s="29">
        <f t="shared" si="4"/>
        <v>229248.640164424</v>
      </c>
      <c r="P8" s="29">
        <f t="shared" si="11"/>
        <v>229248.640164424</v>
      </c>
      <c r="Q8">
        <f t="shared" si="12"/>
        <v>0</v>
      </c>
      <c r="R8" s="29">
        <f t="shared" si="13"/>
        <v>229248.640164424</v>
      </c>
      <c r="S8" s="29">
        <f t="shared" si="5"/>
        <v>229248.55845278918</v>
      </c>
      <c r="T8" s="29">
        <f t="shared" si="14"/>
        <v>229248.55845278918</v>
      </c>
      <c r="U8">
        <f t="shared" si="15"/>
        <v>0</v>
      </c>
      <c r="V8" s="29">
        <f t="shared" si="16"/>
        <v>229248.55845278918</v>
      </c>
      <c r="W8" s="29">
        <f t="shared" si="6"/>
        <v>229248.55845278921</v>
      </c>
      <c r="X8" s="29">
        <f t="shared" si="17"/>
        <v>229248.55845278921</v>
      </c>
      <c r="Y8">
        <f t="shared" si="18"/>
        <v>0</v>
      </c>
    </row>
    <row r="9" spans="1:26" x14ac:dyDescent="0.25">
      <c r="A9" s="4" t="s">
        <v>670</v>
      </c>
      <c r="B9" s="7" t="s">
        <v>309</v>
      </c>
      <c r="C9" s="2" t="s">
        <v>671</v>
      </c>
      <c r="D9">
        <f>VLOOKUP(B9,'Model allocations'!$A$1:$L$316,5,FALSE)</f>
        <v>18159.578573091469</v>
      </c>
      <c r="E9" s="31">
        <f>VLOOKUP(B9,'Initial adjusted formula count'!$A$1:$P$316,12,FALSE)</f>
        <v>6.18556701030928E-2</v>
      </c>
      <c r="F9">
        <f>VLOOKUP(B9,'Model allocations'!$A$1:$L$316,10,FALSE)</f>
        <v>15381.576491901384</v>
      </c>
      <c r="G9" s="30">
        <f t="shared" si="7"/>
        <v>0.85</v>
      </c>
      <c r="H9">
        <f t="shared" si="8"/>
        <v>15435.641787127748</v>
      </c>
      <c r="I9">
        <f t="shared" si="0"/>
        <v>15435.641787127748</v>
      </c>
      <c r="J9">
        <f t="shared" si="1"/>
        <v>0</v>
      </c>
      <c r="K9">
        <f t="shared" si="2"/>
        <v>0</v>
      </c>
      <c r="L9">
        <f t="shared" si="9"/>
        <v>15435.641787127748</v>
      </c>
      <c r="M9">
        <f t="shared" si="3"/>
        <v>0</v>
      </c>
      <c r="N9" s="29">
        <f t="shared" si="10"/>
        <v>0</v>
      </c>
      <c r="O9" s="29">
        <f t="shared" si="4"/>
        <v>0</v>
      </c>
      <c r="P9" s="29">
        <f t="shared" si="11"/>
        <v>15435.641787127748</v>
      </c>
      <c r="Q9">
        <f t="shared" si="12"/>
        <v>0</v>
      </c>
      <c r="R9" s="29">
        <f t="shared" si="13"/>
        <v>0</v>
      </c>
      <c r="S9" s="29">
        <f t="shared" si="5"/>
        <v>0</v>
      </c>
      <c r="T9" s="29">
        <f t="shared" si="14"/>
        <v>15435.641787127748</v>
      </c>
      <c r="U9">
        <f t="shared" si="15"/>
        <v>0</v>
      </c>
      <c r="V9" s="29">
        <f t="shared" si="16"/>
        <v>0</v>
      </c>
      <c r="W9" s="29">
        <f t="shared" si="6"/>
        <v>0</v>
      </c>
      <c r="X9" s="29">
        <f t="shared" si="17"/>
        <v>15435.641787127748</v>
      </c>
      <c r="Y9">
        <f t="shared" si="18"/>
        <v>0</v>
      </c>
    </row>
    <row r="10" spans="1:26" x14ac:dyDescent="0.25">
      <c r="A10" s="4" t="s">
        <v>672</v>
      </c>
      <c r="B10" s="7" t="s">
        <v>311</v>
      </c>
      <c r="C10" s="2" t="s">
        <v>673</v>
      </c>
      <c r="D10">
        <f>VLOOKUP(B10,'Model allocations'!$A$1:$L$316,5,FALSE)</f>
        <v>1736961.3793716549</v>
      </c>
      <c r="E10" s="31">
        <f>VLOOKUP(B10,'Initial adjusted formula count'!$A$1:$P$316,12,FALSE)</f>
        <v>0.16016150740242299</v>
      </c>
      <c r="F10">
        <f>VLOOKUP(B10,'Model allocations'!$A$1:$L$316,10,FALSE)</f>
        <v>1904240.7307198523</v>
      </c>
      <c r="G10" s="30">
        <f t="shared" si="7"/>
        <v>0.9</v>
      </c>
      <c r="H10">
        <f t="shared" si="8"/>
        <v>1563265.2414344894</v>
      </c>
      <c r="I10">
        <f t="shared" si="0"/>
        <v>0</v>
      </c>
      <c r="J10">
        <f t="shared" si="1"/>
        <v>1904240.7307198523</v>
      </c>
      <c r="K10">
        <f t="shared" si="2"/>
        <v>1902786.7245478188</v>
      </c>
      <c r="L10">
        <f t="shared" si="9"/>
        <v>1902786.7245478188</v>
      </c>
      <c r="M10">
        <f t="shared" si="3"/>
        <v>0</v>
      </c>
      <c r="N10" s="29">
        <f t="shared" si="10"/>
        <v>1902786.7245478188</v>
      </c>
      <c r="O10" s="29">
        <f t="shared" si="4"/>
        <v>1902678.6489342309</v>
      </c>
      <c r="P10" s="29">
        <f t="shared" si="11"/>
        <v>1902678.6489342309</v>
      </c>
      <c r="Q10">
        <f t="shared" si="12"/>
        <v>0</v>
      </c>
      <c r="R10" s="29">
        <f t="shared" si="13"/>
        <v>1902678.6489342309</v>
      </c>
      <c r="S10" s="29">
        <f t="shared" si="5"/>
        <v>1902677.9707579815</v>
      </c>
      <c r="T10" s="29">
        <f t="shared" si="14"/>
        <v>1902677.9707579815</v>
      </c>
      <c r="U10">
        <f t="shared" si="15"/>
        <v>0</v>
      </c>
      <c r="V10" s="29">
        <f t="shared" si="16"/>
        <v>1902677.9707579815</v>
      </c>
      <c r="W10" s="29">
        <f t="shared" si="6"/>
        <v>1902677.9707579818</v>
      </c>
      <c r="X10" s="29">
        <f t="shared" si="17"/>
        <v>1902677.9707579818</v>
      </c>
      <c r="Y10">
        <f t="shared" si="18"/>
        <v>0</v>
      </c>
    </row>
    <row r="11" spans="1:26" x14ac:dyDescent="0.25">
      <c r="A11" s="4" t="s">
        <v>674</v>
      </c>
      <c r="B11" s="7" t="s">
        <v>92</v>
      </c>
      <c r="C11" s="2" t="s">
        <v>675</v>
      </c>
      <c r="D11">
        <f>VLOOKUP(B11,'Model allocations'!$A$1:$L$316,5,FALSE)</f>
        <v>0</v>
      </c>
      <c r="E11" s="31">
        <f>VLOOKUP(B11,'Initial adjusted formula count'!$A$1:$P$316,12,FALSE)</f>
        <v>3.75469336670839E-2</v>
      </c>
      <c r="F11">
        <f>VLOOKUP(B11,'Model allocations'!$A$1:$L$316,10,FALSE)</f>
        <v>0</v>
      </c>
      <c r="G11" s="30">
        <f t="shared" si="7"/>
        <v>0.85</v>
      </c>
      <c r="H11">
        <f t="shared" si="8"/>
        <v>0</v>
      </c>
      <c r="I11">
        <f t="shared" si="0"/>
        <v>0</v>
      </c>
      <c r="J11">
        <f t="shared" si="1"/>
        <v>0</v>
      </c>
      <c r="K11">
        <f t="shared" si="2"/>
        <v>0</v>
      </c>
      <c r="L11">
        <f t="shared" si="9"/>
        <v>0</v>
      </c>
      <c r="M11">
        <f t="shared" si="3"/>
        <v>0</v>
      </c>
      <c r="N11" s="29">
        <f t="shared" si="10"/>
        <v>0</v>
      </c>
      <c r="O11" s="29">
        <f t="shared" si="4"/>
        <v>0</v>
      </c>
      <c r="P11" s="29">
        <f t="shared" si="11"/>
        <v>0</v>
      </c>
      <c r="Q11">
        <f t="shared" si="12"/>
        <v>0</v>
      </c>
      <c r="R11" s="29">
        <f t="shared" si="13"/>
        <v>0</v>
      </c>
      <c r="S11" s="29">
        <f t="shared" si="5"/>
        <v>0</v>
      </c>
      <c r="T11" s="29">
        <f t="shared" si="14"/>
        <v>0</v>
      </c>
      <c r="U11">
        <f t="shared" si="15"/>
        <v>0</v>
      </c>
      <c r="V11" s="29">
        <f t="shared" si="16"/>
        <v>0</v>
      </c>
      <c r="W11" s="29">
        <f t="shared" si="6"/>
        <v>0</v>
      </c>
      <c r="X11" s="29">
        <f t="shared" si="17"/>
        <v>0</v>
      </c>
      <c r="Y11">
        <f t="shared" si="18"/>
        <v>0</v>
      </c>
    </row>
    <row r="12" spans="1:26" x14ac:dyDescent="0.25">
      <c r="A12" s="4" t="s">
        <v>676</v>
      </c>
      <c r="B12" s="7" t="s">
        <v>94</v>
      </c>
      <c r="C12" s="2" t="s">
        <v>677</v>
      </c>
      <c r="D12">
        <f>VLOOKUP(B12,'Model allocations'!$A$1:$L$316,5,FALSE)</f>
        <v>421087.8980520881</v>
      </c>
      <c r="E12" s="31">
        <f>VLOOKUP(B12,'Initial adjusted formula count'!$A$1:$P$316,12,FALSE)</f>
        <v>6.4799040948955805E-2</v>
      </c>
      <c r="F12">
        <f>VLOOKUP(B12,'Model allocations'!$A$1:$L$316,10,FALSE)</f>
        <v>508677.24895724229</v>
      </c>
      <c r="G12" s="30">
        <f t="shared" si="7"/>
        <v>0.85</v>
      </c>
      <c r="H12">
        <f t="shared" si="8"/>
        <v>357924.7133442749</v>
      </c>
      <c r="I12">
        <f t="shared" si="0"/>
        <v>0</v>
      </c>
      <c r="J12">
        <f t="shared" si="1"/>
        <v>508677.24895724229</v>
      </c>
      <c r="K12">
        <f t="shared" si="2"/>
        <v>508288.84225654264</v>
      </c>
      <c r="L12">
        <f t="shared" si="9"/>
        <v>508288.84225654264</v>
      </c>
      <c r="M12">
        <f t="shared" si="3"/>
        <v>0</v>
      </c>
      <c r="N12" s="29">
        <f t="shared" si="10"/>
        <v>508288.84225654264</v>
      </c>
      <c r="O12" s="29">
        <f t="shared" si="4"/>
        <v>508259.97216416814</v>
      </c>
      <c r="P12" s="29">
        <f t="shared" si="11"/>
        <v>508259.97216416814</v>
      </c>
      <c r="Q12">
        <f t="shared" si="12"/>
        <v>0</v>
      </c>
      <c r="R12" s="29">
        <f t="shared" si="13"/>
        <v>508259.97216416814</v>
      </c>
      <c r="S12" s="29">
        <f t="shared" si="5"/>
        <v>508259.79100386461</v>
      </c>
      <c r="T12" s="29">
        <f t="shared" si="14"/>
        <v>508259.79100386461</v>
      </c>
      <c r="U12">
        <f t="shared" si="15"/>
        <v>0</v>
      </c>
      <c r="V12" s="29">
        <f t="shared" si="16"/>
        <v>508259.79100386461</v>
      </c>
      <c r="W12" s="29">
        <f t="shared" si="6"/>
        <v>508259.79100386461</v>
      </c>
      <c r="X12" s="29">
        <f t="shared" si="17"/>
        <v>508259.79100386461</v>
      </c>
      <c r="Y12">
        <f t="shared" si="18"/>
        <v>0</v>
      </c>
    </row>
    <row r="13" spans="1:26" x14ac:dyDescent="0.25">
      <c r="A13" s="4" t="s">
        <v>678</v>
      </c>
      <c r="B13" s="7" t="s">
        <v>96</v>
      </c>
      <c r="C13" s="2" t="s">
        <v>679</v>
      </c>
      <c r="D13">
        <f>VLOOKUP(B13,'Model allocations'!$A$1:$L$316,5,FALSE)</f>
        <v>775732.35972661898</v>
      </c>
      <c r="E13" s="31">
        <f>VLOOKUP(B13,'Initial adjusted formula count'!$A$1:$P$316,12,FALSE)</f>
        <v>6.2019251901015301E-2</v>
      </c>
      <c r="F13">
        <f>VLOOKUP(B13,'Model allocations'!$A$1:$L$316,10,FALSE)</f>
        <v>753863.9396680136</v>
      </c>
      <c r="G13" s="30">
        <f t="shared" si="7"/>
        <v>0.85</v>
      </c>
      <c r="H13">
        <f t="shared" si="8"/>
        <v>659372.50576762611</v>
      </c>
      <c r="I13">
        <f t="shared" si="0"/>
        <v>0</v>
      </c>
      <c r="J13">
        <f t="shared" si="1"/>
        <v>753863.9396680136</v>
      </c>
      <c r="K13">
        <f t="shared" si="2"/>
        <v>753288.31768731144</v>
      </c>
      <c r="L13">
        <f t="shared" si="9"/>
        <v>753288.31768731144</v>
      </c>
      <c r="M13">
        <f t="shared" si="3"/>
        <v>0</v>
      </c>
      <c r="N13" s="29">
        <f t="shared" si="10"/>
        <v>753288.31768731144</v>
      </c>
      <c r="O13" s="29">
        <f t="shared" si="4"/>
        <v>753245.53196882177</v>
      </c>
      <c r="P13" s="29">
        <f t="shared" si="11"/>
        <v>753245.53196882177</v>
      </c>
      <c r="Q13">
        <f t="shared" si="12"/>
        <v>0</v>
      </c>
      <c r="R13" s="29">
        <f t="shared" si="13"/>
        <v>753245.53196882177</v>
      </c>
      <c r="S13" s="29">
        <f t="shared" si="5"/>
        <v>753245.26348773588</v>
      </c>
      <c r="T13" s="29">
        <f t="shared" si="14"/>
        <v>753245.26348773588</v>
      </c>
      <c r="U13">
        <f t="shared" si="15"/>
        <v>0</v>
      </c>
      <c r="V13" s="29">
        <f t="shared" si="16"/>
        <v>753245.26348773588</v>
      </c>
      <c r="W13" s="29">
        <f t="shared" si="6"/>
        <v>753245.263487736</v>
      </c>
      <c r="X13" s="29">
        <f t="shared" si="17"/>
        <v>753245.263487736</v>
      </c>
      <c r="Y13">
        <f t="shared" si="18"/>
        <v>0</v>
      </c>
    </row>
    <row r="14" spans="1:26" x14ac:dyDescent="0.25">
      <c r="A14" s="4" t="s">
        <v>14</v>
      </c>
      <c r="B14" s="7" t="s">
        <v>56</v>
      </c>
      <c r="C14" s="2" t="s">
        <v>680</v>
      </c>
      <c r="D14">
        <f>VLOOKUP(B14,'Model allocations'!$A$1:$L$316,5,FALSE)</f>
        <v>697854.1687955613</v>
      </c>
      <c r="E14" s="31">
        <f>VLOOKUP(B14,'Initial adjusted formula count'!$A$1:$P$316,12,FALSE)</f>
        <v>7.70696540197192E-2</v>
      </c>
      <c r="F14">
        <f>VLOOKUP(B14,'Model allocations'!$A$1:$L$316,10,FALSE)</f>
        <v>592235.92122073937</v>
      </c>
      <c r="G14" s="30">
        <f t="shared" si="7"/>
        <v>0.85</v>
      </c>
      <c r="H14">
        <f t="shared" si="8"/>
        <v>593176.04347622709</v>
      </c>
      <c r="I14">
        <f t="shared" si="0"/>
        <v>593176.04347622709</v>
      </c>
      <c r="J14">
        <f t="shared" si="1"/>
        <v>0</v>
      </c>
      <c r="K14">
        <f t="shared" si="2"/>
        <v>0</v>
      </c>
      <c r="L14">
        <f t="shared" si="9"/>
        <v>593176.04347622709</v>
      </c>
      <c r="M14">
        <f t="shared" si="3"/>
        <v>0</v>
      </c>
      <c r="N14" s="29">
        <f t="shared" si="10"/>
        <v>0</v>
      </c>
      <c r="O14" s="29">
        <f t="shared" si="4"/>
        <v>0</v>
      </c>
      <c r="P14" s="29">
        <f t="shared" si="11"/>
        <v>593176.04347622709</v>
      </c>
      <c r="Q14">
        <f t="shared" si="12"/>
        <v>0</v>
      </c>
      <c r="R14" s="29">
        <f t="shared" si="13"/>
        <v>0</v>
      </c>
      <c r="S14" s="29">
        <f t="shared" si="5"/>
        <v>0</v>
      </c>
      <c r="T14" s="29">
        <f t="shared" si="14"/>
        <v>593176.04347622709</v>
      </c>
      <c r="U14">
        <f t="shared" si="15"/>
        <v>0</v>
      </c>
      <c r="V14" s="29">
        <f t="shared" si="16"/>
        <v>0</v>
      </c>
      <c r="W14" s="29">
        <f t="shared" si="6"/>
        <v>0</v>
      </c>
      <c r="X14" s="29">
        <f t="shared" si="17"/>
        <v>593176.04347622709</v>
      </c>
      <c r="Y14">
        <f t="shared" si="18"/>
        <v>0</v>
      </c>
    </row>
    <row r="15" spans="1:26" x14ac:dyDescent="0.25">
      <c r="A15" s="4" t="s">
        <v>681</v>
      </c>
      <c r="B15" s="7" t="s">
        <v>98</v>
      </c>
      <c r="C15" s="2" t="s">
        <v>682</v>
      </c>
      <c r="D15">
        <f>VLOOKUP(B15,'Model allocations'!$A$1:$L$316,5,FALSE)</f>
        <v>0</v>
      </c>
      <c r="E15" s="31">
        <f>VLOOKUP(B15,'Initial adjusted formula count'!$A$1:$P$316,12,FALSE)</f>
        <v>6.25E-2</v>
      </c>
      <c r="F15">
        <f>VLOOKUP(B15,'Model allocations'!$A$1:$L$316,10,FALSE)</f>
        <v>0</v>
      </c>
      <c r="G15" s="30">
        <f t="shared" si="7"/>
        <v>0.85</v>
      </c>
      <c r="H15">
        <f t="shared" si="8"/>
        <v>0</v>
      </c>
      <c r="I15">
        <f t="shared" si="0"/>
        <v>0</v>
      </c>
      <c r="J15">
        <f t="shared" si="1"/>
        <v>0</v>
      </c>
      <c r="K15">
        <f t="shared" si="2"/>
        <v>0</v>
      </c>
      <c r="L15">
        <f t="shared" si="9"/>
        <v>0</v>
      </c>
      <c r="M15">
        <f t="shared" si="3"/>
        <v>0</v>
      </c>
      <c r="N15" s="29">
        <f t="shared" si="10"/>
        <v>0</v>
      </c>
      <c r="O15" s="29">
        <f t="shared" si="4"/>
        <v>0</v>
      </c>
      <c r="P15" s="29">
        <f t="shared" si="11"/>
        <v>0</v>
      </c>
      <c r="Q15">
        <f t="shared" si="12"/>
        <v>0</v>
      </c>
      <c r="R15" s="29">
        <f t="shared" si="13"/>
        <v>0</v>
      </c>
      <c r="S15" s="29">
        <f t="shared" si="5"/>
        <v>0</v>
      </c>
      <c r="T15" s="29">
        <f t="shared" si="14"/>
        <v>0</v>
      </c>
      <c r="U15">
        <f t="shared" si="15"/>
        <v>0</v>
      </c>
      <c r="V15" s="29">
        <f t="shared" si="16"/>
        <v>0</v>
      </c>
      <c r="W15" s="29">
        <f t="shared" si="6"/>
        <v>0</v>
      </c>
      <c r="X15" s="29">
        <f t="shared" si="17"/>
        <v>0</v>
      </c>
      <c r="Y15">
        <f t="shared" si="18"/>
        <v>0</v>
      </c>
    </row>
    <row r="16" spans="1:26" x14ac:dyDescent="0.25">
      <c r="A16" s="4" t="s">
        <v>683</v>
      </c>
      <c r="B16" s="7" t="s">
        <v>263</v>
      </c>
      <c r="C16" s="2" t="s">
        <v>684</v>
      </c>
      <c r="D16">
        <f>VLOOKUP(B16,'Model allocations'!$A$1:$L$316,5,FALSE)</f>
        <v>1484602.0815843407</v>
      </c>
      <c r="E16" s="31">
        <f>VLOOKUP(B16,'Initial adjusted formula count'!$A$1:$P$316,12,FALSE)</f>
        <v>0.114406605595038</v>
      </c>
      <c r="F16">
        <f>VLOOKUP(B16,'Model allocations'!$A$1:$L$316,10,FALSE)</f>
        <v>1742485.6222648299</v>
      </c>
      <c r="G16" s="30">
        <f t="shared" si="7"/>
        <v>0.85</v>
      </c>
      <c r="H16">
        <f t="shared" si="8"/>
        <v>1261911.7693466896</v>
      </c>
      <c r="I16">
        <f t="shared" si="0"/>
        <v>0</v>
      </c>
      <c r="J16">
        <f t="shared" si="1"/>
        <v>1742485.6222648299</v>
      </c>
      <c r="K16">
        <f t="shared" si="2"/>
        <v>1741155.1261733538</v>
      </c>
      <c r="L16">
        <f t="shared" si="9"/>
        <v>1741155.1261733538</v>
      </c>
      <c r="M16">
        <f t="shared" si="3"/>
        <v>0</v>
      </c>
      <c r="N16" s="29">
        <f t="shared" si="10"/>
        <v>1741155.1261733538</v>
      </c>
      <c r="O16" s="29">
        <f t="shared" si="4"/>
        <v>1741056.2310075506</v>
      </c>
      <c r="P16" s="29">
        <f t="shared" si="11"/>
        <v>1741056.2310075506</v>
      </c>
      <c r="Q16">
        <f t="shared" si="12"/>
        <v>0</v>
      </c>
      <c r="R16" s="29">
        <f t="shared" si="13"/>
        <v>1741056.2310075506</v>
      </c>
      <c r="S16" s="29">
        <f t="shared" si="5"/>
        <v>1741055.6104387618</v>
      </c>
      <c r="T16" s="29">
        <f t="shared" si="14"/>
        <v>1741055.6104387618</v>
      </c>
      <c r="U16">
        <f t="shared" si="15"/>
        <v>0</v>
      </c>
      <c r="V16" s="29">
        <f t="shared" si="16"/>
        <v>1741055.6104387618</v>
      </c>
      <c r="W16" s="29">
        <f t="shared" si="6"/>
        <v>1741055.610438762</v>
      </c>
      <c r="X16" s="29">
        <f t="shared" si="17"/>
        <v>1741055.610438762</v>
      </c>
      <c r="Y16">
        <f t="shared" si="18"/>
        <v>0</v>
      </c>
    </row>
    <row r="17" spans="1:25" x14ac:dyDescent="0.25">
      <c r="A17" s="4" t="s">
        <v>685</v>
      </c>
      <c r="B17" s="7" t="s">
        <v>313</v>
      </c>
      <c r="C17" s="2" t="s">
        <v>686</v>
      </c>
      <c r="D17">
        <f>VLOOKUP(B17,'Model allocations'!$A$1:$L$316,5,FALSE)</f>
        <v>0</v>
      </c>
      <c r="E17" s="31">
        <f>VLOOKUP(B17,'Initial adjusted formula count'!$A$1:$P$316,12,FALSE)</f>
        <v>0.126582278481013</v>
      </c>
      <c r="F17">
        <f>VLOOKUP(B17,'Model allocations'!$A$1:$L$316,10,FALSE)</f>
        <v>4256.7133803953338</v>
      </c>
      <c r="G17" s="30">
        <f t="shared" si="7"/>
        <v>0.85</v>
      </c>
      <c r="H17">
        <f t="shared" si="8"/>
        <v>0</v>
      </c>
      <c r="I17">
        <f t="shared" si="0"/>
        <v>0</v>
      </c>
      <c r="J17">
        <f t="shared" si="1"/>
        <v>4256.7133803953338</v>
      </c>
      <c r="K17">
        <f t="shared" si="2"/>
        <v>4253.4631151175117</v>
      </c>
      <c r="L17">
        <f t="shared" si="9"/>
        <v>4253.4631151175117</v>
      </c>
      <c r="M17">
        <f t="shared" si="3"/>
        <v>0</v>
      </c>
      <c r="N17" s="29">
        <f t="shared" si="10"/>
        <v>4253.4631151175117</v>
      </c>
      <c r="O17" s="29">
        <f t="shared" si="4"/>
        <v>4253.2215243863448</v>
      </c>
      <c r="P17" s="29">
        <f t="shared" si="11"/>
        <v>4253.2215243863448</v>
      </c>
      <c r="Q17">
        <f t="shared" si="12"/>
        <v>0</v>
      </c>
      <c r="R17" s="29">
        <f t="shared" si="13"/>
        <v>4253.2215243863448</v>
      </c>
      <c r="S17" s="29">
        <f t="shared" si="5"/>
        <v>4253.2200084005408</v>
      </c>
      <c r="T17" s="29">
        <f t="shared" si="14"/>
        <v>4253.2200084005408</v>
      </c>
      <c r="U17">
        <f t="shared" si="15"/>
        <v>0</v>
      </c>
      <c r="V17" s="29">
        <f t="shared" si="16"/>
        <v>4253.2200084005408</v>
      </c>
      <c r="W17" s="29">
        <f t="shared" si="6"/>
        <v>4253.2200084005408</v>
      </c>
      <c r="X17" s="29">
        <f t="shared" si="17"/>
        <v>4253.2200084005408</v>
      </c>
      <c r="Y17">
        <f t="shared" si="18"/>
        <v>0</v>
      </c>
    </row>
    <row r="18" spans="1:25" x14ac:dyDescent="0.25">
      <c r="A18" s="4" t="s">
        <v>687</v>
      </c>
      <c r="B18" s="7" t="s">
        <v>315</v>
      </c>
      <c r="C18" s="2" t="s">
        <v>688</v>
      </c>
      <c r="D18">
        <f>VLOOKUP(B18,'Model allocations'!$A$1:$L$316,5,FALSE)</f>
        <v>128694.85784170337</v>
      </c>
      <c r="E18" s="31">
        <f>VLOOKUP(B18,'Initial adjusted formula count'!$A$1:$P$316,12,FALSE)</f>
        <v>8.6530612244897998E-2</v>
      </c>
      <c r="F18">
        <f>VLOOKUP(B18,'Model allocations'!$A$1:$L$316,10,FALSE)</f>
        <v>109554.27494674444</v>
      </c>
      <c r="G18" s="30">
        <f t="shared" si="7"/>
        <v>0.85</v>
      </c>
      <c r="H18">
        <f t="shared" si="8"/>
        <v>109390.62916544787</v>
      </c>
      <c r="I18">
        <f t="shared" si="0"/>
        <v>0</v>
      </c>
      <c r="J18">
        <f t="shared" si="1"/>
        <v>109554.27494674444</v>
      </c>
      <c r="K18">
        <f t="shared" si="2"/>
        <v>109470.62344755347</v>
      </c>
      <c r="L18">
        <f t="shared" si="9"/>
        <v>109470.62344755347</v>
      </c>
      <c r="M18">
        <f t="shared" si="3"/>
        <v>0</v>
      </c>
      <c r="N18" s="29">
        <f t="shared" si="10"/>
        <v>109470.62344755347</v>
      </c>
      <c r="O18" s="29">
        <f t="shared" si="4"/>
        <v>109464.40566988755</v>
      </c>
      <c r="P18" s="29">
        <f t="shared" si="11"/>
        <v>109464.40566988755</v>
      </c>
      <c r="Q18">
        <f t="shared" si="12"/>
        <v>0</v>
      </c>
      <c r="R18" s="29">
        <f t="shared" si="13"/>
        <v>109464.40566988755</v>
      </c>
      <c r="S18" s="29">
        <f t="shared" si="5"/>
        <v>109464.36665323064</v>
      </c>
      <c r="T18" s="29">
        <f t="shared" si="14"/>
        <v>109464.36665323064</v>
      </c>
      <c r="U18">
        <f t="shared" si="15"/>
        <v>0</v>
      </c>
      <c r="V18" s="29">
        <f t="shared" si="16"/>
        <v>109464.36665323064</v>
      </c>
      <c r="W18" s="29">
        <f t="shared" si="6"/>
        <v>109464.36665323065</v>
      </c>
      <c r="X18" s="29">
        <f t="shared" si="17"/>
        <v>109464.36665323065</v>
      </c>
      <c r="Y18">
        <f t="shared" si="18"/>
        <v>0</v>
      </c>
    </row>
    <row r="19" spans="1:25" x14ac:dyDescent="0.25">
      <c r="A19" s="4" t="s">
        <v>689</v>
      </c>
      <c r="B19" s="7" t="s">
        <v>317</v>
      </c>
      <c r="C19" s="2" t="s">
        <v>690</v>
      </c>
      <c r="D19">
        <f>VLOOKUP(B19,'Model allocations'!$A$1:$L$316,5,FALSE)</f>
        <v>10060.835792185288</v>
      </c>
      <c r="E19" s="31">
        <f>VLOOKUP(B19,'Initial adjusted formula count'!$A$1:$P$316,12,FALSE)</f>
        <v>0.108597285067873</v>
      </c>
      <c r="F19">
        <f>VLOOKUP(B19,'Model allocations'!$A$1:$L$316,10,FALSE)</f>
        <v>10216.1121129488</v>
      </c>
      <c r="G19" s="30">
        <f t="shared" si="7"/>
        <v>0.85</v>
      </c>
      <c r="H19">
        <f t="shared" si="8"/>
        <v>8551.7104233574937</v>
      </c>
      <c r="I19">
        <f t="shared" si="0"/>
        <v>0</v>
      </c>
      <c r="J19">
        <f t="shared" si="1"/>
        <v>10216.1121129488</v>
      </c>
      <c r="K19">
        <f t="shared" si="2"/>
        <v>10208.311476282028</v>
      </c>
      <c r="L19">
        <f t="shared" si="9"/>
        <v>10208.311476282028</v>
      </c>
      <c r="M19">
        <f t="shared" si="3"/>
        <v>0</v>
      </c>
      <c r="N19" s="29">
        <f t="shared" si="10"/>
        <v>10208.311476282028</v>
      </c>
      <c r="O19" s="29">
        <f t="shared" si="4"/>
        <v>10207.731658527227</v>
      </c>
      <c r="P19" s="29">
        <f t="shared" si="11"/>
        <v>10207.731658527227</v>
      </c>
      <c r="Q19">
        <f t="shared" si="12"/>
        <v>0</v>
      </c>
      <c r="R19" s="29">
        <f t="shared" si="13"/>
        <v>10207.731658527227</v>
      </c>
      <c r="S19" s="29">
        <f t="shared" si="5"/>
        <v>10207.728020161298</v>
      </c>
      <c r="T19" s="29">
        <f t="shared" si="14"/>
        <v>10207.728020161298</v>
      </c>
      <c r="U19">
        <f t="shared" si="15"/>
        <v>0</v>
      </c>
      <c r="V19" s="29">
        <f t="shared" si="16"/>
        <v>10207.728020161298</v>
      </c>
      <c r="W19" s="29">
        <f t="shared" si="6"/>
        <v>10207.728020161299</v>
      </c>
      <c r="X19" s="29">
        <f t="shared" si="17"/>
        <v>10207.728020161299</v>
      </c>
      <c r="Y19">
        <f t="shared" si="18"/>
        <v>0</v>
      </c>
    </row>
    <row r="20" spans="1:25" x14ac:dyDescent="0.25">
      <c r="A20" s="4" t="s">
        <v>10</v>
      </c>
      <c r="B20" s="7" t="s">
        <v>55</v>
      </c>
      <c r="C20" s="2" t="s">
        <v>691</v>
      </c>
      <c r="D20">
        <f>VLOOKUP(B20,'Model allocations'!$A$1:$L$316,5,FALSE)</f>
        <v>412275.3155510567</v>
      </c>
      <c r="E20" s="31">
        <f>VLOOKUP(B20,'Initial adjusted formula count'!$A$1:$P$316,12,FALSE)</f>
        <v>0.16819916138648799</v>
      </c>
      <c r="F20">
        <f>VLOOKUP(B20,'Model allocations'!$A$1:$L$316,10,FALSE)</f>
        <v>392428.39669004199</v>
      </c>
      <c r="G20" s="30">
        <f t="shared" si="7"/>
        <v>0.9</v>
      </c>
      <c r="H20">
        <f t="shared" si="8"/>
        <v>371047.78399595106</v>
      </c>
      <c r="I20">
        <f t="shared" si="0"/>
        <v>0</v>
      </c>
      <c r="J20">
        <f t="shared" si="1"/>
        <v>392428.39669004199</v>
      </c>
      <c r="K20">
        <f t="shared" si="2"/>
        <v>392128.75321447535</v>
      </c>
      <c r="L20">
        <f t="shared" si="9"/>
        <v>392128.75321447535</v>
      </c>
      <c r="M20">
        <f t="shared" si="3"/>
        <v>0</v>
      </c>
      <c r="N20" s="29">
        <f t="shared" si="10"/>
        <v>392128.75321447535</v>
      </c>
      <c r="O20" s="29">
        <f t="shared" si="4"/>
        <v>392106.48085201753</v>
      </c>
      <c r="P20" s="29">
        <f t="shared" si="11"/>
        <v>392106.48085201753</v>
      </c>
      <c r="Q20">
        <f t="shared" si="12"/>
        <v>0</v>
      </c>
      <c r="R20" s="29">
        <f t="shared" si="13"/>
        <v>392106.48085201753</v>
      </c>
      <c r="S20" s="29">
        <f t="shared" si="5"/>
        <v>392106.3410925775</v>
      </c>
      <c r="T20" s="29">
        <f t="shared" si="14"/>
        <v>392106.3410925775</v>
      </c>
      <c r="U20">
        <f t="shared" si="15"/>
        <v>0</v>
      </c>
      <c r="V20" s="29">
        <f t="shared" si="16"/>
        <v>392106.3410925775</v>
      </c>
      <c r="W20" s="29">
        <f t="shared" si="6"/>
        <v>392106.34109257755</v>
      </c>
      <c r="X20" s="29">
        <f t="shared" si="17"/>
        <v>392106.34109257755</v>
      </c>
      <c r="Y20">
        <f t="shared" si="18"/>
        <v>0</v>
      </c>
    </row>
    <row r="21" spans="1:25" x14ac:dyDescent="0.25">
      <c r="A21" s="4" t="s">
        <v>692</v>
      </c>
      <c r="B21" s="7" t="s">
        <v>319</v>
      </c>
      <c r="C21" s="2" t="s">
        <v>693</v>
      </c>
      <c r="D21">
        <f>VLOOKUP(B21,'Model allocations'!$A$1:$L$316,5,FALSE)</f>
        <v>141162.50755631138</v>
      </c>
      <c r="E21" s="31">
        <f>VLOOKUP(B21,'Initial adjusted formula count'!$A$1:$P$316,12,FALSE)</f>
        <v>0.227176220806794</v>
      </c>
      <c r="F21">
        <f>VLOOKUP(B21,'Model allocations'!$A$1:$L$316,10,FALSE)</f>
        <v>127134.47243129089</v>
      </c>
      <c r="G21" s="30">
        <f t="shared" si="7"/>
        <v>0.9</v>
      </c>
      <c r="H21">
        <f t="shared" si="8"/>
        <v>127046.25680068025</v>
      </c>
      <c r="I21">
        <f t="shared" si="0"/>
        <v>0</v>
      </c>
      <c r="J21">
        <f t="shared" si="1"/>
        <v>127134.47243129089</v>
      </c>
      <c r="K21">
        <f t="shared" si="2"/>
        <v>127037.39735847517</v>
      </c>
      <c r="L21">
        <f t="shared" si="9"/>
        <v>127037.39735847517</v>
      </c>
      <c r="M21">
        <f t="shared" si="3"/>
        <v>127046.25680068025</v>
      </c>
      <c r="N21" s="29">
        <f t="shared" si="10"/>
        <v>0</v>
      </c>
      <c r="O21" s="29">
        <f t="shared" si="4"/>
        <v>0</v>
      </c>
      <c r="P21" s="29">
        <f t="shared" si="11"/>
        <v>127046.25680068025</v>
      </c>
      <c r="Q21">
        <f t="shared" si="12"/>
        <v>0</v>
      </c>
      <c r="R21" s="29">
        <f t="shared" si="13"/>
        <v>0</v>
      </c>
      <c r="S21" s="29">
        <f t="shared" si="5"/>
        <v>0</v>
      </c>
      <c r="T21" s="29">
        <f t="shared" si="14"/>
        <v>127046.25680068025</v>
      </c>
      <c r="U21">
        <f t="shared" si="15"/>
        <v>0</v>
      </c>
      <c r="V21" s="29">
        <f t="shared" si="16"/>
        <v>0</v>
      </c>
      <c r="W21" s="29">
        <f t="shared" si="6"/>
        <v>0</v>
      </c>
      <c r="X21" s="29">
        <f t="shared" si="17"/>
        <v>127046.25680068025</v>
      </c>
      <c r="Y21">
        <f t="shared" si="18"/>
        <v>0</v>
      </c>
    </row>
    <row r="22" spans="1:25" x14ac:dyDescent="0.25">
      <c r="A22" s="4" t="s">
        <v>694</v>
      </c>
      <c r="B22" s="7" t="s">
        <v>321</v>
      </c>
      <c r="C22" s="2" t="s">
        <v>695</v>
      </c>
      <c r="D22">
        <f>VLOOKUP(B22,'Model allocations'!$A$1:$L$316,5,FALSE)</f>
        <v>99289.881649412011</v>
      </c>
      <c r="E22" s="31">
        <f>VLOOKUP(B22,'Initial adjusted formula count'!$A$1:$P$316,12,FALSE)</f>
        <v>0.12184249628528999</v>
      </c>
      <c r="F22">
        <f>VLOOKUP(B22,'Model allocations'!$A$1:$L$316,10,FALSE)</f>
        <v>84396.399402000214</v>
      </c>
      <c r="G22" s="30">
        <f t="shared" si="7"/>
        <v>0.85</v>
      </c>
      <c r="H22">
        <f t="shared" si="8"/>
        <v>84396.399402000214</v>
      </c>
      <c r="I22">
        <f t="shared" si="0"/>
        <v>0</v>
      </c>
      <c r="J22">
        <f t="shared" si="1"/>
        <v>84396.399402000214</v>
      </c>
      <c r="K22">
        <f t="shared" si="2"/>
        <v>84331.957504687409</v>
      </c>
      <c r="L22">
        <f t="shared" si="9"/>
        <v>84331.957504687409</v>
      </c>
      <c r="M22">
        <f t="shared" si="3"/>
        <v>84396.399402000214</v>
      </c>
      <c r="N22" s="29">
        <f t="shared" si="10"/>
        <v>0</v>
      </c>
      <c r="O22" s="29">
        <f t="shared" si="4"/>
        <v>0</v>
      </c>
      <c r="P22" s="29">
        <f t="shared" si="11"/>
        <v>84396.399402000214</v>
      </c>
      <c r="Q22">
        <f t="shared" si="12"/>
        <v>0</v>
      </c>
      <c r="R22" s="29">
        <f t="shared" si="13"/>
        <v>0</v>
      </c>
      <c r="S22" s="29">
        <f t="shared" si="5"/>
        <v>0</v>
      </c>
      <c r="T22" s="29">
        <f t="shared" si="14"/>
        <v>84396.399402000214</v>
      </c>
      <c r="U22">
        <f t="shared" si="15"/>
        <v>0</v>
      </c>
      <c r="V22" s="29">
        <f t="shared" si="16"/>
        <v>0</v>
      </c>
      <c r="W22" s="29">
        <f t="shared" si="6"/>
        <v>0</v>
      </c>
      <c r="X22" s="29">
        <f t="shared" si="17"/>
        <v>84396.399402000214</v>
      </c>
      <c r="Y22">
        <f t="shared" si="18"/>
        <v>0</v>
      </c>
    </row>
    <row r="23" spans="1:25" x14ac:dyDescent="0.25">
      <c r="A23" s="4" t="s">
        <v>696</v>
      </c>
      <c r="B23" s="7" t="s">
        <v>323</v>
      </c>
      <c r="C23" s="2" t="s">
        <v>697</v>
      </c>
      <c r="D23">
        <f>VLOOKUP(B23,'Model allocations'!$A$1:$L$316,5,FALSE)</f>
        <v>14837.885130639725</v>
      </c>
      <c r="E23" s="31">
        <f>VLOOKUP(B23,'Initial adjusted formula count'!$A$1:$P$316,12,FALSE)</f>
        <v>0.11504424778761101</v>
      </c>
      <c r="F23">
        <f>VLOOKUP(B23,'Model allocations'!$A$1:$L$316,10,FALSE)</f>
        <v>12612.202361043766</v>
      </c>
      <c r="G23" s="30">
        <f t="shared" si="7"/>
        <v>0.85</v>
      </c>
      <c r="H23">
        <f t="shared" si="8"/>
        <v>12612.202361043766</v>
      </c>
      <c r="I23">
        <f t="shared" si="0"/>
        <v>0</v>
      </c>
      <c r="J23">
        <f t="shared" si="1"/>
        <v>12612.202361043766</v>
      </c>
      <c r="K23">
        <f t="shared" si="2"/>
        <v>12602.572160523394</v>
      </c>
      <c r="L23">
        <f t="shared" si="9"/>
        <v>12602.572160523394</v>
      </c>
      <c r="M23">
        <f t="shared" si="3"/>
        <v>12612.202361043766</v>
      </c>
      <c r="N23" s="29">
        <f t="shared" si="10"/>
        <v>0</v>
      </c>
      <c r="O23" s="29">
        <f t="shared" si="4"/>
        <v>0</v>
      </c>
      <c r="P23" s="29">
        <f t="shared" si="11"/>
        <v>12612.202361043766</v>
      </c>
      <c r="Q23">
        <f t="shared" si="12"/>
        <v>0</v>
      </c>
      <c r="R23" s="29">
        <f t="shared" si="13"/>
        <v>0</v>
      </c>
      <c r="S23" s="29">
        <f t="shared" si="5"/>
        <v>0</v>
      </c>
      <c r="T23" s="29">
        <f t="shared" si="14"/>
        <v>12612.202361043766</v>
      </c>
      <c r="U23">
        <f t="shared" si="15"/>
        <v>0</v>
      </c>
      <c r="V23" s="29">
        <f t="shared" si="16"/>
        <v>0</v>
      </c>
      <c r="W23" s="29">
        <f t="shared" si="6"/>
        <v>0</v>
      </c>
      <c r="X23" s="29">
        <f t="shared" si="17"/>
        <v>12612.202361043766</v>
      </c>
      <c r="Y23">
        <f t="shared" si="18"/>
        <v>0</v>
      </c>
    </row>
    <row r="24" spans="1:25" x14ac:dyDescent="0.25">
      <c r="A24" s="4" t="s">
        <v>698</v>
      </c>
      <c r="B24" s="7" t="s">
        <v>325</v>
      </c>
      <c r="C24" s="2" t="s">
        <v>699</v>
      </c>
      <c r="D24">
        <f>VLOOKUP(B24,'Model allocations'!$A$1:$L$316,5,FALSE)</f>
        <v>168099.79802776244</v>
      </c>
      <c r="E24" s="31">
        <f>VLOOKUP(B24,'Initial adjusted formula count'!$A$1:$P$316,12,FALSE)</f>
        <v>9.8526200873362405E-2</v>
      </c>
      <c r="F24">
        <f>VLOOKUP(B24,'Model allocations'!$A$1:$L$316,10,FALSE)</f>
        <v>153667.35303227158</v>
      </c>
      <c r="G24" s="30">
        <f t="shared" si="7"/>
        <v>0.85</v>
      </c>
      <c r="H24">
        <f t="shared" si="8"/>
        <v>142884.82832359808</v>
      </c>
      <c r="I24">
        <f t="shared" si="0"/>
        <v>0</v>
      </c>
      <c r="J24">
        <f t="shared" si="1"/>
        <v>153667.35303227158</v>
      </c>
      <c r="K24">
        <f t="shared" si="2"/>
        <v>153550.01845574222</v>
      </c>
      <c r="L24">
        <f t="shared" si="9"/>
        <v>153550.01845574222</v>
      </c>
      <c r="M24">
        <f t="shared" si="3"/>
        <v>0</v>
      </c>
      <c r="N24" s="29">
        <f t="shared" si="10"/>
        <v>153550.01845574222</v>
      </c>
      <c r="O24" s="29">
        <f t="shared" si="4"/>
        <v>153541.29703034708</v>
      </c>
      <c r="P24" s="29">
        <f t="shared" si="11"/>
        <v>153541.29703034708</v>
      </c>
      <c r="Q24">
        <f t="shared" si="12"/>
        <v>0</v>
      </c>
      <c r="R24" s="29">
        <f t="shared" si="13"/>
        <v>153541.29703034708</v>
      </c>
      <c r="S24" s="29">
        <f t="shared" si="5"/>
        <v>153541.24230325958</v>
      </c>
      <c r="T24" s="29">
        <f t="shared" si="14"/>
        <v>153541.24230325958</v>
      </c>
      <c r="U24">
        <f t="shared" si="15"/>
        <v>0</v>
      </c>
      <c r="V24" s="29">
        <f t="shared" si="16"/>
        <v>153541.24230325958</v>
      </c>
      <c r="W24" s="29">
        <f t="shared" si="6"/>
        <v>153541.24230325961</v>
      </c>
      <c r="X24" s="29">
        <f t="shared" si="17"/>
        <v>153541.24230325961</v>
      </c>
      <c r="Y24">
        <f t="shared" si="18"/>
        <v>0</v>
      </c>
    </row>
    <row r="25" spans="1:25" x14ac:dyDescent="0.25">
      <c r="A25" s="4" t="s">
        <v>700</v>
      </c>
      <c r="B25" s="7" t="s">
        <v>100</v>
      </c>
      <c r="C25" s="2" t="s">
        <v>701</v>
      </c>
      <c r="D25">
        <f>VLOOKUP(B25,'Model allocations'!$A$1:$L$316,5,FALSE)</f>
        <v>0</v>
      </c>
      <c r="E25" s="31">
        <f>VLOOKUP(B25,'Initial adjusted formula count'!$A$1:$P$316,12,FALSE)</f>
        <v>3.8010513546300001E-2</v>
      </c>
      <c r="F25">
        <f>VLOOKUP(B25,'Model allocations'!$A$1:$L$316,10,FALSE)</f>
        <v>0</v>
      </c>
      <c r="G25" s="30">
        <f t="shared" si="7"/>
        <v>0.85</v>
      </c>
      <c r="H25">
        <f t="shared" si="8"/>
        <v>0</v>
      </c>
      <c r="I25">
        <f t="shared" si="0"/>
        <v>0</v>
      </c>
      <c r="J25">
        <f t="shared" si="1"/>
        <v>0</v>
      </c>
      <c r="K25">
        <f t="shared" si="2"/>
        <v>0</v>
      </c>
      <c r="L25">
        <f t="shared" si="9"/>
        <v>0</v>
      </c>
      <c r="M25">
        <f t="shared" si="3"/>
        <v>0</v>
      </c>
      <c r="N25" s="29">
        <f t="shared" si="10"/>
        <v>0</v>
      </c>
      <c r="O25" s="29">
        <f t="shared" si="4"/>
        <v>0</v>
      </c>
      <c r="P25" s="29">
        <f t="shared" si="11"/>
        <v>0</v>
      </c>
      <c r="Q25">
        <f t="shared" si="12"/>
        <v>0</v>
      </c>
      <c r="R25" s="29">
        <f t="shared" si="13"/>
        <v>0</v>
      </c>
      <c r="S25" s="29">
        <f t="shared" si="5"/>
        <v>0</v>
      </c>
      <c r="T25" s="29">
        <f t="shared" si="14"/>
        <v>0</v>
      </c>
      <c r="U25">
        <f t="shared" si="15"/>
        <v>0</v>
      </c>
      <c r="V25" s="29">
        <f t="shared" si="16"/>
        <v>0</v>
      </c>
      <c r="W25" s="29">
        <f t="shared" si="6"/>
        <v>0</v>
      </c>
      <c r="X25" s="29">
        <f t="shared" si="17"/>
        <v>0</v>
      </c>
      <c r="Y25">
        <f t="shared" si="18"/>
        <v>0</v>
      </c>
    </row>
    <row r="26" spans="1:25" x14ac:dyDescent="0.25">
      <c r="A26" s="4" t="s">
        <v>702</v>
      </c>
      <c r="B26" s="7" t="s">
        <v>327</v>
      </c>
      <c r="C26" s="2" t="s">
        <v>703</v>
      </c>
      <c r="D26">
        <f>VLOOKUP(B26,'Model allocations'!$A$1:$L$316,5,FALSE)</f>
        <v>53810.286992687623</v>
      </c>
      <c r="E26" s="31">
        <f>VLOOKUP(B26,'Initial adjusted formula count'!$A$1:$P$316,12,FALSE)</f>
        <v>0.149722735674677</v>
      </c>
      <c r="F26">
        <f>VLOOKUP(B26,'Model allocations'!$A$1:$L$316,10,FALSE)</f>
        <v>45738.743943784481</v>
      </c>
      <c r="G26" s="30">
        <f t="shared" si="7"/>
        <v>0.85</v>
      </c>
      <c r="H26">
        <f t="shared" si="8"/>
        <v>45738.743943784481</v>
      </c>
      <c r="I26">
        <f t="shared" si="0"/>
        <v>0</v>
      </c>
      <c r="J26">
        <f t="shared" si="1"/>
        <v>45738.743943784481</v>
      </c>
      <c r="K26">
        <f t="shared" si="2"/>
        <v>45703.819569506348</v>
      </c>
      <c r="L26">
        <f t="shared" si="9"/>
        <v>45703.819569506348</v>
      </c>
      <c r="M26">
        <f t="shared" si="3"/>
        <v>45738.743943784481</v>
      </c>
      <c r="N26" s="29">
        <f t="shared" si="10"/>
        <v>0</v>
      </c>
      <c r="O26" s="29">
        <f t="shared" si="4"/>
        <v>0</v>
      </c>
      <c r="P26" s="29">
        <f t="shared" si="11"/>
        <v>45738.743943784481</v>
      </c>
      <c r="Q26">
        <f t="shared" si="12"/>
        <v>0</v>
      </c>
      <c r="R26" s="29">
        <f t="shared" si="13"/>
        <v>0</v>
      </c>
      <c r="S26" s="29">
        <f t="shared" si="5"/>
        <v>0</v>
      </c>
      <c r="T26" s="29">
        <f t="shared" si="14"/>
        <v>45738.743943784481</v>
      </c>
      <c r="U26">
        <f t="shared" si="15"/>
        <v>0</v>
      </c>
      <c r="V26" s="29">
        <f t="shared" si="16"/>
        <v>0</v>
      </c>
      <c r="W26" s="29">
        <f t="shared" si="6"/>
        <v>0</v>
      </c>
      <c r="X26" s="29">
        <f t="shared" si="17"/>
        <v>45738.743943784481</v>
      </c>
      <c r="Y26">
        <f t="shared" si="18"/>
        <v>0</v>
      </c>
    </row>
    <row r="27" spans="1:25" x14ac:dyDescent="0.25">
      <c r="A27" s="4" t="s">
        <v>704</v>
      </c>
      <c r="B27" s="7" t="s">
        <v>102</v>
      </c>
      <c r="C27" s="2" t="s">
        <v>705</v>
      </c>
      <c r="D27">
        <f>VLOOKUP(B27,'Model allocations'!$A$1:$L$316,5,FALSE)</f>
        <v>0</v>
      </c>
      <c r="E27" s="31">
        <f>VLOOKUP(B27,'Initial adjusted formula count'!$A$1:$P$316,12,FALSE)</f>
        <v>1.9047619047619001E-2</v>
      </c>
      <c r="F27">
        <f>VLOOKUP(B27,'Model allocations'!$A$1:$L$316,10,FALSE)</f>
        <v>0</v>
      </c>
      <c r="G27" s="30">
        <f t="shared" si="7"/>
        <v>0.85</v>
      </c>
      <c r="H27">
        <f t="shared" si="8"/>
        <v>0</v>
      </c>
      <c r="I27">
        <f t="shared" si="0"/>
        <v>0</v>
      </c>
      <c r="J27">
        <f t="shared" si="1"/>
        <v>0</v>
      </c>
      <c r="K27">
        <f t="shared" si="2"/>
        <v>0</v>
      </c>
      <c r="L27">
        <f t="shared" si="9"/>
        <v>0</v>
      </c>
      <c r="M27">
        <f t="shared" si="3"/>
        <v>0</v>
      </c>
      <c r="N27" s="29">
        <f t="shared" si="10"/>
        <v>0</v>
      </c>
      <c r="O27" s="29">
        <f t="shared" si="4"/>
        <v>0</v>
      </c>
      <c r="P27" s="29">
        <f t="shared" si="11"/>
        <v>0</v>
      </c>
      <c r="Q27">
        <f t="shared" si="12"/>
        <v>0</v>
      </c>
      <c r="R27" s="29">
        <f t="shared" si="13"/>
        <v>0</v>
      </c>
      <c r="S27" s="29">
        <f t="shared" si="5"/>
        <v>0</v>
      </c>
      <c r="T27" s="29">
        <f t="shared" si="14"/>
        <v>0</v>
      </c>
      <c r="U27">
        <f t="shared" si="15"/>
        <v>0</v>
      </c>
      <c r="V27" s="29">
        <f t="shared" si="16"/>
        <v>0</v>
      </c>
      <c r="W27" s="29">
        <f t="shared" si="6"/>
        <v>0</v>
      </c>
      <c r="X27" s="29">
        <f t="shared" si="17"/>
        <v>0</v>
      </c>
      <c r="Y27">
        <f t="shared" si="18"/>
        <v>0</v>
      </c>
    </row>
    <row r="28" spans="1:25" x14ac:dyDescent="0.25">
      <c r="A28" s="4" t="s">
        <v>706</v>
      </c>
      <c r="B28" s="7" t="s">
        <v>329</v>
      </c>
      <c r="C28" s="2" t="s">
        <v>707</v>
      </c>
      <c r="D28">
        <f>VLOOKUP(B28,'Model allocations'!$A$1:$L$316,5,FALSE)</f>
        <v>64557.029666522227</v>
      </c>
      <c r="E28" s="31">
        <f>VLOOKUP(B28,'Initial adjusted formula count'!$A$1:$P$316,12,FALSE)</f>
        <v>7.7067669172932299E-2</v>
      </c>
      <c r="F28">
        <f>VLOOKUP(B28,'Model allocations'!$A$1:$L$316,10,FALSE)</f>
        <v>54911.577072843502</v>
      </c>
      <c r="G28" s="30">
        <f t="shared" si="7"/>
        <v>0.85</v>
      </c>
      <c r="H28">
        <f t="shared" si="8"/>
        <v>54873.475216543891</v>
      </c>
      <c r="I28">
        <f t="shared" si="0"/>
        <v>0</v>
      </c>
      <c r="J28">
        <f t="shared" si="1"/>
        <v>54911.577072843502</v>
      </c>
      <c r="K28">
        <f t="shared" si="2"/>
        <v>54869.648670256596</v>
      </c>
      <c r="L28">
        <f t="shared" si="9"/>
        <v>54869.648670256596</v>
      </c>
      <c r="M28">
        <f t="shared" si="3"/>
        <v>54873.475216543891</v>
      </c>
      <c r="N28" s="29">
        <f t="shared" si="10"/>
        <v>0</v>
      </c>
      <c r="O28" s="29">
        <f t="shared" si="4"/>
        <v>0</v>
      </c>
      <c r="P28" s="29">
        <f t="shared" si="11"/>
        <v>54873.475216543891</v>
      </c>
      <c r="Q28">
        <f t="shared" si="12"/>
        <v>0</v>
      </c>
      <c r="R28" s="29">
        <f t="shared" si="13"/>
        <v>0</v>
      </c>
      <c r="S28" s="29">
        <f t="shared" si="5"/>
        <v>0</v>
      </c>
      <c r="T28" s="29">
        <f t="shared" si="14"/>
        <v>54873.475216543891</v>
      </c>
      <c r="U28">
        <f t="shared" si="15"/>
        <v>0</v>
      </c>
      <c r="V28" s="29">
        <f t="shared" si="16"/>
        <v>0</v>
      </c>
      <c r="W28" s="29">
        <f t="shared" si="6"/>
        <v>0</v>
      </c>
      <c r="X28" s="29">
        <f t="shared" si="17"/>
        <v>54873.475216543891</v>
      </c>
      <c r="Y28">
        <f t="shared" si="18"/>
        <v>0</v>
      </c>
    </row>
    <row r="29" spans="1:25" x14ac:dyDescent="0.25">
      <c r="A29" s="4" t="s">
        <v>708</v>
      </c>
      <c r="B29" s="7" t="s">
        <v>331</v>
      </c>
      <c r="C29" s="2" t="s">
        <v>709</v>
      </c>
      <c r="D29">
        <f>VLOOKUP(B29,'Model allocations'!$A$1:$L$316,5,FALSE)</f>
        <v>69587.447562614863</v>
      </c>
      <c r="E29" s="31">
        <f>VLOOKUP(B29,'Initial adjusted formula count'!$A$1:$P$316,12,FALSE)</f>
        <v>8.7890625E-2</v>
      </c>
      <c r="F29">
        <f>VLOOKUP(B29,'Model allocations'!$A$1:$L$316,10,FALSE)</f>
        <v>59190.401260337792</v>
      </c>
      <c r="G29" s="30">
        <f t="shared" si="7"/>
        <v>0.85</v>
      </c>
      <c r="H29">
        <f t="shared" si="8"/>
        <v>59149.330428222631</v>
      </c>
      <c r="I29">
        <f t="shared" si="0"/>
        <v>0</v>
      </c>
      <c r="J29">
        <f t="shared" si="1"/>
        <v>59190.401260337792</v>
      </c>
      <c r="K29">
        <f t="shared" si="2"/>
        <v>59145.205709497364</v>
      </c>
      <c r="L29">
        <f t="shared" si="9"/>
        <v>59145.205709497364</v>
      </c>
      <c r="M29">
        <f t="shared" si="3"/>
        <v>59149.330428222631</v>
      </c>
      <c r="N29" s="29">
        <f t="shared" si="10"/>
        <v>0</v>
      </c>
      <c r="O29" s="29">
        <f t="shared" si="4"/>
        <v>0</v>
      </c>
      <c r="P29" s="29">
        <f t="shared" si="11"/>
        <v>59149.330428222631</v>
      </c>
      <c r="Q29">
        <f t="shared" si="12"/>
        <v>0</v>
      </c>
      <c r="R29" s="29">
        <f t="shared" si="13"/>
        <v>0</v>
      </c>
      <c r="S29" s="29">
        <f t="shared" si="5"/>
        <v>0</v>
      </c>
      <c r="T29" s="29">
        <f t="shared" si="14"/>
        <v>59149.330428222631</v>
      </c>
      <c r="U29">
        <f t="shared" si="15"/>
        <v>0</v>
      </c>
      <c r="V29" s="29">
        <f t="shared" si="16"/>
        <v>0</v>
      </c>
      <c r="W29" s="29">
        <f t="shared" si="6"/>
        <v>0</v>
      </c>
      <c r="X29" s="29">
        <f t="shared" si="17"/>
        <v>59149.330428222631</v>
      </c>
      <c r="Y29">
        <f t="shared" si="18"/>
        <v>0</v>
      </c>
    </row>
    <row r="30" spans="1:25" x14ac:dyDescent="0.25">
      <c r="A30" s="4" t="s">
        <v>710</v>
      </c>
      <c r="B30" s="7" t="s">
        <v>104</v>
      </c>
      <c r="C30" s="2" t="s">
        <v>711</v>
      </c>
      <c r="D30">
        <f>VLOOKUP(B30,'Model allocations'!$A$1:$L$316,5,FALSE)</f>
        <v>81325.089320164378</v>
      </c>
      <c r="E30" s="31">
        <f>VLOOKUP(B30,'Initial adjusted formula count'!$A$1:$P$316,12,FALSE)</f>
        <v>9.8074608904933802E-2</v>
      </c>
      <c r="F30">
        <f>VLOOKUP(B30,'Model allocations'!$A$1:$L$316,10,FALSE)</f>
        <v>69384.428100443954</v>
      </c>
      <c r="G30" s="30">
        <f t="shared" si="7"/>
        <v>0.85</v>
      </c>
      <c r="H30">
        <f t="shared" si="8"/>
        <v>69126.325922139717</v>
      </c>
      <c r="I30">
        <f t="shared" si="0"/>
        <v>0</v>
      </c>
      <c r="J30">
        <f t="shared" si="1"/>
        <v>69384.428100443954</v>
      </c>
      <c r="K30">
        <f t="shared" si="2"/>
        <v>69331.448776415462</v>
      </c>
      <c r="L30">
        <f t="shared" si="9"/>
        <v>69331.448776415462</v>
      </c>
      <c r="M30">
        <f t="shared" si="3"/>
        <v>0</v>
      </c>
      <c r="N30" s="29">
        <f t="shared" si="10"/>
        <v>69331.448776415462</v>
      </c>
      <c r="O30" s="29">
        <f t="shared" si="4"/>
        <v>69327.51084749744</v>
      </c>
      <c r="P30" s="29">
        <f t="shared" si="11"/>
        <v>69327.51084749744</v>
      </c>
      <c r="Q30">
        <f t="shared" si="12"/>
        <v>0</v>
      </c>
      <c r="R30" s="29">
        <f t="shared" si="13"/>
        <v>69327.51084749744</v>
      </c>
      <c r="S30" s="29">
        <f t="shared" si="5"/>
        <v>69327.486136928841</v>
      </c>
      <c r="T30" s="29">
        <f t="shared" si="14"/>
        <v>69327.486136928841</v>
      </c>
      <c r="U30">
        <f t="shared" si="15"/>
        <v>0</v>
      </c>
      <c r="V30" s="29">
        <f t="shared" si="16"/>
        <v>69327.486136928841</v>
      </c>
      <c r="W30" s="29">
        <f t="shared" si="6"/>
        <v>69327.486136928841</v>
      </c>
      <c r="X30" s="29">
        <f t="shared" si="17"/>
        <v>69327.486136928841</v>
      </c>
      <c r="Y30">
        <f t="shared" si="18"/>
        <v>0</v>
      </c>
    </row>
    <row r="31" spans="1:25" x14ac:dyDescent="0.25">
      <c r="A31" s="4" t="s">
        <v>8</v>
      </c>
      <c r="B31" s="7" t="s">
        <v>66</v>
      </c>
      <c r="C31" s="2" t="s">
        <v>712</v>
      </c>
      <c r="D31">
        <f>VLOOKUP(B31,'Model allocations'!$A$1:$L$316,5,FALSE)</f>
        <v>40704.489288154939</v>
      </c>
      <c r="E31" s="31">
        <f>VLOOKUP(B31,'Initial adjusted formula count'!$A$1:$P$316,12,FALSE)</f>
        <v>0.12580234706885199</v>
      </c>
      <c r="F31">
        <f>VLOOKUP(B31,'Model allocations'!$A$1:$L$316,10,FALSE)</f>
        <v>37195.243574345477</v>
      </c>
      <c r="G31" s="30">
        <f t="shared" si="7"/>
        <v>0.85</v>
      </c>
      <c r="H31">
        <f t="shared" si="8"/>
        <v>34598.8158949317</v>
      </c>
      <c r="I31">
        <f t="shared" si="0"/>
        <v>0</v>
      </c>
      <c r="J31">
        <f t="shared" si="1"/>
        <v>37195.243574345477</v>
      </c>
      <c r="K31">
        <f t="shared" si="2"/>
        <v>37166.84269369267</v>
      </c>
      <c r="L31">
        <f t="shared" si="9"/>
        <v>37166.84269369267</v>
      </c>
      <c r="M31">
        <f t="shared" si="3"/>
        <v>0</v>
      </c>
      <c r="N31" s="29">
        <f t="shared" si="10"/>
        <v>37166.84269369267</v>
      </c>
      <c r="O31" s="29">
        <f t="shared" si="4"/>
        <v>37164.731669226596</v>
      </c>
      <c r="P31" s="29">
        <f t="shared" si="11"/>
        <v>37164.731669226596</v>
      </c>
      <c r="Q31">
        <f t="shared" si="12"/>
        <v>0</v>
      </c>
      <c r="R31" s="29">
        <f t="shared" si="13"/>
        <v>37164.731669226596</v>
      </c>
      <c r="S31" s="29">
        <f t="shared" si="5"/>
        <v>37164.718422513419</v>
      </c>
      <c r="T31" s="29">
        <f t="shared" si="14"/>
        <v>37164.718422513419</v>
      </c>
      <c r="U31">
        <f t="shared" si="15"/>
        <v>0</v>
      </c>
      <c r="V31" s="29">
        <f t="shared" si="16"/>
        <v>37164.718422513419</v>
      </c>
      <c r="W31" s="29">
        <f t="shared" si="6"/>
        <v>37164.718422513419</v>
      </c>
      <c r="X31" s="29">
        <f t="shared" si="17"/>
        <v>37164.718422513419</v>
      </c>
      <c r="Y31">
        <f t="shared" si="18"/>
        <v>0</v>
      </c>
    </row>
    <row r="32" spans="1:25" x14ac:dyDescent="0.25">
      <c r="A32" s="4" t="s">
        <v>713</v>
      </c>
      <c r="B32" s="7" t="s">
        <v>333</v>
      </c>
      <c r="C32" s="2" t="s">
        <v>714</v>
      </c>
      <c r="D32">
        <f>VLOOKUP(B32,'Model allocations'!$A$1:$L$316,5,FALSE)</f>
        <v>15264.804293868739</v>
      </c>
      <c r="E32" s="31">
        <f>VLOOKUP(B32,'Initial adjusted formula count'!$A$1:$P$316,12,FALSE)</f>
        <v>0.38297872340425498</v>
      </c>
      <c r="F32">
        <f>VLOOKUP(B32,'Model allocations'!$A$1:$L$316,10,FALSE)</f>
        <v>29459.244739599875</v>
      </c>
      <c r="G32" s="30">
        <f t="shared" si="7"/>
        <v>0.95</v>
      </c>
      <c r="H32">
        <f t="shared" si="8"/>
        <v>14501.564079175301</v>
      </c>
      <c r="I32">
        <f t="shared" si="0"/>
        <v>0</v>
      </c>
      <c r="J32">
        <f t="shared" si="1"/>
        <v>29459.244739599875</v>
      </c>
      <c r="K32">
        <f t="shared" si="2"/>
        <v>29436.750774953591</v>
      </c>
      <c r="L32">
        <f t="shared" si="9"/>
        <v>29436.750774953591</v>
      </c>
      <c r="M32">
        <f t="shared" si="3"/>
        <v>0</v>
      </c>
      <c r="N32" s="29">
        <f t="shared" si="10"/>
        <v>29436.750774953591</v>
      </c>
      <c r="O32" s="29">
        <f t="shared" si="4"/>
        <v>29435.078808851988</v>
      </c>
      <c r="P32" s="29">
        <f t="shared" si="11"/>
        <v>29435.078808851988</v>
      </c>
      <c r="Q32">
        <f t="shared" si="12"/>
        <v>0</v>
      </c>
      <c r="R32" s="29">
        <f t="shared" si="13"/>
        <v>29435.078808851988</v>
      </c>
      <c r="S32" s="29">
        <f t="shared" si="5"/>
        <v>29435.068317237252</v>
      </c>
      <c r="T32" s="29">
        <f t="shared" si="14"/>
        <v>29435.068317237252</v>
      </c>
      <c r="U32">
        <f t="shared" si="15"/>
        <v>0</v>
      </c>
      <c r="V32" s="29">
        <f t="shared" si="16"/>
        <v>29435.068317237252</v>
      </c>
      <c r="W32" s="29">
        <f t="shared" si="6"/>
        <v>29435.068317237252</v>
      </c>
      <c r="X32" s="29">
        <f t="shared" si="17"/>
        <v>29435.068317237252</v>
      </c>
      <c r="Y32">
        <f t="shared" si="18"/>
        <v>0</v>
      </c>
    </row>
    <row r="33" spans="1:25" x14ac:dyDescent="0.25">
      <c r="A33" s="4" t="s">
        <v>715</v>
      </c>
      <c r="B33" s="7" t="s">
        <v>106</v>
      </c>
      <c r="C33" s="2" t="s">
        <v>716</v>
      </c>
      <c r="D33">
        <f>VLOOKUP(B33,'Model allocations'!$A$1:$L$316,5,FALSE)</f>
        <v>350033.24526977964</v>
      </c>
      <c r="E33" s="31">
        <f>VLOOKUP(B33,'Initial adjusted formula count'!$A$1:$P$316,12,FALSE)</f>
        <v>7.3902177793645094E-2</v>
      </c>
      <c r="F33">
        <f>VLOOKUP(B33,'Model allocations'!$A$1:$L$316,10,FALSE)</f>
        <v>381614.3545524418</v>
      </c>
      <c r="G33" s="30">
        <f t="shared" si="7"/>
        <v>0.85</v>
      </c>
      <c r="H33">
        <f t="shared" si="8"/>
        <v>297528.2584793127</v>
      </c>
      <c r="I33">
        <f t="shared" si="0"/>
        <v>0</v>
      </c>
      <c r="J33">
        <f t="shared" si="1"/>
        <v>381614.3545524418</v>
      </c>
      <c r="K33">
        <f t="shared" si="2"/>
        <v>381322.96827028511</v>
      </c>
      <c r="L33">
        <f t="shared" si="9"/>
        <v>381322.96827028511</v>
      </c>
      <c r="M33">
        <f t="shared" si="3"/>
        <v>0</v>
      </c>
      <c r="N33" s="29">
        <f t="shared" si="10"/>
        <v>381322.96827028511</v>
      </c>
      <c r="O33" s="29">
        <f t="shared" si="4"/>
        <v>381301.30966123601</v>
      </c>
      <c r="P33" s="29">
        <f t="shared" si="11"/>
        <v>381301.30966123601</v>
      </c>
      <c r="Q33">
        <f t="shared" si="12"/>
        <v>0</v>
      </c>
      <c r="R33" s="29">
        <f t="shared" si="13"/>
        <v>381301.30966123601</v>
      </c>
      <c r="S33" s="29">
        <f t="shared" si="5"/>
        <v>381301.17375310871</v>
      </c>
      <c r="T33" s="29">
        <f t="shared" si="14"/>
        <v>381301.17375310871</v>
      </c>
      <c r="U33">
        <f t="shared" si="15"/>
        <v>0</v>
      </c>
      <c r="V33" s="29">
        <f t="shared" si="16"/>
        <v>381301.17375310871</v>
      </c>
      <c r="W33" s="29">
        <f t="shared" si="6"/>
        <v>381301.17375310877</v>
      </c>
      <c r="X33" s="29">
        <f t="shared" si="17"/>
        <v>381301.17375310877</v>
      </c>
      <c r="Y33">
        <f t="shared" si="18"/>
        <v>0</v>
      </c>
    </row>
    <row r="34" spans="1:25" x14ac:dyDescent="0.25">
      <c r="A34" s="4" t="s">
        <v>717</v>
      </c>
      <c r="B34" s="7" t="s">
        <v>265</v>
      </c>
      <c r="C34" s="2" t="s">
        <v>718</v>
      </c>
      <c r="D34">
        <f>VLOOKUP(B34,'Model allocations'!$A$1:$L$316,5,FALSE)</f>
        <v>851476.57932692498</v>
      </c>
      <c r="E34" s="31">
        <f>VLOOKUP(B34,'Initial adjusted formula count'!$A$1:$P$316,12,FALSE)</f>
        <v>7.6382791922739196E-2</v>
      </c>
      <c r="F34">
        <f>VLOOKUP(B34,'Model allocations'!$A$1:$L$316,10,FALSE)</f>
        <v>723653.6835596743</v>
      </c>
      <c r="G34" s="30">
        <f t="shared" si="7"/>
        <v>0.85</v>
      </c>
      <c r="H34">
        <f t="shared" si="8"/>
        <v>723755.09242788621</v>
      </c>
      <c r="I34">
        <f t="shared" si="0"/>
        <v>723755.09242788621</v>
      </c>
      <c r="J34">
        <f t="shared" si="1"/>
        <v>0</v>
      </c>
      <c r="K34">
        <f t="shared" si="2"/>
        <v>0</v>
      </c>
      <c r="L34">
        <f t="shared" si="9"/>
        <v>723755.09242788621</v>
      </c>
      <c r="M34">
        <f t="shared" si="3"/>
        <v>0</v>
      </c>
      <c r="N34" s="29">
        <f t="shared" si="10"/>
        <v>0</v>
      </c>
      <c r="O34" s="29">
        <f t="shared" si="4"/>
        <v>0</v>
      </c>
      <c r="P34" s="29">
        <f t="shared" si="11"/>
        <v>723755.09242788621</v>
      </c>
      <c r="Q34">
        <f t="shared" si="12"/>
        <v>0</v>
      </c>
      <c r="R34" s="29">
        <f t="shared" si="13"/>
        <v>0</v>
      </c>
      <c r="S34" s="29">
        <f t="shared" si="5"/>
        <v>0</v>
      </c>
      <c r="T34" s="29">
        <f t="shared" si="14"/>
        <v>723755.09242788621</v>
      </c>
      <c r="U34">
        <f t="shared" si="15"/>
        <v>0</v>
      </c>
      <c r="V34" s="29">
        <f t="shared" si="16"/>
        <v>0</v>
      </c>
      <c r="W34" s="29">
        <f t="shared" si="6"/>
        <v>0</v>
      </c>
      <c r="X34" s="29">
        <f t="shared" si="17"/>
        <v>723755.09242788621</v>
      </c>
      <c r="Y34">
        <f t="shared" si="18"/>
        <v>0</v>
      </c>
    </row>
    <row r="35" spans="1:25" x14ac:dyDescent="0.25">
      <c r="A35" s="4" t="s">
        <v>719</v>
      </c>
      <c r="B35" s="7" t="s">
        <v>335</v>
      </c>
      <c r="C35" s="2" t="s">
        <v>720</v>
      </c>
      <c r="D35">
        <f>VLOOKUP(B35,'Model allocations'!$A$1:$L$316,5,FALSE)</f>
        <v>417869.31092172075</v>
      </c>
      <c r="E35" s="31">
        <f>VLOOKUP(B35,'Initial adjusted formula count'!$A$1:$P$316,12,FALSE)</f>
        <v>0.178010471204188</v>
      </c>
      <c r="F35">
        <f>VLOOKUP(B35,'Model allocations'!$A$1:$L$316,10,FALSE)</f>
        <v>376682.33308331954</v>
      </c>
      <c r="G35" s="30">
        <f t="shared" si="7"/>
        <v>0.9</v>
      </c>
      <c r="H35">
        <f t="shared" si="8"/>
        <v>376082.37982954871</v>
      </c>
      <c r="I35">
        <f t="shared" si="0"/>
        <v>0</v>
      </c>
      <c r="J35">
        <f t="shared" si="1"/>
        <v>376682.33308331954</v>
      </c>
      <c r="K35">
        <f t="shared" si="2"/>
        <v>376394.71270614589</v>
      </c>
      <c r="L35">
        <f t="shared" si="9"/>
        <v>376394.71270614589</v>
      </c>
      <c r="M35">
        <f t="shared" si="3"/>
        <v>0</v>
      </c>
      <c r="N35" s="29">
        <f t="shared" si="10"/>
        <v>376394.71270614589</v>
      </c>
      <c r="O35" s="29">
        <f t="shared" si="4"/>
        <v>376373.3340150913</v>
      </c>
      <c r="P35" s="29">
        <f t="shared" si="11"/>
        <v>376373.3340150913</v>
      </c>
      <c r="Q35">
        <f t="shared" si="12"/>
        <v>0</v>
      </c>
      <c r="R35" s="29">
        <f t="shared" si="13"/>
        <v>376373.3340150913</v>
      </c>
      <c r="S35" s="29">
        <f t="shared" si="5"/>
        <v>376373.19986345398</v>
      </c>
      <c r="T35" s="29">
        <f t="shared" si="14"/>
        <v>376373.19986345398</v>
      </c>
      <c r="U35">
        <f t="shared" si="15"/>
        <v>0</v>
      </c>
      <c r="V35" s="29">
        <f t="shared" si="16"/>
        <v>376373.19986345398</v>
      </c>
      <c r="W35" s="29">
        <f t="shared" si="6"/>
        <v>376373.19986345404</v>
      </c>
      <c r="X35" s="29">
        <f t="shared" si="17"/>
        <v>376373.19986345404</v>
      </c>
      <c r="Y35">
        <f t="shared" si="18"/>
        <v>0</v>
      </c>
    </row>
    <row r="36" spans="1:25" x14ac:dyDescent="0.25">
      <c r="A36" s="4" t="s">
        <v>721</v>
      </c>
      <c r="B36" s="7" t="s">
        <v>337</v>
      </c>
      <c r="C36" s="2" t="s">
        <v>722</v>
      </c>
      <c r="D36">
        <f>VLOOKUP(B36,'Model allocations'!$A$1:$L$316,5,FALSE)</f>
        <v>168099.79802776244</v>
      </c>
      <c r="E36" s="31">
        <f>VLOOKUP(B36,'Initial adjusted formula count'!$A$1:$P$316,12,FALSE)</f>
        <v>0.112919633774161</v>
      </c>
      <c r="F36">
        <f>VLOOKUP(B36,'Model allocations'!$A$1:$L$316,10,FALSE)</f>
        <v>142664.04747359347</v>
      </c>
      <c r="G36" s="30">
        <f t="shared" si="7"/>
        <v>0.85</v>
      </c>
      <c r="H36">
        <f t="shared" si="8"/>
        <v>142884.82832359808</v>
      </c>
      <c r="I36">
        <f t="shared" si="0"/>
        <v>142884.82832359808</v>
      </c>
      <c r="J36">
        <f t="shared" si="1"/>
        <v>0</v>
      </c>
      <c r="K36">
        <f t="shared" si="2"/>
        <v>0</v>
      </c>
      <c r="L36">
        <f t="shared" si="9"/>
        <v>142884.82832359808</v>
      </c>
      <c r="M36">
        <f t="shared" si="3"/>
        <v>0</v>
      </c>
      <c r="N36" s="29">
        <f t="shared" si="10"/>
        <v>0</v>
      </c>
      <c r="O36" s="29">
        <f t="shared" si="4"/>
        <v>0</v>
      </c>
      <c r="P36" s="29">
        <f t="shared" si="11"/>
        <v>142884.82832359808</v>
      </c>
      <c r="Q36">
        <f t="shared" si="12"/>
        <v>0</v>
      </c>
      <c r="R36" s="29">
        <f t="shared" si="13"/>
        <v>0</v>
      </c>
      <c r="S36" s="29">
        <f t="shared" si="5"/>
        <v>0</v>
      </c>
      <c r="T36" s="29">
        <f t="shared" si="14"/>
        <v>142884.82832359808</v>
      </c>
      <c r="U36">
        <f t="shared" si="15"/>
        <v>0</v>
      </c>
      <c r="V36" s="29">
        <f t="shared" si="16"/>
        <v>0</v>
      </c>
      <c r="W36" s="29">
        <f t="shared" si="6"/>
        <v>0</v>
      </c>
      <c r="X36" s="29">
        <f t="shared" si="17"/>
        <v>142884.82832359808</v>
      </c>
      <c r="Y36">
        <f t="shared" si="18"/>
        <v>0</v>
      </c>
    </row>
    <row r="37" spans="1:25" x14ac:dyDescent="0.25">
      <c r="A37" s="4" t="s">
        <v>723</v>
      </c>
      <c r="B37" s="7" t="s">
        <v>267</v>
      </c>
      <c r="C37" s="2" t="s">
        <v>724</v>
      </c>
      <c r="D37">
        <f>VLOOKUP(B37,'Model allocations'!$A$1:$L$316,5,FALSE)</f>
        <v>338806.51893102983</v>
      </c>
      <c r="E37" s="31">
        <f>VLOOKUP(B37,'Initial adjusted formula count'!$A$1:$P$316,12,FALSE)</f>
        <v>9.5435684647302899E-2</v>
      </c>
      <c r="F37">
        <f>VLOOKUP(B37,'Model allocations'!$A$1:$L$316,10,FALSE)</f>
        <v>287957.22674287937</v>
      </c>
      <c r="G37" s="30">
        <f t="shared" si="7"/>
        <v>0.85</v>
      </c>
      <c r="H37">
        <f t="shared" si="8"/>
        <v>287985.54109137534</v>
      </c>
      <c r="I37">
        <f t="shared" si="0"/>
        <v>287985.54109137534</v>
      </c>
      <c r="J37">
        <f t="shared" si="1"/>
        <v>0</v>
      </c>
      <c r="K37">
        <f t="shared" si="2"/>
        <v>0</v>
      </c>
      <c r="L37">
        <f t="shared" si="9"/>
        <v>287985.54109137534</v>
      </c>
      <c r="M37">
        <f t="shared" si="3"/>
        <v>0</v>
      </c>
      <c r="N37" s="29">
        <f t="shared" si="10"/>
        <v>0</v>
      </c>
      <c r="O37" s="29">
        <f t="shared" si="4"/>
        <v>0</v>
      </c>
      <c r="P37" s="29">
        <f t="shared" si="11"/>
        <v>287985.54109137534</v>
      </c>
      <c r="Q37">
        <f t="shared" si="12"/>
        <v>0</v>
      </c>
      <c r="R37" s="29">
        <f t="shared" si="13"/>
        <v>0</v>
      </c>
      <c r="S37" s="29">
        <f t="shared" si="5"/>
        <v>0</v>
      </c>
      <c r="T37" s="29">
        <f t="shared" si="14"/>
        <v>287985.54109137534</v>
      </c>
      <c r="U37">
        <f t="shared" si="15"/>
        <v>0</v>
      </c>
      <c r="V37" s="29">
        <f t="shared" si="16"/>
        <v>0</v>
      </c>
      <c r="W37" s="29">
        <f t="shared" si="6"/>
        <v>0</v>
      </c>
      <c r="X37" s="29">
        <f t="shared" si="17"/>
        <v>287985.54109137534</v>
      </c>
      <c r="Y37">
        <f t="shared" si="18"/>
        <v>0</v>
      </c>
    </row>
    <row r="38" spans="1:25" x14ac:dyDescent="0.25">
      <c r="A38" s="4" t="s">
        <v>725</v>
      </c>
      <c r="B38" s="7" t="s">
        <v>339</v>
      </c>
      <c r="C38" s="2" t="s">
        <v>726</v>
      </c>
      <c r="D38">
        <f>VLOOKUP(B38,'Model allocations'!$A$1:$L$316,5,FALSE)</f>
        <v>78700.719305723978</v>
      </c>
      <c r="E38" s="31">
        <f>VLOOKUP(B38,'Initial adjusted formula count'!$A$1:$P$316,12,FALSE)</f>
        <v>0.144076840981857</v>
      </c>
      <c r="F38">
        <f>VLOOKUP(B38,'Model allocations'!$A$1:$L$316,10,FALSE)</f>
        <v>66895.611409865378</v>
      </c>
      <c r="G38" s="30">
        <f t="shared" si="7"/>
        <v>0.85</v>
      </c>
      <c r="H38">
        <f t="shared" si="8"/>
        <v>66895.611409865378</v>
      </c>
      <c r="I38">
        <f t="shared" si="0"/>
        <v>0</v>
      </c>
      <c r="J38">
        <f t="shared" si="1"/>
        <v>66895.611409865378</v>
      </c>
      <c r="K38">
        <f t="shared" si="2"/>
        <v>66844.53245209351</v>
      </c>
      <c r="L38">
        <f t="shared" si="9"/>
        <v>66844.53245209351</v>
      </c>
      <c r="M38">
        <f t="shared" si="3"/>
        <v>66895.611409865378</v>
      </c>
      <c r="N38" s="29">
        <f t="shared" si="10"/>
        <v>0</v>
      </c>
      <c r="O38" s="29">
        <f t="shared" si="4"/>
        <v>0</v>
      </c>
      <c r="P38" s="29">
        <f t="shared" si="11"/>
        <v>66895.611409865378</v>
      </c>
      <c r="Q38">
        <f t="shared" si="12"/>
        <v>0</v>
      </c>
      <c r="R38" s="29">
        <f t="shared" si="13"/>
        <v>0</v>
      </c>
      <c r="S38" s="29">
        <f t="shared" si="5"/>
        <v>0</v>
      </c>
      <c r="T38" s="29">
        <f t="shared" si="14"/>
        <v>66895.611409865378</v>
      </c>
      <c r="U38">
        <f t="shared" si="15"/>
        <v>0</v>
      </c>
      <c r="V38" s="29">
        <f t="shared" si="16"/>
        <v>0</v>
      </c>
      <c r="W38" s="29">
        <f t="shared" si="6"/>
        <v>0</v>
      </c>
      <c r="X38" s="29">
        <f t="shared" si="17"/>
        <v>66895.611409865378</v>
      </c>
      <c r="Y38">
        <f t="shared" si="18"/>
        <v>0</v>
      </c>
    </row>
    <row r="39" spans="1:25" x14ac:dyDescent="0.25">
      <c r="A39" s="4" t="s">
        <v>727</v>
      </c>
      <c r="B39" s="7" t="s">
        <v>108</v>
      </c>
      <c r="C39" s="2" t="s">
        <v>728</v>
      </c>
      <c r="D39">
        <f>VLOOKUP(B39,'Model allocations'!$A$1:$L$316,5,FALSE)</f>
        <v>68459.040839028879</v>
      </c>
      <c r="E39" s="31">
        <f>VLOOKUP(B39,'Initial adjusted formula count'!$A$1:$P$316,12,FALSE)</f>
        <v>0.16459074733096099</v>
      </c>
      <c r="F39">
        <f>VLOOKUP(B39,'Model allocations'!$A$1:$L$316,10,FALSE)</f>
        <v>81903.677554989466</v>
      </c>
      <c r="G39" s="30">
        <f t="shared" si="7"/>
        <v>0.9</v>
      </c>
      <c r="H39">
        <f t="shared" si="8"/>
        <v>61613.13675512599</v>
      </c>
      <c r="I39">
        <f t="shared" si="0"/>
        <v>0</v>
      </c>
      <c r="J39">
        <f t="shared" si="1"/>
        <v>81903.677554989466</v>
      </c>
      <c r="K39">
        <f t="shared" si="2"/>
        <v>81841.139005762976</v>
      </c>
      <c r="L39">
        <f t="shared" si="9"/>
        <v>81841.139005762976</v>
      </c>
      <c r="M39">
        <f t="shared" si="3"/>
        <v>0</v>
      </c>
      <c r="N39" s="29">
        <f t="shared" si="10"/>
        <v>81841.139005762976</v>
      </c>
      <c r="O39" s="29">
        <f t="shared" si="4"/>
        <v>81836.490544009153</v>
      </c>
      <c r="P39" s="29">
        <f t="shared" si="11"/>
        <v>81836.490544009153</v>
      </c>
      <c r="Q39">
        <f t="shared" si="12"/>
        <v>0</v>
      </c>
      <c r="R39" s="29">
        <f t="shared" si="13"/>
        <v>81836.490544009153</v>
      </c>
      <c r="S39" s="29">
        <f t="shared" si="5"/>
        <v>81836.461374835344</v>
      </c>
      <c r="T39" s="29">
        <f t="shared" si="14"/>
        <v>81836.461374835344</v>
      </c>
      <c r="U39">
        <f t="shared" si="15"/>
        <v>0</v>
      </c>
      <c r="V39" s="29">
        <f t="shared" si="16"/>
        <v>81836.461374835344</v>
      </c>
      <c r="W39" s="29">
        <f t="shared" si="6"/>
        <v>81836.461374835359</v>
      </c>
      <c r="X39" s="29">
        <f t="shared" si="17"/>
        <v>81836.461374835359</v>
      </c>
      <c r="Y39">
        <f t="shared" si="18"/>
        <v>0</v>
      </c>
    </row>
    <row r="40" spans="1:25" x14ac:dyDescent="0.25">
      <c r="A40" s="4" t="s">
        <v>729</v>
      </c>
      <c r="B40" s="7" t="s">
        <v>341</v>
      </c>
      <c r="C40" s="2" t="s">
        <v>730</v>
      </c>
      <c r="D40">
        <f>VLOOKUP(B40,'Model allocations'!$A$1:$L$316,5,FALSE)</f>
        <v>271841.10025092715</v>
      </c>
      <c r="E40" s="31">
        <f>VLOOKUP(B40,'Initial adjusted formula count'!$A$1:$P$316,12,FALSE)</f>
        <v>0.182115594329335</v>
      </c>
      <c r="F40">
        <f>VLOOKUP(B40,'Model allocations'!$A$1:$L$316,10,FALSE)</f>
        <v>244717.60322117477</v>
      </c>
      <c r="G40" s="30">
        <f t="shared" si="7"/>
        <v>0.9</v>
      </c>
      <c r="H40">
        <f t="shared" si="8"/>
        <v>244656.99022583445</v>
      </c>
      <c r="I40">
        <f t="shared" si="0"/>
        <v>0</v>
      </c>
      <c r="J40">
        <f t="shared" si="1"/>
        <v>244717.60322117477</v>
      </c>
      <c r="K40">
        <f t="shared" si="2"/>
        <v>244530.74611863063</v>
      </c>
      <c r="L40">
        <f t="shared" si="9"/>
        <v>244530.74611863063</v>
      </c>
      <c r="M40">
        <f t="shared" si="3"/>
        <v>244656.99022583445</v>
      </c>
      <c r="N40" s="29">
        <f t="shared" si="10"/>
        <v>0</v>
      </c>
      <c r="O40" s="29">
        <f t="shared" si="4"/>
        <v>0</v>
      </c>
      <c r="P40" s="29">
        <f t="shared" si="11"/>
        <v>244656.99022583445</v>
      </c>
      <c r="Q40">
        <f t="shared" si="12"/>
        <v>0</v>
      </c>
      <c r="R40" s="29">
        <f t="shared" si="13"/>
        <v>0</v>
      </c>
      <c r="S40" s="29">
        <f t="shared" si="5"/>
        <v>0</v>
      </c>
      <c r="T40" s="29">
        <f t="shared" si="14"/>
        <v>244656.99022583445</v>
      </c>
      <c r="U40">
        <f t="shared" si="15"/>
        <v>0</v>
      </c>
      <c r="V40" s="29">
        <f t="shared" si="16"/>
        <v>0</v>
      </c>
      <c r="W40" s="29">
        <f t="shared" si="6"/>
        <v>0</v>
      </c>
      <c r="X40" s="29">
        <f t="shared" si="17"/>
        <v>244656.99022583445</v>
      </c>
      <c r="Y40">
        <f t="shared" si="18"/>
        <v>0</v>
      </c>
    </row>
    <row r="41" spans="1:25" x14ac:dyDescent="0.25">
      <c r="A41" s="4" t="s">
        <v>731</v>
      </c>
      <c r="B41" s="7" t="s">
        <v>343</v>
      </c>
      <c r="C41" s="2" t="s">
        <v>732</v>
      </c>
      <c r="D41">
        <f>VLOOKUP(B41,'Model allocations'!$A$1:$L$316,5,FALSE)</f>
        <v>66233.83563188641</v>
      </c>
      <c r="E41" s="31">
        <f>VLOOKUP(B41,'Initial adjusted formula count'!$A$1:$P$316,12,FALSE)</f>
        <v>0.117593436645397</v>
      </c>
      <c r="F41">
        <f>VLOOKUP(B41,'Model allocations'!$A$1:$L$316,10,FALSE)</f>
        <v>56337.851802008263</v>
      </c>
      <c r="G41" s="30">
        <f t="shared" si="7"/>
        <v>0.85</v>
      </c>
      <c r="H41">
        <f t="shared" si="8"/>
        <v>56298.760287103447</v>
      </c>
      <c r="I41">
        <f t="shared" si="0"/>
        <v>0</v>
      </c>
      <c r="J41">
        <f t="shared" si="1"/>
        <v>56337.851802008263</v>
      </c>
      <c r="K41">
        <f t="shared" si="2"/>
        <v>56294.834350003512</v>
      </c>
      <c r="L41">
        <f t="shared" si="9"/>
        <v>56294.834350003512</v>
      </c>
      <c r="M41">
        <f t="shared" si="3"/>
        <v>56298.760287103447</v>
      </c>
      <c r="N41" s="29">
        <f t="shared" si="10"/>
        <v>0</v>
      </c>
      <c r="O41" s="29">
        <f t="shared" si="4"/>
        <v>0</v>
      </c>
      <c r="P41" s="29">
        <f t="shared" si="11"/>
        <v>56298.760287103447</v>
      </c>
      <c r="Q41">
        <f t="shared" si="12"/>
        <v>0</v>
      </c>
      <c r="R41" s="29">
        <f t="shared" si="13"/>
        <v>0</v>
      </c>
      <c r="S41" s="29">
        <f t="shared" si="5"/>
        <v>0</v>
      </c>
      <c r="T41" s="29">
        <f t="shared" si="14"/>
        <v>56298.760287103447</v>
      </c>
      <c r="U41">
        <f t="shared" si="15"/>
        <v>0</v>
      </c>
      <c r="V41" s="29">
        <f t="shared" si="16"/>
        <v>0</v>
      </c>
      <c r="W41" s="29">
        <f t="shared" si="6"/>
        <v>0</v>
      </c>
      <c r="X41" s="29">
        <f t="shared" si="17"/>
        <v>56298.760287103447</v>
      </c>
      <c r="Y41">
        <f t="shared" si="18"/>
        <v>0</v>
      </c>
    </row>
    <row r="42" spans="1:25" x14ac:dyDescent="0.25">
      <c r="A42" s="4" t="s">
        <v>733</v>
      </c>
      <c r="B42" s="7" t="s">
        <v>345</v>
      </c>
      <c r="C42" s="2" t="s">
        <v>734</v>
      </c>
      <c r="D42">
        <f>VLOOKUP(B42,'Model allocations'!$A$1:$L$316,5,FALSE)</f>
        <v>1171877.7690439145</v>
      </c>
      <c r="E42" s="31">
        <f>VLOOKUP(B42,'Initial adjusted formula count'!$A$1:$P$316,12,FALSE)</f>
        <v>0.14892383506051199</v>
      </c>
      <c r="F42">
        <f>VLOOKUP(B42,'Model allocations'!$A$1:$L$316,10,FALSE)</f>
        <v>1165062.4522142028</v>
      </c>
      <c r="G42" s="30">
        <f t="shared" si="7"/>
        <v>0.85</v>
      </c>
      <c r="H42">
        <f t="shared" si="8"/>
        <v>996096.10368732736</v>
      </c>
      <c r="I42">
        <f t="shared" si="0"/>
        <v>0</v>
      </c>
      <c r="J42">
        <f t="shared" si="1"/>
        <v>1165062.4522142028</v>
      </c>
      <c r="K42">
        <f t="shared" si="2"/>
        <v>1164172.8546076631</v>
      </c>
      <c r="L42">
        <f t="shared" si="9"/>
        <v>1164172.8546076631</v>
      </c>
      <c r="M42">
        <f t="shared" si="3"/>
        <v>0</v>
      </c>
      <c r="N42" s="29">
        <f t="shared" si="10"/>
        <v>1164172.8546076631</v>
      </c>
      <c r="O42" s="29">
        <f t="shared" si="4"/>
        <v>1164106.7312245425</v>
      </c>
      <c r="P42" s="29">
        <f t="shared" si="11"/>
        <v>1164106.7312245425</v>
      </c>
      <c r="Q42">
        <f t="shared" si="12"/>
        <v>0</v>
      </c>
      <c r="R42" s="29">
        <f t="shared" si="13"/>
        <v>1164106.7312245425</v>
      </c>
      <c r="S42" s="29">
        <f t="shared" si="5"/>
        <v>1164106.316299228</v>
      </c>
      <c r="T42" s="29">
        <f t="shared" si="14"/>
        <v>1164106.316299228</v>
      </c>
      <c r="U42">
        <f t="shared" si="15"/>
        <v>0</v>
      </c>
      <c r="V42" s="29">
        <f t="shared" si="16"/>
        <v>1164106.316299228</v>
      </c>
      <c r="W42" s="29">
        <f t="shared" si="6"/>
        <v>1164106.316299228</v>
      </c>
      <c r="X42" s="29">
        <f t="shared" si="17"/>
        <v>1164106.316299228</v>
      </c>
      <c r="Y42">
        <f t="shared" si="18"/>
        <v>0</v>
      </c>
    </row>
    <row r="43" spans="1:25" x14ac:dyDescent="0.25">
      <c r="A43" s="4" t="s">
        <v>735</v>
      </c>
      <c r="B43" s="7" t="s">
        <v>269</v>
      </c>
      <c r="C43" s="2" t="s">
        <v>736</v>
      </c>
      <c r="D43">
        <f>VLOOKUP(B43,'Model allocations'!$A$1:$L$316,5,FALSE)</f>
        <v>25571.290971804257</v>
      </c>
      <c r="E43" s="31">
        <f>VLOOKUP(B43,'Initial adjusted formula count'!$A$1:$P$316,12,FALSE)</f>
        <v>0.10466988727858299</v>
      </c>
      <c r="F43">
        <f>VLOOKUP(B43,'Model allocations'!$A$1:$L$316,10,FALSE)</f>
        <v>27668.636972569668</v>
      </c>
      <c r="G43" s="30">
        <f t="shared" si="7"/>
        <v>0.85</v>
      </c>
      <c r="H43">
        <f t="shared" si="8"/>
        <v>21735.597326033618</v>
      </c>
      <c r="I43">
        <f t="shared" si="0"/>
        <v>0</v>
      </c>
      <c r="J43">
        <f t="shared" si="1"/>
        <v>27668.636972569668</v>
      </c>
      <c r="K43">
        <f t="shared" si="2"/>
        <v>27647.510248263829</v>
      </c>
      <c r="L43">
        <f t="shared" si="9"/>
        <v>27647.510248263829</v>
      </c>
      <c r="M43">
        <f t="shared" si="3"/>
        <v>0</v>
      </c>
      <c r="N43" s="29">
        <f t="shared" si="10"/>
        <v>27647.510248263829</v>
      </c>
      <c r="O43" s="29">
        <f t="shared" si="4"/>
        <v>27645.939908511242</v>
      </c>
      <c r="P43" s="29">
        <f t="shared" si="11"/>
        <v>27645.939908511242</v>
      </c>
      <c r="Q43">
        <f t="shared" si="12"/>
        <v>0</v>
      </c>
      <c r="R43" s="29">
        <f t="shared" si="13"/>
        <v>27645.939908511242</v>
      </c>
      <c r="S43" s="29">
        <f t="shared" si="5"/>
        <v>27645.930054603516</v>
      </c>
      <c r="T43" s="29">
        <f t="shared" si="14"/>
        <v>27645.930054603516</v>
      </c>
      <c r="U43">
        <f t="shared" si="15"/>
        <v>0</v>
      </c>
      <c r="V43" s="29">
        <f t="shared" si="16"/>
        <v>27645.930054603516</v>
      </c>
      <c r="W43" s="29">
        <f t="shared" si="6"/>
        <v>27645.930054603519</v>
      </c>
      <c r="X43" s="29">
        <f t="shared" si="17"/>
        <v>27645.930054603519</v>
      </c>
      <c r="Y43">
        <f t="shared" si="18"/>
        <v>0</v>
      </c>
    </row>
    <row r="44" spans="1:25" x14ac:dyDescent="0.25">
      <c r="A44" s="4" t="s">
        <v>737</v>
      </c>
      <c r="B44" s="7" t="s">
        <v>347</v>
      </c>
      <c r="C44" s="2" t="s">
        <v>738</v>
      </c>
      <c r="D44">
        <f>VLOOKUP(B44,'Model allocations'!$A$1:$L$316,5,FALSE)</f>
        <v>122406.83547158758</v>
      </c>
      <c r="E44" s="31">
        <f>VLOOKUP(B44,'Initial adjusted formula count'!$A$1:$P$316,12,FALSE)</f>
        <v>0.12376725838264301</v>
      </c>
      <c r="F44">
        <f>VLOOKUP(B44,'Model allocations'!$A$1:$L$316,10,FALSE)</f>
        <v>106843.50584792288</v>
      </c>
      <c r="G44" s="30">
        <f t="shared" si="7"/>
        <v>0.85</v>
      </c>
      <c r="H44">
        <f t="shared" si="8"/>
        <v>104045.81015084944</v>
      </c>
      <c r="I44">
        <f t="shared" si="0"/>
        <v>0</v>
      </c>
      <c r="J44">
        <f t="shared" si="1"/>
        <v>106843.50584792288</v>
      </c>
      <c r="K44">
        <f t="shared" si="2"/>
        <v>106761.92418944956</v>
      </c>
      <c r="L44">
        <f t="shared" si="9"/>
        <v>106761.92418944956</v>
      </c>
      <c r="M44">
        <f t="shared" si="3"/>
        <v>0</v>
      </c>
      <c r="N44" s="29">
        <f t="shared" si="10"/>
        <v>106761.92418944956</v>
      </c>
      <c r="O44" s="29">
        <f t="shared" si="4"/>
        <v>106755.86026209727</v>
      </c>
      <c r="P44" s="29">
        <f t="shared" si="11"/>
        <v>106755.86026209727</v>
      </c>
      <c r="Q44">
        <f t="shared" si="12"/>
        <v>0</v>
      </c>
      <c r="R44" s="29">
        <f t="shared" si="13"/>
        <v>106755.86026209727</v>
      </c>
      <c r="S44" s="29">
        <f t="shared" si="5"/>
        <v>106755.8222108536</v>
      </c>
      <c r="T44" s="29">
        <f t="shared" si="14"/>
        <v>106755.8222108536</v>
      </c>
      <c r="U44">
        <f t="shared" si="15"/>
        <v>0</v>
      </c>
      <c r="V44" s="29">
        <f t="shared" si="16"/>
        <v>106755.8222108536</v>
      </c>
      <c r="W44" s="29">
        <f t="shared" si="6"/>
        <v>106755.82221085361</v>
      </c>
      <c r="X44" s="29">
        <f t="shared" si="17"/>
        <v>106755.82221085361</v>
      </c>
      <c r="Y44">
        <f t="shared" si="18"/>
        <v>0</v>
      </c>
    </row>
    <row r="45" spans="1:25" x14ac:dyDescent="0.25">
      <c r="A45" s="4" t="s">
        <v>739</v>
      </c>
      <c r="B45" s="7" t="s">
        <v>349</v>
      </c>
      <c r="C45" s="2" t="s">
        <v>740</v>
      </c>
      <c r="D45">
        <f>VLOOKUP(B45,'Model allocations'!$A$1:$L$316,5,FALSE)</f>
        <v>0</v>
      </c>
      <c r="E45" s="31">
        <f>VLOOKUP(B45,'Initial adjusted formula count'!$A$1:$P$316,12,FALSE)</f>
        <v>6.4000000000000001E-2</v>
      </c>
      <c r="F45">
        <f>VLOOKUP(B45,'Model allocations'!$A$1:$L$316,10,FALSE)</f>
        <v>6810.7414086325352</v>
      </c>
      <c r="G45" s="30">
        <f t="shared" si="7"/>
        <v>0.85</v>
      </c>
      <c r="H45">
        <f t="shared" si="8"/>
        <v>0</v>
      </c>
      <c r="I45">
        <f t="shared" si="0"/>
        <v>0</v>
      </c>
      <c r="J45">
        <f t="shared" si="1"/>
        <v>6810.7414086325352</v>
      </c>
      <c r="K45">
        <f t="shared" si="2"/>
        <v>6805.540984188021</v>
      </c>
      <c r="L45">
        <f t="shared" si="9"/>
        <v>6805.540984188021</v>
      </c>
      <c r="M45">
        <f t="shared" si="3"/>
        <v>0</v>
      </c>
      <c r="N45" s="29">
        <f t="shared" si="10"/>
        <v>6805.540984188021</v>
      </c>
      <c r="O45" s="29">
        <f t="shared" si="4"/>
        <v>6805.1544390181534</v>
      </c>
      <c r="P45" s="29">
        <f t="shared" si="11"/>
        <v>6805.1544390181534</v>
      </c>
      <c r="Q45">
        <f t="shared" si="12"/>
        <v>0</v>
      </c>
      <c r="R45" s="29">
        <f t="shared" si="13"/>
        <v>6805.1544390181534</v>
      </c>
      <c r="S45" s="29">
        <f t="shared" si="5"/>
        <v>6805.1520134408674</v>
      </c>
      <c r="T45" s="29">
        <f t="shared" si="14"/>
        <v>6805.1520134408674</v>
      </c>
      <c r="U45">
        <f t="shared" si="15"/>
        <v>0</v>
      </c>
      <c r="V45" s="29">
        <f t="shared" si="16"/>
        <v>6805.1520134408674</v>
      </c>
      <c r="W45" s="29">
        <f t="shared" si="6"/>
        <v>6805.1520134408684</v>
      </c>
      <c r="X45" s="29">
        <f t="shared" si="17"/>
        <v>6805.1520134408684</v>
      </c>
      <c r="Y45">
        <f t="shared" si="18"/>
        <v>0</v>
      </c>
    </row>
    <row r="46" spans="1:25" x14ac:dyDescent="0.25">
      <c r="A46" s="4" t="s">
        <v>741</v>
      </c>
      <c r="B46" s="7" t="s">
        <v>351</v>
      </c>
      <c r="C46" s="2" t="s">
        <v>742</v>
      </c>
      <c r="D46">
        <f>VLOOKUP(B46,'Model allocations'!$A$1:$L$316,5,FALSE)</f>
        <v>19000.153110159124</v>
      </c>
      <c r="E46" s="31">
        <f>VLOOKUP(B46,'Initial adjusted formula count'!$A$1:$P$316,12,FALSE)</f>
        <v>0.25365853658536602</v>
      </c>
      <c r="F46">
        <f>VLOOKUP(B46,'Model allocations'!$A$1:$L$316,10,FALSE)</f>
        <v>30670.311621672692</v>
      </c>
      <c r="G46" s="30">
        <f t="shared" si="7"/>
        <v>0.9</v>
      </c>
      <c r="H46">
        <f t="shared" si="8"/>
        <v>17100.137799143213</v>
      </c>
      <c r="I46">
        <f t="shared" si="0"/>
        <v>0</v>
      </c>
      <c r="J46">
        <f t="shared" si="1"/>
        <v>30670.311621672692</v>
      </c>
      <c r="K46">
        <f t="shared" si="2"/>
        <v>30646.892932177881</v>
      </c>
      <c r="L46">
        <f t="shared" si="9"/>
        <v>30646.892932177881</v>
      </c>
      <c r="M46">
        <f t="shared" si="3"/>
        <v>0</v>
      </c>
      <c r="N46" s="29">
        <f t="shared" si="10"/>
        <v>30646.892932177881</v>
      </c>
      <c r="O46" s="29">
        <f t="shared" si="4"/>
        <v>30645.152231701326</v>
      </c>
      <c r="P46" s="29">
        <f t="shared" si="11"/>
        <v>30645.152231701326</v>
      </c>
      <c r="Q46">
        <f t="shared" si="12"/>
        <v>0</v>
      </c>
      <c r="R46" s="29">
        <f t="shared" si="13"/>
        <v>30645.152231701326</v>
      </c>
      <c r="S46" s="29">
        <f t="shared" si="5"/>
        <v>30645.14130877726</v>
      </c>
      <c r="T46" s="29">
        <f t="shared" si="14"/>
        <v>30645.14130877726</v>
      </c>
      <c r="U46">
        <f t="shared" si="15"/>
        <v>0</v>
      </c>
      <c r="V46" s="29">
        <f t="shared" si="16"/>
        <v>30645.14130877726</v>
      </c>
      <c r="W46" s="29">
        <f t="shared" si="6"/>
        <v>30645.141308777267</v>
      </c>
      <c r="X46" s="29">
        <f t="shared" si="17"/>
        <v>30645.141308777267</v>
      </c>
      <c r="Y46">
        <f t="shared" si="18"/>
        <v>0</v>
      </c>
    </row>
    <row r="47" spans="1:25" x14ac:dyDescent="0.25">
      <c r="A47" s="4" t="s">
        <v>743</v>
      </c>
      <c r="B47" s="7" t="s">
        <v>352</v>
      </c>
      <c r="C47" s="2" t="s">
        <v>744</v>
      </c>
      <c r="D47">
        <f>VLOOKUP(B47,'Model allocations'!$A$1:$L$316,5,FALSE)</f>
        <v>44016.156590810635</v>
      </c>
      <c r="E47" s="31">
        <f>VLOOKUP(B47,'Initial adjusted formula count'!$A$1:$P$316,12,FALSE)</f>
        <v>0.116865869853918</v>
      </c>
      <c r="F47">
        <f>VLOOKUP(B47,'Model allocations'!$A$1:$L$316,10,FALSE)</f>
        <v>37459.07774747895</v>
      </c>
      <c r="G47" s="30">
        <f t="shared" si="7"/>
        <v>0.85</v>
      </c>
      <c r="H47">
        <f t="shared" si="8"/>
        <v>37413.733102189042</v>
      </c>
      <c r="I47">
        <f t="shared" si="0"/>
        <v>0</v>
      </c>
      <c r="J47">
        <f t="shared" si="1"/>
        <v>37459.07774747895</v>
      </c>
      <c r="K47">
        <f t="shared" si="2"/>
        <v>37430.475413034117</v>
      </c>
      <c r="L47">
        <f t="shared" si="9"/>
        <v>37430.475413034117</v>
      </c>
      <c r="M47">
        <f t="shared" si="3"/>
        <v>0</v>
      </c>
      <c r="N47" s="29">
        <f t="shared" si="10"/>
        <v>37430.475413034117</v>
      </c>
      <c r="O47" s="29">
        <f t="shared" si="4"/>
        <v>37428.349414599848</v>
      </c>
      <c r="P47" s="29">
        <f t="shared" si="11"/>
        <v>37428.349414599848</v>
      </c>
      <c r="Q47">
        <f t="shared" si="12"/>
        <v>0</v>
      </c>
      <c r="R47" s="29">
        <f t="shared" si="13"/>
        <v>37428.349414599848</v>
      </c>
      <c r="S47" s="29">
        <f t="shared" si="5"/>
        <v>37428.336073924773</v>
      </c>
      <c r="T47" s="29">
        <f t="shared" si="14"/>
        <v>37428.336073924773</v>
      </c>
      <c r="U47">
        <f t="shared" si="15"/>
        <v>0</v>
      </c>
      <c r="V47" s="29">
        <f t="shared" si="16"/>
        <v>37428.336073924773</v>
      </c>
      <c r="W47" s="29">
        <f t="shared" si="6"/>
        <v>37428.33607392478</v>
      </c>
      <c r="X47" s="29">
        <f t="shared" si="17"/>
        <v>37428.33607392478</v>
      </c>
      <c r="Y47">
        <f t="shared" si="18"/>
        <v>0</v>
      </c>
    </row>
    <row r="48" spans="1:25" x14ac:dyDescent="0.25">
      <c r="A48" s="4" t="s">
        <v>745</v>
      </c>
      <c r="B48" s="7" t="s">
        <v>353</v>
      </c>
      <c r="C48" s="2" t="s">
        <v>746</v>
      </c>
      <c r="D48">
        <f>VLOOKUP(B48,'Model allocations'!$A$1:$L$316,5,FALSE)</f>
        <v>158939.32319867943</v>
      </c>
      <c r="E48" s="31">
        <f>VLOOKUP(B48,'Initial adjusted formula count'!$A$1:$P$316,12,FALSE)</f>
        <v>0.19689378757515</v>
      </c>
      <c r="F48">
        <f>VLOOKUP(B48,'Model allocations'!$A$1:$L$316,10,FALSE)</f>
        <v>193475.02982024982</v>
      </c>
      <c r="G48" s="30">
        <f t="shared" si="7"/>
        <v>0.9</v>
      </c>
      <c r="H48">
        <f t="shared" si="8"/>
        <v>143045.39087881148</v>
      </c>
      <c r="I48">
        <f t="shared" si="0"/>
        <v>0</v>
      </c>
      <c r="J48">
        <f t="shared" si="1"/>
        <v>193475.02982024982</v>
      </c>
      <c r="K48">
        <f t="shared" si="2"/>
        <v>193327.29960791126</v>
      </c>
      <c r="L48">
        <f t="shared" si="9"/>
        <v>193327.29960791126</v>
      </c>
      <c r="M48">
        <f t="shared" si="3"/>
        <v>0</v>
      </c>
      <c r="N48" s="29">
        <f t="shared" si="10"/>
        <v>193327.29960791126</v>
      </c>
      <c r="O48" s="29">
        <f t="shared" si="4"/>
        <v>193316.31888881183</v>
      </c>
      <c r="P48" s="29">
        <f t="shared" si="11"/>
        <v>193316.31888881183</v>
      </c>
      <c r="Q48">
        <f t="shared" si="12"/>
        <v>0</v>
      </c>
      <c r="R48" s="29">
        <f t="shared" si="13"/>
        <v>193316.31888881183</v>
      </c>
      <c r="S48" s="29">
        <f t="shared" si="5"/>
        <v>193316.24998461924</v>
      </c>
      <c r="T48" s="29">
        <f t="shared" si="14"/>
        <v>193316.24998461924</v>
      </c>
      <c r="U48">
        <f t="shared" si="15"/>
        <v>0</v>
      </c>
      <c r="V48" s="29">
        <f t="shared" si="16"/>
        <v>193316.24998461924</v>
      </c>
      <c r="W48" s="29">
        <f t="shared" si="6"/>
        <v>193316.24998461927</v>
      </c>
      <c r="X48" s="29">
        <f t="shared" si="17"/>
        <v>193316.24998461927</v>
      </c>
      <c r="Y48">
        <f t="shared" si="18"/>
        <v>0</v>
      </c>
    </row>
    <row r="49" spans="1:25" x14ac:dyDescent="0.25">
      <c r="A49" s="4" t="s">
        <v>747</v>
      </c>
      <c r="B49" s="7" t="s">
        <v>355</v>
      </c>
      <c r="C49" s="2" t="s">
        <v>748</v>
      </c>
      <c r="D49">
        <f>VLOOKUP(B49,'Model allocations'!$A$1:$L$316,5,FALSE)</f>
        <v>57051.519527593788</v>
      </c>
      <c r="E49" s="31">
        <f>VLOOKUP(B49,'Initial adjusted formula count'!$A$1:$P$316,12,FALSE)</f>
        <v>0.11347517730496499</v>
      </c>
      <c r="F49">
        <f>VLOOKUP(B49,'Model allocations'!$A$1:$L$316,10,FALSE)</f>
        <v>48493.791598454722</v>
      </c>
      <c r="G49" s="30">
        <f t="shared" si="7"/>
        <v>0.85</v>
      </c>
      <c r="H49">
        <f t="shared" si="8"/>
        <v>48493.791598454722</v>
      </c>
      <c r="I49">
        <f t="shared" si="0"/>
        <v>0</v>
      </c>
      <c r="J49">
        <f t="shared" si="1"/>
        <v>48493.791598454722</v>
      </c>
      <c r="K49">
        <f t="shared" si="2"/>
        <v>48456.76357402905</v>
      </c>
      <c r="L49">
        <f t="shared" si="9"/>
        <v>48456.76357402905</v>
      </c>
      <c r="M49">
        <f t="shared" si="3"/>
        <v>48493.791598454722</v>
      </c>
      <c r="N49" s="29">
        <f t="shared" si="10"/>
        <v>0</v>
      </c>
      <c r="O49" s="29">
        <f t="shared" si="4"/>
        <v>0</v>
      </c>
      <c r="P49" s="29">
        <f t="shared" si="11"/>
        <v>48493.791598454722</v>
      </c>
      <c r="Q49">
        <f t="shared" si="12"/>
        <v>0</v>
      </c>
      <c r="R49" s="29">
        <f t="shared" si="13"/>
        <v>0</v>
      </c>
      <c r="S49" s="29">
        <f t="shared" si="5"/>
        <v>0</v>
      </c>
      <c r="T49" s="29">
        <f t="shared" si="14"/>
        <v>48493.791598454722</v>
      </c>
      <c r="U49">
        <f t="shared" si="15"/>
        <v>0</v>
      </c>
      <c r="V49" s="29">
        <f t="shared" si="16"/>
        <v>0</v>
      </c>
      <c r="W49" s="29">
        <f t="shared" si="6"/>
        <v>0</v>
      </c>
      <c r="X49" s="29">
        <f t="shared" si="17"/>
        <v>48493.791598454722</v>
      </c>
      <c r="Y49">
        <f t="shared" si="18"/>
        <v>0</v>
      </c>
    </row>
    <row r="50" spans="1:25" x14ac:dyDescent="0.25">
      <c r="A50" s="4" t="s">
        <v>749</v>
      </c>
      <c r="B50" s="7" t="s">
        <v>110</v>
      </c>
      <c r="C50" s="2" t="s">
        <v>750</v>
      </c>
      <c r="D50">
        <f>VLOOKUP(B50,'Model allocations'!$A$1:$L$316,5,FALSE)</f>
        <v>20639.736310718396</v>
      </c>
      <c r="E50" s="31">
        <f>VLOOKUP(B50,'Initial adjusted formula count'!$A$1:$P$316,12,FALSE)</f>
        <v>8.98876404494382E-2</v>
      </c>
      <c r="F50">
        <f>VLOOKUP(B50,'Model allocations'!$A$1:$L$316,10,FALSE)</f>
        <v>20432.224225897604</v>
      </c>
      <c r="G50" s="30">
        <f t="shared" si="7"/>
        <v>0.85</v>
      </c>
      <c r="H50">
        <f t="shared" si="8"/>
        <v>17543.775864110637</v>
      </c>
      <c r="I50">
        <f t="shared" si="0"/>
        <v>0</v>
      </c>
      <c r="J50">
        <f t="shared" si="1"/>
        <v>20432.224225897604</v>
      </c>
      <c r="K50">
        <f t="shared" si="2"/>
        <v>20416.622952564059</v>
      </c>
      <c r="L50">
        <f t="shared" si="9"/>
        <v>20416.622952564059</v>
      </c>
      <c r="M50">
        <f t="shared" si="3"/>
        <v>0</v>
      </c>
      <c r="N50" s="29">
        <f t="shared" si="10"/>
        <v>20416.622952564059</v>
      </c>
      <c r="O50" s="29">
        <f t="shared" si="4"/>
        <v>20415.463317054458</v>
      </c>
      <c r="P50" s="29">
        <f t="shared" si="11"/>
        <v>20415.463317054458</v>
      </c>
      <c r="Q50">
        <f t="shared" si="12"/>
        <v>0</v>
      </c>
      <c r="R50" s="29">
        <f t="shared" si="13"/>
        <v>20415.463317054458</v>
      </c>
      <c r="S50" s="29">
        <f t="shared" si="5"/>
        <v>20415.456040322599</v>
      </c>
      <c r="T50" s="29">
        <f t="shared" si="14"/>
        <v>20415.456040322599</v>
      </c>
      <c r="U50">
        <f t="shared" si="15"/>
        <v>0</v>
      </c>
      <c r="V50" s="29">
        <f t="shared" si="16"/>
        <v>20415.456040322599</v>
      </c>
      <c r="W50" s="29">
        <f t="shared" si="6"/>
        <v>20415.456040322602</v>
      </c>
      <c r="X50" s="29">
        <f t="shared" si="17"/>
        <v>20415.456040322602</v>
      </c>
      <c r="Y50">
        <f t="shared" si="18"/>
        <v>0</v>
      </c>
    </row>
    <row r="51" spans="1:25" x14ac:dyDescent="0.25">
      <c r="A51" s="4" t="s">
        <v>751</v>
      </c>
      <c r="B51" s="7" t="s">
        <v>112</v>
      </c>
      <c r="C51" s="2" t="s">
        <v>752</v>
      </c>
      <c r="D51">
        <f>VLOOKUP(B51,'Model allocations'!$A$1:$L$316,5,FALSE)</f>
        <v>16887.134576443703</v>
      </c>
      <c r="E51" s="31">
        <f>VLOOKUP(B51,'Initial adjusted formula count'!$A$1:$P$316,12,FALSE)</f>
        <v>9.3247588424437297E-2</v>
      </c>
      <c r="F51">
        <f>VLOOKUP(B51,'Model allocations'!$A$1:$L$316,10,FALSE)</f>
        <v>14412.922370280125</v>
      </c>
      <c r="G51" s="30">
        <f t="shared" si="7"/>
        <v>0.85</v>
      </c>
      <c r="H51">
        <f t="shared" si="8"/>
        <v>14354.064389977148</v>
      </c>
      <c r="I51">
        <f t="shared" si="0"/>
        <v>0</v>
      </c>
      <c r="J51">
        <f t="shared" si="1"/>
        <v>14412.922370280125</v>
      </c>
      <c r="K51">
        <f t="shared" si="2"/>
        <v>14401.917208093775</v>
      </c>
      <c r="L51">
        <f t="shared" si="9"/>
        <v>14401.917208093775</v>
      </c>
      <c r="M51">
        <f t="shared" si="3"/>
        <v>0</v>
      </c>
      <c r="N51" s="29">
        <f t="shared" si="10"/>
        <v>14401.917208093775</v>
      </c>
      <c r="O51" s="29">
        <f t="shared" si="4"/>
        <v>14401.099199423112</v>
      </c>
      <c r="P51" s="29">
        <f t="shared" si="11"/>
        <v>14401.099199423112</v>
      </c>
      <c r="Q51">
        <f t="shared" si="12"/>
        <v>0</v>
      </c>
      <c r="R51" s="29">
        <f t="shared" si="13"/>
        <v>14401.099199423112</v>
      </c>
      <c r="S51" s="29">
        <f t="shared" si="5"/>
        <v>14401.094066405276</v>
      </c>
      <c r="T51" s="29">
        <f t="shared" si="14"/>
        <v>14401.094066405276</v>
      </c>
      <c r="U51">
        <f t="shared" si="15"/>
        <v>0</v>
      </c>
      <c r="V51" s="29">
        <f t="shared" si="16"/>
        <v>14401.094066405276</v>
      </c>
      <c r="W51" s="29">
        <f t="shared" si="6"/>
        <v>14401.094066405278</v>
      </c>
      <c r="X51" s="29">
        <f t="shared" si="17"/>
        <v>14401.094066405278</v>
      </c>
      <c r="Y51">
        <f t="shared" si="18"/>
        <v>0</v>
      </c>
    </row>
    <row r="52" spans="1:25" x14ac:dyDescent="0.25">
      <c r="A52" s="4" t="s">
        <v>753</v>
      </c>
      <c r="B52" s="7" t="s">
        <v>357</v>
      </c>
      <c r="C52" s="2" t="s">
        <v>754</v>
      </c>
      <c r="D52">
        <f>VLOOKUP(B52,'Model allocations'!$A$1:$L$316,5,FALSE)</f>
        <v>23798.571705221217</v>
      </c>
      <c r="E52" s="31">
        <f>VLOOKUP(B52,'Initial adjusted formula count'!$A$1:$P$316,12,FALSE)</f>
        <v>0.16260162601625999</v>
      </c>
      <c r="F52">
        <f>VLOOKUP(B52,'Model allocations'!$A$1:$L$316,10,FALSE)</f>
        <v>21433.586798212629</v>
      </c>
      <c r="G52" s="30">
        <f t="shared" si="7"/>
        <v>0.9</v>
      </c>
      <c r="H52">
        <f t="shared" si="8"/>
        <v>21418.714534699095</v>
      </c>
      <c r="I52">
        <f t="shared" si="0"/>
        <v>0</v>
      </c>
      <c r="J52">
        <f t="shared" si="1"/>
        <v>21433.586798212629</v>
      </c>
      <c r="K52">
        <f t="shared" si="2"/>
        <v>21417.220922306995</v>
      </c>
      <c r="L52">
        <f t="shared" si="9"/>
        <v>21417.220922306995</v>
      </c>
      <c r="M52">
        <f t="shared" si="3"/>
        <v>21418.714534699095</v>
      </c>
      <c r="N52" s="29">
        <f t="shared" si="10"/>
        <v>0</v>
      </c>
      <c r="O52" s="29">
        <f t="shared" si="4"/>
        <v>0</v>
      </c>
      <c r="P52" s="29">
        <f t="shared" si="11"/>
        <v>21418.714534699095</v>
      </c>
      <c r="Q52">
        <f t="shared" si="12"/>
        <v>0</v>
      </c>
      <c r="R52" s="29">
        <f t="shared" si="13"/>
        <v>0</v>
      </c>
      <c r="S52" s="29">
        <f t="shared" si="5"/>
        <v>0</v>
      </c>
      <c r="T52" s="29">
        <f t="shared" si="14"/>
        <v>21418.714534699095</v>
      </c>
      <c r="U52">
        <f t="shared" si="15"/>
        <v>0</v>
      </c>
      <c r="V52" s="29">
        <f t="shared" si="16"/>
        <v>0</v>
      </c>
      <c r="W52" s="29">
        <f t="shared" si="6"/>
        <v>0</v>
      </c>
      <c r="X52" s="29">
        <f t="shared" si="17"/>
        <v>21418.714534699095</v>
      </c>
      <c r="Y52">
        <f t="shared" si="18"/>
        <v>0</v>
      </c>
    </row>
    <row r="53" spans="1:25" x14ac:dyDescent="0.25">
      <c r="A53" s="4" t="s">
        <v>755</v>
      </c>
      <c r="B53" s="7" t="s">
        <v>359</v>
      </c>
      <c r="C53" s="2" t="s">
        <v>756</v>
      </c>
      <c r="D53">
        <f>VLOOKUP(B53,'Model allocations'!$A$1:$L$316,5,FALSE)</f>
        <v>46112.164047515886</v>
      </c>
      <c r="E53" s="31">
        <f>VLOOKUP(B53,'Initial adjusted formula count'!$A$1:$P$316,12,FALSE)</f>
        <v>9.61182994454714E-2</v>
      </c>
      <c r="F53">
        <f>VLOOKUP(B53,'Model allocations'!$A$1:$L$316,10,FALSE)</f>
        <v>44269.819156111473</v>
      </c>
      <c r="G53" s="30">
        <f t="shared" si="7"/>
        <v>0.85</v>
      </c>
      <c r="H53">
        <f t="shared" si="8"/>
        <v>39195.339440388503</v>
      </c>
      <c r="I53">
        <f t="shared" si="0"/>
        <v>0</v>
      </c>
      <c r="J53">
        <f t="shared" si="1"/>
        <v>44269.819156111473</v>
      </c>
      <c r="K53">
        <f t="shared" si="2"/>
        <v>44236.016397222127</v>
      </c>
      <c r="L53">
        <f t="shared" si="9"/>
        <v>44236.016397222127</v>
      </c>
      <c r="M53">
        <f t="shared" si="3"/>
        <v>0</v>
      </c>
      <c r="N53" s="29">
        <f t="shared" si="10"/>
        <v>44236.016397222127</v>
      </c>
      <c r="O53" s="29">
        <f t="shared" si="4"/>
        <v>44233.503853617993</v>
      </c>
      <c r="P53" s="29">
        <f t="shared" si="11"/>
        <v>44233.503853617993</v>
      </c>
      <c r="Q53">
        <f t="shared" si="12"/>
        <v>0</v>
      </c>
      <c r="R53" s="29">
        <f t="shared" si="13"/>
        <v>44233.503853617993</v>
      </c>
      <c r="S53" s="29">
        <f t="shared" si="5"/>
        <v>44233.488087365637</v>
      </c>
      <c r="T53" s="29">
        <f t="shared" si="14"/>
        <v>44233.488087365637</v>
      </c>
      <c r="U53">
        <f t="shared" si="15"/>
        <v>0</v>
      </c>
      <c r="V53" s="29">
        <f t="shared" si="16"/>
        <v>44233.488087365637</v>
      </c>
      <c r="W53" s="29">
        <f t="shared" si="6"/>
        <v>44233.488087365644</v>
      </c>
      <c r="X53" s="29">
        <f t="shared" si="17"/>
        <v>44233.488087365644</v>
      </c>
      <c r="Y53">
        <f t="shared" si="18"/>
        <v>0</v>
      </c>
    </row>
    <row r="54" spans="1:25" x14ac:dyDescent="0.25">
      <c r="A54" s="4" t="s">
        <v>757</v>
      </c>
      <c r="B54" s="7" t="s">
        <v>361</v>
      </c>
      <c r="C54" s="2" t="s">
        <v>758</v>
      </c>
      <c r="D54">
        <f>VLOOKUP(B54,'Model allocations'!$A$1:$L$316,5,FALSE)</f>
        <v>28730.938372489185</v>
      </c>
      <c r="E54" s="31">
        <f>VLOOKUP(B54,'Initial adjusted formula count'!$A$1:$P$316,12,FALSE)</f>
        <v>0.1976401179941</v>
      </c>
      <c r="F54">
        <f>VLOOKUP(B54,'Model allocations'!$A$1:$L$316,10,FALSE)</f>
        <v>33048.207492012567</v>
      </c>
      <c r="G54" s="30">
        <f t="shared" si="7"/>
        <v>0.9</v>
      </c>
      <c r="H54">
        <f t="shared" si="8"/>
        <v>25857.844535240267</v>
      </c>
      <c r="I54">
        <f t="shared" si="0"/>
        <v>0</v>
      </c>
      <c r="J54">
        <f t="shared" si="1"/>
        <v>33048.207492012567</v>
      </c>
      <c r="K54">
        <f t="shared" si="2"/>
        <v>33022.973131202598</v>
      </c>
      <c r="L54">
        <f t="shared" si="9"/>
        <v>33022.973131202598</v>
      </c>
      <c r="M54">
        <f t="shared" si="3"/>
        <v>0</v>
      </c>
      <c r="N54" s="29">
        <f t="shared" si="10"/>
        <v>33022.973131202598</v>
      </c>
      <c r="O54" s="29">
        <f t="shared" si="4"/>
        <v>33021.097472707821</v>
      </c>
      <c r="P54" s="29">
        <f t="shared" si="11"/>
        <v>33021.097472707821</v>
      </c>
      <c r="Q54">
        <f t="shared" si="12"/>
        <v>0</v>
      </c>
      <c r="R54" s="29">
        <f t="shared" si="13"/>
        <v>33021.097472707821</v>
      </c>
      <c r="S54" s="29">
        <f t="shared" si="5"/>
        <v>33021.085702919976</v>
      </c>
      <c r="T54" s="29">
        <f t="shared" si="14"/>
        <v>33021.085702919976</v>
      </c>
      <c r="U54">
        <f t="shared" si="15"/>
        <v>0</v>
      </c>
      <c r="V54" s="29">
        <f t="shared" si="16"/>
        <v>33021.085702919976</v>
      </c>
      <c r="W54" s="29">
        <f t="shared" si="6"/>
        <v>33021.085702919976</v>
      </c>
      <c r="X54" s="29">
        <f t="shared" si="17"/>
        <v>33021.085702919976</v>
      </c>
      <c r="Y54">
        <f t="shared" si="18"/>
        <v>0</v>
      </c>
    </row>
    <row r="55" spans="1:25" x14ac:dyDescent="0.25">
      <c r="A55" s="8" t="s">
        <v>759</v>
      </c>
      <c r="B55" s="7" t="s">
        <v>363</v>
      </c>
      <c r="C55" s="2" t="s">
        <v>760</v>
      </c>
      <c r="D55">
        <f>VLOOKUP(B55,'Model allocations'!$A$1:$L$316,5,FALSE)</f>
        <v>7126.4253527979108</v>
      </c>
      <c r="E55" s="31">
        <f>VLOOKUP(B55,'Initial adjusted formula count'!$A$1:$P$316,12,FALSE)</f>
        <v>0.31578947368421001</v>
      </c>
      <c r="F55">
        <f>VLOOKUP(B55,'Model allocations'!$A$1:$L$316,10,FALSE)</f>
        <v>25109.607306110505</v>
      </c>
      <c r="G55" s="30">
        <f t="shared" si="7"/>
        <v>0.95</v>
      </c>
      <c r="H55">
        <f t="shared" si="8"/>
        <v>6770.1040851580146</v>
      </c>
      <c r="I55">
        <f t="shared" si="0"/>
        <v>0</v>
      </c>
      <c r="J55">
        <f t="shared" si="1"/>
        <v>25109.607306110505</v>
      </c>
      <c r="K55">
        <f t="shared" si="2"/>
        <v>25090.43456003306</v>
      </c>
      <c r="L55">
        <f t="shared" si="9"/>
        <v>25090.43456003306</v>
      </c>
      <c r="M55">
        <f t="shared" si="3"/>
        <v>0</v>
      </c>
      <c r="N55" s="29">
        <f t="shared" si="10"/>
        <v>25090.43456003306</v>
      </c>
      <c r="O55" s="29">
        <f t="shared" si="4"/>
        <v>25089.009458588283</v>
      </c>
      <c r="P55" s="29">
        <f t="shared" si="11"/>
        <v>25089.009458588283</v>
      </c>
      <c r="Q55">
        <f t="shared" si="12"/>
        <v>0</v>
      </c>
      <c r="R55" s="29">
        <f t="shared" si="13"/>
        <v>25089.009458588283</v>
      </c>
      <c r="S55" s="29">
        <f t="shared" si="5"/>
        <v>25089.000516053326</v>
      </c>
      <c r="T55" s="29">
        <f t="shared" si="14"/>
        <v>25089.000516053326</v>
      </c>
      <c r="U55">
        <f t="shared" si="15"/>
        <v>0</v>
      </c>
      <c r="V55" s="29">
        <f t="shared" si="16"/>
        <v>25089.000516053326</v>
      </c>
      <c r="W55" s="29">
        <f t="shared" si="6"/>
        <v>25089.000516053329</v>
      </c>
      <c r="X55" s="29">
        <f t="shared" si="17"/>
        <v>25089.000516053329</v>
      </c>
      <c r="Y55">
        <f t="shared" si="18"/>
        <v>0</v>
      </c>
    </row>
    <row r="56" spans="1:25" x14ac:dyDescent="0.25">
      <c r="A56" s="4" t="s">
        <v>761</v>
      </c>
      <c r="B56" s="7" t="s">
        <v>365</v>
      </c>
      <c r="C56" s="2" t="s">
        <v>762</v>
      </c>
      <c r="D56">
        <f>VLOOKUP(B56,'Model allocations'!$A$1:$L$316,5,FALSE)</f>
        <v>39734.275357693819</v>
      </c>
      <c r="E56" s="31">
        <f>VLOOKUP(B56,'Initial adjusted formula count'!$A$1:$P$316,12,FALSE)</f>
        <v>0.29090909090909101</v>
      </c>
      <c r="F56">
        <f>VLOOKUP(B56,'Model allocations'!$A$1:$L$316,10,FALSE)</f>
        <v>35785.678665596846</v>
      </c>
      <c r="G56" s="30">
        <f t="shared" si="7"/>
        <v>0.9</v>
      </c>
      <c r="H56">
        <f t="shared" si="8"/>
        <v>35760.847821924435</v>
      </c>
      <c r="I56">
        <f t="shared" si="0"/>
        <v>0</v>
      </c>
      <c r="J56">
        <f t="shared" si="1"/>
        <v>35785.678665596846</v>
      </c>
      <c r="K56">
        <f t="shared" si="2"/>
        <v>35758.354075375253</v>
      </c>
      <c r="L56">
        <f t="shared" si="9"/>
        <v>35758.354075375253</v>
      </c>
      <c r="M56">
        <f t="shared" si="3"/>
        <v>35760.847821924435</v>
      </c>
      <c r="N56" s="29">
        <f t="shared" si="10"/>
        <v>0</v>
      </c>
      <c r="O56" s="29">
        <f t="shared" si="4"/>
        <v>0</v>
      </c>
      <c r="P56" s="29">
        <f t="shared" si="11"/>
        <v>35760.847821924435</v>
      </c>
      <c r="Q56">
        <f t="shared" si="12"/>
        <v>0</v>
      </c>
      <c r="R56" s="29">
        <f t="shared" si="13"/>
        <v>0</v>
      </c>
      <c r="S56" s="29">
        <f t="shared" si="5"/>
        <v>0</v>
      </c>
      <c r="T56" s="29">
        <f t="shared" si="14"/>
        <v>35760.847821924435</v>
      </c>
      <c r="U56">
        <f t="shared" si="15"/>
        <v>0</v>
      </c>
      <c r="V56" s="29">
        <f t="shared" si="16"/>
        <v>0</v>
      </c>
      <c r="W56" s="29">
        <f t="shared" si="6"/>
        <v>0</v>
      </c>
      <c r="X56" s="29">
        <f t="shared" si="17"/>
        <v>35760.847821924435</v>
      </c>
      <c r="Y56">
        <f t="shared" si="18"/>
        <v>0</v>
      </c>
    </row>
    <row r="57" spans="1:25" x14ac:dyDescent="0.25">
      <c r="A57" s="4" t="s">
        <v>763</v>
      </c>
      <c r="B57" s="7" t="s">
        <v>367</v>
      </c>
      <c r="C57" s="2" t="s">
        <v>764</v>
      </c>
      <c r="D57">
        <f>VLOOKUP(B57,'Model allocations'!$A$1:$L$316,5,FALSE)</f>
        <v>50892.080166789652</v>
      </c>
      <c r="E57" s="31">
        <f>VLOOKUP(B57,'Initial adjusted formula count'!$A$1:$P$316,12,FALSE)</f>
        <v>0.23926380368098199</v>
      </c>
      <c r="F57">
        <f>VLOOKUP(B57,'Model allocations'!$A$1:$L$316,10,FALSE)</f>
        <v>45802.872150110685</v>
      </c>
      <c r="G57" s="30">
        <f t="shared" si="7"/>
        <v>0.9</v>
      </c>
      <c r="H57">
        <f t="shared" si="8"/>
        <v>45802.872150110685</v>
      </c>
      <c r="I57">
        <f t="shared" si="0"/>
        <v>0</v>
      </c>
      <c r="J57">
        <f t="shared" si="1"/>
        <v>45802.872150110685</v>
      </c>
      <c r="K57">
        <f t="shared" si="2"/>
        <v>45767.898809960592</v>
      </c>
      <c r="L57">
        <f t="shared" si="9"/>
        <v>45767.898809960592</v>
      </c>
      <c r="M57">
        <f t="shared" si="3"/>
        <v>45802.872150110685</v>
      </c>
      <c r="N57" s="29">
        <f t="shared" si="10"/>
        <v>0</v>
      </c>
      <c r="O57" s="29">
        <f t="shared" si="4"/>
        <v>0</v>
      </c>
      <c r="P57" s="29">
        <f t="shared" si="11"/>
        <v>45802.872150110685</v>
      </c>
      <c r="Q57">
        <f t="shared" si="12"/>
        <v>0</v>
      </c>
      <c r="R57" s="29">
        <f t="shared" si="13"/>
        <v>0</v>
      </c>
      <c r="S57" s="29">
        <f t="shared" si="5"/>
        <v>0</v>
      </c>
      <c r="T57" s="29">
        <f t="shared" si="14"/>
        <v>45802.872150110685</v>
      </c>
      <c r="U57">
        <f t="shared" si="15"/>
        <v>0</v>
      </c>
      <c r="V57" s="29">
        <f t="shared" si="16"/>
        <v>0</v>
      </c>
      <c r="W57" s="29">
        <f t="shared" si="6"/>
        <v>0</v>
      </c>
      <c r="X57" s="29">
        <f t="shared" si="17"/>
        <v>45802.872150110685</v>
      </c>
      <c r="Y57">
        <f t="shared" si="18"/>
        <v>0</v>
      </c>
    </row>
    <row r="58" spans="1:25" x14ac:dyDescent="0.25">
      <c r="A58" s="4" t="s">
        <v>765</v>
      </c>
      <c r="B58" s="7" t="s">
        <v>114</v>
      </c>
      <c r="C58" s="2" t="s">
        <v>766</v>
      </c>
      <c r="D58">
        <f>VLOOKUP(B58,'Model allocations'!$A$1:$L$316,5,FALSE)</f>
        <v>0</v>
      </c>
      <c r="E58" s="31">
        <f>VLOOKUP(B58,'Initial adjusted formula count'!$A$1:$P$316,12,FALSE)</f>
        <v>8.6956521739130405E-2</v>
      </c>
      <c r="F58">
        <f>VLOOKUP(B58,'Model allocations'!$A$1:$L$316,10,FALSE)</f>
        <v>4256.7133803953338</v>
      </c>
      <c r="G58" s="30">
        <f t="shared" si="7"/>
        <v>0.85</v>
      </c>
      <c r="H58">
        <f t="shared" si="8"/>
        <v>0</v>
      </c>
      <c r="I58">
        <f t="shared" si="0"/>
        <v>0</v>
      </c>
      <c r="J58">
        <f t="shared" si="1"/>
        <v>4256.7133803953338</v>
      </c>
      <c r="K58">
        <f t="shared" si="2"/>
        <v>4253.4631151175117</v>
      </c>
      <c r="L58">
        <f t="shared" si="9"/>
        <v>4253.4631151175117</v>
      </c>
      <c r="M58">
        <f t="shared" si="3"/>
        <v>0</v>
      </c>
      <c r="N58" s="29">
        <f t="shared" si="10"/>
        <v>4253.4631151175117</v>
      </c>
      <c r="O58" s="29">
        <f t="shared" si="4"/>
        <v>4253.2215243863448</v>
      </c>
      <c r="P58" s="29">
        <f t="shared" si="11"/>
        <v>4253.2215243863448</v>
      </c>
      <c r="Q58">
        <f t="shared" si="12"/>
        <v>0</v>
      </c>
      <c r="R58" s="29">
        <f t="shared" si="13"/>
        <v>4253.2215243863448</v>
      </c>
      <c r="S58" s="29">
        <f t="shared" si="5"/>
        <v>4253.2200084005408</v>
      </c>
      <c r="T58" s="29">
        <f t="shared" si="14"/>
        <v>4253.2200084005408</v>
      </c>
      <c r="U58">
        <f t="shared" si="15"/>
        <v>0</v>
      </c>
      <c r="V58" s="29">
        <f t="shared" si="16"/>
        <v>4253.2200084005408</v>
      </c>
      <c r="W58" s="29">
        <f t="shared" si="6"/>
        <v>4253.2200084005408</v>
      </c>
      <c r="X58" s="29">
        <f t="shared" si="17"/>
        <v>4253.2200084005408</v>
      </c>
      <c r="Y58">
        <f t="shared" si="18"/>
        <v>0</v>
      </c>
    </row>
    <row r="59" spans="1:25" x14ac:dyDescent="0.25">
      <c r="A59" s="4" t="s">
        <v>767</v>
      </c>
      <c r="B59" s="7" t="s">
        <v>271</v>
      </c>
      <c r="C59" s="2" t="s">
        <v>768</v>
      </c>
      <c r="D59">
        <f>VLOOKUP(B59,'Model allocations'!$A$1:$L$316,5,FALSE)</f>
        <v>24304.467844468891</v>
      </c>
      <c r="E59" s="31">
        <f>VLOOKUP(B59,'Initial adjusted formula count'!$A$1:$P$316,12,FALSE)</f>
        <v>8.8408644400785899E-2</v>
      </c>
      <c r="F59">
        <f>VLOOKUP(B59,'Model allocations'!$A$1:$L$316,10,FALSE)</f>
        <v>20658.797667798557</v>
      </c>
      <c r="G59" s="30">
        <f t="shared" si="7"/>
        <v>0.85</v>
      </c>
      <c r="H59">
        <f t="shared" si="8"/>
        <v>20658.797667798557</v>
      </c>
      <c r="I59">
        <f t="shared" si="0"/>
        <v>0</v>
      </c>
      <c r="J59">
        <f t="shared" si="1"/>
        <v>20658.797667798557</v>
      </c>
      <c r="K59">
        <f t="shared" si="2"/>
        <v>20643.023391557541</v>
      </c>
      <c r="L59">
        <f t="shared" si="9"/>
        <v>20643.023391557541</v>
      </c>
      <c r="M59">
        <f t="shared" si="3"/>
        <v>20658.797667798557</v>
      </c>
      <c r="N59" s="29">
        <f t="shared" si="10"/>
        <v>0</v>
      </c>
      <c r="O59" s="29">
        <f t="shared" si="4"/>
        <v>0</v>
      </c>
      <c r="P59" s="29">
        <f t="shared" si="11"/>
        <v>20658.797667798557</v>
      </c>
      <c r="Q59">
        <f t="shared" si="12"/>
        <v>0</v>
      </c>
      <c r="R59" s="29">
        <f t="shared" si="13"/>
        <v>0</v>
      </c>
      <c r="S59" s="29">
        <f t="shared" si="5"/>
        <v>0</v>
      </c>
      <c r="T59" s="29">
        <f t="shared" si="14"/>
        <v>20658.797667798557</v>
      </c>
      <c r="U59">
        <f t="shared" si="15"/>
        <v>0</v>
      </c>
      <c r="V59" s="29">
        <f t="shared" si="16"/>
        <v>0</v>
      </c>
      <c r="W59" s="29">
        <f t="shared" si="6"/>
        <v>0</v>
      </c>
      <c r="X59" s="29">
        <f t="shared" si="17"/>
        <v>20658.797667798557</v>
      </c>
      <c r="Y59">
        <f t="shared" si="18"/>
        <v>0</v>
      </c>
    </row>
    <row r="60" spans="1:25" x14ac:dyDescent="0.25">
      <c r="A60" s="4" t="s">
        <v>769</v>
      </c>
      <c r="B60" s="7" t="s">
        <v>369</v>
      </c>
      <c r="C60" s="2" t="s">
        <v>770</v>
      </c>
      <c r="D60">
        <f>VLOOKUP(B60,'Model allocations'!$A$1:$L$316,5,FALSE)</f>
        <v>34374.522289966379</v>
      </c>
      <c r="E60" s="31">
        <f>VLOOKUP(B60,'Initial adjusted formula count'!$A$1:$P$316,12,FALSE)</f>
        <v>0.19387755102040799</v>
      </c>
      <c r="F60">
        <f>VLOOKUP(B60,'Model allocations'!$A$1:$L$316,10,FALSE)</f>
        <v>55674.490779134263</v>
      </c>
      <c r="G60" s="30">
        <f t="shared" si="7"/>
        <v>0.9</v>
      </c>
      <c r="H60">
        <f t="shared" si="8"/>
        <v>30937.070060969741</v>
      </c>
      <c r="I60">
        <f t="shared" si="0"/>
        <v>0</v>
      </c>
      <c r="J60">
        <f t="shared" si="1"/>
        <v>55674.490779134263</v>
      </c>
      <c r="K60">
        <f t="shared" si="2"/>
        <v>55631.979844507274</v>
      </c>
      <c r="L60">
        <f t="shared" si="9"/>
        <v>55631.979844507274</v>
      </c>
      <c r="M60">
        <f t="shared" si="3"/>
        <v>0</v>
      </c>
      <c r="N60" s="29">
        <f t="shared" si="10"/>
        <v>55631.979844507274</v>
      </c>
      <c r="O60" s="29">
        <f t="shared" si="4"/>
        <v>55628.820026184381</v>
      </c>
      <c r="P60" s="29">
        <f t="shared" si="11"/>
        <v>55628.820026184381</v>
      </c>
      <c r="Q60">
        <f t="shared" si="12"/>
        <v>0</v>
      </c>
      <c r="R60" s="29">
        <f t="shared" si="13"/>
        <v>55628.820026184381</v>
      </c>
      <c r="S60" s="29">
        <f t="shared" si="5"/>
        <v>55628.80019827254</v>
      </c>
      <c r="T60" s="29">
        <f t="shared" si="14"/>
        <v>55628.80019827254</v>
      </c>
      <c r="U60">
        <f t="shared" si="15"/>
        <v>0</v>
      </c>
      <c r="V60" s="29">
        <f t="shared" si="16"/>
        <v>55628.80019827254</v>
      </c>
      <c r="W60" s="29">
        <f t="shared" si="6"/>
        <v>55628.800198272547</v>
      </c>
      <c r="X60" s="29">
        <f t="shared" si="17"/>
        <v>55628.800198272547</v>
      </c>
      <c r="Y60">
        <f t="shared" si="18"/>
        <v>0</v>
      </c>
    </row>
    <row r="61" spans="1:25" x14ac:dyDescent="0.25">
      <c r="A61" s="4" t="s">
        <v>771</v>
      </c>
      <c r="B61" s="7" t="s">
        <v>371</v>
      </c>
      <c r="C61" s="2" t="s">
        <v>772</v>
      </c>
      <c r="D61">
        <f>VLOOKUP(B61,'Model allocations'!$A$1:$L$316,5,FALSE)</f>
        <v>42900.472781680961</v>
      </c>
      <c r="E61" s="31">
        <f>VLOOKUP(B61,'Initial adjusted formula count'!$A$1:$P$316,12,FALSE)</f>
        <v>0.18093385214007801</v>
      </c>
      <c r="F61">
        <f>VLOOKUP(B61,'Model allocations'!$A$1:$L$316,10,FALSE)</f>
        <v>43711.806599075448</v>
      </c>
      <c r="G61" s="30">
        <f t="shared" si="7"/>
        <v>0.9</v>
      </c>
      <c r="H61">
        <f t="shared" si="8"/>
        <v>38610.425503512866</v>
      </c>
      <c r="I61">
        <f t="shared" si="0"/>
        <v>0</v>
      </c>
      <c r="J61">
        <f t="shared" si="1"/>
        <v>43711.806599075448</v>
      </c>
      <c r="K61">
        <f t="shared" si="2"/>
        <v>43678.429917461377</v>
      </c>
      <c r="L61">
        <f t="shared" si="9"/>
        <v>43678.429917461377</v>
      </c>
      <c r="M61">
        <f t="shared" si="3"/>
        <v>0</v>
      </c>
      <c r="N61" s="29">
        <f t="shared" si="10"/>
        <v>43678.429917461377</v>
      </c>
      <c r="O61" s="29">
        <f t="shared" si="4"/>
        <v>43675.949043986191</v>
      </c>
      <c r="P61" s="29">
        <f t="shared" si="11"/>
        <v>43675.949043986191</v>
      </c>
      <c r="Q61">
        <f t="shared" si="12"/>
        <v>0</v>
      </c>
      <c r="R61" s="29">
        <f t="shared" si="13"/>
        <v>43675.949043986191</v>
      </c>
      <c r="S61" s="29">
        <f t="shared" si="5"/>
        <v>43675.933476464415</v>
      </c>
      <c r="T61" s="29">
        <f t="shared" si="14"/>
        <v>43675.933476464415</v>
      </c>
      <c r="U61">
        <f t="shared" si="15"/>
        <v>0</v>
      </c>
      <c r="V61" s="29">
        <f t="shared" si="16"/>
        <v>43675.933476464415</v>
      </c>
      <c r="W61" s="29">
        <f t="shared" si="6"/>
        <v>43675.933476464423</v>
      </c>
      <c r="X61" s="29">
        <f t="shared" si="17"/>
        <v>43675.933476464423</v>
      </c>
      <c r="Y61">
        <f t="shared" si="18"/>
        <v>0</v>
      </c>
    </row>
    <row r="62" spans="1:25" x14ac:dyDescent="0.25">
      <c r="A62" s="4" t="s">
        <v>773</v>
      </c>
      <c r="B62" s="7" t="s">
        <v>373</v>
      </c>
      <c r="C62" s="2" t="s">
        <v>774</v>
      </c>
      <c r="D62">
        <f>VLOOKUP(B62,'Model allocations'!$A$1:$L$316,5,FALSE)</f>
        <v>118241.20123767485</v>
      </c>
      <c r="E62" s="31">
        <f>VLOOKUP(B62,'Initial adjusted formula count'!$A$1:$P$316,12,FALSE)</f>
        <v>0.10058922558922601</v>
      </c>
      <c r="F62">
        <f>VLOOKUP(B62,'Model allocations'!$A$1:$L$316,10,FALSE)</f>
        <v>101735.4497914485</v>
      </c>
      <c r="G62" s="30">
        <f t="shared" si="7"/>
        <v>0.85</v>
      </c>
      <c r="H62">
        <f t="shared" si="8"/>
        <v>100505.02105202361</v>
      </c>
      <c r="I62">
        <f t="shared" si="0"/>
        <v>0</v>
      </c>
      <c r="J62">
        <f t="shared" si="1"/>
        <v>101735.4497914485</v>
      </c>
      <c r="K62">
        <f t="shared" si="2"/>
        <v>101657.76845130857</v>
      </c>
      <c r="L62">
        <f t="shared" si="9"/>
        <v>101657.76845130857</v>
      </c>
      <c r="M62">
        <f t="shared" si="3"/>
        <v>0</v>
      </c>
      <c r="N62" s="29">
        <f t="shared" si="10"/>
        <v>101657.76845130857</v>
      </c>
      <c r="O62" s="29">
        <f t="shared" si="4"/>
        <v>101651.99443283369</v>
      </c>
      <c r="P62" s="29">
        <f t="shared" si="11"/>
        <v>101651.99443283369</v>
      </c>
      <c r="Q62">
        <f t="shared" si="12"/>
        <v>0</v>
      </c>
      <c r="R62" s="29">
        <f t="shared" si="13"/>
        <v>101651.99443283369</v>
      </c>
      <c r="S62" s="29">
        <f t="shared" si="5"/>
        <v>101651.95820077298</v>
      </c>
      <c r="T62" s="29">
        <f t="shared" si="14"/>
        <v>101651.95820077298</v>
      </c>
      <c r="U62">
        <f t="shared" si="15"/>
        <v>0</v>
      </c>
      <c r="V62" s="29">
        <f t="shared" si="16"/>
        <v>101651.95820077298</v>
      </c>
      <c r="W62" s="29">
        <f t="shared" si="6"/>
        <v>101651.95820077299</v>
      </c>
      <c r="X62" s="29">
        <f t="shared" si="17"/>
        <v>101651.95820077299</v>
      </c>
      <c r="Y62">
        <f t="shared" si="18"/>
        <v>0</v>
      </c>
    </row>
    <row r="63" spans="1:25" x14ac:dyDescent="0.25">
      <c r="A63" s="4" t="s">
        <v>775</v>
      </c>
      <c r="B63" s="7" t="s">
        <v>273</v>
      </c>
      <c r="C63" s="2" t="s">
        <v>776</v>
      </c>
      <c r="D63">
        <f>VLOOKUP(B63,'Model allocations'!$A$1:$L$316,5,FALSE)</f>
        <v>0</v>
      </c>
      <c r="E63" s="31">
        <f>VLOOKUP(B63,'Initial adjusted formula count'!$A$1:$P$316,12,FALSE)</f>
        <v>5.6184668989547E-2</v>
      </c>
      <c r="F63">
        <f>VLOOKUP(B63,'Model allocations'!$A$1:$L$316,10,FALSE)</f>
        <v>54911.602607099827</v>
      </c>
      <c r="G63" s="30">
        <f t="shared" si="7"/>
        <v>0.85</v>
      </c>
      <c r="H63">
        <f t="shared" si="8"/>
        <v>0</v>
      </c>
      <c r="I63">
        <f t="shared" si="0"/>
        <v>0</v>
      </c>
      <c r="J63">
        <f t="shared" si="1"/>
        <v>54911.602607099827</v>
      </c>
      <c r="K63">
        <f t="shared" si="2"/>
        <v>54869.674185015923</v>
      </c>
      <c r="L63">
        <f t="shared" si="9"/>
        <v>54869.674185015923</v>
      </c>
      <c r="M63">
        <f t="shared" si="3"/>
        <v>0</v>
      </c>
      <c r="N63" s="29">
        <f t="shared" si="10"/>
        <v>54869.674185015923</v>
      </c>
      <c r="O63" s="29">
        <f t="shared" si="4"/>
        <v>54866.557664583866</v>
      </c>
      <c r="P63" s="29">
        <f t="shared" si="11"/>
        <v>54866.557664583866</v>
      </c>
      <c r="Q63">
        <f t="shared" si="12"/>
        <v>0</v>
      </c>
      <c r="R63" s="29">
        <f t="shared" si="13"/>
        <v>54866.557664583866</v>
      </c>
      <c r="S63" s="29">
        <f t="shared" si="5"/>
        <v>54866.538108367</v>
      </c>
      <c r="T63" s="29">
        <f t="shared" si="14"/>
        <v>54866.538108367</v>
      </c>
      <c r="U63">
        <f t="shared" si="15"/>
        <v>0</v>
      </c>
      <c r="V63" s="29">
        <f t="shared" si="16"/>
        <v>54866.538108367</v>
      </c>
      <c r="W63" s="29">
        <f t="shared" si="6"/>
        <v>54866.538108367007</v>
      </c>
      <c r="X63" s="29">
        <f t="shared" si="17"/>
        <v>54866.538108367007</v>
      </c>
      <c r="Y63">
        <f t="shared" si="18"/>
        <v>0</v>
      </c>
    </row>
    <row r="64" spans="1:25" x14ac:dyDescent="0.25">
      <c r="A64" s="4" t="s">
        <v>777</v>
      </c>
      <c r="B64" s="7" t="s">
        <v>375</v>
      </c>
      <c r="C64" s="2" t="s">
        <v>778</v>
      </c>
      <c r="D64">
        <f>VLOOKUP(B64,'Model allocations'!$A$1:$L$316,5,FALSE)</f>
        <v>0</v>
      </c>
      <c r="E64" s="31">
        <f>VLOOKUP(B64,'Initial adjusted formula count'!$A$1:$P$316,12,FALSE)</f>
        <v>1.35135135135135E-2</v>
      </c>
      <c r="F64">
        <f>VLOOKUP(B64,'Model allocations'!$A$1:$L$316,10,FALSE)</f>
        <v>0</v>
      </c>
      <c r="G64" s="30">
        <f t="shared" si="7"/>
        <v>0.85</v>
      </c>
      <c r="H64">
        <f t="shared" si="8"/>
        <v>0</v>
      </c>
      <c r="I64">
        <f t="shared" si="0"/>
        <v>0</v>
      </c>
      <c r="J64">
        <f t="shared" si="1"/>
        <v>0</v>
      </c>
      <c r="K64">
        <f t="shared" si="2"/>
        <v>0</v>
      </c>
      <c r="L64">
        <f t="shared" si="9"/>
        <v>0</v>
      </c>
      <c r="M64">
        <f t="shared" si="3"/>
        <v>0</v>
      </c>
      <c r="N64" s="29">
        <f t="shared" si="10"/>
        <v>0</v>
      </c>
      <c r="O64" s="29">
        <f t="shared" si="4"/>
        <v>0</v>
      </c>
      <c r="P64" s="29">
        <f t="shared" si="11"/>
        <v>0</v>
      </c>
      <c r="Q64">
        <f t="shared" si="12"/>
        <v>0</v>
      </c>
      <c r="R64" s="29">
        <f t="shared" si="13"/>
        <v>0</v>
      </c>
      <c r="S64" s="29">
        <f t="shared" si="5"/>
        <v>0</v>
      </c>
      <c r="T64" s="29">
        <f t="shared" si="14"/>
        <v>0</v>
      </c>
      <c r="U64">
        <f t="shared" si="15"/>
        <v>0</v>
      </c>
      <c r="V64" s="29">
        <f t="shared" si="16"/>
        <v>0</v>
      </c>
      <c r="W64" s="29">
        <f t="shared" si="6"/>
        <v>0</v>
      </c>
      <c r="X64" s="29">
        <f t="shared" si="17"/>
        <v>0</v>
      </c>
      <c r="Y64">
        <f t="shared" si="18"/>
        <v>0</v>
      </c>
    </row>
    <row r="65" spans="1:25" x14ac:dyDescent="0.25">
      <c r="A65" s="4" t="s">
        <v>779</v>
      </c>
      <c r="B65" s="7" t="s">
        <v>377</v>
      </c>
      <c r="C65" s="2" t="s">
        <v>780</v>
      </c>
      <c r="D65">
        <f>VLOOKUP(B65,'Model allocations'!$A$1:$L$316,5,FALSE)</f>
        <v>304614.11956312542</v>
      </c>
      <c r="E65" s="31">
        <f>VLOOKUP(B65,'Initial adjusted formula count'!$A$1:$P$316,12,FALSE)</f>
        <v>0.12114115392803899</v>
      </c>
      <c r="F65">
        <f>VLOOKUP(B65,'Model allocations'!$A$1:$L$316,10,FALSE)</f>
        <v>258811.37483881315</v>
      </c>
      <c r="G65" s="30">
        <f t="shared" si="7"/>
        <v>0.85</v>
      </c>
      <c r="H65">
        <f t="shared" si="8"/>
        <v>258922.00162865661</v>
      </c>
      <c r="I65">
        <f t="shared" si="0"/>
        <v>258922.00162865661</v>
      </c>
      <c r="J65">
        <f t="shared" si="1"/>
        <v>0</v>
      </c>
      <c r="K65">
        <f t="shared" si="2"/>
        <v>0</v>
      </c>
      <c r="L65">
        <f t="shared" si="9"/>
        <v>258922.00162865661</v>
      </c>
      <c r="M65">
        <f t="shared" si="3"/>
        <v>0</v>
      </c>
      <c r="N65" s="29">
        <f t="shared" si="10"/>
        <v>0</v>
      </c>
      <c r="O65" s="29">
        <f t="shared" si="4"/>
        <v>0</v>
      </c>
      <c r="P65" s="29">
        <f t="shared" si="11"/>
        <v>258922.00162865661</v>
      </c>
      <c r="Q65">
        <f t="shared" si="12"/>
        <v>0</v>
      </c>
      <c r="R65" s="29">
        <f t="shared" si="13"/>
        <v>0</v>
      </c>
      <c r="S65" s="29">
        <f t="shared" si="5"/>
        <v>0</v>
      </c>
      <c r="T65" s="29">
        <f t="shared" si="14"/>
        <v>258922.00162865661</v>
      </c>
      <c r="U65">
        <f t="shared" si="15"/>
        <v>0</v>
      </c>
      <c r="V65" s="29">
        <f t="shared" si="16"/>
        <v>0</v>
      </c>
      <c r="W65" s="29">
        <f t="shared" si="6"/>
        <v>0</v>
      </c>
      <c r="X65" s="29">
        <f t="shared" si="17"/>
        <v>258922.00162865661</v>
      </c>
      <c r="Y65">
        <f t="shared" si="18"/>
        <v>0</v>
      </c>
    </row>
    <row r="66" spans="1:25" x14ac:dyDescent="0.25">
      <c r="A66" s="4" t="s">
        <v>781</v>
      </c>
      <c r="B66" s="7" t="s">
        <v>379</v>
      </c>
      <c r="C66" s="2" t="s">
        <v>782</v>
      </c>
      <c r="D66">
        <f>VLOOKUP(B66,'Model allocations'!$A$1:$L$316,5,FALSE)</f>
        <v>205408.73075711617</v>
      </c>
      <c r="E66" s="31">
        <f>VLOOKUP(B66,'Initial adjusted formula count'!$A$1:$P$316,12,FALSE)</f>
        <v>0.148556876061121</v>
      </c>
      <c r="F66">
        <f>VLOOKUP(B66,'Model allocations'!$A$1:$L$316,10,FALSE)</f>
        <v>223477.45247075506</v>
      </c>
      <c r="G66" s="30">
        <f t="shared" si="7"/>
        <v>0.85</v>
      </c>
      <c r="H66">
        <f t="shared" si="8"/>
        <v>174597.42114354874</v>
      </c>
      <c r="I66">
        <f t="shared" si="0"/>
        <v>0</v>
      </c>
      <c r="J66">
        <f t="shared" si="1"/>
        <v>223477.45247075506</v>
      </c>
      <c r="K66">
        <f t="shared" si="2"/>
        <v>223306.81354366944</v>
      </c>
      <c r="L66">
        <f t="shared" si="9"/>
        <v>223306.81354366944</v>
      </c>
      <c r="M66">
        <f t="shared" si="3"/>
        <v>0</v>
      </c>
      <c r="N66" s="29">
        <f t="shared" si="10"/>
        <v>223306.81354366944</v>
      </c>
      <c r="O66" s="29">
        <f t="shared" si="4"/>
        <v>223294.13003028318</v>
      </c>
      <c r="P66" s="29">
        <f t="shared" si="11"/>
        <v>223294.13003028318</v>
      </c>
      <c r="Q66">
        <f t="shared" si="12"/>
        <v>0</v>
      </c>
      <c r="R66" s="29">
        <f t="shared" si="13"/>
        <v>223294.13003028318</v>
      </c>
      <c r="S66" s="29">
        <f t="shared" si="5"/>
        <v>223294.05044102849</v>
      </c>
      <c r="T66" s="29">
        <f t="shared" si="14"/>
        <v>223294.05044102849</v>
      </c>
      <c r="U66">
        <f t="shared" si="15"/>
        <v>0</v>
      </c>
      <c r="V66" s="29">
        <f t="shared" si="16"/>
        <v>223294.05044102849</v>
      </c>
      <c r="W66" s="29">
        <f t="shared" si="6"/>
        <v>223294.05044102852</v>
      </c>
      <c r="X66" s="29">
        <f t="shared" si="17"/>
        <v>223294.05044102852</v>
      </c>
      <c r="Y66">
        <f t="shared" si="18"/>
        <v>0</v>
      </c>
    </row>
    <row r="67" spans="1:25" x14ac:dyDescent="0.25">
      <c r="A67" s="4" t="s">
        <v>783</v>
      </c>
      <c r="B67" s="7" t="s">
        <v>381</v>
      </c>
      <c r="C67" s="2" t="s">
        <v>784</v>
      </c>
      <c r="D67">
        <f>VLOOKUP(B67,'Model allocations'!$A$1:$L$316,5,FALSE)</f>
        <v>412284.66673392605</v>
      </c>
      <c r="E67" s="31">
        <f>VLOOKUP(B67,'Initial adjusted formula count'!$A$1:$P$316,12,FALSE)</f>
        <v>0.13250714966634899</v>
      </c>
      <c r="F67">
        <f>VLOOKUP(B67,'Model allocations'!$A$1:$L$316,10,FALSE)</f>
        <v>385445.39659479755</v>
      </c>
      <c r="G67" s="30">
        <f t="shared" si="7"/>
        <v>0.85</v>
      </c>
      <c r="H67">
        <f t="shared" si="8"/>
        <v>350441.96672383713</v>
      </c>
      <c r="I67">
        <f t="shared" si="0"/>
        <v>0</v>
      </c>
      <c r="J67">
        <f t="shared" si="1"/>
        <v>385445.39659479755</v>
      </c>
      <c r="K67">
        <f t="shared" si="2"/>
        <v>385151.0850738908</v>
      </c>
      <c r="L67">
        <f t="shared" si="9"/>
        <v>385151.0850738908</v>
      </c>
      <c r="M67">
        <f t="shared" si="3"/>
        <v>0</v>
      </c>
      <c r="N67" s="29">
        <f t="shared" si="10"/>
        <v>385151.0850738908</v>
      </c>
      <c r="O67" s="29">
        <f t="shared" si="4"/>
        <v>385129.20903318364</v>
      </c>
      <c r="P67" s="29">
        <f t="shared" si="11"/>
        <v>385129.20903318364</v>
      </c>
      <c r="Q67">
        <f t="shared" si="12"/>
        <v>0</v>
      </c>
      <c r="R67" s="29">
        <f t="shared" si="13"/>
        <v>385129.20903318364</v>
      </c>
      <c r="S67" s="29">
        <f t="shared" si="5"/>
        <v>385129.07176066912</v>
      </c>
      <c r="T67" s="29">
        <f t="shared" si="14"/>
        <v>385129.07176066912</v>
      </c>
      <c r="U67">
        <f t="shared" si="15"/>
        <v>0</v>
      </c>
      <c r="V67" s="29">
        <f t="shared" si="16"/>
        <v>385129.07176066912</v>
      </c>
      <c r="W67" s="29">
        <f t="shared" si="6"/>
        <v>385129.07176066918</v>
      </c>
      <c r="X67" s="29">
        <f t="shared" si="17"/>
        <v>385129.07176066918</v>
      </c>
      <c r="Y67">
        <f t="shared" si="18"/>
        <v>0</v>
      </c>
    </row>
    <row r="68" spans="1:25" x14ac:dyDescent="0.25">
      <c r="A68" s="4" t="s">
        <v>785</v>
      </c>
      <c r="B68" s="7" t="s">
        <v>116</v>
      </c>
      <c r="C68" s="2" t="s">
        <v>786</v>
      </c>
      <c r="D68">
        <f>VLOOKUP(B68,'Model allocations'!$A$1:$L$316,5,FALSE)</f>
        <v>8803.2313181621212</v>
      </c>
      <c r="E68" s="31">
        <f>VLOOKUP(B68,'Initial adjusted formula count'!$A$1:$P$316,12,FALSE)</f>
        <v>7.4999999999999997E-2</v>
      </c>
      <c r="F68">
        <f>VLOOKUP(B68,'Model allocations'!$A$1:$L$316,10,FALSE)</f>
        <v>7487.9423281150212</v>
      </c>
      <c r="G68" s="30">
        <f t="shared" si="7"/>
        <v>0.85</v>
      </c>
      <c r="H68">
        <f t="shared" si="8"/>
        <v>7482.7466204378024</v>
      </c>
      <c r="I68">
        <f t="shared" ref="I68:I131" si="19">IF(F68&lt;H68,H68,0)</f>
        <v>0</v>
      </c>
      <c r="J68">
        <f t="shared" ref="J68:J131" si="20">IF(I68=0,F68,0)</f>
        <v>7487.9423281150212</v>
      </c>
      <c r="K68">
        <f t="shared" ref="K68:K131" si="21">(J68/$J$3)*($F$3-$I$3)</f>
        <v>7482.2248186713523</v>
      </c>
      <c r="L68">
        <f t="shared" si="9"/>
        <v>7482.2248186713523</v>
      </c>
      <c r="M68">
        <f t="shared" ref="M68:M131" si="22">IF(L68&lt;H68,H68,0)</f>
        <v>7482.7466204378024</v>
      </c>
      <c r="N68" s="29">
        <f t="shared" si="10"/>
        <v>0</v>
      </c>
      <c r="O68" s="29">
        <f t="shared" ref="O68:O131" si="23">((N68/$N$3)*($F$3-$I$3-$M$3))</f>
        <v>0</v>
      </c>
      <c r="P68" s="29">
        <f t="shared" si="11"/>
        <v>7482.7466204378024</v>
      </c>
      <c r="Q68">
        <f t="shared" si="12"/>
        <v>0</v>
      </c>
      <c r="R68" s="29">
        <f t="shared" si="13"/>
        <v>0</v>
      </c>
      <c r="S68" s="29">
        <f t="shared" ref="S68:S131" si="24">((R68/$R$3)*($F$3-$I$3-$M$3-$Q$3))</f>
        <v>0</v>
      </c>
      <c r="T68" s="29">
        <f t="shared" si="14"/>
        <v>7482.7466204378024</v>
      </c>
      <c r="U68">
        <f t="shared" si="15"/>
        <v>0</v>
      </c>
      <c r="V68" s="29">
        <f t="shared" si="16"/>
        <v>0</v>
      </c>
      <c r="W68" s="29">
        <f t="shared" ref="W68:W131" si="25">((V68/$V$3)*($F$3-$I$3-$M$3-$Q$3-$U$3))</f>
        <v>0</v>
      </c>
      <c r="X68" s="29">
        <f t="shared" si="17"/>
        <v>7482.7466204378024</v>
      </c>
      <c r="Y68">
        <f t="shared" si="18"/>
        <v>0</v>
      </c>
    </row>
    <row r="69" spans="1:25" x14ac:dyDescent="0.25">
      <c r="A69" s="4" t="s">
        <v>787</v>
      </c>
      <c r="B69" s="7" t="s">
        <v>118</v>
      </c>
      <c r="C69" s="2" t="s">
        <v>788</v>
      </c>
      <c r="D69">
        <f>VLOOKUP(B69,'Model allocations'!$A$1:$L$316,5,FALSE)</f>
        <v>66816.773480461226</v>
      </c>
      <c r="E69" s="31">
        <f>VLOOKUP(B69,'Initial adjusted formula count'!$A$1:$P$316,12,FALSE)</f>
        <v>8.2321187584345507E-2</v>
      </c>
      <c r="F69">
        <f>VLOOKUP(B69,'Model allocations'!$A$1:$L$316,10,FALSE)</f>
        <v>77897.85486123462</v>
      </c>
      <c r="G69" s="30">
        <f t="shared" ref="G69:G132" si="26">IF(E69&lt;0.15,0.85,IF(AND(E69&gt;=0.15,E69&lt;0.3),0.9,0.95))</f>
        <v>0.85</v>
      </c>
      <c r="H69">
        <f t="shared" ref="H69:H132" si="27">IF(F69 = 0, 0, D69*G69)</f>
        <v>56794.257458392043</v>
      </c>
      <c r="I69">
        <f t="shared" si="19"/>
        <v>0</v>
      </c>
      <c r="J69">
        <f t="shared" si="20"/>
        <v>77897.85486123462</v>
      </c>
      <c r="K69">
        <f t="shared" si="21"/>
        <v>77838.375006650487</v>
      </c>
      <c r="L69">
        <f t="shared" ref="L69:L132" si="28">I69+K69</f>
        <v>77838.375006650487</v>
      </c>
      <c r="M69">
        <f t="shared" si="22"/>
        <v>0</v>
      </c>
      <c r="N69" s="29">
        <f t="shared" ref="N69:N132" si="29">IF($I69+$M69=0,L69,0)</f>
        <v>77838.375006650487</v>
      </c>
      <c r="O69" s="29">
        <f t="shared" si="23"/>
        <v>77833.953896270119</v>
      </c>
      <c r="P69" s="29">
        <f t="shared" ref="P69:P132" si="30">$I69+$M69+O69</f>
        <v>77833.953896270119</v>
      </c>
      <c r="Q69">
        <f t="shared" ref="Q69:Q132" si="31">IF(P69&lt;H69,H69,0)</f>
        <v>0</v>
      </c>
      <c r="R69" s="29">
        <f t="shared" ref="R69:R132" si="32">IF($I69+$M69+$Q69=0,P69,0)</f>
        <v>77833.953896270119</v>
      </c>
      <c r="S69" s="29">
        <f t="shared" si="24"/>
        <v>77833.926153729917</v>
      </c>
      <c r="T69" s="29">
        <f t="shared" ref="T69:T132" si="33">$I69+$M69+$Q69+S69</f>
        <v>77833.926153729917</v>
      </c>
      <c r="U69">
        <f t="shared" ref="U69:U132" si="34">IF(T69&lt;H69,H69,0)</f>
        <v>0</v>
      </c>
      <c r="V69" s="29">
        <f t="shared" ref="V69:V132" si="35">IF($I69+$M69+$Q69+U69=0,T69,0)</f>
        <v>77833.926153729917</v>
      </c>
      <c r="W69" s="29">
        <f t="shared" si="25"/>
        <v>77833.926153729932</v>
      </c>
      <c r="X69" s="29">
        <f t="shared" ref="X69:X132" si="36">$I69+$M69+$Q69+$U69+W69</f>
        <v>77833.926153729932</v>
      </c>
      <c r="Y69">
        <f t="shared" ref="Y69:Y132" si="37">IF(X69&lt;H69,H69,0)</f>
        <v>0</v>
      </c>
    </row>
    <row r="70" spans="1:25" x14ac:dyDescent="0.25">
      <c r="A70" s="4" t="s">
        <v>789</v>
      </c>
      <c r="B70" s="7" t="s">
        <v>120</v>
      </c>
      <c r="C70" s="2" t="s">
        <v>790</v>
      </c>
      <c r="D70">
        <f>VLOOKUP(B70,'Model allocations'!$A$1:$L$316,5,FALSE)</f>
        <v>1357164.8282166605</v>
      </c>
      <c r="E70" s="31">
        <f>VLOOKUP(B70,'Initial adjusted formula count'!$A$1:$P$316,12,FALSE)</f>
        <v>9.3281307157663695E-2</v>
      </c>
      <c r="F70">
        <f>VLOOKUP(B70,'Model allocations'!$A$1:$L$316,10,FALSE)</f>
        <v>1325327.7109860876</v>
      </c>
      <c r="G70" s="30">
        <f t="shared" si="26"/>
        <v>0.85</v>
      </c>
      <c r="H70">
        <f t="shared" si="27"/>
        <v>1153590.1039841615</v>
      </c>
      <c r="I70">
        <f t="shared" si="19"/>
        <v>0</v>
      </c>
      <c r="J70">
        <f t="shared" si="20"/>
        <v>1325327.7109860876</v>
      </c>
      <c r="K70">
        <f t="shared" si="21"/>
        <v>1324315.7408918377</v>
      </c>
      <c r="L70">
        <f t="shared" si="28"/>
        <v>1324315.7408918377</v>
      </c>
      <c r="M70">
        <f t="shared" si="22"/>
        <v>0</v>
      </c>
      <c r="N70" s="29">
        <f t="shared" si="29"/>
        <v>1324315.7408918377</v>
      </c>
      <c r="O70" s="29">
        <f t="shared" si="23"/>
        <v>1324240.5216176889</v>
      </c>
      <c r="P70" s="29">
        <f t="shared" si="30"/>
        <v>1324240.5216176889</v>
      </c>
      <c r="Q70">
        <f t="shared" si="31"/>
        <v>0</v>
      </c>
      <c r="R70" s="29">
        <f t="shared" si="32"/>
        <v>1324240.5216176889</v>
      </c>
      <c r="S70" s="29">
        <f t="shared" si="24"/>
        <v>1324240.0496155089</v>
      </c>
      <c r="T70" s="29">
        <f t="shared" si="33"/>
        <v>1324240.0496155089</v>
      </c>
      <c r="U70">
        <f t="shared" si="34"/>
        <v>0</v>
      </c>
      <c r="V70" s="29">
        <f t="shared" si="35"/>
        <v>1324240.0496155089</v>
      </c>
      <c r="W70" s="29">
        <f t="shared" si="25"/>
        <v>1324240.0496155089</v>
      </c>
      <c r="X70" s="29">
        <f t="shared" si="36"/>
        <v>1324240.0496155089</v>
      </c>
      <c r="Y70">
        <f t="shared" si="37"/>
        <v>0</v>
      </c>
    </row>
    <row r="71" spans="1:25" x14ac:dyDescent="0.25">
      <c r="A71" s="4" t="s">
        <v>791</v>
      </c>
      <c r="B71" s="7" t="s">
        <v>383</v>
      </c>
      <c r="C71" s="2" t="s">
        <v>792</v>
      </c>
      <c r="D71">
        <f>VLOOKUP(B71,'Model allocations'!$A$1:$L$316,5,FALSE)</f>
        <v>186544.66364676872</v>
      </c>
      <c r="E71" s="31">
        <f>VLOOKUP(B71,'Initial adjusted formula count'!$A$1:$P$316,12,FALSE)</f>
        <v>0.118579234972678</v>
      </c>
      <c r="F71">
        <f>VLOOKUP(B71,'Model allocations'!$A$1:$L$316,10,FALSE)</f>
        <v>184741.36070915751</v>
      </c>
      <c r="G71" s="30">
        <f t="shared" si="26"/>
        <v>0.85</v>
      </c>
      <c r="H71">
        <f t="shared" si="27"/>
        <v>158562.96409975342</v>
      </c>
      <c r="I71">
        <f t="shared" si="19"/>
        <v>0</v>
      </c>
      <c r="J71">
        <f t="shared" si="20"/>
        <v>184741.36070915751</v>
      </c>
      <c r="K71">
        <f t="shared" si="21"/>
        <v>184600.29919610007</v>
      </c>
      <c r="L71">
        <f t="shared" si="28"/>
        <v>184600.29919610007</v>
      </c>
      <c r="M71">
        <f t="shared" si="22"/>
        <v>0</v>
      </c>
      <c r="N71" s="29">
        <f t="shared" si="29"/>
        <v>184600.29919610007</v>
      </c>
      <c r="O71" s="29">
        <f t="shared" si="23"/>
        <v>184589.81415836743</v>
      </c>
      <c r="P71" s="29">
        <f t="shared" si="30"/>
        <v>184589.81415836743</v>
      </c>
      <c r="Q71">
        <f t="shared" si="31"/>
        <v>0</v>
      </c>
      <c r="R71" s="29">
        <f t="shared" si="32"/>
        <v>184589.81415836743</v>
      </c>
      <c r="S71" s="29">
        <f t="shared" si="24"/>
        <v>184589.74836458353</v>
      </c>
      <c r="T71" s="29">
        <f t="shared" si="33"/>
        <v>184589.74836458353</v>
      </c>
      <c r="U71">
        <f t="shared" si="34"/>
        <v>0</v>
      </c>
      <c r="V71" s="29">
        <f t="shared" si="35"/>
        <v>184589.74836458353</v>
      </c>
      <c r="W71" s="29">
        <f t="shared" si="25"/>
        <v>184589.74836458356</v>
      </c>
      <c r="X71" s="29">
        <f t="shared" si="36"/>
        <v>184589.74836458356</v>
      </c>
      <c r="Y71">
        <f t="shared" si="37"/>
        <v>0</v>
      </c>
    </row>
    <row r="72" spans="1:25" x14ac:dyDescent="0.25">
      <c r="A72" s="4" t="s">
        <v>793</v>
      </c>
      <c r="B72" s="7" t="s">
        <v>385</v>
      </c>
      <c r="C72" s="2" t="s">
        <v>794</v>
      </c>
      <c r="D72">
        <f>VLOOKUP(B72,'Model allocations'!$A$1:$L$316,5,FALSE)</f>
        <v>143880.5607569252</v>
      </c>
      <c r="E72" s="31">
        <f>VLOOKUP(B72,'Initial adjusted formula count'!$A$1:$P$316,12,FALSE)</f>
        <v>0.16814720812182701</v>
      </c>
      <c r="F72">
        <f>VLOOKUP(B72,'Model allocations'!$A$1:$L$316,10,FALSE)</f>
        <v>129492.50468123269</v>
      </c>
      <c r="G72" s="30">
        <f t="shared" si="26"/>
        <v>0.9</v>
      </c>
      <c r="H72">
        <f t="shared" si="27"/>
        <v>129492.50468123269</v>
      </c>
      <c r="I72">
        <f t="shared" si="19"/>
        <v>0</v>
      </c>
      <c r="J72">
        <f t="shared" si="20"/>
        <v>129492.50468123269</v>
      </c>
      <c r="K72">
        <f t="shared" si="21"/>
        <v>129393.62910421076</v>
      </c>
      <c r="L72">
        <f t="shared" si="28"/>
        <v>129393.62910421076</v>
      </c>
      <c r="M72">
        <f t="shared" si="22"/>
        <v>129492.50468123269</v>
      </c>
      <c r="N72" s="29">
        <f t="shared" si="29"/>
        <v>0</v>
      </c>
      <c r="O72" s="29">
        <f t="shared" si="23"/>
        <v>0</v>
      </c>
      <c r="P72" s="29">
        <f t="shared" si="30"/>
        <v>129492.50468123269</v>
      </c>
      <c r="Q72">
        <f t="shared" si="31"/>
        <v>0</v>
      </c>
      <c r="R72" s="29">
        <f t="shared" si="32"/>
        <v>0</v>
      </c>
      <c r="S72" s="29">
        <f t="shared" si="24"/>
        <v>0</v>
      </c>
      <c r="T72" s="29">
        <f t="shared" si="33"/>
        <v>129492.50468123269</v>
      </c>
      <c r="U72">
        <f t="shared" si="34"/>
        <v>0</v>
      </c>
      <c r="V72" s="29">
        <f t="shared" si="35"/>
        <v>0</v>
      </c>
      <c r="W72" s="29">
        <f t="shared" si="25"/>
        <v>0</v>
      </c>
      <c r="X72" s="29">
        <f t="shared" si="36"/>
        <v>129492.50468123269</v>
      </c>
      <c r="Y72">
        <f t="shared" si="37"/>
        <v>0</v>
      </c>
    </row>
    <row r="73" spans="1:25" x14ac:dyDescent="0.25">
      <c r="A73" s="4" t="s">
        <v>795</v>
      </c>
      <c r="B73" s="7" t="s">
        <v>387</v>
      </c>
      <c r="C73" s="2" t="s">
        <v>796</v>
      </c>
      <c r="D73">
        <f>VLOOKUP(B73,'Model allocations'!$A$1:$L$316,5,FALSE)</f>
        <v>12391.281682923032</v>
      </c>
      <c r="E73" s="31">
        <f>VLOOKUP(B73,'Initial adjusted formula count'!$A$1:$P$316,12,FALSE)</f>
        <v>0.133333333333333</v>
      </c>
      <c r="F73">
        <f>VLOOKUP(B73,'Model allocations'!$A$1:$L$316,10,FALSE)</f>
        <v>10539.902822015907</v>
      </c>
      <c r="G73" s="30">
        <f t="shared" si="26"/>
        <v>0.85</v>
      </c>
      <c r="H73">
        <f t="shared" si="27"/>
        <v>10532.589430484577</v>
      </c>
      <c r="I73">
        <f t="shared" si="19"/>
        <v>0</v>
      </c>
      <c r="J73">
        <f t="shared" si="20"/>
        <v>10539.902822015907</v>
      </c>
      <c r="K73">
        <f t="shared" si="21"/>
        <v>10531.854951014822</v>
      </c>
      <c r="L73">
        <f t="shared" si="28"/>
        <v>10531.854951014822</v>
      </c>
      <c r="M73">
        <f t="shared" si="22"/>
        <v>10532.589430484577</v>
      </c>
      <c r="N73" s="29">
        <f t="shared" si="29"/>
        <v>0</v>
      </c>
      <c r="O73" s="29">
        <f t="shared" si="23"/>
        <v>0</v>
      </c>
      <c r="P73" s="29">
        <f t="shared" si="30"/>
        <v>10532.589430484577</v>
      </c>
      <c r="Q73">
        <f t="shared" si="31"/>
        <v>0</v>
      </c>
      <c r="R73" s="29">
        <f t="shared" si="32"/>
        <v>0</v>
      </c>
      <c r="S73" s="29">
        <f t="shared" si="24"/>
        <v>0</v>
      </c>
      <c r="T73" s="29">
        <f t="shared" si="33"/>
        <v>10532.589430484577</v>
      </c>
      <c r="U73">
        <f t="shared" si="34"/>
        <v>0</v>
      </c>
      <c r="V73" s="29">
        <f t="shared" si="35"/>
        <v>0</v>
      </c>
      <c r="W73" s="29">
        <f t="shared" si="25"/>
        <v>0</v>
      </c>
      <c r="X73" s="29">
        <f t="shared" si="36"/>
        <v>10532.589430484577</v>
      </c>
      <c r="Y73">
        <f t="shared" si="37"/>
        <v>0</v>
      </c>
    </row>
    <row r="74" spans="1:25" x14ac:dyDescent="0.25">
      <c r="A74" s="4" t="s">
        <v>797</v>
      </c>
      <c r="B74" s="7" t="s">
        <v>389</v>
      </c>
      <c r="C74" s="2" t="s">
        <v>798</v>
      </c>
      <c r="D74">
        <f>VLOOKUP(B74,'Model allocations'!$A$1:$L$316,5,FALSE)</f>
        <v>31317.851735629403</v>
      </c>
      <c r="E74" s="31">
        <f>VLOOKUP(B74,'Initial adjusted formula count'!$A$1:$P$316,12,FALSE)</f>
        <v>0.100719424460432</v>
      </c>
      <c r="F74">
        <f>VLOOKUP(B74,'Model allocations'!$A$1:$L$316,10,FALSE)</f>
        <v>26638.657915649157</v>
      </c>
      <c r="G74" s="30">
        <f t="shared" si="26"/>
        <v>0.85</v>
      </c>
      <c r="H74">
        <f t="shared" si="27"/>
        <v>26620.173975284994</v>
      </c>
      <c r="I74">
        <f t="shared" si="19"/>
        <v>0</v>
      </c>
      <c r="J74">
        <f t="shared" si="20"/>
        <v>26638.657915649157</v>
      </c>
      <c r="K74">
        <f t="shared" si="21"/>
        <v>26618.317644380302</v>
      </c>
      <c r="L74">
        <f t="shared" si="28"/>
        <v>26618.317644380302</v>
      </c>
      <c r="M74">
        <f t="shared" si="22"/>
        <v>26620.173975284994</v>
      </c>
      <c r="N74" s="29">
        <f t="shared" si="29"/>
        <v>0</v>
      </c>
      <c r="O74" s="29">
        <f t="shared" si="23"/>
        <v>0</v>
      </c>
      <c r="P74" s="29">
        <f t="shared" si="30"/>
        <v>26620.173975284994</v>
      </c>
      <c r="Q74">
        <f t="shared" si="31"/>
        <v>0</v>
      </c>
      <c r="R74" s="29">
        <f t="shared" si="32"/>
        <v>0</v>
      </c>
      <c r="S74" s="29">
        <f t="shared" si="24"/>
        <v>0</v>
      </c>
      <c r="T74" s="29">
        <f t="shared" si="33"/>
        <v>26620.173975284994</v>
      </c>
      <c r="U74">
        <f t="shared" si="34"/>
        <v>0</v>
      </c>
      <c r="V74" s="29">
        <f t="shared" si="35"/>
        <v>0</v>
      </c>
      <c r="W74" s="29">
        <f t="shared" si="25"/>
        <v>0</v>
      </c>
      <c r="X74" s="29">
        <f t="shared" si="36"/>
        <v>26620.173975284994</v>
      </c>
      <c r="Y74">
        <f t="shared" si="37"/>
        <v>0</v>
      </c>
    </row>
    <row r="75" spans="1:25" x14ac:dyDescent="0.25">
      <c r="A75" s="4" t="s">
        <v>799</v>
      </c>
      <c r="B75" s="7" t="s">
        <v>122</v>
      </c>
      <c r="C75" s="2" t="s">
        <v>800</v>
      </c>
      <c r="D75">
        <f>VLOOKUP(B75,'Model allocations'!$A$1:$L$316,5,FALSE)</f>
        <v>121987.63398024654</v>
      </c>
      <c r="E75" s="31">
        <f>VLOOKUP(B75,'Initial adjusted formula count'!$A$1:$P$316,12,FALSE)</f>
        <v>5.63766891891892E-2</v>
      </c>
      <c r="F75">
        <f>VLOOKUP(B75,'Model allocations'!$A$1:$L$316,10,FALSE)</f>
        <v>113654.24725655541</v>
      </c>
      <c r="G75" s="30">
        <f t="shared" si="26"/>
        <v>0.85</v>
      </c>
      <c r="H75">
        <f t="shared" si="27"/>
        <v>103689.48888320956</v>
      </c>
      <c r="I75">
        <f t="shared" si="19"/>
        <v>0</v>
      </c>
      <c r="J75">
        <f t="shared" si="20"/>
        <v>113654.24725655541</v>
      </c>
      <c r="K75">
        <f t="shared" si="21"/>
        <v>113567.46517363757</v>
      </c>
      <c r="L75">
        <f t="shared" si="28"/>
        <v>113567.46517363757</v>
      </c>
      <c r="M75">
        <f t="shared" si="22"/>
        <v>0</v>
      </c>
      <c r="N75" s="29">
        <f t="shared" si="29"/>
        <v>113567.46517363757</v>
      </c>
      <c r="O75" s="29">
        <f t="shared" si="23"/>
        <v>113561.0147011154</v>
      </c>
      <c r="P75" s="29">
        <f t="shared" si="30"/>
        <v>113561.0147011154</v>
      </c>
      <c r="Q75">
        <f t="shared" si="31"/>
        <v>0</v>
      </c>
      <c r="R75" s="29">
        <f t="shared" si="32"/>
        <v>113561.0147011154</v>
      </c>
      <c r="S75" s="29">
        <f t="shared" si="24"/>
        <v>113560.97422429445</v>
      </c>
      <c r="T75" s="29">
        <f t="shared" si="33"/>
        <v>113560.97422429445</v>
      </c>
      <c r="U75">
        <f t="shared" si="34"/>
        <v>0</v>
      </c>
      <c r="V75" s="29">
        <f t="shared" si="35"/>
        <v>113560.97422429445</v>
      </c>
      <c r="W75" s="29">
        <f t="shared" si="25"/>
        <v>113560.97422429446</v>
      </c>
      <c r="X75" s="29">
        <f t="shared" si="36"/>
        <v>113560.97422429446</v>
      </c>
      <c r="Y75">
        <f t="shared" si="37"/>
        <v>0</v>
      </c>
    </row>
    <row r="76" spans="1:25" x14ac:dyDescent="0.25">
      <c r="A76" s="4" t="s">
        <v>801</v>
      </c>
      <c r="B76" s="7" t="s">
        <v>391</v>
      </c>
      <c r="C76" s="2" t="s">
        <v>802</v>
      </c>
      <c r="D76">
        <f>VLOOKUP(B76,'Model allocations'!$A$1:$L$316,5,FALSE)</f>
        <v>180256.64127665295</v>
      </c>
      <c r="E76" s="31">
        <f>VLOOKUP(B76,'Initial adjusted formula count'!$A$1:$P$316,12,FALSE)</f>
        <v>0.17167530224524999</v>
      </c>
      <c r="F76">
        <f>VLOOKUP(B76,'Model allocations'!$A$1:$L$316,10,FALSE)</f>
        <v>226231.22677436733</v>
      </c>
      <c r="G76" s="30">
        <f t="shared" si="26"/>
        <v>0.9</v>
      </c>
      <c r="H76">
        <f t="shared" si="27"/>
        <v>162230.97714898767</v>
      </c>
      <c r="I76">
        <f t="shared" si="19"/>
        <v>0</v>
      </c>
      <c r="J76">
        <f t="shared" si="20"/>
        <v>226231.22677436733</v>
      </c>
      <c r="K76">
        <f t="shared" si="21"/>
        <v>226058.48516941685</v>
      </c>
      <c r="L76">
        <f t="shared" si="28"/>
        <v>226058.48516941685</v>
      </c>
      <c r="M76">
        <f t="shared" si="22"/>
        <v>0</v>
      </c>
      <c r="N76" s="29">
        <f t="shared" si="29"/>
        <v>226058.48516941685</v>
      </c>
      <c r="O76" s="29">
        <f t="shared" si="23"/>
        <v>226045.6453649468</v>
      </c>
      <c r="P76" s="29">
        <f t="shared" si="30"/>
        <v>226045.6453649468</v>
      </c>
      <c r="Q76">
        <f t="shared" si="31"/>
        <v>0</v>
      </c>
      <c r="R76" s="29">
        <f t="shared" si="32"/>
        <v>226045.6453649468</v>
      </c>
      <c r="S76" s="29">
        <f t="shared" si="24"/>
        <v>226045.56479496299</v>
      </c>
      <c r="T76" s="29">
        <f t="shared" si="33"/>
        <v>226045.56479496299</v>
      </c>
      <c r="U76">
        <f t="shared" si="34"/>
        <v>0</v>
      </c>
      <c r="V76" s="29">
        <f t="shared" si="35"/>
        <v>226045.56479496299</v>
      </c>
      <c r="W76" s="29">
        <f t="shared" si="25"/>
        <v>226045.56479496302</v>
      </c>
      <c r="X76" s="29">
        <f t="shared" si="36"/>
        <v>226045.56479496302</v>
      </c>
      <c r="Y76">
        <f t="shared" si="37"/>
        <v>0</v>
      </c>
    </row>
    <row r="77" spans="1:25" x14ac:dyDescent="0.25">
      <c r="A77" s="4" t="s">
        <v>803</v>
      </c>
      <c r="B77" s="7" t="s">
        <v>393</v>
      </c>
      <c r="C77" s="2" t="s">
        <v>804</v>
      </c>
      <c r="D77">
        <f>VLOOKUP(B77,'Model allocations'!$A$1:$L$316,5,FALSE)</f>
        <v>15667.910951663496</v>
      </c>
      <c r="E77" s="31">
        <f>VLOOKUP(B77,'Initial adjusted formula count'!$A$1:$P$316,12,FALSE)</f>
        <v>0.13636363636363599</v>
      </c>
      <c r="F77">
        <f>VLOOKUP(B77,'Model allocations'!$A$1:$L$316,10,FALSE)</f>
        <v>13317.724308913972</v>
      </c>
      <c r="G77" s="30">
        <f t="shared" si="26"/>
        <v>0.85</v>
      </c>
      <c r="H77">
        <f t="shared" si="27"/>
        <v>13317.724308913972</v>
      </c>
      <c r="I77">
        <f t="shared" si="19"/>
        <v>0</v>
      </c>
      <c r="J77">
        <f t="shared" si="20"/>
        <v>13317.724308913972</v>
      </c>
      <c r="K77">
        <f t="shared" si="21"/>
        <v>13307.555398528739</v>
      </c>
      <c r="L77">
        <f t="shared" si="28"/>
        <v>13307.555398528739</v>
      </c>
      <c r="M77">
        <f t="shared" si="22"/>
        <v>13317.724308913972</v>
      </c>
      <c r="N77" s="29">
        <f t="shared" si="29"/>
        <v>0</v>
      </c>
      <c r="O77" s="29">
        <f t="shared" si="23"/>
        <v>0</v>
      </c>
      <c r="P77" s="29">
        <f t="shared" si="30"/>
        <v>13317.724308913972</v>
      </c>
      <c r="Q77">
        <f t="shared" si="31"/>
        <v>0</v>
      </c>
      <c r="R77" s="29">
        <f t="shared" si="32"/>
        <v>0</v>
      </c>
      <c r="S77" s="29">
        <f t="shared" si="24"/>
        <v>0</v>
      </c>
      <c r="T77" s="29">
        <f t="shared" si="33"/>
        <v>13317.724308913972</v>
      </c>
      <c r="U77">
        <f t="shared" si="34"/>
        <v>0</v>
      </c>
      <c r="V77" s="29">
        <f t="shared" si="35"/>
        <v>0</v>
      </c>
      <c r="W77" s="29">
        <f t="shared" si="25"/>
        <v>0</v>
      </c>
      <c r="X77" s="29">
        <f t="shared" si="36"/>
        <v>13317.724308913972</v>
      </c>
      <c r="Y77">
        <f t="shared" si="37"/>
        <v>0</v>
      </c>
    </row>
    <row r="78" spans="1:25" x14ac:dyDescent="0.25">
      <c r="A78" s="4" t="s">
        <v>805</v>
      </c>
      <c r="B78" s="7" t="s">
        <v>124</v>
      </c>
      <c r="C78" s="2" t="s">
        <v>806</v>
      </c>
      <c r="D78">
        <f>VLOOKUP(B78,'Model allocations'!$A$1:$L$316,5,FALSE)</f>
        <v>1430944.2906926852</v>
      </c>
      <c r="E78" s="31">
        <f>VLOOKUP(B78,'Initial adjusted formula count'!$A$1:$P$316,12,FALSE)</f>
        <v>9.8040911646412696E-2</v>
      </c>
      <c r="F78">
        <f>VLOOKUP(B78,'Model allocations'!$A$1:$L$316,10,FALSE)</f>
        <v>1301490.1160558732</v>
      </c>
      <c r="G78" s="30">
        <f t="shared" si="26"/>
        <v>0.85</v>
      </c>
      <c r="H78">
        <f t="shared" si="27"/>
        <v>1216302.6470887824</v>
      </c>
      <c r="I78">
        <f t="shared" si="19"/>
        <v>0</v>
      </c>
      <c r="J78">
        <f t="shared" si="20"/>
        <v>1301490.1160558732</v>
      </c>
      <c r="K78">
        <f t="shared" si="21"/>
        <v>1300496.3474471793</v>
      </c>
      <c r="L78">
        <f t="shared" si="28"/>
        <v>1300496.3474471793</v>
      </c>
      <c r="M78">
        <f t="shared" si="22"/>
        <v>0</v>
      </c>
      <c r="N78" s="29">
        <f t="shared" si="29"/>
        <v>1300496.3474471793</v>
      </c>
      <c r="O78" s="29">
        <f t="shared" si="23"/>
        <v>1300422.4810811249</v>
      </c>
      <c r="P78" s="29">
        <f t="shared" si="30"/>
        <v>1300422.4810811249</v>
      </c>
      <c r="Q78">
        <f t="shared" si="31"/>
        <v>0</v>
      </c>
      <c r="R78" s="29">
        <f t="shared" si="32"/>
        <v>1300422.4810811249</v>
      </c>
      <c r="S78" s="29">
        <f t="shared" si="24"/>
        <v>1300422.0175684653</v>
      </c>
      <c r="T78" s="29">
        <f t="shared" si="33"/>
        <v>1300422.0175684653</v>
      </c>
      <c r="U78">
        <f t="shared" si="34"/>
        <v>0</v>
      </c>
      <c r="V78" s="29">
        <f t="shared" si="35"/>
        <v>1300422.0175684653</v>
      </c>
      <c r="W78" s="29">
        <f t="shared" si="25"/>
        <v>1300422.0175684656</v>
      </c>
      <c r="X78" s="29">
        <f t="shared" si="36"/>
        <v>1300422.0175684656</v>
      </c>
      <c r="Y78">
        <f t="shared" si="37"/>
        <v>0</v>
      </c>
    </row>
    <row r="79" spans="1:25" x14ac:dyDescent="0.25">
      <c r="A79" s="4" t="s">
        <v>807</v>
      </c>
      <c r="B79" s="7" t="s">
        <v>275</v>
      </c>
      <c r="C79" s="2" t="s">
        <v>808</v>
      </c>
      <c r="D79">
        <f>VLOOKUP(B79,'Model allocations'!$A$1:$L$316,5,FALSE)</f>
        <v>1598624.8872291071</v>
      </c>
      <c r="E79" s="31">
        <f>VLOOKUP(B79,'Initial adjusted formula count'!$A$1:$P$316,12,FALSE)</f>
        <v>0.10047201618341201</v>
      </c>
      <c r="F79">
        <f>VLOOKUP(B79,'Model allocations'!$A$1:$L$316,10,FALSE)</f>
        <v>1654797.3266286859</v>
      </c>
      <c r="G79" s="30">
        <f t="shared" si="26"/>
        <v>0.85</v>
      </c>
      <c r="H79">
        <f t="shared" si="27"/>
        <v>1358831.1541447409</v>
      </c>
      <c r="I79">
        <f t="shared" si="19"/>
        <v>0</v>
      </c>
      <c r="J79">
        <f t="shared" si="20"/>
        <v>1654797.3266286859</v>
      </c>
      <c r="K79">
        <f t="shared" si="21"/>
        <v>1653533.7860019328</v>
      </c>
      <c r="L79">
        <f t="shared" si="28"/>
        <v>1653533.7860019328</v>
      </c>
      <c r="M79">
        <f t="shared" si="22"/>
        <v>0</v>
      </c>
      <c r="N79" s="29">
        <f t="shared" si="29"/>
        <v>1653533.7860019328</v>
      </c>
      <c r="O79" s="29">
        <f t="shared" si="23"/>
        <v>1653439.8676051917</v>
      </c>
      <c r="P79" s="29">
        <f t="shared" si="30"/>
        <v>1653439.8676051917</v>
      </c>
      <c r="Q79">
        <f t="shared" si="31"/>
        <v>0</v>
      </c>
      <c r="R79" s="29">
        <f t="shared" si="32"/>
        <v>1653439.8676051917</v>
      </c>
      <c r="S79" s="29">
        <f t="shared" si="24"/>
        <v>1653439.2782657105</v>
      </c>
      <c r="T79" s="29">
        <f t="shared" si="33"/>
        <v>1653439.2782657105</v>
      </c>
      <c r="U79">
        <f t="shared" si="34"/>
        <v>0</v>
      </c>
      <c r="V79" s="29">
        <f t="shared" si="35"/>
        <v>1653439.2782657105</v>
      </c>
      <c r="W79" s="29">
        <f t="shared" si="25"/>
        <v>1653439.2782657107</v>
      </c>
      <c r="X79" s="29">
        <f t="shared" si="36"/>
        <v>1653439.2782657107</v>
      </c>
      <c r="Y79">
        <f t="shared" si="37"/>
        <v>0</v>
      </c>
    </row>
    <row r="80" spans="1:25" x14ac:dyDescent="0.25">
      <c r="A80" s="4" t="s">
        <v>809</v>
      </c>
      <c r="B80" s="7" t="s">
        <v>395</v>
      </c>
      <c r="C80" s="2" t="s">
        <v>810</v>
      </c>
      <c r="D80">
        <f>VLOOKUP(B80,'Model allocations'!$A$1:$L$316,5,FALSE)</f>
        <v>12363.981185799445</v>
      </c>
      <c r="E80" s="31">
        <f>VLOOKUP(B80,'Initial adjusted formula count'!$A$1:$P$316,12,FALSE)</f>
        <v>0.33928571428571402</v>
      </c>
      <c r="F80">
        <f>VLOOKUP(B80,'Model allocations'!$A$1:$L$316,10,FALSE)</f>
        <v>14154.849003828609</v>
      </c>
      <c r="G80" s="30">
        <f t="shared" si="26"/>
        <v>0.95</v>
      </c>
      <c r="H80">
        <f t="shared" si="27"/>
        <v>11745.782126509472</v>
      </c>
      <c r="I80">
        <f t="shared" si="19"/>
        <v>0</v>
      </c>
      <c r="J80">
        <f t="shared" si="20"/>
        <v>14154.849003828609</v>
      </c>
      <c r="K80">
        <f t="shared" si="21"/>
        <v>14144.04089670027</v>
      </c>
      <c r="L80">
        <f t="shared" si="28"/>
        <v>14144.04089670027</v>
      </c>
      <c r="M80">
        <f t="shared" si="22"/>
        <v>0</v>
      </c>
      <c r="N80" s="29">
        <f t="shared" si="29"/>
        <v>14144.04089670027</v>
      </c>
      <c r="O80" s="29">
        <f t="shared" si="23"/>
        <v>14143.237535041919</v>
      </c>
      <c r="P80" s="29">
        <f t="shared" si="30"/>
        <v>14143.237535041919</v>
      </c>
      <c r="Q80">
        <f t="shared" si="31"/>
        <v>0</v>
      </c>
      <c r="R80" s="29">
        <f t="shared" si="32"/>
        <v>14143.237535041919</v>
      </c>
      <c r="S80" s="29">
        <f t="shared" si="24"/>
        <v>14143.232493934325</v>
      </c>
      <c r="T80" s="29">
        <f t="shared" si="33"/>
        <v>14143.232493934325</v>
      </c>
      <c r="U80">
        <f t="shared" si="34"/>
        <v>0</v>
      </c>
      <c r="V80" s="29">
        <f t="shared" si="35"/>
        <v>14143.232493934325</v>
      </c>
      <c r="W80" s="29">
        <f t="shared" si="25"/>
        <v>14143.232493934327</v>
      </c>
      <c r="X80" s="29">
        <f t="shared" si="36"/>
        <v>14143.232493934327</v>
      </c>
      <c r="Y80">
        <f t="shared" si="37"/>
        <v>0</v>
      </c>
    </row>
    <row r="81" spans="1:25" x14ac:dyDescent="0.25">
      <c r="A81" s="4" t="s">
        <v>811</v>
      </c>
      <c r="B81" s="7" t="s">
        <v>397</v>
      </c>
      <c r="C81" s="2" t="s">
        <v>812</v>
      </c>
      <c r="D81">
        <f>VLOOKUP(B81,'Model allocations'!$A$1:$L$316,5,FALSE)</f>
        <v>2937554.4505724316</v>
      </c>
      <c r="E81" s="31">
        <f>VLOOKUP(B81,'Initial adjusted formula count'!$A$1:$P$316,12,FALSE)</f>
        <v>0.170695790894588</v>
      </c>
      <c r="F81">
        <f>VLOOKUP(B81,'Model allocations'!$A$1:$L$316,10,FALSE)</f>
        <v>2924149.2566625746</v>
      </c>
      <c r="G81" s="30">
        <f t="shared" si="26"/>
        <v>0.9</v>
      </c>
      <c r="H81">
        <f t="shared" si="27"/>
        <v>2643799.0055151884</v>
      </c>
      <c r="I81">
        <f t="shared" si="19"/>
        <v>0</v>
      </c>
      <c r="J81">
        <f t="shared" si="20"/>
        <v>2924149.2566625746</v>
      </c>
      <c r="K81">
        <f t="shared" si="21"/>
        <v>2921916.486929975</v>
      </c>
      <c r="L81">
        <f t="shared" si="28"/>
        <v>2921916.486929975</v>
      </c>
      <c r="M81">
        <f t="shared" si="22"/>
        <v>0</v>
      </c>
      <c r="N81" s="29">
        <f t="shared" si="29"/>
        <v>2921916.486929975</v>
      </c>
      <c r="O81" s="29">
        <f t="shared" si="23"/>
        <v>2921750.5261771996</v>
      </c>
      <c r="P81" s="29">
        <f t="shared" si="30"/>
        <v>2921750.5261771996</v>
      </c>
      <c r="Q81">
        <f t="shared" si="31"/>
        <v>0</v>
      </c>
      <c r="R81" s="29">
        <f t="shared" si="32"/>
        <v>2921750.5261771996</v>
      </c>
      <c r="S81" s="29">
        <f t="shared" si="24"/>
        <v>2921749.4847707516</v>
      </c>
      <c r="T81" s="29">
        <f t="shared" si="33"/>
        <v>2921749.4847707516</v>
      </c>
      <c r="U81">
        <f t="shared" si="34"/>
        <v>0</v>
      </c>
      <c r="V81" s="29">
        <f t="shared" si="35"/>
        <v>2921749.4847707516</v>
      </c>
      <c r="W81" s="29">
        <f t="shared" si="25"/>
        <v>2921749.484770752</v>
      </c>
      <c r="X81" s="29">
        <f t="shared" si="36"/>
        <v>2921749.484770752</v>
      </c>
      <c r="Y81">
        <f t="shared" si="37"/>
        <v>0</v>
      </c>
    </row>
    <row r="82" spans="1:25" x14ac:dyDescent="0.25">
      <c r="A82" s="4" t="s">
        <v>813</v>
      </c>
      <c r="B82" s="7" t="s">
        <v>126</v>
      </c>
      <c r="C82" s="2" t="s">
        <v>814</v>
      </c>
      <c r="D82">
        <f>VLOOKUP(B82,'Model allocations'!$A$1:$L$316,5,FALSE)</f>
        <v>348775.64079575642</v>
      </c>
      <c r="E82" s="31">
        <f>VLOOKUP(B82,'Initial adjusted formula count'!$A$1:$P$316,12,FALSE)</f>
        <v>9.1623036649214604E-2</v>
      </c>
      <c r="F82">
        <f>VLOOKUP(B82,'Model allocations'!$A$1:$L$316,10,FALSE)</f>
        <v>296466.4063400841</v>
      </c>
      <c r="G82" s="30">
        <f t="shared" si="26"/>
        <v>0.85</v>
      </c>
      <c r="H82">
        <f t="shared" si="27"/>
        <v>296459.29467639298</v>
      </c>
      <c r="I82">
        <f t="shared" si="19"/>
        <v>0</v>
      </c>
      <c r="J82">
        <f t="shared" si="20"/>
        <v>296466.4063400841</v>
      </c>
      <c r="K82">
        <f t="shared" si="21"/>
        <v>296240.03580947575</v>
      </c>
      <c r="L82">
        <f t="shared" si="28"/>
        <v>296240.03580947575</v>
      </c>
      <c r="M82">
        <f t="shared" si="22"/>
        <v>296459.29467639298</v>
      </c>
      <c r="N82" s="29">
        <f t="shared" si="29"/>
        <v>0</v>
      </c>
      <c r="O82" s="29">
        <f t="shared" si="23"/>
        <v>0</v>
      </c>
      <c r="P82" s="29">
        <f t="shared" si="30"/>
        <v>296459.29467639298</v>
      </c>
      <c r="Q82">
        <f t="shared" si="31"/>
        <v>0</v>
      </c>
      <c r="R82" s="29">
        <f t="shared" si="32"/>
        <v>0</v>
      </c>
      <c r="S82" s="29">
        <f t="shared" si="24"/>
        <v>0</v>
      </c>
      <c r="T82" s="29">
        <f t="shared" si="33"/>
        <v>296459.29467639298</v>
      </c>
      <c r="U82">
        <f t="shared" si="34"/>
        <v>0</v>
      </c>
      <c r="V82" s="29">
        <f t="shared" si="35"/>
        <v>0</v>
      </c>
      <c r="W82" s="29">
        <f t="shared" si="25"/>
        <v>0</v>
      </c>
      <c r="X82" s="29">
        <f t="shared" si="36"/>
        <v>296459.29467639298</v>
      </c>
      <c r="Y82">
        <f t="shared" si="37"/>
        <v>0</v>
      </c>
    </row>
    <row r="83" spans="1:25" x14ac:dyDescent="0.25">
      <c r="A83" s="4" t="s">
        <v>815</v>
      </c>
      <c r="B83" s="7" t="s">
        <v>128</v>
      </c>
      <c r="C83" s="2" t="s">
        <v>816</v>
      </c>
      <c r="D83">
        <f>VLOOKUP(B83,'Model allocations'!$A$1:$L$316,5,FALSE)</f>
        <v>166842.19355373929</v>
      </c>
      <c r="E83" s="31">
        <f>VLOOKUP(B83,'Initial adjusted formula count'!$A$1:$P$316,12,FALSE)</f>
        <v>0.11544081831466101</v>
      </c>
      <c r="F83">
        <f>VLOOKUP(B83,'Model allocations'!$A$1:$L$316,10,FALSE)</f>
        <v>201768.21423073875</v>
      </c>
      <c r="G83" s="30">
        <f t="shared" si="26"/>
        <v>0.85</v>
      </c>
      <c r="H83">
        <f t="shared" si="27"/>
        <v>141815.86452067838</v>
      </c>
      <c r="I83">
        <f t="shared" si="19"/>
        <v>0</v>
      </c>
      <c r="J83">
        <f t="shared" si="20"/>
        <v>201768.21423073875</v>
      </c>
      <c r="K83">
        <f t="shared" si="21"/>
        <v>201614.15165657</v>
      </c>
      <c r="L83">
        <f t="shared" si="28"/>
        <v>201614.15165657</v>
      </c>
      <c r="M83">
        <f t="shared" si="22"/>
        <v>0</v>
      </c>
      <c r="N83" s="29">
        <f t="shared" si="29"/>
        <v>201614.15165657</v>
      </c>
      <c r="O83" s="29">
        <f t="shared" si="23"/>
        <v>201602.70025591267</v>
      </c>
      <c r="P83" s="29">
        <f t="shared" si="30"/>
        <v>201602.70025591267</v>
      </c>
      <c r="Q83">
        <f t="shared" si="31"/>
        <v>0</v>
      </c>
      <c r="R83" s="29">
        <f t="shared" si="32"/>
        <v>201602.70025591267</v>
      </c>
      <c r="S83" s="29">
        <f t="shared" si="24"/>
        <v>201602.62839818557</v>
      </c>
      <c r="T83" s="29">
        <f t="shared" si="33"/>
        <v>201602.62839818557</v>
      </c>
      <c r="U83">
        <f t="shared" si="34"/>
        <v>0</v>
      </c>
      <c r="V83" s="29">
        <f t="shared" si="35"/>
        <v>201602.62839818557</v>
      </c>
      <c r="W83" s="29">
        <f t="shared" si="25"/>
        <v>201602.6283981856</v>
      </c>
      <c r="X83" s="29">
        <f t="shared" si="36"/>
        <v>201602.6283981856</v>
      </c>
      <c r="Y83">
        <f t="shared" si="37"/>
        <v>0</v>
      </c>
    </row>
    <row r="84" spans="1:25" x14ac:dyDescent="0.25">
      <c r="A84" s="4" t="s">
        <v>817</v>
      </c>
      <c r="B84" s="7" t="s">
        <v>399</v>
      </c>
      <c r="C84" s="2" t="s">
        <v>818</v>
      </c>
      <c r="D84">
        <f>VLOOKUP(B84,'Model allocations'!$A$1:$L$316,5,FALSE)</f>
        <v>51561.783434949568</v>
      </c>
      <c r="E84" s="31">
        <f>VLOOKUP(B84,'Initial adjusted formula count'!$A$1:$P$316,12,FALSE)</f>
        <v>0.106521739130435</v>
      </c>
      <c r="F84">
        <f>VLOOKUP(B84,'Model allocations'!$A$1:$L$316,10,FALSE)</f>
        <v>43857.947921816565</v>
      </c>
      <c r="G84" s="30">
        <f t="shared" si="26"/>
        <v>0.85</v>
      </c>
      <c r="H84">
        <f t="shared" si="27"/>
        <v>43827.515919707133</v>
      </c>
      <c r="I84">
        <f t="shared" si="19"/>
        <v>0</v>
      </c>
      <c r="J84">
        <f t="shared" si="20"/>
        <v>43857.947921816565</v>
      </c>
      <c r="K84">
        <f t="shared" si="21"/>
        <v>43824.459652217934</v>
      </c>
      <c r="L84">
        <f t="shared" si="28"/>
        <v>43824.459652217934</v>
      </c>
      <c r="M84">
        <f t="shared" si="22"/>
        <v>43827.515919707133</v>
      </c>
      <c r="N84" s="29">
        <f t="shared" si="29"/>
        <v>0</v>
      </c>
      <c r="O84" s="29">
        <f t="shared" si="23"/>
        <v>0</v>
      </c>
      <c r="P84" s="29">
        <f t="shared" si="30"/>
        <v>43827.515919707133</v>
      </c>
      <c r="Q84">
        <f t="shared" si="31"/>
        <v>0</v>
      </c>
      <c r="R84" s="29">
        <f t="shared" si="32"/>
        <v>0</v>
      </c>
      <c r="S84" s="29">
        <f t="shared" si="24"/>
        <v>0</v>
      </c>
      <c r="T84" s="29">
        <f t="shared" si="33"/>
        <v>43827.515919707133</v>
      </c>
      <c r="U84">
        <f t="shared" si="34"/>
        <v>0</v>
      </c>
      <c r="V84" s="29">
        <f t="shared" si="35"/>
        <v>0</v>
      </c>
      <c r="W84" s="29">
        <f t="shared" si="25"/>
        <v>0</v>
      </c>
      <c r="X84" s="29">
        <f t="shared" si="36"/>
        <v>43827.515919707133</v>
      </c>
      <c r="Y84">
        <f t="shared" si="37"/>
        <v>0</v>
      </c>
    </row>
    <row r="85" spans="1:25" x14ac:dyDescent="0.25">
      <c r="A85" s="4" t="s">
        <v>819</v>
      </c>
      <c r="B85" s="7" t="s">
        <v>401</v>
      </c>
      <c r="C85" s="2" t="s">
        <v>820</v>
      </c>
      <c r="D85">
        <f>VLOOKUP(B85,'Model allocations'!$A$1:$L$316,5,FALSE)</f>
        <v>743034.64340201719</v>
      </c>
      <c r="E85" s="31">
        <f>VLOOKUP(B85,'Initial adjusted formula count'!$A$1:$P$316,12,FALSE)</f>
        <v>0.16946613886808601</v>
      </c>
      <c r="F85">
        <f>VLOOKUP(B85,'Model allocations'!$A$1:$L$316,10,FALSE)</f>
        <v>864325.65188927273</v>
      </c>
      <c r="G85" s="30">
        <f t="shared" si="26"/>
        <v>0.9</v>
      </c>
      <c r="H85">
        <f t="shared" si="27"/>
        <v>668731.17906181549</v>
      </c>
      <c r="I85">
        <f t="shared" si="19"/>
        <v>0</v>
      </c>
      <c r="J85">
        <f t="shared" si="20"/>
        <v>864325.65188927273</v>
      </c>
      <c r="K85">
        <f t="shared" si="21"/>
        <v>863665.68552461115</v>
      </c>
      <c r="L85">
        <f t="shared" si="28"/>
        <v>863665.68552461115</v>
      </c>
      <c r="M85">
        <f t="shared" si="22"/>
        <v>0</v>
      </c>
      <c r="N85" s="29">
        <f t="shared" si="29"/>
        <v>863665.68552461115</v>
      </c>
      <c r="O85" s="29">
        <f t="shared" si="23"/>
        <v>863616.63052664767</v>
      </c>
      <c r="P85" s="29">
        <f t="shared" si="30"/>
        <v>863616.63052664767</v>
      </c>
      <c r="Q85">
        <f t="shared" si="31"/>
        <v>0</v>
      </c>
      <c r="R85" s="29">
        <f t="shared" si="32"/>
        <v>863616.63052664767</v>
      </c>
      <c r="S85" s="29">
        <f t="shared" si="24"/>
        <v>863616.32270573021</v>
      </c>
      <c r="T85" s="29">
        <f t="shared" si="33"/>
        <v>863616.32270573021</v>
      </c>
      <c r="U85">
        <f t="shared" si="34"/>
        <v>0</v>
      </c>
      <c r="V85" s="29">
        <f t="shared" si="35"/>
        <v>863616.32270573021</v>
      </c>
      <c r="W85" s="29">
        <f t="shared" si="25"/>
        <v>863616.32270573033</v>
      </c>
      <c r="X85" s="29">
        <f t="shared" si="36"/>
        <v>863616.32270573033</v>
      </c>
      <c r="Y85">
        <f t="shared" si="37"/>
        <v>0</v>
      </c>
    </row>
    <row r="86" spans="1:25" x14ac:dyDescent="0.25">
      <c r="A86" s="4" t="s">
        <v>821</v>
      </c>
      <c r="B86" s="7" t="s">
        <v>130</v>
      </c>
      <c r="C86" s="2" t="s">
        <v>822</v>
      </c>
      <c r="D86">
        <f>VLOOKUP(B86,'Model allocations'!$A$1:$L$316,5,FALSE)</f>
        <v>0</v>
      </c>
      <c r="E86" s="31">
        <f>VLOOKUP(B86,'Initial adjusted formula count'!$A$1:$P$316,12,FALSE)</f>
        <v>3.0060120240480999E-2</v>
      </c>
      <c r="F86">
        <f>VLOOKUP(B86,'Model allocations'!$A$1:$L$316,10,FALSE)</f>
        <v>0</v>
      </c>
      <c r="G86" s="30">
        <f t="shared" si="26"/>
        <v>0.85</v>
      </c>
      <c r="H86">
        <f t="shared" si="27"/>
        <v>0</v>
      </c>
      <c r="I86">
        <f t="shared" si="19"/>
        <v>0</v>
      </c>
      <c r="J86">
        <f t="shared" si="20"/>
        <v>0</v>
      </c>
      <c r="K86">
        <f t="shared" si="21"/>
        <v>0</v>
      </c>
      <c r="L86">
        <f t="shared" si="28"/>
        <v>0</v>
      </c>
      <c r="M86">
        <f t="shared" si="22"/>
        <v>0</v>
      </c>
      <c r="N86" s="29">
        <f t="shared" si="29"/>
        <v>0</v>
      </c>
      <c r="O86" s="29">
        <f t="shared" si="23"/>
        <v>0</v>
      </c>
      <c r="P86" s="29">
        <f t="shared" si="30"/>
        <v>0</v>
      </c>
      <c r="Q86">
        <f t="shared" si="31"/>
        <v>0</v>
      </c>
      <c r="R86" s="29">
        <f t="shared" si="32"/>
        <v>0</v>
      </c>
      <c r="S86" s="29">
        <f t="shared" si="24"/>
        <v>0</v>
      </c>
      <c r="T86" s="29">
        <f t="shared" si="33"/>
        <v>0</v>
      </c>
      <c r="U86">
        <f t="shared" si="34"/>
        <v>0</v>
      </c>
      <c r="V86" s="29">
        <f t="shared" si="35"/>
        <v>0</v>
      </c>
      <c r="W86" s="29">
        <f t="shared" si="25"/>
        <v>0</v>
      </c>
      <c r="X86" s="29">
        <f t="shared" si="36"/>
        <v>0</v>
      </c>
      <c r="Y86">
        <f t="shared" si="37"/>
        <v>0</v>
      </c>
    </row>
    <row r="87" spans="1:25" x14ac:dyDescent="0.25">
      <c r="A87" s="4" t="s">
        <v>823</v>
      </c>
      <c r="B87" s="7" t="s">
        <v>403</v>
      </c>
      <c r="C87" s="2" t="s">
        <v>824</v>
      </c>
      <c r="D87">
        <f>VLOOKUP(B87,'Model allocations'!$A$1:$L$316,5,FALSE)</f>
        <v>19112.950400887334</v>
      </c>
      <c r="E87" s="31">
        <f>VLOOKUP(B87,'Initial adjusted formula count'!$A$1:$P$316,12,FALSE)</f>
        <v>0.21212121212121199</v>
      </c>
      <c r="F87">
        <f>VLOOKUP(B87,'Model allocations'!$A$1:$L$316,10,FALSE)</f>
        <v>17201.655360798602</v>
      </c>
      <c r="G87" s="30">
        <f t="shared" si="26"/>
        <v>0.9</v>
      </c>
      <c r="H87">
        <f t="shared" si="27"/>
        <v>17201.655360798602</v>
      </c>
      <c r="I87">
        <f t="shared" si="19"/>
        <v>0</v>
      </c>
      <c r="J87">
        <f t="shared" si="20"/>
        <v>17201.655360798602</v>
      </c>
      <c r="K87">
        <f t="shared" si="21"/>
        <v>17188.52082761679</v>
      </c>
      <c r="L87">
        <f t="shared" si="28"/>
        <v>17188.52082761679</v>
      </c>
      <c r="M87">
        <f t="shared" si="22"/>
        <v>17201.655360798602</v>
      </c>
      <c r="N87" s="29">
        <f t="shared" si="29"/>
        <v>0</v>
      </c>
      <c r="O87" s="29">
        <f t="shared" si="23"/>
        <v>0</v>
      </c>
      <c r="P87" s="29">
        <f t="shared" si="30"/>
        <v>17201.655360798602</v>
      </c>
      <c r="Q87">
        <f t="shared" si="31"/>
        <v>0</v>
      </c>
      <c r="R87" s="29">
        <f t="shared" si="32"/>
        <v>0</v>
      </c>
      <c r="S87" s="29">
        <f t="shared" si="24"/>
        <v>0</v>
      </c>
      <c r="T87" s="29">
        <f t="shared" si="33"/>
        <v>17201.655360798602</v>
      </c>
      <c r="U87">
        <f t="shared" si="34"/>
        <v>0</v>
      </c>
      <c r="V87" s="29">
        <f t="shared" si="35"/>
        <v>0</v>
      </c>
      <c r="W87" s="29">
        <f t="shared" si="25"/>
        <v>0</v>
      </c>
      <c r="X87" s="29">
        <f t="shared" si="36"/>
        <v>17201.655360798602</v>
      </c>
      <c r="Y87">
        <f t="shared" si="37"/>
        <v>0</v>
      </c>
    </row>
    <row r="88" spans="1:25" x14ac:dyDescent="0.25">
      <c r="A88" s="4" t="s">
        <v>825</v>
      </c>
      <c r="B88" s="7" t="s">
        <v>132</v>
      </c>
      <c r="C88" s="2" t="s">
        <v>826</v>
      </c>
      <c r="D88">
        <f>VLOOKUP(B88,'Model allocations'!$A$1:$L$316,5,FALSE)</f>
        <v>7149.1800423581171</v>
      </c>
      <c r="E88" s="31">
        <f>VLOOKUP(B88,'Initial adjusted formula count'!$A$1:$P$316,12,FALSE)</f>
        <v>0.16129032258064499</v>
      </c>
      <c r="F88">
        <f>VLOOKUP(B88,'Model allocations'!$A$1:$L$316,10,FALSE)</f>
        <v>6434.262038122306</v>
      </c>
      <c r="G88" s="30">
        <f t="shared" si="26"/>
        <v>0.9</v>
      </c>
      <c r="H88">
        <f t="shared" si="27"/>
        <v>6434.262038122306</v>
      </c>
      <c r="I88">
        <f t="shared" si="19"/>
        <v>0</v>
      </c>
      <c r="J88">
        <f t="shared" si="20"/>
        <v>6434.262038122306</v>
      </c>
      <c r="K88">
        <f t="shared" si="21"/>
        <v>6429.3490790804235</v>
      </c>
      <c r="L88">
        <f t="shared" si="28"/>
        <v>6429.3490790804235</v>
      </c>
      <c r="M88">
        <f t="shared" si="22"/>
        <v>6434.262038122306</v>
      </c>
      <c r="N88" s="29">
        <f t="shared" si="29"/>
        <v>0</v>
      </c>
      <c r="O88" s="29">
        <f t="shared" si="23"/>
        <v>0</v>
      </c>
      <c r="P88" s="29">
        <f t="shared" si="30"/>
        <v>6434.262038122306</v>
      </c>
      <c r="Q88">
        <f t="shared" si="31"/>
        <v>0</v>
      </c>
      <c r="R88" s="29">
        <f t="shared" si="32"/>
        <v>0</v>
      </c>
      <c r="S88" s="29">
        <f t="shared" si="24"/>
        <v>0</v>
      </c>
      <c r="T88" s="29">
        <f t="shared" si="33"/>
        <v>6434.262038122306</v>
      </c>
      <c r="U88">
        <f t="shared" si="34"/>
        <v>0</v>
      </c>
      <c r="V88" s="29">
        <f t="shared" si="35"/>
        <v>0</v>
      </c>
      <c r="W88" s="29">
        <f t="shared" si="25"/>
        <v>0</v>
      </c>
      <c r="X88" s="29">
        <f t="shared" si="36"/>
        <v>6434.262038122306</v>
      </c>
      <c r="Y88">
        <f t="shared" si="37"/>
        <v>0</v>
      </c>
    </row>
    <row r="89" spans="1:25" x14ac:dyDescent="0.25">
      <c r="A89" s="4" t="s">
        <v>827</v>
      </c>
      <c r="B89" s="7" t="s">
        <v>405</v>
      </c>
      <c r="C89" s="2" t="s">
        <v>828</v>
      </c>
      <c r="D89">
        <f>VLOOKUP(B89,'Model allocations'!$A$1:$L$316,5,FALSE)</f>
        <v>101972.00712497588</v>
      </c>
      <c r="E89" s="31">
        <f>VLOOKUP(B89,'Initial adjusted formula count'!$A$1:$P$316,12,FALSE)</f>
        <v>0.154275092936803</v>
      </c>
      <c r="F89">
        <f>VLOOKUP(B89,'Model allocations'!$A$1:$L$316,10,FALSE)</f>
        <v>91774.806412478298</v>
      </c>
      <c r="G89" s="30">
        <f t="shared" si="26"/>
        <v>0.9</v>
      </c>
      <c r="H89">
        <f t="shared" si="27"/>
        <v>91774.806412478298</v>
      </c>
      <c r="I89">
        <f t="shared" si="19"/>
        <v>0</v>
      </c>
      <c r="J89">
        <f t="shared" si="20"/>
        <v>91774.806412478298</v>
      </c>
      <c r="K89">
        <f t="shared" si="21"/>
        <v>91704.730642745926</v>
      </c>
      <c r="L89">
        <f t="shared" si="28"/>
        <v>91704.730642745926</v>
      </c>
      <c r="M89">
        <f t="shared" si="22"/>
        <v>91774.806412478298</v>
      </c>
      <c r="N89" s="29">
        <f t="shared" si="29"/>
        <v>0</v>
      </c>
      <c r="O89" s="29">
        <f t="shared" si="23"/>
        <v>0</v>
      </c>
      <c r="P89" s="29">
        <f t="shared" si="30"/>
        <v>91774.806412478298</v>
      </c>
      <c r="Q89">
        <f t="shared" si="31"/>
        <v>0</v>
      </c>
      <c r="R89" s="29">
        <f t="shared" si="32"/>
        <v>0</v>
      </c>
      <c r="S89" s="29">
        <f t="shared" si="24"/>
        <v>0</v>
      </c>
      <c r="T89" s="29">
        <f t="shared" si="33"/>
        <v>91774.806412478298</v>
      </c>
      <c r="U89">
        <f t="shared" si="34"/>
        <v>0</v>
      </c>
      <c r="V89" s="29">
        <f t="shared" si="35"/>
        <v>0</v>
      </c>
      <c r="W89" s="29">
        <f t="shared" si="25"/>
        <v>0</v>
      </c>
      <c r="X89" s="29">
        <f t="shared" si="36"/>
        <v>91774.806412478298</v>
      </c>
      <c r="Y89">
        <f t="shared" si="37"/>
        <v>0</v>
      </c>
    </row>
    <row r="90" spans="1:25" x14ac:dyDescent="0.25">
      <c r="A90" s="4" t="s">
        <v>829</v>
      </c>
      <c r="B90" s="7" t="s">
        <v>407</v>
      </c>
      <c r="C90" s="2" t="s">
        <v>830</v>
      </c>
      <c r="D90">
        <f>VLOOKUP(B90,'Model allocations'!$A$1:$L$316,5,FALSE)</f>
        <v>50713.654977668346</v>
      </c>
      <c r="E90" s="31">
        <f>VLOOKUP(B90,'Initial adjusted formula count'!$A$1:$P$316,12,FALSE)</f>
        <v>0.23432835820895501</v>
      </c>
      <c r="F90">
        <f>VLOOKUP(B90,'Model allocations'!$A$1:$L$316,10,FALSE)</f>
        <v>86457.147708699078</v>
      </c>
      <c r="G90" s="30">
        <f t="shared" si="26"/>
        <v>0.9</v>
      </c>
      <c r="H90">
        <f t="shared" si="27"/>
        <v>45642.289479901512</v>
      </c>
      <c r="I90">
        <f t="shared" si="19"/>
        <v>0</v>
      </c>
      <c r="J90">
        <f t="shared" si="20"/>
        <v>86457.147708699078</v>
      </c>
      <c r="K90">
        <f t="shared" si="21"/>
        <v>86391.132301950929</v>
      </c>
      <c r="L90">
        <f t="shared" si="28"/>
        <v>86391.132301950929</v>
      </c>
      <c r="M90">
        <f t="shared" si="22"/>
        <v>0</v>
      </c>
      <c r="N90" s="29">
        <f t="shared" si="29"/>
        <v>86391.132301950929</v>
      </c>
      <c r="O90" s="29">
        <f t="shared" si="23"/>
        <v>86386.225406968108</v>
      </c>
      <c r="P90" s="29">
        <f t="shared" si="30"/>
        <v>86386.225406968108</v>
      </c>
      <c r="Q90">
        <f t="shared" si="31"/>
        <v>0</v>
      </c>
      <c r="R90" s="29">
        <f t="shared" si="32"/>
        <v>86386.225406968108</v>
      </c>
      <c r="S90" s="29">
        <f t="shared" si="24"/>
        <v>86386.194616121546</v>
      </c>
      <c r="T90" s="29">
        <f t="shared" si="33"/>
        <v>86386.194616121546</v>
      </c>
      <c r="U90">
        <f t="shared" si="34"/>
        <v>0</v>
      </c>
      <c r="V90" s="29">
        <f t="shared" si="35"/>
        <v>86386.194616121546</v>
      </c>
      <c r="W90" s="29">
        <f t="shared" si="25"/>
        <v>86386.19461612156</v>
      </c>
      <c r="X90" s="29">
        <f t="shared" si="36"/>
        <v>86386.19461612156</v>
      </c>
      <c r="Y90">
        <f t="shared" si="37"/>
        <v>0</v>
      </c>
    </row>
    <row r="91" spans="1:25" x14ac:dyDescent="0.25">
      <c r="A91" s="4" t="s">
        <v>831</v>
      </c>
      <c r="B91" s="7" t="s">
        <v>409</v>
      </c>
      <c r="C91" s="2" t="s">
        <v>832</v>
      </c>
      <c r="D91">
        <f>VLOOKUP(B91,'Model allocations'!$A$1:$L$316,5,FALSE)</f>
        <v>419382.62830546184</v>
      </c>
      <c r="E91" s="31">
        <f>VLOOKUP(B91,'Initial adjusted formula count'!$A$1:$P$316,12,FALSE)</f>
        <v>0.22306034482758599</v>
      </c>
      <c r="F91">
        <f>VLOOKUP(B91,'Model allocations'!$A$1:$L$316,10,FALSE)</f>
        <v>434487.16171886737</v>
      </c>
      <c r="G91" s="30">
        <f t="shared" si="26"/>
        <v>0.9</v>
      </c>
      <c r="H91">
        <f t="shared" si="27"/>
        <v>377444.36547491566</v>
      </c>
      <c r="I91">
        <f t="shared" si="19"/>
        <v>0</v>
      </c>
      <c r="J91">
        <f t="shared" si="20"/>
        <v>434487.16171886737</v>
      </c>
      <c r="K91">
        <f t="shared" si="21"/>
        <v>434155.40376168425</v>
      </c>
      <c r="L91">
        <f t="shared" si="28"/>
        <v>434155.40376168425</v>
      </c>
      <c r="M91">
        <f t="shared" si="22"/>
        <v>0</v>
      </c>
      <c r="N91" s="29">
        <f t="shared" si="29"/>
        <v>434155.40376168425</v>
      </c>
      <c r="O91" s="29">
        <f t="shared" si="23"/>
        <v>434130.74434449966</v>
      </c>
      <c r="P91" s="29">
        <f t="shared" si="30"/>
        <v>434130.74434449966</v>
      </c>
      <c r="Q91">
        <f t="shared" si="31"/>
        <v>0</v>
      </c>
      <c r="R91" s="29">
        <f t="shared" si="32"/>
        <v>434130.74434449966</v>
      </c>
      <c r="S91" s="29">
        <f t="shared" si="24"/>
        <v>434130.58960625203</v>
      </c>
      <c r="T91" s="29">
        <f t="shared" si="33"/>
        <v>434130.58960625203</v>
      </c>
      <c r="U91">
        <f t="shared" si="34"/>
        <v>0</v>
      </c>
      <c r="V91" s="29">
        <f t="shared" si="35"/>
        <v>434130.58960625203</v>
      </c>
      <c r="W91" s="29">
        <f t="shared" si="25"/>
        <v>434130.58960625209</v>
      </c>
      <c r="X91" s="29">
        <f t="shared" si="36"/>
        <v>434130.58960625209</v>
      </c>
      <c r="Y91">
        <f t="shared" si="37"/>
        <v>0</v>
      </c>
    </row>
    <row r="92" spans="1:25" x14ac:dyDescent="0.25">
      <c r="A92" s="4" t="s">
        <v>833</v>
      </c>
      <c r="B92" s="7" t="s">
        <v>411</v>
      </c>
      <c r="C92" s="2" t="s">
        <v>834</v>
      </c>
      <c r="D92">
        <f>VLOOKUP(B92,'Model allocations'!$A$1:$L$316,5,FALSE)</f>
        <v>177384.56009816015</v>
      </c>
      <c r="E92" s="31">
        <f>VLOOKUP(B92,'Initial adjusted formula count'!$A$1:$P$316,12,FALSE)</f>
        <v>0.15852885225110999</v>
      </c>
      <c r="F92">
        <f>VLOOKUP(B92,'Model allocations'!$A$1:$L$316,10,FALSE)</f>
        <v>159646.10408834415</v>
      </c>
      <c r="G92" s="30">
        <f t="shared" si="26"/>
        <v>0.9</v>
      </c>
      <c r="H92">
        <f t="shared" si="27"/>
        <v>159646.10408834415</v>
      </c>
      <c r="I92">
        <f t="shared" si="19"/>
        <v>0</v>
      </c>
      <c r="J92">
        <f t="shared" si="20"/>
        <v>159646.10408834415</v>
      </c>
      <c r="K92">
        <f t="shared" si="21"/>
        <v>159524.20436372381</v>
      </c>
      <c r="L92">
        <f t="shared" si="28"/>
        <v>159524.20436372381</v>
      </c>
      <c r="M92">
        <f t="shared" si="22"/>
        <v>159646.10408834415</v>
      </c>
      <c r="N92" s="29">
        <f t="shared" si="29"/>
        <v>0</v>
      </c>
      <c r="O92" s="29">
        <f t="shared" si="23"/>
        <v>0</v>
      </c>
      <c r="P92" s="29">
        <f t="shared" si="30"/>
        <v>159646.10408834415</v>
      </c>
      <c r="Q92">
        <f t="shared" si="31"/>
        <v>0</v>
      </c>
      <c r="R92" s="29">
        <f t="shared" si="32"/>
        <v>0</v>
      </c>
      <c r="S92" s="29">
        <f t="shared" si="24"/>
        <v>0</v>
      </c>
      <c r="T92" s="29">
        <f t="shared" si="33"/>
        <v>159646.10408834415</v>
      </c>
      <c r="U92">
        <f t="shared" si="34"/>
        <v>0</v>
      </c>
      <c r="V92" s="29">
        <f t="shared" si="35"/>
        <v>0</v>
      </c>
      <c r="W92" s="29">
        <f t="shared" si="25"/>
        <v>0</v>
      </c>
      <c r="X92" s="29">
        <f t="shared" si="36"/>
        <v>159646.10408834415</v>
      </c>
      <c r="Y92">
        <f t="shared" si="37"/>
        <v>0</v>
      </c>
    </row>
    <row r="93" spans="1:25" x14ac:dyDescent="0.25">
      <c r="A93" s="4" t="s">
        <v>835</v>
      </c>
      <c r="B93" s="7" t="s">
        <v>134</v>
      </c>
      <c r="C93" s="2" t="s">
        <v>836</v>
      </c>
      <c r="D93">
        <f>VLOOKUP(B93,'Model allocations'!$A$1:$L$316,5,FALSE)</f>
        <v>76294.671424071668</v>
      </c>
      <c r="E93" s="31">
        <f>VLOOKUP(B93,'Initial adjusted formula count'!$A$1:$P$316,12,FALSE)</f>
        <v>6.6596194503171197E-2</v>
      </c>
      <c r="F93">
        <f>VLOOKUP(B93,'Model allocations'!$A$1:$L$316,10,FALSE)</f>
        <v>80451.882889471832</v>
      </c>
      <c r="G93" s="30">
        <f t="shared" si="26"/>
        <v>0.85</v>
      </c>
      <c r="H93">
        <f t="shared" si="27"/>
        <v>64850.470710460919</v>
      </c>
      <c r="I93">
        <f t="shared" si="19"/>
        <v>0</v>
      </c>
      <c r="J93">
        <f t="shared" si="20"/>
        <v>80451.882889471832</v>
      </c>
      <c r="K93">
        <f t="shared" si="21"/>
        <v>80390.452875721006</v>
      </c>
      <c r="L93">
        <f t="shared" si="28"/>
        <v>80390.452875721006</v>
      </c>
      <c r="M93">
        <f t="shared" si="22"/>
        <v>0</v>
      </c>
      <c r="N93" s="29">
        <f t="shared" si="29"/>
        <v>80390.452875721006</v>
      </c>
      <c r="O93" s="29">
        <f t="shared" si="23"/>
        <v>80385.886810901939</v>
      </c>
      <c r="P93" s="29">
        <f t="shared" si="30"/>
        <v>80385.886810901939</v>
      </c>
      <c r="Q93">
        <f t="shared" si="31"/>
        <v>0</v>
      </c>
      <c r="R93" s="29">
        <f t="shared" si="32"/>
        <v>80385.886810901939</v>
      </c>
      <c r="S93" s="29">
        <f t="shared" si="24"/>
        <v>80385.85815877025</v>
      </c>
      <c r="T93" s="29">
        <f t="shared" si="33"/>
        <v>80385.85815877025</v>
      </c>
      <c r="U93">
        <f t="shared" si="34"/>
        <v>0</v>
      </c>
      <c r="V93" s="29">
        <f t="shared" si="35"/>
        <v>80385.85815877025</v>
      </c>
      <c r="W93" s="29">
        <f t="shared" si="25"/>
        <v>80385.85815877025</v>
      </c>
      <c r="X93" s="29">
        <f t="shared" si="36"/>
        <v>80385.85815877025</v>
      </c>
      <c r="Y93">
        <f t="shared" si="37"/>
        <v>0</v>
      </c>
    </row>
    <row r="94" spans="1:25" x14ac:dyDescent="0.25">
      <c r="A94" s="4" t="s">
        <v>837</v>
      </c>
      <c r="B94" s="7" t="s">
        <v>413</v>
      </c>
      <c r="C94" s="2" t="s">
        <v>838</v>
      </c>
      <c r="D94">
        <f>VLOOKUP(B94,'Model allocations'!$A$1:$L$316,5,FALSE)</f>
        <v>14672.052196936864</v>
      </c>
      <c r="E94" s="31">
        <f>VLOOKUP(B94,'Initial adjusted formula count'!$A$1:$P$316,12,FALSE)</f>
        <v>0.100864553314121</v>
      </c>
      <c r="F94">
        <f>VLOOKUP(B94,'Model allocations'!$A$1:$L$316,10,FALSE)</f>
        <v>14898.496831383667</v>
      </c>
      <c r="G94" s="30">
        <f t="shared" si="26"/>
        <v>0.85</v>
      </c>
      <c r="H94">
        <f t="shared" si="27"/>
        <v>12471.244367396333</v>
      </c>
      <c r="I94">
        <f t="shared" si="19"/>
        <v>0</v>
      </c>
      <c r="J94">
        <f t="shared" si="20"/>
        <v>14898.496831383667</v>
      </c>
      <c r="K94">
        <f t="shared" si="21"/>
        <v>14887.120902911291</v>
      </c>
      <c r="L94">
        <f t="shared" si="28"/>
        <v>14887.120902911291</v>
      </c>
      <c r="M94">
        <f t="shared" si="22"/>
        <v>0</v>
      </c>
      <c r="N94" s="29">
        <f t="shared" si="29"/>
        <v>14887.120902911291</v>
      </c>
      <c r="O94" s="29">
        <f t="shared" si="23"/>
        <v>14886.275335352206</v>
      </c>
      <c r="P94" s="29">
        <f t="shared" si="30"/>
        <v>14886.275335352206</v>
      </c>
      <c r="Q94">
        <f t="shared" si="31"/>
        <v>0</v>
      </c>
      <c r="R94" s="29">
        <f t="shared" si="32"/>
        <v>14886.275335352206</v>
      </c>
      <c r="S94" s="29">
        <f t="shared" si="24"/>
        <v>14886.27002940189</v>
      </c>
      <c r="T94" s="29">
        <f t="shared" si="33"/>
        <v>14886.27002940189</v>
      </c>
      <c r="U94">
        <f t="shared" si="34"/>
        <v>0</v>
      </c>
      <c r="V94" s="29">
        <f t="shared" si="35"/>
        <v>14886.27002940189</v>
      </c>
      <c r="W94" s="29">
        <f t="shared" si="25"/>
        <v>14886.27002940189</v>
      </c>
      <c r="X94" s="29">
        <f t="shared" si="36"/>
        <v>14886.27002940189</v>
      </c>
      <c r="Y94">
        <f t="shared" si="37"/>
        <v>0</v>
      </c>
    </row>
    <row r="95" spans="1:25" x14ac:dyDescent="0.25">
      <c r="A95" s="4" t="s">
        <v>839</v>
      </c>
      <c r="B95" s="7" t="s">
        <v>415</v>
      </c>
      <c r="C95" s="2" t="s">
        <v>840</v>
      </c>
      <c r="D95">
        <f>VLOOKUP(B95,'Model allocations'!$A$1:$L$316,5,FALSE)</f>
        <v>20238.793484930913</v>
      </c>
      <c r="E95" s="31">
        <f>VLOOKUP(B95,'Initial adjusted formula count'!$A$1:$P$316,12,FALSE)</f>
        <v>0.175531914893617</v>
      </c>
      <c r="F95">
        <f>VLOOKUP(B95,'Model allocations'!$A$1:$L$316,10,FALSE)</f>
        <v>18072.610119746903</v>
      </c>
      <c r="G95" s="30">
        <f t="shared" si="26"/>
        <v>0.9</v>
      </c>
      <c r="H95">
        <f t="shared" si="27"/>
        <v>18214.914136437823</v>
      </c>
      <c r="I95">
        <f t="shared" si="19"/>
        <v>18214.914136437823</v>
      </c>
      <c r="J95">
        <f t="shared" si="20"/>
        <v>0</v>
      </c>
      <c r="K95">
        <f t="shared" si="21"/>
        <v>0</v>
      </c>
      <c r="L95">
        <f t="shared" si="28"/>
        <v>18214.914136437823</v>
      </c>
      <c r="M95">
        <f t="shared" si="22"/>
        <v>0</v>
      </c>
      <c r="N95" s="29">
        <f t="shared" si="29"/>
        <v>0</v>
      </c>
      <c r="O95" s="29">
        <f t="shared" si="23"/>
        <v>0</v>
      </c>
      <c r="P95" s="29">
        <f t="shared" si="30"/>
        <v>18214.914136437823</v>
      </c>
      <c r="Q95">
        <f t="shared" si="31"/>
        <v>0</v>
      </c>
      <c r="R95" s="29">
        <f t="shared" si="32"/>
        <v>0</v>
      </c>
      <c r="S95" s="29">
        <f t="shared" si="24"/>
        <v>0</v>
      </c>
      <c r="T95" s="29">
        <f t="shared" si="33"/>
        <v>18214.914136437823</v>
      </c>
      <c r="U95">
        <f t="shared" si="34"/>
        <v>0</v>
      </c>
      <c r="V95" s="29">
        <f t="shared" si="35"/>
        <v>0</v>
      </c>
      <c r="W95" s="29">
        <f t="shared" si="25"/>
        <v>0</v>
      </c>
      <c r="X95" s="29">
        <f t="shared" si="36"/>
        <v>18214.914136437823</v>
      </c>
      <c r="Y95">
        <f t="shared" si="37"/>
        <v>0</v>
      </c>
    </row>
    <row r="96" spans="1:25" x14ac:dyDescent="0.25">
      <c r="A96" s="4" t="s">
        <v>841</v>
      </c>
      <c r="B96" s="7" t="s">
        <v>136</v>
      </c>
      <c r="C96" s="2" t="s">
        <v>842</v>
      </c>
      <c r="D96">
        <f>VLOOKUP(B96,'Model allocations'!$A$1:$L$316,5,FALSE)</f>
        <v>5597.2166266354961</v>
      </c>
      <c r="E96" s="31">
        <f>VLOOKUP(B96,'Initial adjusted formula count'!$A$1:$P$316,12,FALSE)</f>
        <v>6.3414634146341506E-2</v>
      </c>
      <c r="F96">
        <f>VLOOKUP(B96,'Model allocations'!$A$1:$L$316,10,FALSE)</f>
        <v>5533.7273945139341</v>
      </c>
      <c r="G96" s="30">
        <f t="shared" si="26"/>
        <v>0.85</v>
      </c>
      <c r="H96">
        <f t="shared" si="27"/>
        <v>4757.6341326401716</v>
      </c>
      <c r="I96">
        <f t="shared" si="19"/>
        <v>0</v>
      </c>
      <c r="J96">
        <f t="shared" si="20"/>
        <v>5533.7273945139341</v>
      </c>
      <c r="K96">
        <f t="shared" si="21"/>
        <v>5529.5020496527659</v>
      </c>
      <c r="L96">
        <f t="shared" si="28"/>
        <v>5529.5020496527659</v>
      </c>
      <c r="M96">
        <f t="shared" si="22"/>
        <v>0</v>
      </c>
      <c r="N96" s="29">
        <f t="shared" si="29"/>
        <v>5529.5020496527659</v>
      </c>
      <c r="O96" s="29">
        <f t="shared" si="23"/>
        <v>5529.1879817022491</v>
      </c>
      <c r="P96" s="29">
        <f t="shared" si="30"/>
        <v>5529.1879817022491</v>
      </c>
      <c r="Q96">
        <f t="shared" si="31"/>
        <v>0</v>
      </c>
      <c r="R96" s="29">
        <f t="shared" si="32"/>
        <v>5529.1879817022491</v>
      </c>
      <c r="S96" s="29">
        <f t="shared" si="24"/>
        <v>5529.1860109207046</v>
      </c>
      <c r="T96" s="29">
        <f t="shared" si="33"/>
        <v>5529.1860109207046</v>
      </c>
      <c r="U96">
        <f t="shared" si="34"/>
        <v>0</v>
      </c>
      <c r="V96" s="29">
        <f t="shared" si="35"/>
        <v>5529.1860109207046</v>
      </c>
      <c r="W96" s="29">
        <f t="shared" si="25"/>
        <v>5529.1860109207055</v>
      </c>
      <c r="X96" s="29">
        <f t="shared" si="36"/>
        <v>5529.1860109207055</v>
      </c>
      <c r="Y96">
        <f t="shared" si="37"/>
        <v>0</v>
      </c>
    </row>
    <row r="97" spans="1:25" x14ac:dyDescent="0.25">
      <c r="A97" s="4" t="s">
        <v>843</v>
      </c>
      <c r="B97" s="7" t="s">
        <v>138</v>
      </c>
      <c r="C97" s="2" t="s">
        <v>844</v>
      </c>
      <c r="D97">
        <f>VLOOKUP(B97,'Model allocations'!$A$1:$L$316,5,FALSE)</f>
        <v>20145.782479523343</v>
      </c>
      <c r="E97" s="31">
        <f>VLOOKUP(B97,'Initial adjusted formula count'!$A$1:$P$316,12,FALSE)</f>
        <v>5.6603773584905703E-2</v>
      </c>
      <c r="F97">
        <f>VLOOKUP(B97,'Model allocations'!$A$1:$L$316,10,FALSE)</f>
        <v>21709.23824001621</v>
      </c>
      <c r="G97" s="30">
        <f t="shared" si="26"/>
        <v>0.85</v>
      </c>
      <c r="H97">
        <f t="shared" si="27"/>
        <v>17123.915107594839</v>
      </c>
      <c r="I97">
        <f t="shared" si="19"/>
        <v>0</v>
      </c>
      <c r="J97">
        <f t="shared" si="20"/>
        <v>21709.23824001621</v>
      </c>
      <c r="K97">
        <f t="shared" si="21"/>
        <v>21692.661887099322</v>
      </c>
      <c r="L97">
        <f t="shared" si="28"/>
        <v>21692.661887099322</v>
      </c>
      <c r="M97">
        <f t="shared" si="22"/>
        <v>0</v>
      </c>
      <c r="N97" s="29">
        <f t="shared" si="29"/>
        <v>21692.661887099322</v>
      </c>
      <c r="O97" s="29">
        <f t="shared" si="23"/>
        <v>21691.429774370372</v>
      </c>
      <c r="P97" s="29">
        <f t="shared" si="30"/>
        <v>21691.429774370372</v>
      </c>
      <c r="Q97">
        <f t="shared" si="31"/>
        <v>0</v>
      </c>
      <c r="R97" s="29">
        <f t="shared" si="32"/>
        <v>21691.429774370372</v>
      </c>
      <c r="S97" s="29">
        <f t="shared" si="24"/>
        <v>21691.422042842772</v>
      </c>
      <c r="T97" s="29">
        <f t="shared" si="33"/>
        <v>21691.422042842772</v>
      </c>
      <c r="U97">
        <f t="shared" si="34"/>
        <v>0</v>
      </c>
      <c r="V97" s="29">
        <f t="shared" si="35"/>
        <v>21691.422042842772</v>
      </c>
      <c r="W97" s="29">
        <f t="shared" si="25"/>
        <v>21691.422042842776</v>
      </c>
      <c r="X97" s="29">
        <f t="shared" si="36"/>
        <v>21691.422042842776</v>
      </c>
      <c r="Y97">
        <f t="shared" si="37"/>
        <v>0</v>
      </c>
    </row>
    <row r="98" spans="1:25" x14ac:dyDescent="0.25">
      <c r="A98" s="4" t="s">
        <v>845</v>
      </c>
      <c r="B98" s="7" t="s">
        <v>417</v>
      </c>
      <c r="C98" s="2" t="s">
        <v>846</v>
      </c>
      <c r="D98">
        <f>VLOOKUP(B98,'Model allocations'!$A$1:$L$316,5,FALSE)</f>
        <v>11700.313370201611</v>
      </c>
      <c r="E98" s="31">
        <f>VLOOKUP(B98,'Initial adjusted formula count'!$A$1:$P$316,12,FALSE)</f>
        <v>0.17241379310344801</v>
      </c>
      <c r="F98">
        <f>VLOOKUP(B98,'Model allocations'!$A$1:$L$316,10,FALSE)</f>
        <v>11410.865140991258</v>
      </c>
      <c r="G98" s="30">
        <f t="shared" si="26"/>
        <v>0.9</v>
      </c>
      <c r="H98">
        <f t="shared" si="27"/>
        <v>10530.282033181451</v>
      </c>
      <c r="I98">
        <f t="shared" si="19"/>
        <v>0</v>
      </c>
      <c r="J98">
        <f t="shared" si="20"/>
        <v>11410.865140991258</v>
      </c>
      <c r="K98">
        <f t="shared" si="21"/>
        <v>11402.152236117634</v>
      </c>
      <c r="L98">
        <f t="shared" si="28"/>
        <v>11402.152236117634</v>
      </c>
      <c r="M98">
        <f t="shared" si="22"/>
        <v>0</v>
      </c>
      <c r="N98" s="29">
        <f t="shared" si="29"/>
        <v>11402.152236117634</v>
      </c>
      <c r="O98" s="29">
        <f t="shared" si="23"/>
        <v>11401.504609884363</v>
      </c>
      <c r="P98" s="29">
        <f t="shared" si="30"/>
        <v>11401.504609884363</v>
      </c>
      <c r="Q98">
        <f t="shared" si="31"/>
        <v>0</v>
      </c>
      <c r="R98" s="29">
        <f t="shared" si="32"/>
        <v>11401.504609884363</v>
      </c>
      <c r="S98" s="29">
        <f t="shared" si="24"/>
        <v>11401.500546019119</v>
      </c>
      <c r="T98" s="29">
        <f t="shared" si="33"/>
        <v>11401.500546019119</v>
      </c>
      <c r="U98">
        <f t="shared" si="34"/>
        <v>0</v>
      </c>
      <c r="V98" s="29">
        <f t="shared" si="35"/>
        <v>11401.500546019119</v>
      </c>
      <c r="W98" s="29">
        <f t="shared" si="25"/>
        <v>11401.500546019121</v>
      </c>
      <c r="X98" s="29">
        <f t="shared" si="36"/>
        <v>11401.500546019121</v>
      </c>
      <c r="Y98">
        <f t="shared" si="37"/>
        <v>0</v>
      </c>
    </row>
    <row r="99" spans="1:25" x14ac:dyDescent="0.25">
      <c r="A99" s="4" t="s">
        <v>847</v>
      </c>
      <c r="B99" s="7" t="s">
        <v>419</v>
      </c>
      <c r="C99" s="2" t="s">
        <v>848</v>
      </c>
      <c r="D99">
        <f>VLOOKUP(B99,'Model allocations'!$A$1:$L$316,5,FALSE)</f>
        <v>91870.194962113019</v>
      </c>
      <c r="E99" s="31">
        <f>VLOOKUP(B99,'Initial adjusted formula count'!$A$1:$P$316,12,FALSE)</f>
        <v>0.103639240506329</v>
      </c>
      <c r="F99">
        <f>VLOOKUP(B99,'Model allocations'!$A$1:$L$316,10,FALSE)</f>
        <v>78089.665717796059</v>
      </c>
      <c r="G99" s="30">
        <f t="shared" si="26"/>
        <v>0.85</v>
      </c>
      <c r="H99">
        <f t="shared" si="27"/>
        <v>78089.665717796059</v>
      </c>
      <c r="I99">
        <f t="shared" si="19"/>
        <v>0</v>
      </c>
      <c r="J99">
        <f t="shared" si="20"/>
        <v>78089.665717796059</v>
      </c>
      <c r="K99">
        <f t="shared" si="21"/>
        <v>78030.039403699324</v>
      </c>
      <c r="L99">
        <f t="shared" si="28"/>
        <v>78030.039403699324</v>
      </c>
      <c r="M99">
        <f t="shared" si="22"/>
        <v>78089.665717796059</v>
      </c>
      <c r="N99" s="29">
        <f t="shared" si="29"/>
        <v>0</v>
      </c>
      <c r="O99" s="29">
        <f t="shared" si="23"/>
        <v>0</v>
      </c>
      <c r="P99" s="29">
        <f t="shared" si="30"/>
        <v>78089.665717796059</v>
      </c>
      <c r="Q99">
        <f t="shared" si="31"/>
        <v>0</v>
      </c>
      <c r="R99" s="29">
        <f t="shared" si="32"/>
        <v>0</v>
      </c>
      <c r="S99" s="29">
        <f t="shared" si="24"/>
        <v>0</v>
      </c>
      <c r="T99" s="29">
        <f t="shared" si="33"/>
        <v>78089.665717796059</v>
      </c>
      <c r="U99">
        <f t="shared" si="34"/>
        <v>0</v>
      </c>
      <c r="V99" s="29">
        <f t="shared" si="35"/>
        <v>0</v>
      </c>
      <c r="W99" s="29">
        <f t="shared" si="25"/>
        <v>0</v>
      </c>
      <c r="X99" s="29">
        <f t="shared" si="36"/>
        <v>78089.665717796059</v>
      </c>
      <c r="Y99">
        <f t="shared" si="37"/>
        <v>0</v>
      </c>
    </row>
    <row r="100" spans="1:25" x14ac:dyDescent="0.25">
      <c r="A100" s="4" t="s">
        <v>18</v>
      </c>
      <c r="B100" s="7" t="s">
        <v>57</v>
      </c>
      <c r="C100" s="2" t="s">
        <v>849</v>
      </c>
      <c r="D100">
        <f>VLOOKUP(B100,'Model allocations'!$A$1:$L$316,5,FALSE)</f>
        <v>2177077.1852041204</v>
      </c>
      <c r="E100" s="31">
        <f>VLOOKUP(B100,'Initial adjusted formula count'!$A$1:$P$316,12,FALSE)</f>
        <v>0.16976354908917801</v>
      </c>
      <c r="F100">
        <f>VLOOKUP(B100,'Model allocations'!$A$1:$L$316,10,FALSE)</f>
        <v>2277993.1113465126</v>
      </c>
      <c r="G100" s="30">
        <f t="shared" si="26"/>
        <v>0.9</v>
      </c>
      <c r="H100">
        <f t="shared" si="27"/>
        <v>1959369.4666837084</v>
      </c>
      <c r="I100">
        <f t="shared" si="19"/>
        <v>0</v>
      </c>
      <c r="J100">
        <f t="shared" si="20"/>
        <v>2277993.1113465126</v>
      </c>
      <c r="K100">
        <f t="shared" si="21"/>
        <v>2276253.7219981421</v>
      </c>
      <c r="L100">
        <f t="shared" si="28"/>
        <v>2276253.7219981421</v>
      </c>
      <c r="M100">
        <f t="shared" si="22"/>
        <v>0</v>
      </c>
      <c r="N100" s="29">
        <f t="shared" si="29"/>
        <v>2276253.7219981421</v>
      </c>
      <c r="O100" s="29">
        <f t="shared" si="23"/>
        <v>2276124.4339836147</v>
      </c>
      <c r="P100" s="29">
        <f t="shared" si="30"/>
        <v>2276124.4339836147</v>
      </c>
      <c r="Q100">
        <f t="shared" si="31"/>
        <v>0</v>
      </c>
      <c r="R100" s="29">
        <f t="shared" si="32"/>
        <v>2276124.4339836147</v>
      </c>
      <c r="S100" s="29">
        <f t="shared" si="24"/>
        <v>2276123.6226992011</v>
      </c>
      <c r="T100" s="29">
        <f t="shared" si="33"/>
        <v>2276123.6226992011</v>
      </c>
      <c r="U100">
        <f t="shared" si="34"/>
        <v>0</v>
      </c>
      <c r="V100" s="29">
        <f t="shared" si="35"/>
        <v>2276123.6226992011</v>
      </c>
      <c r="W100" s="29">
        <f t="shared" si="25"/>
        <v>2276123.6226992016</v>
      </c>
      <c r="X100" s="29">
        <f t="shared" si="36"/>
        <v>2276123.6226992016</v>
      </c>
      <c r="Y100">
        <f t="shared" si="37"/>
        <v>0</v>
      </c>
    </row>
    <row r="101" spans="1:25" x14ac:dyDescent="0.25">
      <c r="A101" s="4" t="s">
        <v>850</v>
      </c>
      <c r="B101" s="7" t="s">
        <v>140</v>
      </c>
      <c r="C101" s="2" t="s">
        <v>851</v>
      </c>
      <c r="D101">
        <f>VLOOKUP(B101,'Model allocations'!$A$1:$L$316,5,FALSE)</f>
        <v>0</v>
      </c>
      <c r="E101" s="31">
        <f>VLOOKUP(B101,'Initial adjusted formula count'!$A$1:$P$316,12,FALSE)</f>
        <v>5.3357865685372603E-2</v>
      </c>
      <c r="F101">
        <f>VLOOKUP(B101,'Model allocations'!$A$1:$L$316,10,FALSE)</f>
        <v>49377.875212585881</v>
      </c>
      <c r="G101" s="30">
        <f t="shared" si="26"/>
        <v>0.85</v>
      </c>
      <c r="H101">
        <f t="shared" si="27"/>
        <v>0</v>
      </c>
      <c r="I101">
        <f t="shared" si="19"/>
        <v>0</v>
      </c>
      <c r="J101">
        <f t="shared" si="20"/>
        <v>49377.875212585881</v>
      </c>
      <c r="K101">
        <f t="shared" si="21"/>
        <v>49340.172135363151</v>
      </c>
      <c r="L101">
        <f t="shared" si="28"/>
        <v>49340.172135363151</v>
      </c>
      <c r="M101">
        <f t="shared" si="22"/>
        <v>0</v>
      </c>
      <c r="N101" s="29">
        <f t="shared" si="29"/>
        <v>49340.172135363151</v>
      </c>
      <c r="O101" s="29">
        <f t="shared" si="23"/>
        <v>49337.36968288161</v>
      </c>
      <c r="P101" s="29">
        <f t="shared" si="30"/>
        <v>49337.36968288161</v>
      </c>
      <c r="Q101">
        <f t="shared" si="31"/>
        <v>0</v>
      </c>
      <c r="R101" s="29">
        <f t="shared" si="32"/>
        <v>49337.36968288161</v>
      </c>
      <c r="S101" s="29">
        <f t="shared" si="24"/>
        <v>49337.352097446281</v>
      </c>
      <c r="T101" s="29">
        <f t="shared" si="33"/>
        <v>49337.352097446281</v>
      </c>
      <c r="U101">
        <f t="shared" si="34"/>
        <v>0</v>
      </c>
      <c r="V101" s="29">
        <f t="shared" si="35"/>
        <v>49337.352097446281</v>
      </c>
      <c r="W101" s="29">
        <f t="shared" si="25"/>
        <v>49337.352097446288</v>
      </c>
      <c r="X101" s="29">
        <f t="shared" si="36"/>
        <v>49337.352097446288</v>
      </c>
      <c r="Y101">
        <f t="shared" si="37"/>
        <v>0</v>
      </c>
    </row>
    <row r="102" spans="1:25" x14ac:dyDescent="0.25">
      <c r="A102" s="4" t="s">
        <v>852</v>
      </c>
      <c r="B102" s="7" t="s">
        <v>421</v>
      </c>
      <c r="C102" s="2" t="s">
        <v>853</v>
      </c>
      <c r="D102">
        <f>VLOOKUP(B102,'Model allocations'!$A$1:$L$316,5,FALSE)</f>
        <v>68953.447227110679</v>
      </c>
      <c r="E102" s="31">
        <f>VLOOKUP(B102,'Initial adjusted formula count'!$A$1:$P$316,12,FALSE)</f>
        <v>0.15826330532212901</v>
      </c>
      <c r="F102">
        <f>VLOOKUP(B102,'Model allocations'!$A$1:$L$316,10,FALSE)</f>
        <v>62101.193066725355</v>
      </c>
      <c r="G102" s="30">
        <f t="shared" si="26"/>
        <v>0.9</v>
      </c>
      <c r="H102">
        <f t="shared" si="27"/>
        <v>62058.102504399612</v>
      </c>
      <c r="I102">
        <f t="shared" si="19"/>
        <v>0</v>
      </c>
      <c r="J102">
        <f t="shared" si="20"/>
        <v>62101.193066725355</v>
      </c>
      <c r="K102">
        <f t="shared" si="21"/>
        <v>62053.774945395948</v>
      </c>
      <c r="L102">
        <f t="shared" si="28"/>
        <v>62053.774945395948</v>
      </c>
      <c r="M102">
        <f t="shared" si="22"/>
        <v>62058.102504399612</v>
      </c>
      <c r="N102" s="29">
        <f t="shared" si="29"/>
        <v>0</v>
      </c>
      <c r="O102" s="29">
        <f t="shared" si="23"/>
        <v>0</v>
      </c>
      <c r="P102" s="29">
        <f t="shared" si="30"/>
        <v>62058.102504399612</v>
      </c>
      <c r="Q102">
        <f t="shared" si="31"/>
        <v>0</v>
      </c>
      <c r="R102" s="29">
        <f t="shared" si="32"/>
        <v>0</v>
      </c>
      <c r="S102" s="29">
        <f t="shared" si="24"/>
        <v>0</v>
      </c>
      <c r="T102" s="29">
        <f t="shared" si="33"/>
        <v>62058.102504399612</v>
      </c>
      <c r="U102">
        <f t="shared" si="34"/>
        <v>0</v>
      </c>
      <c r="V102" s="29">
        <f t="shared" si="35"/>
        <v>0</v>
      </c>
      <c r="W102" s="29">
        <f t="shared" si="25"/>
        <v>0</v>
      </c>
      <c r="X102" s="29">
        <f t="shared" si="36"/>
        <v>62058.102504399612</v>
      </c>
      <c r="Y102">
        <f t="shared" si="37"/>
        <v>0</v>
      </c>
    </row>
    <row r="103" spans="1:25" x14ac:dyDescent="0.25">
      <c r="A103" s="4" t="s">
        <v>854</v>
      </c>
      <c r="B103" s="7" t="s">
        <v>423</v>
      </c>
      <c r="C103" s="2" t="s">
        <v>855</v>
      </c>
      <c r="D103">
        <f>VLOOKUP(B103,'Model allocations'!$A$1:$L$316,5,FALSE)</f>
        <v>272862.65607709519</v>
      </c>
      <c r="E103" s="31">
        <f>VLOOKUP(B103,'Initial adjusted formula count'!$A$1:$P$316,12,FALSE)</f>
        <v>0.23790994997220699</v>
      </c>
      <c r="F103">
        <f>VLOOKUP(B103,'Model allocations'!$A$1:$L$316,10,FALSE)</f>
        <v>245576.39046938569</v>
      </c>
      <c r="G103" s="30">
        <f t="shared" si="26"/>
        <v>0.9</v>
      </c>
      <c r="H103">
        <f t="shared" si="27"/>
        <v>245576.39046938569</v>
      </c>
      <c r="I103">
        <f t="shared" si="19"/>
        <v>0</v>
      </c>
      <c r="J103">
        <f t="shared" si="20"/>
        <v>245576.39046938569</v>
      </c>
      <c r="K103">
        <f t="shared" si="21"/>
        <v>245388.8776293924</v>
      </c>
      <c r="L103">
        <f t="shared" si="28"/>
        <v>245388.8776293924</v>
      </c>
      <c r="M103">
        <f t="shared" si="22"/>
        <v>245576.39046938569</v>
      </c>
      <c r="N103" s="29">
        <f t="shared" si="29"/>
        <v>0</v>
      </c>
      <c r="O103" s="29">
        <f t="shared" si="23"/>
        <v>0</v>
      </c>
      <c r="P103" s="29">
        <f t="shared" si="30"/>
        <v>245576.39046938569</v>
      </c>
      <c r="Q103">
        <f t="shared" si="31"/>
        <v>0</v>
      </c>
      <c r="R103" s="29">
        <f t="shared" si="32"/>
        <v>0</v>
      </c>
      <c r="S103" s="29">
        <f t="shared" si="24"/>
        <v>0</v>
      </c>
      <c r="T103" s="29">
        <f t="shared" si="33"/>
        <v>245576.39046938569</v>
      </c>
      <c r="U103">
        <f t="shared" si="34"/>
        <v>0</v>
      </c>
      <c r="V103" s="29">
        <f t="shared" si="35"/>
        <v>0</v>
      </c>
      <c r="W103" s="29">
        <f t="shared" si="25"/>
        <v>0</v>
      </c>
      <c r="X103" s="29">
        <f t="shared" si="36"/>
        <v>245576.39046938569</v>
      </c>
      <c r="Y103">
        <f t="shared" si="37"/>
        <v>0</v>
      </c>
    </row>
    <row r="104" spans="1:25" x14ac:dyDescent="0.25">
      <c r="A104" s="4" t="s">
        <v>37</v>
      </c>
      <c r="B104" s="7" t="s">
        <v>79</v>
      </c>
      <c r="C104" s="2" t="s">
        <v>856</v>
      </c>
      <c r="D104">
        <f>VLOOKUP(B104,'Model allocations'!$A$1:$L$316,5,FALSE)</f>
        <v>34774.986756522994</v>
      </c>
      <c r="E104" s="31">
        <f>VLOOKUP(B104,'Initial adjusted formula count'!$A$1:$P$316,12,FALSE)</f>
        <v>0.18795482425996299</v>
      </c>
      <c r="F104">
        <f>VLOOKUP(B104,'Model allocations'!$A$1:$L$316,10,FALSE)</f>
        <v>41366.515670705536</v>
      </c>
      <c r="G104" s="30">
        <f t="shared" si="26"/>
        <v>0.9</v>
      </c>
      <c r="H104">
        <f t="shared" si="27"/>
        <v>31297.488080870695</v>
      </c>
      <c r="I104">
        <f t="shared" si="19"/>
        <v>0</v>
      </c>
      <c r="J104">
        <f t="shared" si="20"/>
        <v>41366.515670705536</v>
      </c>
      <c r="K104">
        <f t="shared" si="21"/>
        <v>41334.929764506589</v>
      </c>
      <c r="L104">
        <f t="shared" si="28"/>
        <v>41334.929764506589</v>
      </c>
      <c r="M104">
        <f t="shared" si="22"/>
        <v>0</v>
      </c>
      <c r="N104" s="29">
        <f t="shared" si="29"/>
        <v>41334.929764506589</v>
      </c>
      <c r="O104" s="29">
        <f t="shared" si="23"/>
        <v>41332.581998548761</v>
      </c>
      <c r="P104" s="29">
        <f t="shared" si="30"/>
        <v>41332.581998548761</v>
      </c>
      <c r="Q104">
        <f t="shared" si="31"/>
        <v>0</v>
      </c>
      <c r="R104" s="29">
        <f t="shared" si="32"/>
        <v>41332.581998548761</v>
      </c>
      <c r="S104" s="29">
        <f t="shared" si="24"/>
        <v>41332.567266278835</v>
      </c>
      <c r="T104" s="29">
        <f t="shared" si="33"/>
        <v>41332.567266278835</v>
      </c>
      <c r="U104">
        <f t="shared" si="34"/>
        <v>0</v>
      </c>
      <c r="V104" s="29">
        <f t="shared" si="35"/>
        <v>41332.567266278835</v>
      </c>
      <c r="W104" s="29">
        <f t="shared" si="25"/>
        <v>41332.567266278842</v>
      </c>
      <c r="X104" s="29">
        <f t="shared" si="36"/>
        <v>41332.567266278842</v>
      </c>
      <c r="Y104">
        <f t="shared" si="37"/>
        <v>0</v>
      </c>
    </row>
    <row r="105" spans="1:25" x14ac:dyDescent="0.25">
      <c r="A105" s="4" t="s">
        <v>40</v>
      </c>
      <c r="B105" s="7" t="s">
        <v>74</v>
      </c>
      <c r="C105" s="2" t="s">
        <v>857</v>
      </c>
      <c r="D105">
        <f>VLOOKUP(B105,'Model allocations'!$A$1:$L$316,5,FALSE)</f>
        <v>57186.08879064981</v>
      </c>
      <c r="E105" s="31">
        <f>VLOOKUP(B105,'Initial adjusted formula count'!$A$1:$P$316,12,FALSE)</f>
        <v>0.226714379582554</v>
      </c>
      <c r="F105">
        <f>VLOOKUP(B105,'Model allocations'!$A$1:$L$316,10,FALSE)</f>
        <v>57851.150625883281</v>
      </c>
      <c r="G105" s="30">
        <f t="shared" si="26"/>
        <v>0.9</v>
      </c>
      <c r="H105">
        <f t="shared" si="27"/>
        <v>51467.479911584829</v>
      </c>
      <c r="I105">
        <f t="shared" si="19"/>
        <v>0</v>
      </c>
      <c r="J105">
        <f t="shared" si="20"/>
        <v>57851.150625883281</v>
      </c>
      <c r="K105">
        <f t="shared" si="21"/>
        <v>57806.977676154667</v>
      </c>
      <c r="L105">
        <f t="shared" si="28"/>
        <v>57806.977676154667</v>
      </c>
      <c r="M105">
        <f t="shared" si="22"/>
        <v>0</v>
      </c>
      <c r="N105" s="29">
        <f t="shared" si="29"/>
        <v>57806.977676154667</v>
      </c>
      <c r="O105" s="29">
        <f t="shared" si="23"/>
        <v>57803.694321009607</v>
      </c>
      <c r="P105" s="29">
        <f t="shared" si="30"/>
        <v>57803.694321009607</v>
      </c>
      <c r="Q105">
        <f t="shared" si="31"/>
        <v>0</v>
      </c>
      <c r="R105" s="29">
        <f t="shared" si="32"/>
        <v>57803.694321009607</v>
      </c>
      <c r="S105" s="29">
        <f t="shared" si="24"/>
        <v>57803.673717902173</v>
      </c>
      <c r="T105" s="29">
        <f t="shared" si="33"/>
        <v>57803.673717902173</v>
      </c>
      <c r="U105">
        <f t="shared" si="34"/>
        <v>0</v>
      </c>
      <c r="V105" s="29">
        <f t="shared" si="35"/>
        <v>57803.673717902173</v>
      </c>
      <c r="W105" s="29">
        <f t="shared" si="25"/>
        <v>57803.67371790218</v>
      </c>
      <c r="X105" s="29">
        <f t="shared" si="36"/>
        <v>57803.67371790218</v>
      </c>
      <c r="Y105">
        <f t="shared" si="37"/>
        <v>0</v>
      </c>
    </row>
    <row r="106" spans="1:25" x14ac:dyDescent="0.25">
      <c r="A106" s="4" t="s">
        <v>44</v>
      </c>
      <c r="B106" s="7" t="s">
        <v>75</v>
      </c>
      <c r="C106" s="2" t="s">
        <v>858</v>
      </c>
      <c r="D106">
        <f>VLOOKUP(B106,'Model allocations'!$A$1:$L$316,5,FALSE)</f>
        <v>30586.088246069608</v>
      </c>
      <c r="E106" s="31">
        <f>VLOOKUP(B106,'Initial adjusted formula count'!$A$1:$P$316,12,FALSE)</f>
        <v>0.22095892257017499</v>
      </c>
      <c r="F106">
        <f>VLOOKUP(B106,'Model allocations'!$A$1:$L$316,10,FALSE)</f>
        <v>38817.871632086164</v>
      </c>
      <c r="G106" s="30">
        <f t="shared" si="26"/>
        <v>0.9</v>
      </c>
      <c r="H106">
        <f t="shared" si="27"/>
        <v>27527.479421462649</v>
      </c>
      <c r="I106">
        <f t="shared" si="19"/>
        <v>0</v>
      </c>
      <c r="J106">
        <f t="shared" si="20"/>
        <v>38817.871632086164</v>
      </c>
      <c r="K106">
        <f t="shared" si="21"/>
        <v>38788.231774043154</v>
      </c>
      <c r="L106">
        <f t="shared" si="28"/>
        <v>38788.231774043154</v>
      </c>
      <c r="M106">
        <f t="shared" si="22"/>
        <v>0</v>
      </c>
      <c r="N106" s="29">
        <f t="shared" si="29"/>
        <v>38788.231774043154</v>
      </c>
      <c r="O106" s="29">
        <f t="shared" si="23"/>
        <v>38786.028656954477</v>
      </c>
      <c r="P106" s="29">
        <f t="shared" si="30"/>
        <v>38786.028656954477</v>
      </c>
      <c r="Q106">
        <f t="shared" si="31"/>
        <v>0</v>
      </c>
      <c r="R106" s="29">
        <f t="shared" si="32"/>
        <v>38786.028656954477</v>
      </c>
      <c r="S106" s="29">
        <f t="shared" si="24"/>
        <v>38786.014832358582</v>
      </c>
      <c r="T106" s="29">
        <f t="shared" si="33"/>
        <v>38786.014832358582</v>
      </c>
      <c r="U106">
        <f t="shared" si="34"/>
        <v>0</v>
      </c>
      <c r="V106" s="29">
        <f t="shared" si="35"/>
        <v>38786.014832358582</v>
      </c>
      <c r="W106" s="29">
        <f t="shared" si="25"/>
        <v>38786.014832358589</v>
      </c>
      <c r="X106" s="29">
        <f t="shared" si="36"/>
        <v>38786.014832358589</v>
      </c>
      <c r="Y106">
        <f t="shared" si="37"/>
        <v>0</v>
      </c>
    </row>
    <row r="107" spans="1:25" x14ac:dyDescent="0.25">
      <c r="A107" s="4" t="s">
        <v>859</v>
      </c>
      <c r="B107" s="7" t="s">
        <v>425</v>
      </c>
      <c r="C107" s="2" t="s">
        <v>860</v>
      </c>
      <c r="D107">
        <f>VLOOKUP(B107,'Model allocations'!$A$1:$L$316,5,FALSE)</f>
        <v>38369.659222968599</v>
      </c>
      <c r="E107" s="31">
        <f>VLOOKUP(B107,'Initial adjusted formula count'!$A$1:$P$316,12,FALSE)</f>
        <v>0.26</v>
      </c>
      <c r="F107">
        <f>VLOOKUP(B107,'Model allocations'!$A$1:$L$316,10,FALSE)</f>
        <v>34556.671364984024</v>
      </c>
      <c r="G107" s="30">
        <f t="shared" si="26"/>
        <v>0.9</v>
      </c>
      <c r="H107">
        <f t="shared" si="27"/>
        <v>34532.693300671737</v>
      </c>
      <c r="I107">
        <f t="shared" si="19"/>
        <v>0</v>
      </c>
      <c r="J107">
        <f t="shared" si="20"/>
        <v>34556.671364984024</v>
      </c>
      <c r="K107">
        <f t="shared" si="21"/>
        <v>34530.285198235753</v>
      </c>
      <c r="L107">
        <f t="shared" si="28"/>
        <v>34530.285198235753</v>
      </c>
      <c r="M107">
        <f t="shared" si="22"/>
        <v>34532.693300671737</v>
      </c>
      <c r="N107" s="29">
        <f t="shared" si="29"/>
        <v>0</v>
      </c>
      <c r="O107" s="29">
        <f t="shared" si="23"/>
        <v>0</v>
      </c>
      <c r="P107" s="29">
        <f t="shared" si="30"/>
        <v>34532.693300671737</v>
      </c>
      <c r="Q107">
        <f t="shared" si="31"/>
        <v>0</v>
      </c>
      <c r="R107" s="29">
        <f t="shared" si="32"/>
        <v>0</v>
      </c>
      <c r="S107" s="29">
        <f t="shared" si="24"/>
        <v>0</v>
      </c>
      <c r="T107" s="29">
        <f t="shared" si="33"/>
        <v>34532.693300671737</v>
      </c>
      <c r="U107">
        <f t="shared" si="34"/>
        <v>0</v>
      </c>
      <c r="V107" s="29">
        <f t="shared" si="35"/>
        <v>0</v>
      </c>
      <c r="W107" s="29">
        <f t="shared" si="25"/>
        <v>0</v>
      </c>
      <c r="X107" s="29">
        <f t="shared" si="36"/>
        <v>34532.693300671737</v>
      </c>
      <c r="Y107">
        <f t="shared" si="37"/>
        <v>0</v>
      </c>
    </row>
    <row r="108" spans="1:25" x14ac:dyDescent="0.25">
      <c r="A108" s="4" t="s">
        <v>861</v>
      </c>
      <c r="B108" s="7" t="s">
        <v>427</v>
      </c>
      <c r="C108" s="2" t="s">
        <v>862</v>
      </c>
      <c r="D108">
        <f>VLOOKUP(B108,'Model allocations'!$A$1:$L$316,5,FALSE)</f>
        <v>0</v>
      </c>
      <c r="E108" s="31">
        <f>VLOOKUP(B108,'Initial adjusted formula count'!$A$1:$P$316,12,FALSE)</f>
        <v>5.4545454545454501E-2</v>
      </c>
      <c r="F108">
        <f>VLOOKUP(B108,'Model allocations'!$A$1:$L$316,10,FALSE)</f>
        <v>0</v>
      </c>
      <c r="G108" s="30">
        <f t="shared" si="26"/>
        <v>0.85</v>
      </c>
      <c r="H108">
        <f t="shared" si="27"/>
        <v>0</v>
      </c>
      <c r="I108">
        <f t="shared" si="19"/>
        <v>0</v>
      </c>
      <c r="J108">
        <f t="shared" si="20"/>
        <v>0</v>
      </c>
      <c r="K108">
        <f t="shared" si="21"/>
        <v>0</v>
      </c>
      <c r="L108">
        <f t="shared" si="28"/>
        <v>0</v>
      </c>
      <c r="M108">
        <f t="shared" si="22"/>
        <v>0</v>
      </c>
      <c r="N108" s="29">
        <f t="shared" si="29"/>
        <v>0</v>
      </c>
      <c r="O108" s="29">
        <f t="shared" si="23"/>
        <v>0</v>
      </c>
      <c r="P108" s="29">
        <f t="shared" si="30"/>
        <v>0</v>
      </c>
      <c r="Q108">
        <f t="shared" si="31"/>
        <v>0</v>
      </c>
      <c r="R108" s="29">
        <f t="shared" si="32"/>
        <v>0</v>
      </c>
      <c r="S108" s="29">
        <f t="shared" si="24"/>
        <v>0</v>
      </c>
      <c r="T108" s="29">
        <f t="shared" si="33"/>
        <v>0</v>
      </c>
      <c r="U108">
        <f t="shared" si="34"/>
        <v>0</v>
      </c>
      <c r="V108" s="29">
        <f t="shared" si="35"/>
        <v>0</v>
      </c>
      <c r="W108" s="29">
        <f t="shared" si="25"/>
        <v>0</v>
      </c>
      <c r="X108" s="29">
        <f t="shared" si="36"/>
        <v>0</v>
      </c>
      <c r="Y108">
        <f t="shared" si="37"/>
        <v>0</v>
      </c>
    </row>
    <row r="109" spans="1:25" x14ac:dyDescent="0.25">
      <c r="A109" s="4" t="s">
        <v>863</v>
      </c>
      <c r="B109" s="7" t="s">
        <v>142</v>
      </c>
      <c r="C109" s="2" t="s">
        <v>864</v>
      </c>
      <c r="D109">
        <f>VLOOKUP(B109,'Model allocations'!$A$1:$L$316,5,FALSE)</f>
        <v>0</v>
      </c>
      <c r="E109" s="31">
        <f>VLOOKUP(B109,'Initial adjusted formula count'!$A$1:$P$316,12,FALSE)</f>
        <v>3.62714508580343E-2</v>
      </c>
      <c r="F109">
        <f>VLOOKUP(B109,'Model allocations'!$A$1:$L$316,10,FALSE)</f>
        <v>0</v>
      </c>
      <c r="G109" s="30">
        <f t="shared" si="26"/>
        <v>0.85</v>
      </c>
      <c r="H109">
        <f t="shared" si="27"/>
        <v>0</v>
      </c>
      <c r="I109">
        <f t="shared" si="19"/>
        <v>0</v>
      </c>
      <c r="J109">
        <f t="shared" si="20"/>
        <v>0</v>
      </c>
      <c r="K109">
        <f t="shared" si="21"/>
        <v>0</v>
      </c>
      <c r="L109">
        <f t="shared" si="28"/>
        <v>0</v>
      </c>
      <c r="M109">
        <f t="shared" si="22"/>
        <v>0</v>
      </c>
      <c r="N109" s="29">
        <f t="shared" si="29"/>
        <v>0</v>
      </c>
      <c r="O109" s="29">
        <f t="shared" si="23"/>
        <v>0</v>
      </c>
      <c r="P109" s="29">
        <f t="shared" si="30"/>
        <v>0</v>
      </c>
      <c r="Q109">
        <f t="shared" si="31"/>
        <v>0</v>
      </c>
      <c r="R109" s="29">
        <f t="shared" si="32"/>
        <v>0</v>
      </c>
      <c r="S109" s="29">
        <f t="shared" si="24"/>
        <v>0</v>
      </c>
      <c r="T109" s="29">
        <f t="shared" si="33"/>
        <v>0</v>
      </c>
      <c r="U109">
        <f t="shared" si="34"/>
        <v>0</v>
      </c>
      <c r="V109" s="29">
        <f t="shared" si="35"/>
        <v>0</v>
      </c>
      <c r="W109" s="29">
        <f t="shared" si="25"/>
        <v>0</v>
      </c>
      <c r="X109" s="29">
        <f t="shared" si="36"/>
        <v>0</v>
      </c>
      <c r="Y109">
        <f t="shared" si="37"/>
        <v>0</v>
      </c>
    </row>
    <row r="110" spans="1:25" x14ac:dyDescent="0.25">
      <c r="A110" s="4" t="s">
        <v>865</v>
      </c>
      <c r="B110" s="7" t="s">
        <v>144</v>
      </c>
      <c r="C110" s="2" t="s">
        <v>866</v>
      </c>
      <c r="D110">
        <f>VLOOKUP(B110,'Model allocations'!$A$1:$L$316,5,FALSE)</f>
        <v>0</v>
      </c>
      <c r="E110" s="31">
        <f>VLOOKUP(B110,'Initial adjusted formula count'!$A$1:$P$316,12,FALSE)</f>
        <v>0.116666666666667</v>
      </c>
      <c r="F110">
        <f>VLOOKUP(B110,'Model allocations'!$A$1:$L$316,10,FALSE)</f>
        <v>0</v>
      </c>
      <c r="G110" s="30">
        <f t="shared" si="26"/>
        <v>0.85</v>
      </c>
      <c r="H110">
        <f t="shared" si="27"/>
        <v>0</v>
      </c>
      <c r="I110">
        <f t="shared" si="19"/>
        <v>0</v>
      </c>
      <c r="J110">
        <f t="shared" si="20"/>
        <v>0</v>
      </c>
      <c r="K110">
        <f t="shared" si="21"/>
        <v>0</v>
      </c>
      <c r="L110">
        <f t="shared" si="28"/>
        <v>0</v>
      </c>
      <c r="M110">
        <f t="shared" si="22"/>
        <v>0</v>
      </c>
      <c r="N110" s="29">
        <f t="shared" si="29"/>
        <v>0</v>
      </c>
      <c r="O110" s="29">
        <f t="shared" si="23"/>
        <v>0</v>
      </c>
      <c r="P110" s="29">
        <f t="shared" si="30"/>
        <v>0</v>
      </c>
      <c r="Q110">
        <f t="shared" si="31"/>
        <v>0</v>
      </c>
      <c r="R110" s="29">
        <f t="shared" si="32"/>
        <v>0</v>
      </c>
      <c r="S110" s="29">
        <f t="shared" si="24"/>
        <v>0</v>
      </c>
      <c r="T110" s="29">
        <f t="shared" si="33"/>
        <v>0</v>
      </c>
      <c r="U110">
        <f t="shared" si="34"/>
        <v>0</v>
      </c>
      <c r="V110" s="29">
        <f t="shared" si="35"/>
        <v>0</v>
      </c>
      <c r="W110" s="29">
        <f t="shared" si="25"/>
        <v>0</v>
      </c>
      <c r="X110" s="29">
        <f t="shared" si="36"/>
        <v>0</v>
      </c>
      <c r="Y110">
        <f t="shared" si="37"/>
        <v>0</v>
      </c>
    </row>
    <row r="111" spans="1:25" x14ac:dyDescent="0.25">
      <c r="A111" s="4" t="s">
        <v>867</v>
      </c>
      <c r="B111" s="7" t="s">
        <v>146</v>
      </c>
      <c r="C111" s="2" t="s">
        <v>868</v>
      </c>
      <c r="D111">
        <f>VLOOKUP(B111,'Model allocations'!$A$1:$L$316,5,FALSE)</f>
        <v>44435.358082151652</v>
      </c>
      <c r="E111" s="31">
        <f>VLOOKUP(B111,'Initial adjusted formula count'!$A$1:$P$316,12,FALSE)</f>
        <v>6.7734887108521505E-2</v>
      </c>
      <c r="F111">
        <f>VLOOKUP(B111,'Model allocations'!$A$1:$L$316,10,FALSE)</f>
        <v>39587.434437676595</v>
      </c>
      <c r="G111" s="30">
        <f t="shared" si="26"/>
        <v>0.85</v>
      </c>
      <c r="H111">
        <f t="shared" si="27"/>
        <v>37770.054369828904</v>
      </c>
      <c r="I111">
        <f t="shared" si="19"/>
        <v>0</v>
      </c>
      <c r="J111">
        <f t="shared" si="20"/>
        <v>39587.434437676595</v>
      </c>
      <c r="K111">
        <f t="shared" si="21"/>
        <v>39557.206970592859</v>
      </c>
      <c r="L111">
        <f t="shared" si="28"/>
        <v>39557.206970592859</v>
      </c>
      <c r="M111">
        <f t="shared" si="22"/>
        <v>0</v>
      </c>
      <c r="N111" s="29">
        <f t="shared" si="29"/>
        <v>39557.206970592859</v>
      </c>
      <c r="O111" s="29">
        <f t="shared" si="23"/>
        <v>39554.960176793007</v>
      </c>
      <c r="P111" s="29">
        <f t="shared" si="30"/>
        <v>39554.960176793007</v>
      </c>
      <c r="Q111">
        <f t="shared" si="31"/>
        <v>0</v>
      </c>
      <c r="R111" s="29">
        <f t="shared" si="32"/>
        <v>39554.960176793007</v>
      </c>
      <c r="S111" s="29">
        <f t="shared" si="24"/>
        <v>39554.946078125031</v>
      </c>
      <c r="T111" s="29">
        <f t="shared" si="33"/>
        <v>39554.946078125031</v>
      </c>
      <c r="U111">
        <f t="shared" si="34"/>
        <v>0</v>
      </c>
      <c r="V111" s="29">
        <f t="shared" si="35"/>
        <v>39554.946078125031</v>
      </c>
      <c r="W111" s="29">
        <f t="shared" si="25"/>
        <v>39554.946078125031</v>
      </c>
      <c r="X111" s="29">
        <f t="shared" si="36"/>
        <v>39554.946078125031</v>
      </c>
      <c r="Y111">
        <f t="shared" si="37"/>
        <v>0</v>
      </c>
    </row>
    <row r="112" spans="1:25" x14ac:dyDescent="0.25">
      <c r="A112" s="4" t="s">
        <v>869</v>
      </c>
      <c r="B112" s="7" t="s">
        <v>429</v>
      </c>
      <c r="C112" s="2" t="s">
        <v>870</v>
      </c>
      <c r="D112">
        <f>VLOOKUP(B112,'Model allocations'!$A$1:$L$316,5,FALSE)</f>
        <v>17921.805084332831</v>
      </c>
      <c r="E112" s="31">
        <f>VLOOKUP(B112,'Initial adjusted formula count'!$A$1:$P$316,12,FALSE)</f>
        <v>0.236363636363636</v>
      </c>
      <c r="F112">
        <f>VLOOKUP(B112,'Model allocations'!$A$1:$L$316,10,FALSE)</f>
        <v>16129.624575899548</v>
      </c>
      <c r="G112" s="30">
        <f t="shared" si="26"/>
        <v>0.9</v>
      </c>
      <c r="H112">
        <f t="shared" si="27"/>
        <v>16129.624575899548</v>
      </c>
      <c r="I112">
        <f t="shared" si="19"/>
        <v>0</v>
      </c>
      <c r="J112">
        <f t="shared" si="20"/>
        <v>16129.624575899548</v>
      </c>
      <c r="K112">
        <f t="shared" si="21"/>
        <v>16117.308604863116</v>
      </c>
      <c r="L112">
        <f t="shared" si="28"/>
        <v>16117.308604863116</v>
      </c>
      <c r="M112">
        <f t="shared" si="22"/>
        <v>16129.624575899548</v>
      </c>
      <c r="N112" s="29">
        <f t="shared" si="29"/>
        <v>0</v>
      </c>
      <c r="O112" s="29">
        <f t="shared" si="23"/>
        <v>0</v>
      </c>
      <c r="P112" s="29">
        <f t="shared" si="30"/>
        <v>16129.624575899548</v>
      </c>
      <c r="Q112">
        <f t="shared" si="31"/>
        <v>0</v>
      </c>
      <c r="R112" s="29">
        <f t="shared" si="32"/>
        <v>0</v>
      </c>
      <c r="S112" s="29">
        <f t="shared" si="24"/>
        <v>0</v>
      </c>
      <c r="T112" s="29">
        <f t="shared" si="33"/>
        <v>16129.624575899548</v>
      </c>
      <c r="U112">
        <f t="shared" si="34"/>
        <v>0</v>
      </c>
      <c r="V112" s="29">
        <f t="shared" si="35"/>
        <v>0</v>
      </c>
      <c r="W112" s="29">
        <f t="shared" si="25"/>
        <v>0</v>
      </c>
      <c r="X112" s="29">
        <f t="shared" si="36"/>
        <v>16129.624575899548</v>
      </c>
      <c r="Y112">
        <f t="shared" si="37"/>
        <v>0</v>
      </c>
    </row>
    <row r="113" spans="1:25" x14ac:dyDescent="0.25">
      <c r="A113" s="8" t="s">
        <v>871</v>
      </c>
      <c r="B113" s="7" t="s">
        <v>431</v>
      </c>
      <c r="C113" s="2" t="s">
        <v>872</v>
      </c>
      <c r="D113">
        <f>VLOOKUP(B113,'Model allocations'!$A$1:$L$316,5,FALSE)</f>
        <v>426747.11818519246</v>
      </c>
      <c r="E113" s="31">
        <f>VLOOKUP(B113,'Initial adjusted formula count'!$A$1:$P$316,12,FALSE)</f>
        <v>0.131621768215513</v>
      </c>
      <c r="F113">
        <f>VLOOKUP(B113,'Model allocations'!$A$1:$L$316,10,FALSE)</f>
        <v>362853.85885154881</v>
      </c>
      <c r="G113" s="30">
        <f t="shared" si="26"/>
        <v>0.85</v>
      </c>
      <c r="H113">
        <f t="shared" si="27"/>
        <v>362735.0504574136</v>
      </c>
      <c r="I113">
        <f t="shared" si="19"/>
        <v>0</v>
      </c>
      <c r="J113">
        <f t="shared" si="20"/>
        <v>362853.85885154881</v>
      </c>
      <c r="K113">
        <f t="shared" si="21"/>
        <v>362576.79737407644</v>
      </c>
      <c r="L113">
        <f t="shared" si="28"/>
        <v>362576.79737407644</v>
      </c>
      <c r="M113">
        <f t="shared" si="22"/>
        <v>362735.0504574136</v>
      </c>
      <c r="N113" s="29">
        <f t="shared" si="29"/>
        <v>0</v>
      </c>
      <c r="O113" s="29">
        <f t="shared" si="23"/>
        <v>0</v>
      </c>
      <c r="P113" s="29">
        <f t="shared" si="30"/>
        <v>362735.0504574136</v>
      </c>
      <c r="Q113">
        <f t="shared" si="31"/>
        <v>0</v>
      </c>
      <c r="R113" s="29">
        <f t="shared" si="32"/>
        <v>0</v>
      </c>
      <c r="S113" s="29">
        <f t="shared" si="24"/>
        <v>0</v>
      </c>
      <c r="T113" s="29">
        <f t="shared" si="33"/>
        <v>362735.0504574136</v>
      </c>
      <c r="U113">
        <f t="shared" si="34"/>
        <v>0</v>
      </c>
      <c r="V113" s="29">
        <f t="shared" si="35"/>
        <v>0</v>
      </c>
      <c r="W113" s="29">
        <f t="shared" si="25"/>
        <v>0</v>
      </c>
      <c r="X113" s="29">
        <f t="shared" si="36"/>
        <v>362735.0504574136</v>
      </c>
      <c r="Y113">
        <f t="shared" si="37"/>
        <v>0</v>
      </c>
    </row>
    <row r="114" spans="1:25" x14ac:dyDescent="0.25">
      <c r="A114" s="4" t="s">
        <v>873</v>
      </c>
      <c r="B114" s="7" t="s">
        <v>433</v>
      </c>
      <c r="C114" s="2" t="s">
        <v>874</v>
      </c>
      <c r="D114">
        <f>VLOOKUP(B114,'Model allocations'!$A$1:$L$316,5,FALSE)</f>
        <v>1913864.4087175792</v>
      </c>
      <c r="E114" s="31">
        <f>VLOOKUP(B114,'Initial adjusted formula count'!$A$1:$P$316,12,FALSE)</f>
        <v>0.120393594443373</v>
      </c>
      <c r="F114">
        <f>VLOOKUP(B114,'Model allocations'!$A$1:$L$316,10,FALSE)</f>
        <v>1627722.698222494</v>
      </c>
      <c r="G114" s="30">
        <f t="shared" si="26"/>
        <v>0.85</v>
      </c>
      <c r="H114">
        <f t="shared" si="27"/>
        <v>1626784.7474099423</v>
      </c>
      <c r="I114">
        <f t="shared" si="19"/>
        <v>0</v>
      </c>
      <c r="J114">
        <f t="shared" si="20"/>
        <v>1627722.698222494</v>
      </c>
      <c r="K114">
        <f t="shared" si="21"/>
        <v>1626479.8307575807</v>
      </c>
      <c r="L114">
        <f t="shared" si="28"/>
        <v>1626479.8307575807</v>
      </c>
      <c r="M114">
        <f t="shared" si="22"/>
        <v>1626784.7474099423</v>
      </c>
      <c r="N114" s="29">
        <f t="shared" si="29"/>
        <v>0</v>
      </c>
      <c r="O114" s="29">
        <f t="shared" si="23"/>
        <v>0</v>
      </c>
      <c r="P114" s="29">
        <f t="shared" si="30"/>
        <v>1626784.7474099423</v>
      </c>
      <c r="Q114">
        <f t="shared" si="31"/>
        <v>0</v>
      </c>
      <c r="R114" s="29">
        <f t="shared" si="32"/>
        <v>0</v>
      </c>
      <c r="S114" s="29">
        <f t="shared" si="24"/>
        <v>0</v>
      </c>
      <c r="T114" s="29">
        <f t="shared" si="33"/>
        <v>1626784.7474099423</v>
      </c>
      <c r="U114">
        <f t="shared" si="34"/>
        <v>0</v>
      </c>
      <c r="V114" s="29">
        <f t="shared" si="35"/>
        <v>0</v>
      </c>
      <c r="W114" s="29">
        <f t="shared" si="25"/>
        <v>0</v>
      </c>
      <c r="X114" s="29">
        <f t="shared" si="36"/>
        <v>1626784.7474099423</v>
      </c>
      <c r="Y114">
        <f t="shared" si="37"/>
        <v>0</v>
      </c>
    </row>
    <row r="115" spans="1:25" x14ac:dyDescent="0.25">
      <c r="A115" s="4" t="s">
        <v>875</v>
      </c>
      <c r="B115" s="7" t="s">
        <v>435</v>
      </c>
      <c r="C115" s="2" t="s">
        <v>876</v>
      </c>
      <c r="D115">
        <f>VLOOKUP(B115,'Model allocations'!$A$1:$L$316,5,FALSE)</f>
        <v>3113619.0769356736</v>
      </c>
      <c r="E115" s="31">
        <f>VLOOKUP(B115,'Initial adjusted formula count'!$A$1:$P$316,12,FALSE)</f>
        <v>0.147822376842036</v>
      </c>
      <c r="F115">
        <f>VLOOKUP(B115,'Model allocations'!$A$1:$L$316,10,FALSE)</f>
        <v>3205943.6824447457</v>
      </c>
      <c r="G115" s="30">
        <f t="shared" si="26"/>
        <v>0.85</v>
      </c>
      <c r="H115">
        <f t="shared" si="27"/>
        <v>2646576.2153953225</v>
      </c>
      <c r="I115">
        <f t="shared" si="19"/>
        <v>0</v>
      </c>
      <c r="J115">
        <f t="shared" si="20"/>
        <v>3205943.6824447457</v>
      </c>
      <c r="K115">
        <f t="shared" si="21"/>
        <v>3203495.7451507547</v>
      </c>
      <c r="L115">
        <f t="shared" si="28"/>
        <v>3203495.7451507547</v>
      </c>
      <c r="M115">
        <f t="shared" si="22"/>
        <v>0</v>
      </c>
      <c r="N115" s="29">
        <f t="shared" si="29"/>
        <v>3203495.7451507547</v>
      </c>
      <c r="O115" s="29">
        <f t="shared" si="23"/>
        <v>3203313.7910915762</v>
      </c>
      <c r="P115" s="29">
        <f t="shared" si="30"/>
        <v>3203313.7910915762</v>
      </c>
      <c r="Q115">
        <f t="shared" si="31"/>
        <v>0</v>
      </c>
      <c r="R115" s="29">
        <f t="shared" si="32"/>
        <v>3203313.7910915762</v>
      </c>
      <c r="S115" s="29">
        <f t="shared" si="24"/>
        <v>3203312.6493268679</v>
      </c>
      <c r="T115" s="29">
        <f t="shared" si="33"/>
        <v>3203312.6493268679</v>
      </c>
      <c r="U115">
        <f t="shared" si="34"/>
        <v>0</v>
      </c>
      <c r="V115" s="29">
        <f t="shared" si="35"/>
        <v>3203312.6493268679</v>
      </c>
      <c r="W115" s="29">
        <f t="shared" si="25"/>
        <v>3203312.6493268684</v>
      </c>
      <c r="X115" s="29">
        <f t="shared" si="36"/>
        <v>3203312.6493268684</v>
      </c>
      <c r="Y115">
        <f t="shared" si="37"/>
        <v>0</v>
      </c>
    </row>
    <row r="116" spans="1:25" x14ac:dyDescent="0.25">
      <c r="A116" s="4" t="s">
        <v>877</v>
      </c>
      <c r="B116" s="7" t="s">
        <v>437</v>
      </c>
      <c r="C116" s="2" t="s">
        <v>878</v>
      </c>
      <c r="D116">
        <f>VLOOKUP(B116,'Model allocations'!$A$1:$L$316,5,FALSE)</f>
        <v>62185.627790080478</v>
      </c>
      <c r="E116" s="31">
        <f>VLOOKUP(B116,'Initial adjusted formula count'!$A$1:$P$316,12,FALSE)</f>
        <v>0.17109458023379401</v>
      </c>
      <c r="F116">
        <f>VLOOKUP(B116,'Model allocations'!$A$1:$L$316,10,FALSE)</f>
        <v>73127.845697864352</v>
      </c>
      <c r="G116" s="30">
        <f t="shared" si="26"/>
        <v>0.9</v>
      </c>
      <c r="H116">
        <f t="shared" si="27"/>
        <v>55967.065011072431</v>
      </c>
      <c r="I116">
        <f t="shared" si="19"/>
        <v>0</v>
      </c>
      <c r="J116">
        <f t="shared" si="20"/>
        <v>73127.845697864352</v>
      </c>
      <c r="K116">
        <f t="shared" si="21"/>
        <v>73072.008041796566</v>
      </c>
      <c r="L116">
        <f t="shared" si="28"/>
        <v>73072.008041796566</v>
      </c>
      <c r="M116">
        <f t="shared" si="22"/>
        <v>0</v>
      </c>
      <c r="N116" s="29">
        <f t="shared" si="29"/>
        <v>73072.008041796566</v>
      </c>
      <c r="O116" s="29">
        <f t="shared" si="23"/>
        <v>73067.857654365696</v>
      </c>
      <c r="P116" s="29">
        <f t="shared" si="30"/>
        <v>73067.857654365696</v>
      </c>
      <c r="Q116">
        <f t="shared" si="31"/>
        <v>0</v>
      </c>
      <c r="R116" s="29">
        <f t="shared" si="32"/>
        <v>73067.857654365696</v>
      </c>
      <c r="S116" s="29">
        <f t="shared" si="24"/>
        <v>73067.831610616427</v>
      </c>
      <c r="T116" s="29">
        <f t="shared" si="33"/>
        <v>73067.831610616427</v>
      </c>
      <c r="U116">
        <f t="shared" si="34"/>
        <v>0</v>
      </c>
      <c r="V116" s="29">
        <f t="shared" si="35"/>
        <v>73067.831610616427</v>
      </c>
      <c r="W116" s="29">
        <f t="shared" si="25"/>
        <v>73067.831610616427</v>
      </c>
      <c r="X116" s="29">
        <f t="shared" si="36"/>
        <v>73067.831610616427</v>
      </c>
      <c r="Y116">
        <f t="shared" si="37"/>
        <v>0</v>
      </c>
    </row>
    <row r="117" spans="1:25" x14ac:dyDescent="0.25">
      <c r="A117" s="8" t="s">
        <v>879</v>
      </c>
      <c r="B117" s="7" t="s">
        <v>439</v>
      </c>
      <c r="C117" s="2" t="s">
        <v>880</v>
      </c>
      <c r="D117">
        <f>VLOOKUP(B117,'Model allocations'!$A$1:$L$316,5,FALSE)</f>
        <v>87456.509791179604</v>
      </c>
      <c r="E117" s="31">
        <f>VLOOKUP(B117,'Initial adjusted formula count'!$A$1:$P$316,12,FALSE)</f>
        <v>9.1012514220705401E-2</v>
      </c>
      <c r="F117">
        <f>VLOOKUP(B117,'Model allocations'!$A$1:$L$316,10,FALSE)</f>
        <v>74455.259718350033</v>
      </c>
      <c r="G117" s="30">
        <f t="shared" si="26"/>
        <v>0.85</v>
      </c>
      <c r="H117">
        <f t="shared" si="27"/>
        <v>74338.033322502655</v>
      </c>
      <c r="I117">
        <f t="shared" si="19"/>
        <v>0</v>
      </c>
      <c r="J117">
        <f t="shared" si="20"/>
        <v>74455.259718350033</v>
      </c>
      <c r="K117">
        <f t="shared" si="21"/>
        <v>74398.408499161</v>
      </c>
      <c r="L117">
        <f t="shared" si="28"/>
        <v>74398.408499161</v>
      </c>
      <c r="M117">
        <f t="shared" si="22"/>
        <v>0</v>
      </c>
      <c r="N117" s="29">
        <f t="shared" si="29"/>
        <v>74398.408499161</v>
      </c>
      <c r="O117" s="29">
        <f t="shared" si="23"/>
        <v>74394.182774047018</v>
      </c>
      <c r="P117" s="29">
        <f t="shared" si="30"/>
        <v>74394.182774047018</v>
      </c>
      <c r="Q117">
        <f t="shared" si="31"/>
        <v>0</v>
      </c>
      <c r="R117" s="29">
        <f t="shared" si="32"/>
        <v>74394.182774047018</v>
      </c>
      <c r="S117" s="29">
        <f t="shared" si="24"/>
        <v>74394.15625755256</v>
      </c>
      <c r="T117" s="29">
        <f t="shared" si="33"/>
        <v>74394.15625755256</v>
      </c>
      <c r="U117">
        <f t="shared" si="34"/>
        <v>0</v>
      </c>
      <c r="V117" s="29">
        <f t="shared" si="35"/>
        <v>74394.15625755256</v>
      </c>
      <c r="W117" s="29">
        <f t="shared" si="25"/>
        <v>74394.156257552575</v>
      </c>
      <c r="X117" s="29">
        <f t="shared" si="36"/>
        <v>74394.156257552575</v>
      </c>
      <c r="Y117">
        <f t="shared" si="37"/>
        <v>0</v>
      </c>
    </row>
    <row r="118" spans="1:25" x14ac:dyDescent="0.25">
      <c r="A118" s="4" t="s">
        <v>881</v>
      </c>
      <c r="B118" s="7" t="s">
        <v>277</v>
      </c>
      <c r="C118" s="2" t="s">
        <v>882</v>
      </c>
      <c r="D118">
        <f>VLOOKUP(B118,'Model allocations'!$A$1:$L$316,5,FALSE)</f>
        <v>29763.305885214799</v>
      </c>
      <c r="E118" s="31">
        <f>VLOOKUP(B118,'Initial adjusted formula count'!$A$1:$P$316,12,FALSE)</f>
        <v>8.4099868593955296E-2</v>
      </c>
      <c r="F118">
        <f>VLOOKUP(B118,'Model allocations'!$A$1:$L$316,10,FALSE)</f>
        <v>27242.965634530141</v>
      </c>
      <c r="G118" s="30">
        <f t="shared" si="26"/>
        <v>0.85</v>
      </c>
      <c r="H118">
        <f t="shared" si="27"/>
        <v>25298.810002432579</v>
      </c>
      <c r="I118">
        <f t="shared" si="19"/>
        <v>0</v>
      </c>
      <c r="J118">
        <f t="shared" si="20"/>
        <v>27242.965634530141</v>
      </c>
      <c r="K118">
        <f t="shared" si="21"/>
        <v>27222.163936752084</v>
      </c>
      <c r="L118">
        <f t="shared" si="28"/>
        <v>27222.163936752084</v>
      </c>
      <c r="M118">
        <f t="shared" si="22"/>
        <v>0</v>
      </c>
      <c r="N118" s="29">
        <f t="shared" si="29"/>
        <v>27222.163936752084</v>
      </c>
      <c r="O118" s="29">
        <f t="shared" si="23"/>
        <v>27220.617756072614</v>
      </c>
      <c r="P118" s="29">
        <f t="shared" si="30"/>
        <v>27220.617756072614</v>
      </c>
      <c r="Q118">
        <f t="shared" si="31"/>
        <v>0</v>
      </c>
      <c r="R118" s="29">
        <f t="shared" si="32"/>
        <v>27220.617756072614</v>
      </c>
      <c r="S118" s="29">
        <f t="shared" si="24"/>
        <v>27220.60805376347</v>
      </c>
      <c r="T118" s="29">
        <f t="shared" si="33"/>
        <v>27220.60805376347</v>
      </c>
      <c r="U118">
        <f t="shared" si="34"/>
        <v>0</v>
      </c>
      <c r="V118" s="29">
        <f t="shared" si="35"/>
        <v>27220.60805376347</v>
      </c>
      <c r="W118" s="29">
        <f t="shared" si="25"/>
        <v>27220.608053763473</v>
      </c>
      <c r="X118" s="29">
        <f t="shared" si="36"/>
        <v>27220.608053763473</v>
      </c>
      <c r="Y118">
        <f t="shared" si="37"/>
        <v>0</v>
      </c>
    </row>
    <row r="119" spans="1:25" x14ac:dyDescent="0.25">
      <c r="A119" s="4" t="s">
        <v>883</v>
      </c>
      <c r="B119" s="7" t="s">
        <v>440</v>
      </c>
      <c r="C119" s="2" t="s">
        <v>884</v>
      </c>
      <c r="D119">
        <f>VLOOKUP(B119,'Model allocations'!$A$1:$L$316,5,FALSE)</f>
        <v>0</v>
      </c>
      <c r="E119" s="31">
        <f>VLOOKUP(B119,'Initial adjusted formula count'!$A$1:$P$316,12,FALSE)</f>
        <v>0.17073170731707299</v>
      </c>
      <c r="F119">
        <f>VLOOKUP(B119,'Model allocations'!$A$1:$L$316,10,FALSE)</f>
        <v>6350.2927222751705</v>
      </c>
      <c r="G119" s="30">
        <f t="shared" si="26"/>
        <v>0.9</v>
      </c>
      <c r="H119">
        <f t="shared" si="27"/>
        <v>0</v>
      </c>
      <c r="I119">
        <f t="shared" si="19"/>
        <v>0</v>
      </c>
      <c r="J119">
        <f t="shared" si="20"/>
        <v>6350.2927222751705</v>
      </c>
      <c r="K119">
        <f t="shared" si="21"/>
        <v>6345.4438790257582</v>
      </c>
      <c r="L119">
        <f t="shared" si="28"/>
        <v>6345.4438790257582</v>
      </c>
      <c r="M119">
        <f t="shared" si="22"/>
        <v>0</v>
      </c>
      <c r="N119" s="29">
        <f t="shared" si="29"/>
        <v>6345.4438790257582</v>
      </c>
      <c r="O119" s="29">
        <f t="shared" si="23"/>
        <v>6345.0834667252811</v>
      </c>
      <c r="P119" s="29">
        <f t="shared" si="30"/>
        <v>6345.0834667252811</v>
      </c>
      <c r="Q119">
        <f t="shared" si="31"/>
        <v>0</v>
      </c>
      <c r="R119" s="29">
        <f t="shared" si="32"/>
        <v>6345.0834667252811</v>
      </c>
      <c r="S119" s="29">
        <f t="shared" si="24"/>
        <v>6345.0812051321791</v>
      </c>
      <c r="T119" s="29">
        <f t="shared" si="33"/>
        <v>6345.0812051321791</v>
      </c>
      <c r="U119">
        <f t="shared" si="34"/>
        <v>0</v>
      </c>
      <c r="V119" s="29">
        <f t="shared" si="35"/>
        <v>6345.0812051321791</v>
      </c>
      <c r="W119" s="29">
        <f t="shared" si="25"/>
        <v>6345.08120513218</v>
      </c>
      <c r="X119" s="29">
        <f t="shared" si="36"/>
        <v>6345.08120513218</v>
      </c>
      <c r="Y119">
        <f t="shared" si="37"/>
        <v>0</v>
      </c>
    </row>
    <row r="120" spans="1:25" x14ac:dyDescent="0.25">
      <c r="A120" s="4" t="s">
        <v>885</v>
      </c>
      <c r="B120" s="7" t="s">
        <v>148</v>
      </c>
      <c r="C120" s="2" t="s">
        <v>886</v>
      </c>
      <c r="D120">
        <f>VLOOKUP(B120,'Model allocations'!$A$1:$L$316,5,FALSE)</f>
        <v>0</v>
      </c>
      <c r="E120" s="31">
        <f>VLOOKUP(B120,'Initial adjusted formula count'!$A$1:$P$316,12,FALSE)</f>
        <v>6.1658031088082897E-2</v>
      </c>
      <c r="F120">
        <f>VLOOKUP(B120,'Model allocations'!$A$1:$L$316,10,FALSE)</f>
        <v>50654.889226704465</v>
      </c>
      <c r="G120" s="30">
        <f t="shared" si="26"/>
        <v>0.85</v>
      </c>
      <c r="H120">
        <f t="shared" si="27"/>
        <v>0</v>
      </c>
      <c r="I120">
        <f t="shared" si="19"/>
        <v>0</v>
      </c>
      <c r="J120">
        <f t="shared" si="20"/>
        <v>50654.889226704465</v>
      </c>
      <c r="K120">
        <f t="shared" si="21"/>
        <v>50616.211069898389</v>
      </c>
      <c r="L120">
        <f t="shared" si="28"/>
        <v>50616.211069898389</v>
      </c>
      <c r="M120">
        <f t="shared" si="22"/>
        <v>0</v>
      </c>
      <c r="N120" s="29">
        <f t="shared" si="29"/>
        <v>50616.211069898389</v>
      </c>
      <c r="O120" s="29">
        <f t="shared" si="23"/>
        <v>50613.336140197498</v>
      </c>
      <c r="P120" s="29">
        <f t="shared" si="30"/>
        <v>50613.336140197498</v>
      </c>
      <c r="Q120">
        <f t="shared" si="31"/>
        <v>0</v>
      </c>
      <c r="R120" s="29">
        <f t="shared" si="32"/>
        <v>50613.336140197498</v>
      </c>
      <c r="S120" s="29">
        <f t="shared" si="24"/>
        <v>50613.318099966433</v>
      </c>
      <c r="T120" s="29">
        <f t="shared" si="33"/>
        <v>50613.318099966433</v>
      </c>
      <c r="U120">
        <f t="shared" si="34"/>
        <v>0</v>
      </c>
      <c r="V120" s="29">
        <f t="shared" si="35"/>
        <v>50613.318099966433</v>
      </c>
      <c r="W120" s="29">
        <f t="shared" si="25"/>
        <v>50613.31809996644</v>
      </c>
      <c r="X120" s="29">
        <f t="shared" si="36"/>
        <v>50613.31809996644</v>
      </c>
      <c r="Y120">
        <f t="shared" si="37"/>
        <v>0</v>
      </c>
    </row>
    <row r="121" spans="1:25" x14ac:dyDescent="0.25">
      <c r="A121" s="4" t="s">
        <v>887</v>
      </c>
      <c r="B121" s="7" t="s">
        <v>279</v>
      </c>
      <c r="C121" s="2" t="s">
        <v>888</v>
      </c>
      <c r="D121">
        <f>VLOOKUP(B121,'Model allocations'!$A$1:$L$316,5,FALSE)</f>
        <v>51773.721280946986</v>
      </c>
      <c r="E121" s="31">
        <f>VLOOKUP(B121,'Initial adjusted formula count'!$A$1:$P$316,12,FALSE)</f>
        <v>0.109401709401709</v>
      </c>
      <c r="F121">
        <f>VLOOKUP(B121,'Model allocations'!$A$1:$L$316,10,FALSE)</f>
        <v>44007.663088804933</v>
      </c>
      <c r="G121" s="30">
        <f t="shared" si="26"/>
        <v>0.85</v>
      </c>
      <c r="H121">
        <f t="shared" si="27"/>
        <v>44007.663088804933</v>
      </c>
      <c r="I121">
        <f t="shared" si="19"/>
        <v>0</v>
      </c>
      <c r="J121">
        <f t="shared" si="20"/>
        <v>44007.663088804933</v>
      </c>
      <c r="K121">
        <f t="shared" si="21"/>
        <v>43974.060502369503</v>
      </c>
      <c r="L121">
        <f t="shared" si="28"/>
        <v>43974.060502369503</v>
      </c>
      <c r="M121">
        <f t="shared" si="22"/>
        <v>44007.663088804933</v>
      </c>
      <c r="N121" s="29">
        <f t="shared" si="29"/>
        <v>0</v>
      </c>
      <c r="O121" s="29">
        <f t="shared" si="23"/>
        <v>0</v>
      </c>
      <c r="P121" s="29">
        <f t="shared" si="30"/>
        <v>44007.663088804933</v>
      </c>
      <c r="Q121">
        <f t="shared" si="31"/>
        <v>0</v>
      </c>
      <c r="R121" s="29">
        <f t="shared" si="32"/>
        <v>0</v>
      </c>
      <c r="S121" s="29">
        <f t="shared" si="24"/>
        <v>0</v>
      </c>
      <c r="T121" s="29">
        <f t="shared" si="33"/>
        <v>44007.663088804933</v>
      </c>
      <c r="U121">
        <f t="shared" si="34"/>
        <v>0</v>
      </c>
      <c r="V121" s="29">
        <f t="shared" si="35"/>
        <v>0</v>
      </c>
      <c r="W121" s="29">
        <f t="shared" si="25"/>
        <v>0</v>
      </c>
      <c r="X121" s="29">
        <f t="shared" si="36"/>
        <v>44007.663088804933</v>
      </c>
      <c r="Y121">
        <f t="shared" si="37"/>
        <v>0</v>
      </c>
    </row>
    <row r="122" spans="1:25" x14ac:dyDescent="0.25">
      <c r="A122" s="4" t="s">
        <v>889</v>
      </c>
      <c r="B122" s="7" t="s">
        <v>442</v>
      </c>
      <c r="C122" s="2" t="s">
        <v>890</v>
      </c>
      <c r="D122">
        <f>VLOOKUP(B122,'Model allocations'!$A$1:$L$316,5,FALSE)</f>
        <v>8062.7118837081507</v>
      </c>
      <c r="E122" s="31">
        <f>VLOOKUP(B122,'Initial adjusted formula count'!$A$1:$P$316,12,FALSE)</f>
        <v>0.14444444444444399</v>
      </c>
      <c r="F122">
        <f>VLOOKUP(B122,'Model allocations'!$A$1:$L$316,10,FALSE)</f>
        <v>6858.063750847632</v>
      </c>
      <c r="G122" s="30">
        <f t="shared" si="26"/>
        <v>0.85</v>
      </c>
      <c r="H122">
        <f t="shared" si="27"/>
        <v>6853.3051011519283</v>
      </c>
      <c r="I122">
        <f t="shared" si="19"/>
        <v>0</v>
      </c>
      <c r="J122">
        <f t="shared" si="20"/>
        <v>6858.063750847632</v>
      </c>
      <c r="K122">
        <f t="shared" si="21"/>
        <v>6852.8271928531167</v>
      </c>
      <c r="L122">
        <f t="shared" si="28"/>
        <v>6852.8271928531167</v>
      </c>
      <c r="M122">
        <f t="shared" si="22"/>
        <v>6853.3051011519283</v>
      </c>
      <c r="N122" s="29">
        <f t="shared" si="29"/>
        <v>0</v>
      </c>
      <c r="O122" s="29">
        <f t="shared" si="23"/>
        <v>0</v>
      </c>
      <c r="P122" s="29">
        <f t="shared" si="30"/>
        <v>6853.3051011519283</v>
      </c>
      <c r="Q122">
        <f t="shared" si="31"/>
        <v>0</v>
      </c>
      <c r="R122" s="29">
        <f t="shared" si="32"/>
        <v>0</v>
      </c>
      <c r="S122" s="29">
        <f t="shared" si="24"/>
        <v>0</v>
      </c>
      <c r="T122" s="29">
        <f t="shared" si="33"/>
        <v>6853.3051011519283</v>
      </c>
      <c r="U122">
        <f t="shared" si="34"/>
        <v>0</v>
      </c>
      <c r="V122" s="29">
        <f t="shared" si="35"/>
        <v>0</v>
      </c>
      <c r="W122" s="29">
        <f t="shared" si="25"/>
        <v>0</v>
      </c>
      <c r="X122" s="29">
        <f t="shared" si="36"/>
        <v>6853.3051011519283</v>
      </c>
      <c r="Y122">
        <f t="shared" si="37"/>
        <v>0</v>
      </c>
    </row>
    <row r="123" spans="1:25" x14ac:dyDescent="0.25">
      <c r="A123" s="8" t="s">
        <v>891</v>
      </c>
      <c r="B123" s="7" t="s">
        <v>281</v>
      </c>
      <c r="C123" s="2" t="s">
        <v>892</v>
      </c>
      <c r="D123">
        <f>VLOOKUP(B123,'Model allocations'!$A$1:$L$316,5,FALSE)</f>
        <v>70006.649053955858</v>
      </c>
      <c r="E123" s="31">
        <f>VLOOKUP(B123,'Initial adjusted formula count'!$A$1:$P$316,12,FALSE)</f>
        <v>8.6029992107340206E-2</v>
      </c>
      <c r="F123">
        <f>VLOOKUP(B123,'Model allocations'!$A$1:$L$316,10,FALSE)</f>
        <v>59546.969942628974</v>
      </c>
      <c r="G123" s="30">
        <f t="shared" si="26"/>
        <v>0.85</v>
      </c>
      <c r="H123">
        <f t="shared" si="27"/>
        <v>59505.651695862478</v>
      </c>
      <c r="I123">
        <f t="shared" si="19"/>
        <v>0</v>
      </c>
      <c r="J123">
        <f t="shared" si="20"/>
        <v>59546.969942628974</v>
      </c>
      <c r="K123">
        <f t="shared" si="21"/>
        <v>59501.502129434084</v>
      </c>
      <c r="L123">
        <f t="shared" si="28"/>
        <v>59501.502129434084</v>
      </c>
      <c r="M123">
        <f t="shared" si="22"/>
        <v>59505.651695862478</v>
      </c>
      <c r="N123" s="29">
        <f t="shared" si="29"/>
        <v>0</v>
      </c>
      <c r="O123" s="29">
        <f t="shared" si="23"/>
        <v>0</v>
      </c>
      <c r="P123" s="29">
        <f t="shared" si="30"/>
        <v>59505.651695862478</v>
      </c>
      <c r="Q123">
        <f t="shared" si="31"/>
        <v>0</v>
      </c>
      <c r="R123" s="29">
        <f t="shared" si="32"/>
        <v>0</v>
      </c>
      <c r="S123" s="29">
        <f t="shared" si="24"/>
        <v>0</v>
      </c>
      <c r="T123" s="29">
        <f t="shared" si="33"/>
        <v>59505.651695862478</v>
      </c>
      <c r="U123">
        <f t="shared" si="34"/>
        <v>0</v>
      </c>
      <c r="V123" s="29">
        <f t="shared" si="35"/>
        <v>0</v>
      </c>
      <c r="W123" s="29">
        <f t="shared" si="25"/>
        <v>0</v>
      </c>
      <c r="X123" s="29">
        <f t="shared" si="36"/>
        <v>59505.651695862478</v>
      </c>
      <c r="Y123">
        <f t="shared" si="37"/>
        <v>0</v>
      </c>
    </row>
    <row r="124" spans="1:25" x14ac:dyDescent="0.25">
      <c r="A124" s="4" t="s">
        <v>893</v>
      </c>
      <c r="B124" s="7" t="s">
        <v>150</v>
      </c>
      <c r="C124" s="2" t="s">
        <v>894</v>
      </c>
      <c r="D124">
        <f>VLOOKUP(B124,'Model allocations'!$A$1:$L$316,5,FALSE)</f>
        <v>284637.81262057513</v>
      </c>
      <c r="E124" s="31">
        <f>VLOOKUP(B124,'Initial adjusted formula count'!$A$1:$P$316,12,FALSE)</f>
        <v>6.4187566061304893E-2</v>
      </c>
      <c r="F124">
        <f>VLOOKUP(B124,'Model allocations'!$A$1:$L$316,10,FALSE)</f>
        <v>284348.45381040836</v>
      </c>
      <c r="G124" s="30">
        <f t="shared" si="26"/>
        <v>0.85</v>
      </c>
      <c r="H124">
        <f t="shared" si="27"/>
        <v>241942.14072748885</v>
      </c>
      <c r="I124">
        <f t="shared" si="19"/>
        <v>0</v>
      </c>
      <c r="J124">
        <f t="shared" si="20"/>
        <v>284348.45381040836</v>
      </c>
      <c r="K124">
        <f t="shared" si="21"/>
        <v>284131.33608984988</v>
      </c>
      <c r="L124">
        <f t="shared" si="28"/>
        <v>284131.33608984988</v>
      </c>
      <c r="M124">
        <f t="shared" si="22"/>
        <v>0</v>
      </c>
      <c r="N124" s="29">
        <f t="shared" si="29"/>
        <v>284131.33608984988</v>
      </c>
      <c r="O124" s="29">
        <f t="shared" si="23"/>
        <v>284115.19782900793</v>
      </c>
      <c r="P124" s="29">
        <f t="shared" si="30"/>
        <v>284115.19782900793</v>
      </c>
      <c r="Q124">
        <f t="shared" si="31"/>
        <v>0</v>
      </c>
      <c r="R124" s="29">
        <f t="shared" si="32"/>
        <v>284115.19782900793</v>
      </c>
      <c r="S124" s="29">
        <f t="shared" si="24"/>
        <v>284115.09656115627</v>
      </c>
      <c r="T124" s="29">
        <f t="shared" si="33"/>
        <v>284115.09656115627</v>
      </c>
      <c r="U124">
        <f t="shared" si="34"/>
        <v>0</v>
      </c>
      <c r="V124" s="29">
        <f t="shared" si="35"/>
        <v>284115.09656115627</v>
      </c>
      <c r="W124" s="29">
        <f t="shared" si="25"/>
        <v>284115.09656115633</v>
      </c>
      <c r="X124" s="29">
        <f t="shared" si="36"/>
        <v>284115.09656115633</v>
      </c>
      <c r="Y124">
        <f t="shared" si="37"/>
        <v>0</v>
      </c>
    </row>
    <row r="125" spans="1:25" x14ac:dyDescent="0.25">
      <c r="A125" s="4" t="s">
        <v>895</v>
      </c>
      <c r="B125" s="7" t="s">
        <v>152</v>
      </c>
      <c r="C125" s="2" t="s">
        <v>896</v>
      </c>
      <c r="D125">
        <f>VLOOKUP(B125,'Model allocations'!$A$1:$L$316,5,FALSE)</f>
        <v>0</v>
      </c>
      <c r="E125" s="31">
        <f>VLOOKUP(B125,'Initial adjusted formula count'!$A$1:$P$316,12,FALSE)</f>
        <v>4.1104599734630702E-2</v>
      </c>
      <c r="F125">
        <f>VLOOKUP(B125,'Model allocations'!$A$1:$L$316,10,FALSE)</f>
        <v>0</v>
      </c>
      <c r="G125" s="30">
        <f t="shared" si="26"/>
        <v>0.85</v>
      </c>
      <c r="H125">
        <f t="shared" si="27"/>
        <v>0</v>
      </c>
      <c r="I125">
        <f t="shared" si="19"/>
        <v>0</v>
      </c>
      <c r="J125">
        <f t="shared" si="20"/>
        <v>0</v>
      </c>
      <c r="K125">
        <f t="shared" si="21"/>
        <v>0</v>
      </c>
      <c r="L125">
        <f t="shared" si="28"/>
        <v>0</v>
      </c>
      <c r="M125">
        <f t="shared" si="22"/>
        <v>0</v>
      </c>
      <c r="N125" s="29">
        <f t="shared" si="29"/>
        <v>0</v>
      </c>
      <c r="O125" s="29">
        <f t="shared" si="23"/>
        <v>0</v>
      </c>
      <c r="P125" s="29">
        <f t="shared" si="30"/>
        <v>0</v>
      </c>
      <c r="Q125">
        <f t="shared" si="31"/>
        <v>0</v>
      </c>
      <c r="R125" s="29">
        <f t="shared" si="32"/>
        <v>0</v>
      </c>
      <c r="S125" s="29">
        <f t="shared" si="24"/>
        <v>0</v>
      </c>
      <c r="T125" s="29">
        <f t="shared" si="33"/>
        <v>0</v>
      </c>
      <c r="U125">
        <f t="shared" si="34"/>
        <v>0</v>
      </c>
      <c r="V125" s="29">
        <f t="shared" si="35"/>
        <v>0</v>
      </c>
      <c r="W125" s="29">
        <f t="shared" si="25"/>
        <v>0</v>
      </c>
      <c r="X125" s="29">
        <f t="shared" si="36"/>
        <v>0</v>
      </c>
      <c r="Y125">
        <f t="shared" si="37"/>
        <v>0</v>
      </c>
    </row>
    <row r="126" spans="1:25" x14ac:dyDescent="0.25">
      <c r="A126" s="4" t="s">
        <v>897</v>
      </c>
      <c r="B126" s="7" t="s">
        <v>154</v>
      </c>
      <c r="C126" s="2" t="s">
        <v>898</v>
      </c>
      <c r="D126">
        <f>VLOOKUP(B126,'Model allocations'!$A$1:$L$316,5,FALSE)</f>
        <v>141270.90258193499</v>
      </c>
      <c r="E126" s="31">
        <f>VLOOKUP(B126,'Initial adjusted formula count'!$A$1:$P$316,12,FALSE)</f>
        <v>0.110033569563596</v>
      </c>
      <c r="F126">
        <f>VLOOKUP(B126,'Model allocations'!$A$1:$L$316,10,FALSE)</f>
        <v>125573.04472166231</v>
      </c>
      <c r="G126" s="30">
        <f t="shared" si="26"/>
        <v>0.85</v>
      </c>
      <c r="H126">
        <f t="shared" si="27"/>
        <v>120080.26719464474</v>
      </c>
      <c r="I126">
        <f t="shared" si="19"/>
        <v>0</v>
      </c>
      <c r="J126">
        <f t="shared" si="20"/>
        <v>125573.04472166231</v>
      </c>
      <c r="K126">
        <f t="shared" si="21"/>
        <v>125477.16189596658</v>
      </c>
      <c r="L126">
        <f t="shared" si="28"/>
        <v>125477.16189596658</v>
      </c>
      <c r="M126">
        <f t="shared" si="22"/>
        <v>0</v>
      </c>
      <c r="N126" s="29">
        <f t="shared" si="29"/>
        <v>125477.16189596658</v>
      </c>
      <c r="O126" s="29">
        <f t="shared" si="23"/>
        <v>125470.03496939715</v>
      </c>
      <c r="P126" s="29">
        <f t="shared" si="30"/>
        <v>125470.03496939715</v>
      </c>
      <c r="Q126">
        <f t="shared" si="31"/>
        <v>0</v>
      </c>
      <c r="R126" s="29">
        <f t="shared" si="32"/>
        <v>125470.03496939715</v>
      </c>
      <c r="S126" s="29">
        <f t="shared" si="24"/>
        <v>125469.99024781595</v>
      </c>
      <c r="T126" s="29">
        <f t="shared" si="33"/>
        <v>125469.99024781595</v>
      </c>
      <c r="U126">
        <f t="shared" si="34"/>
        <v>0</v>
      </c>
      <c r="V126" s="29">
        <f t="shared" si="35"/>
        <v>125469.99024781595</v>
      </c>
      <c r="W126" s="29">
        <f t="shared" si="25"/>
        <v>125469.99024781596</v>
      </c>
      <c r="X126" s="29">
        <f t="shared" si="36"/>
        <v>125469.99024781596</v>
      </c>
      <c r="Y126">
        <f t="shared" si="37"/>
        <v>0</v>
      </c>
    </row>
    <row r="127" spans="1:25" x14ac:dyDescent="0.25">
      <c r="A127" s="4" t="s">
        <v>899</v>
      </c>
      <c r="B127" s="7" t="s">
        <v>156</v>
      </c>
      <c r="C127" s="2" t="s">
        <v>900</v>
      </c>
      <c r="D127">
        <f>VLOOKUP(B127,'Model allocations'!$A$1:$L$316,5,FALSE)</f>
        <v>7651.0560192112389</v>
      </c>
      <c r="E127" s="31">
        <f>VLOOKUP(B127,'Initial adjusted formula count'!$A$1:$P$316,12,FALSE)</f>
        <v>0.25</v>
      </c>
      <c r="F127">
        <f>VLOOKUP(B127,'Model allocations'!$A$1:$L$316,10,FALSE)</f>
        <v>0</v>
      </c>
      <c r="G127" s="30">
        <f t="shared" si="26"/>
        <v>0.9</v>
      </c>
      <c r="H127">
        <f t="shared" si="27"/>
        <v>0</v>
      </c>
      <c r="I127">
        <f t="shared" si="19"/>
        <v>0</v>
      </c>
      <c r="J127">
        <f t="shared" si="20"/>
        <v>0</v>
      </c>
      <c r="K127">
        <f t="shared" si="21"/>
        <v>0</v>
      </c>
      <c r="L127">
        <f t="shared" si="28"/>
        <v>0</v>
      </c>
      <c r="M127">
        <f t="shared" si="22"/>
        <v>0</v>
      </c>
      <c r="N127" s="29">
        <f t="shared" si="29"/>
        <v>0</v>
      </c>
      <c r="O127" s="29">
        <f t="shared" si="23"/>
        <v>0</v>
      </c>
      <c r="P127" s="29">
        <f t="shared" si="30"/>
        <v>0</v>
      </c>
      <c r="Q127">
        <f t="shared" si="31"/>
        <v>0</v>
      </c>
      <c r="R127" s="29">
        <f t="shared" si="32"/>
        <v>0</v>
      </c>
      <c r="S127" s="29">
        <f t="shared" si="24"/>
        <v>0</v>
      </c>
      <c r="T127" s="29">
        <f t="shared" si="33"/>
        <v>0</v>
      </c>
      <c r="U127">
        <f t="shared" si="34"/>
        <v>0</v>
      </c>
      <c r="V127" s="29">
        <f t="shared" si="35"/>
        <v>0</v>
      </c>
      <c r="W127" s="29">
        <f t="shared" si="25"/>
        <v>0</v>
      </c>
      <c r="X127" s="29">
        <f t="shared" si="36"/>
        <v>0</v>
      </c>
      <c r="Y127">
        <f t="shared" si="37"/>
        <v>0</v>
      </c>
    </row>
    <row r="128" spans="1:25" x14ac:dyDescent="0.25">
      <c r="A128" s="4" t="s">
        <v>901</v>
      </c>
      <c r="B128" s="7" t="s">
        <v>158</v>
      </c>
      <c r="C128" s="2" t="s">
        <v>902</v>
      </c>
      <c r="D128">
        <f>VLOOKUP(B128,'Model allocations'!$A$1:$L$316,5,FALSE)</f>
        <v>0</v>
      </c>
      <c r="E128" s="31">
        <f>VLOOKUP(B128,'Initial adjusted formula count'!$A$1:$P$316,12,FALSE)</f>
        <v>4.57831325301205E-2</v>
      </c>
      <c r="F128">
        <f>VLOOKUP(B128,'Model allocations'!$A$1:$L$316,10,FALSE)</f>
        <v>0</v>
      </c>
      <c r="G128" s="30">
        <f t="shared" si="26"/>
        <v>0.85</v>
      </c>
      <c r="H128">
        <f t="shared" si="27"/>
        <v>0</v>
      </c>
      <c r="I128">
        <f t="shared" si="19"/>
        <v>0</v>
      </c>
      <c r="J128">
        <f t="shared" si="20"/>
        <v>0</v>
      </c>
      <c r="K128">
        <f t="shared" si="21"/>
        <v>0</v>
      </c>
      <c r="L128">
        <f t="shared" si="28"/>
        <v>0</v>
      </c>
      <c r="M128">
        <f t="shared" si="22"/>
        <v>0</v>
      </c>
      <c r="N128" s="29">
        <f t="shared" si="29"/>
        <v>0</v>
      </c>
      <c r="O128" s="29">
        <f t="shared" si="23"/>
        <v>0</v>
      </c>
      <c r="P128" s="29">
        <f t="shared" si="30"/>
        <v>0</v>
      </c>
      <c r="Q128">
        <f t="shared" si="31"/>
        <v>0</v>
      </c>
      <c r="R128" s="29">
        <f t="shared" si="32"/>
        <v>0</v>
      </c>
      <c r="S128" s="29">
        <f t="shared" si="24"/>
        <v>0</v>
      </c>
      <c r="T128" s="29">
        <f t="shared" si="33"/>
        <v>0</v>
      </c>
      <c r="U128">
        <f t="shared" si="34"/>
        <v>0</v>
      </c>
      <c r="V128" s="29">
        <f t="shared" si="35"/>
        <v>0</v>
      </c>
      <c r="W128" s="29">
        <f t="shared" si="25"/>
        <v>0</v>
      </c>
      <c r="X128" s="29">
        <f t="shared" si="36"/>
        <v>0</v>
      </c>
      <c r="Y128">
        <f t="shared" si="37"/>
        <v>0</v>
      </c>
    </row>
    <row r="129" spans="1:25" x14ac:dyDescent="0.25">
      <c r="A129" s="4" t="s">
        <v>903</v>
      </c>
      <c r="B129" s="7" t="s">
        <v>446</v>
      </c>
      <c r="C129" s="2" t="s">
        <v>904</v>
      </c>
      <c r="D129">
        <f>VLOOKUP(B129,'Model allocations'!$A$1:$L$316,5,FALSE)</f>
        <v>42862.701933786979</v>
      </c>
      <c r="E129" s="31">
        <f>VLOOKUP(B129,'Initial adjusted formula count'!$A$1:$P$316,12,FALSE)</f>
        <v>0.16831683168316799</v>
      </c>
      <c r="F129">
        <f>VLOOKUP(B129,'Model allocations'!$A$1:$L$316,10,FALSE)</f>
        <v>38576.431740408283</v>
      </c>
      <c r="G129" s="30">
        <f t="shared" si="26"/>
        <v>0.9</v>
      </c>
      <c r="H129">
        <f t="shared" si="27"/>
        <v>38576.431740408283</v>
      </c>
      <c r="I129">
        <f t="shared" si="19"/>
        <v>0</v>
      </c>
      <c r="J129">
        <f t="shared" si="20"/>
        <v>38576.431740408283</v>
      </c>
      <c r="K129">
        <f t="shared" si="21"/>
        <v>38546.976236731301</v>
      </c>
      <c r="L129">
        <f t="shared" si="28"/>
        <v>38546.976236731301</v>
      </c>
      <c r="M129">
        <f t="shared" si="22"/>
        <v>38576.431740408283</v>
      </c>
      <c r="N129" s="29">
        <f t="shared" si="29"/>
        <v>0</v>
      </c>
      <c r="O129" s="29">
        <f t="shared" si="23"/>
        <v>0</v>
      </c>
      <c r="P129" s="29">
        <f t="shared" si="30"/>
        <v>38576.431740408283</v>
      </c>
      <c r="Q129">
        <f t="shared" si="31"/>
        <v>0</v>
      </c>
      <c r="R129" s="29">
        <f t="shared" si="32"/>
        <v>0</v>
      </c>
      <c r="S129" s="29">
        <f t="shared" si="24"/>
        <v>0</v>
      </c>
      <c r="T129" s="29">
        <f t="shared" si="33"/>
        <v>38576.431740408283</v>
      </c>
      <c r="U129">
        <f t="shared" si="34"/>
        <v>0</v>
      </c>
      <c r="V129" s="29">
        <f t="shared" si="35"/>
        <v>0</v>
      </c>
      <c r="W129" s="29">
        <f t="shared" si="25"/>
        <v>0</v>
      </c>
      <c r="X129" s="29">
        <f t="shared" si="36"/>
        <v>38576.431740408283</v>
      </c>
      <c r="Y129">
        <f t="shared" si="37"/>
        <v>0</v>
      </c>
    </row>
    <row r="130" spans="1:25" x14ac:dyDescent="0.25">
      <c r="A130" s="4" t="s">
        <v>905</v>
      </c>
      <c r="B130" s="7" t="s">
        <v>448</v>
      </c>
      <c r="C130" s="2" t="s">
        <v>906</v>
      </c>
      <c r="D130">
        <f>VLOOKUP(B130,'Model allocations'!$A$1:$L$316,5,FALSE)</f>
        <v>709079.32260339148</v>
      </c>
      <c r="E130" s="31">
        <f>VLOOKUP(B130,'Initial adjusted formula count'!$A$1:$P$316,12,FALSE)</f>
        <v>0.156390977443609</v>
      </c>
      <c r="F130">
        <f>VLOOKUP(B130,'Model allocations'!$A$1:$L$316,10,FALSE)</f>
        <v>638614.5099835241</v>
      </c>
      <c r="G130" s="30">
        <f t="shared" si="26"/>
        <v>0.9</v>
      </c>
      <c r="H130">
        <f t="shared" si="27"/>
        <v>638171.39034305234</v>
      </c>
      <c r="I130">
        <f t="shared" si="19"/>
        <v>0</v>
      </c>
      <c r="J130">
        <f t="shared" si="20"/>
        <v>638614.5099835241</v>
      </c>
      <c r="K130">
        <f t="shared" si="21"/>
        <v>638126.88810668548</v>
      </c>
      <c r="L130">
        <f t="shared" si="28"/>
        <v>638126.88810668548</v>
      </c>
      <c r="M130">
        <f t="shared" si="22"/>
        <v>638171.39034305234</v>
      </c>
      <c r="N130" s="29">
        <f t="shared" si="29"/>
        <v>0</v>
      </c>
      <c r="O130" s="29">
        <f t="shared" si="23"/>
        <v>0</v>
      </c>
      <c r="P130" s="29">
        <f t="shared" si="30"/>
        <v>638171.39034305234</v>
      </c>
      <c r="Q130">
        <f t="shared" si="31"/>
        <v>0</v>
      </c>
      <c r="R130" s="29">
        <f t="shared" si="32"/>
        <v>0</v>
      </c>
      <c r="S130" s="29">
        <f t="shared" si="24"/>
        <v>0</v>
      </c>
      <c r="T130" s="29">
        <f t="shared" si="33"/>
        <v>638171.39034305234</v>
      </c>
      <c r="U130">
        <f t="shared" si="34"/>
        <v>0</v>
      </c>
      <c r="V130" s="29">
        <f t="shared" si="35"/>
        <v>0</v>
      </c>
      <c r="W130" s="29">
        <f t="shared" si="25"/>
        <v>0</v>
      </c>
      <c r="X130" s="29">
        <f t="shared" si="36"/>
        <v>638171.39034305234</v>
      </c>
      <c r="Y130">
        <f t="shared" si="37"/>
        <v>0</v>
      </c>
    </row>
    <row r="131" spans="1:25" x14ac:dyDescent="0.25">
      <c r="A131" s="4" t="s">
        <v>907</v>
      </c>
      <c r="B131" s="7" t="s">
        <v>450</v>
      </c>
      <c r="C131" s="2" t="s">
        <v>908</v>
      </c>
      <c r="D131">
        <f>VLOOKUP(B131,'Model allocations'!$A$1:$L$316,5,FALSE)</f>
        <v>36618.30875240665</v>
      </c>
      <c r="E131" s="31">
        <f>VLOOKUP(B131,'Initial adjusted formula count'!$A$1:$P$316,12,FALSE)</f>
        <v>0.168627450980392</v>
      </c>
      <c r="F131">
        <f>VLOOKUP(B131,'Model allocations'!$A$1:$L$316,10,FALSE)</f>
        <v>32979.361483120629</v>
      </c>
      <c r="G131" s="30">
        <f t="shared" si="26"/>
        <v>0.9</v>
      </c>
      <c r="H131">
        <f t="shared" si="27"/>
        <v>32956.477877165984</v>
      </c>
      <c r="I131">
        <f t="shared" si="19"/>
        <v>0</v>
      </c>
      <c r="J131">
        <f t="shared" si="20"/>
        <v>32979.361483120629</v>
      </c>
      <c r="K131">
        <f t="shared" si="21"/>
        <v>32954.179690518147</v>
      </c>
      <c r="L131">
        <f t="shared" si="28"/>
        <v>32954.179690518147</v>
      </c>
      <c r="M131">
        <f t="shared" si="22"/>
        <v>32956.477877165984</v>
      </c>
      <c r="N131" s="29">
        <f t="shared" si="29"/>
        <v>0</v>
      </c>
      <c r="O131" s="29">
        <f t="shared" si="23"/>
        <v>0</v>
      </c>
      <c r="P131" s="29">
        <f t="shared" si="30"/>
        <v>32956.477877165984</v>
      </c>
      <c r="Q131">
        <f t="shared" si="31"/>
        <v>0</v>
      </c>
      <c r="R131" s="29">
        <f t="shared" si="32"/>
        <v>0</v>
      </c>
      <c r="S131" s="29">
        <f t="shared" si="24"/>
        <v>0</v>
      </c>
      <c r="T131" s="29">
        <f t="shared" si="33"/>
        <v>32956.477877165984</v>
      </c>
      <c r="U131">
        <f t="shared" si="34"/>
        <v>0</v>
      </c>
      <c r="V131" s="29">
        <f t="shared" si="35"/>
        <v>0</v>
      </c>
      <c r="W131" s="29">
        <f t="shared" si="25"/>
        <v>0</v>
      </c>
      <c r="X131" s="29">
        <f t="shared" si="36"/>
        <v>32956.477877165984</v>
      </c>
      <c r="Y131">
        <f t="shared" si="37"/>
        <v>0</v>
      </c>
    </row>
    <row r="132" spans="1:25" x14ac:dyDescent="0.25">
      <c r="A132" s="4" t="s">
        <v>909</v>
      </c>
      <c r="B132" s="7" t="s">
        <v>452</v>
      </c>
      <c r="C132" s="2" t="s">
        <v>910</v>
      </c>
      <c r="D132">
        <f>VLOOKUP(B132,'Model allocations'!$A$1:$L$316,5,FALSE)</f>
        <v>22231.093488798739</v>
      </c>
      <c r="E132" s="31">
        <f>VLOOKUP(B132,'Initial adjusted formula count'!$A$1:$P$316,12,FALSE)</f>
        <v>0.14492753623188401</v>
      </c>
      <c r="F132">
        <f>VLOOKUP(B132,'Model allocations'!$A$1:$L$316,10,FALSE)</f>
        <v>18909.550359266472</v>
      </c>
      <c r="G132" s="30">
        <f t="shared" si="26"/>
        <v>0.85</v>
      </c>
      <c r="H132">
        <f t="shared" si="27"/>
        <v>18896.429465478926</v>
      </c>
      <c r="I132">
        <f t="shared" ref="I132:I195" si="38">IF(F132&lt;H132,H132,0)</f>
        <v>0</v>
      </c>
      <c r="J132">
        <f t="shared" ref="J132:J195" si="39">IF(I132=0,F132,0)</f>
        <v>18909.550359266472</v>
      </c>
      <c r="K132">
        <f t="shared" ref="K132:K195" si="40">(J132/$J$3)*($F$3-$I$3)</f>
        <v>18895.111742084729</v>
      </c>
      <c r="L132">
        <f t="shared" si="28"/>
        <v>18895.111742084729</v>
      </c>
      <c r="M132">
        <f t="shared" ref="M132:M195" si="41">IF(L132&lt;H132,H132,0)</f>
        <v>18896.429465478926</v>
      </c>
      <c r="N132" s="29">
        <f t="shared" si="29"/>
        <v>0</v>
      </c>
      <c r="O132" s="29">
        <f t="shared" ref="O132:O195" si="42">((N132/$N$3)*($F$3-$I$3-$M$3))</f>
        <v>0</v>
      </c>
      <c r="P132" s="29">
        <f t="shared" si="30"/>
        <v>18896.429465478926</v>
      </c>
      <c r="Q132">
        <f t="shared" si="31"/>
        <v>0</v>
      </c>
      <c r="R132" s="29">
        <f t="shared" si="32"/>
        <v>0</v>
      </c>
      <c r="S132" s="29">
        <f t="shared" ref="S132:S195" si="43">((R132/$R$3)*($F$3-$I$3-$M$3-$Q$3))</f>
        <v>0</v>
      </c>
      <c r="T132" s="29">
        <f t="shared" si="33"/>
        <v>18896.429465478926</v>
      </c>
      <c r="U132">
        <f t="shared" si="34"/>
        <v>0</v>
      </c>
      <c r="V132" s="29">
        <f t="shared" si="35"/>
        <v>0</v>
      </c>
      <c r="W132" s="29">
        <f t="shared" ref="W132:W195" si="44">((V132/$V$3)*($F$3-$I$3-$M$3-$Q$3-$U$3))</f>
        <v>0</v>
      </c>
      <c r="X132" s="29">
        <f t="shared" si="36"/>
        <v>18896.429465478926</v>
      </c>
      <c r="Y132">
        <f t="shared" si="37"/>
        <v>0</v>
      </c>
    </row>
    <row r="133" spans="1:25" x14ac:dyDescent="0.25">
      <c r="A133" s="4" t="s">
        <v>29</v>
      </c>
      <c r="B133" s="7" t="s">
        <v>76</v>
      </c>
      <c r="C133" s="2" t="s">
        <v>911</v>
      </c>
      <c r="D133">
        <f>VLOOKUP(B133,'Model allocations'!$A$1:$L$316,5,FALSE)</f>
        <v>0</v>
      </c>
      <c r="E133" s="31">
        <f>VLOOKUP(B133,'Initial adjusted formula count'!$A$1:$P$316,12,FALSE)</f>
        <v>0.16602385247005799</v>
      </c>
      <c r="F133">
        <f>VLOOKUP(B133,'Model allocations'!$A$1:$L$316,10,FALSE)</f>
        <v>0</v>
      </c>
      <c r="G133" s="30">
        <f t="shared" ref="G133:G196" si="45">IF(E133&lt;0.15,0.85,IF(AND(E133&gt;=0.15,E133&lt;0.3),0.9,0.95))</f>
        <v>0.9</v>
      </c>
      <c r="H133">
        <f t="shared" ref="H133:H196" si="46">IF(F133 = 0, 0, D133*G133)</f>
        <v>0</v>
      </c>
      <c r="I133">
        <f t="shared" si="38"/>
        <v>0</v>
      </c>
      <c r="J133">
        <f t="shared" si="39"/>
        <v>0</v>
      </c>
      <c r="K133">
        <f t="shared" si="40"/>
        <v>0</v>
      </c>
      <c r="L133">
        <f t="shared" ref="L133:L196" si="47">I133+K133</f>
        <v>0</v>
      </c>
      <c r="M133">
        <f t="shared" si="41"/>
        <v>0</v>
      </c>
      <c r="N133" s="29">
        <f t="shared" ref="N133:N196" si="48">IF($I133+$M133=0,L133,0)</f>
        <v>0</v>
      </c>
      <c r="O133" s="29">
        <f t="shared" si="42"/>
        <v>0</v>
      </c>
      <c r="P133" s="29">
        <f t="shared" ref="P133:P196" si="49">$I133+$M133+O133</f>
        <v>0</v>
      </c>
      <c r="Q133">
        <f t="shared" ref="Q133:Q196" si="50">IF(P133&lt;H133,H133,0)</f>
        <v>0</v>
      </c>
      <c r="R133" s="29">
        <f t="shared" ref="R133:R196" si="51">IF($I133+$M133+$Q133=0,P133,0)</f>
        <v>0</v>
      </c>
      <c r="S133" s="29">
        <f t="shared" si="43"/>
        <v>0</v>
      </c>
      <c r="T133" s="29">
        <f t="shared" ref="T133:T196" si="52">$I133+$M133+$Q133+S133</f>
        <v>0</v>
      </c>
      <c r="U133">
        <f t="shared" ref="U133:U196" si="53">IF(T133&lt;H133,H133,0)</f>
        <v>0</v>
      </c>
      <c r="V133" s="29">
        <f t="shared" ref="V133:V196" si="54">IF($I133+$M133+$Q133+U133=0,T133,0)</f>
        <v>0</v>
      </c>
      <c r="W133" s="29">
        <f t="shared" si="44"/>
        <v>0</v>
      </c>
      <c r="X133" s="29">
        <f t="shared" ref="X133:X196" si="55">$I133+$M133+$Q133+$U133+W133</f>
        <v>0</v>
      </c>
      <c r="Y133">
        <f t="shared" ref="Y133:Y196" si="56">IF(X133&lt;H133,H133,0)</f>
        <v>0</v>
      </c>
    </row>
    <row r="134" spans="1:25" x14ac:dyDescent="0.25">
      <c r="A134" s="4" t="s">
        <v>912</v>
      </c>
      <c r="B134" s="7" t="s">
        <v>454</v>
      </c>
      <c r="C134" s="2" t="s">
        <v>913</v>
      </c>
      <c r="D134">
        <f>VLOOKUP(B134,'Model allocations'!$A$1:$L$316,5,FALSE)</f>
        <v>45549.050684197457</v>
      </c>
      <c r="E134" s="31">
        <f>VLOOKUP(B134,'Initial adjusted formula count'!$A$1:$P$316,12,FALSE)</f>
        <v>0.16985645933014401</v>
      </c>
      <c r="F134">
        <f>VLOOKUP(B134,'Model allocations'!$A$1:$L$316,10,FALSE)</f>
        <v>41022.610243527532</v>
      </c>
      <c r="G134" s="30">
        <f t="shared" si="45"/>
        <v>0.9</v>
      </c>
      <c r="H134">
        <f t="shared" si="46"/>
        <v>40994.145615777714</v>
      </c>
      <c r="I134">
        <f t="shared" si="38"/>
        <v>0</v>
      </c>
      <c r="J134">
        <f t="shared" si="39"/>
        <v>41022.610243527532</v>
      </c>
      <c r="K134">
        <f t="shared" si="40"/>
        <v>40991.286930500573</v>
      </c>
      <c r="L134">
        <f t="shared" si="47"/>
        <v>40991.286930500573</v>
      </c>
      <c r="M134">
        <f t="shared" si="41"/>
        <v>40994.145615777714</v>
      </c>
      <c r="N134" s="29">
        <f t="shared" si="48"/>
        <v>0</v>
      </c>
      <c r="O134" s="29">
        <f t="shared" si="42"/>
        <v>0</v>
      </c>
      <c r="P134" s="29">
        <f t="shared" si="49"/>
        <v>40994.145615777714</v>
      </c>
      <c r="Q134">
        <f t="shared" si="50"/>
        <v>0</v>
      </c>
      <c r="R134" s="29">
        <f t="shared" si="51"/>
        <v>0</v>
      </c>
      <c r="S134" s="29">
        <f t="shared" si="43"/>
        <v>0</v>
      </c>
      <c r="T134" s="29">
        <f t="shared" si="52"/>
        <v>40994.145615777714</v>
      </c>
      <c r="U134">
        <f t="shared" si="53"/>
        <v>0</v>
      </c>
      <c r="V134" s="29">
        <f t="shared" si="54"/>
        <v>0</v>
      </c>
      <c r="W134" s="29">
        <f t="shared" si="44"/>
        <v>0</v>
      </c>
      <c r="X134" s="29">
        <f t="shared" si="55"/>
        <v>40994.145615777714</v>
      </c>
      <c r="Y134">
        <f t="shared" si="56"/>
        <v>0</v>
      </c>
    </row>
    <row r="135" spans="1:25" x14ac:dyDescent="0.25">
      <c r="A135" s="4" t="s">
        <v>914</v>
      </c>
      <c r="B135" s="7" t="s">
        <v>160</v>
      </c>
      <c r="C135" s="2" t="s">
        <v>915</v>
      </c>
      <c r="D135">
        <f>VLOOKUP(B135,'Model allocations'!$A$1:$L$316,5,FALSE)</f>
        <v>145882.11898668663</v>
      </c>
      <c r="E135" s="31">
        <f>VLOOKUP(B135,'Initial adjusted formula count'!$A$1:$P$316,12,FALSE)</f>
        <v>6.12386917188587E-2</v>
      </c>
      <c r="F135">
        <f>VLOOKUP(B135,'Model allocations'!$A$1:$L$316,10,FALSE)</f>
        <v>124085.90143733469</v>
      </c>
      <c r="G135" s="30">
        <f t="shared" si="45"/>
        <v>0.85</v>
      </c>
      <c r="H135">
        <f t="shared" si="46"/>
        <v>123999.80113868363</v>
      </c>
      <c r="I135">
        <f t="shared" si="38"/>
        <v>0</v>
      </c>
      <c r="J135">
        <f t="shared" si="39"/>
        <v>124085.90143733469</v>
      </c>
      <c r="K135">
        <f t="shared" si="40"/>
        <v>123991.15413798246</v>
      </c>
      <c r="L135">
        <f t="shared" si="47"/>
        <v>123991.15413798246</v>
      </c>
      <c r="M135">
        <f t="shared" si="41"/>
        <v>123999.80113868363</v>
      </c>
      <c r="N135" s="29">
        <f t="shared" si="48"/>
        <v>0</v>
      </c>
      <c r="O135" s="29">
        <f t="shared" si="42"/>
        <v>0</v>
      </c>
      <c r="P135" s="29">
        <f t="shared" si="49"/>
        <v>123999.80113868363</v>
      </c>
      <c r="Q135">
        <f t="shared" si="50"/>
        <v>0</v>
      </c>
      <c r="R135" s="29">
        <f t="shared" si="51"/>
        <v>0</v>
      </c>
      <c r="S135" s="29">
        <f t="shared" si="43"/>
        <v>0</v>
      </c>
      <c r="T135" s="29">
        <f t="shared" si="52"/>
        <v>123999.80113868363</v>
      </c>
      <c r="U135">
        <f t="shared" si="53"/>
        <v>0</v>
      </c>
      <c r="V135" s="29">
        <f t="shared" si="54"/>
        <v>0</v>
      </c>
      <c r="W135" s="29">
        <f t="shared" si="44"/>
        <v>0</v>
      </c>
      <c r="X135" s="29">
        <f t="shared" si="55"/>
        <v>123999.80113868363</v>
      </c>
      <c r="Y135">
        <f t="shared" si="56"/>
        <v>0</v>
      </c>
    </row>
    <row r="136" spans="1:25" x14ac:dyDescent="0.25">
      <c r="A136" s="4" t="s">
        <v>916</v>
      </c>
      <c r="B136" s="7" t="s">
        <v>456</v>
      </c>
      <c r="C136" s="2" t="s">
        <v>917</v>
      </c>
      <c r="D136">
        <f>VLOOKUP(B136,'Model allocations'!$A$1:$L$316,5,FALSE)</f>
        <v>96245.878736191982</v>
      </c>
      <c r="E136" s="31">
        <f>VLOOKUP(B136,'Initial adjusted formula count'!$A$1:$P$316,12,FALSE)</f>
        <v>0.13464052287581699</v>
      </c>
      <c r="F136">
        <f>VLOOKUP(B136,'Model allocations'!$A$1:$L$316,10,FALSE)</f>
        <v>81808.996925763189</v>
      </c>
      <c r="G136" s="30">
        <f t="shared" si="45"/>
        <v>0.85</v>
      </c>
      <c r="H136">
        <f t="shared" si="46"/>
        <v>81808.996925763189</v>
      </c>
      <c r="I136">
        <f t="shared" si="38"/>
        <v>0</v>
      </c>
      <c r="J136">
        <f t="shared" si="39"/>
        <v>81808.996925763189</v>
      </c>
      <c r="K136">
        <f t="shared" si="40"/>
        <v>81746.530671082801</v>
      </c>
      <c r="L136">
        <f t="shared" si="47"/>
        <v>81746.530671082801</v>
      </c>
      <c r="M136">
        <f t="shared" si="41"/>
        <v>81808.996925763189</v>
      </c>
      <c r="N136" s="29">
        <f t="shared" si="48"/>
        <v>0</v>
      </c>
      <c r="O136" s="29">
        <f t="shared" si="42"/>
        <v>0</v>
      </c>
      <c r="P136" s="29">
        <f t="shared" si="49"/>
        <v>81808.996925763189</v>
      </c>
      <c r="Q136">
        <f t="shared" si="50"/>
        <v>0</v>
      </c>
      <c r="R136" s="29">
        <f t="shared" si="51"/>
        <v>0</v>
      </c>
      <c r="S136" s="29">
        <f t="shared" si="43"/>
        <v>0</v>
      </c>
      <c r="T136" s="29">
        <f t="shared" si="52"/>
        <v>81808.996925763189</v>
      </c>
      <c r="U136">
        <f t="shared" si="53"/>
        <v>0</v>
      </c>
      <c r="V136" s="29">
        <f t="shared" si="54"/>
        <v>0</v>
      </c>
      <c r="W136" s="29">
        <f t="shared" si="44"/>
        <v>0</v>
      </c>
      <c r="X136" s="29">
        <f t="shared" si="55"/>
        <v>81808.996925763189</v>
      </c>
      <c r="Y136">
        <f t="shared" si="56"/>
        <v>0</v>
      </c>
    </row>
    <row r="137" spans="1:25" x14ac:dyDescent="0.25">
      <c r="A137" s="4" t="s">
        <v>918</v>
      </c>
      <c r="B137" s="7" t="s">
        <v>458</v>
      </c>
      <c r="C137" s="2" t="s">
        <v>919</v>
      </c>
      <c r="D137">
        <f>VLOOKUP(B137,'Model allocations'!$A$1:$L$316,5,FALSE)</f>
        <v>12909.3573260377</v>
      </c>
      <c r="E137" s="31">
        <f>VLOOKUP(B137,'Initial adjusted formula count'!$A$1:$P$316,12,FALSE)</f>
        <v>9.41176470588235E-2</v>
      </c>
      <c r="F137">
        <f>VLOOKUP(B137,'Model allocations'!$A$1:$L$316,10,FALSE)</f>
        <v>0</v>
      </c>
      <c r="G137" s="30">
        <f t="shared" si="45"/>
        <v>0.85</v>
      </c>
      <c r="H137">
        <f t="shared" si="46"/>
        <v>0</v>
      </c>
      <c r="I137">
        <f t="shared" si="38"/>
        <v>0</v>
      </c>
      <c r="J137">
        <f t="shared" si="39"/>
        <v>0</v>
      </c>
      <c r="K137">
        <f t="shared" si="40"/>
        <v>0</v>
      </c>
      <c r="L137">
        <f t="shared" si="47"/>
        <v>0</v>
      </c>
      <c r="M137">
        <f t="shared" si="41"/>
        <v>0</v>
      </c>
      <c r="N137" s="29">
        <f t="shared" si="48"/>
        <v>0</v>
      </c>
      <c r="O137" s="29">
        <f t="shared" si="42"/>
        <v>0</v>
      </c>
      <c r="P137" s="29">
        <f t="shared" si="49"/>
        <v>0</v>
      </c>
      <c r="Q137">
        <f t="shared" si="50"/>
        <v>0</v>
      </c>
      <c r="R137" s="29">
        <f t="shared" si="51"/>
        <v>0</v>
      </c>
      <c r="S137" s="29">
        <f t="shared" si="43"/>
        <v>0</v>
      </c>
      <c r="T137" s="29">
        <f t="shared" si="52"/>
        <v>0</v>
      </c>
      <c r="U137">
        <f t="shared" si="53"/>
        <v>0</v>
      </c>
      <c r="V137" s="29">
        <f t="shared" si="54"/>
        <v>0</v>
      </c>
      <c r="W137" s="29">
        <f t="shared" si="44"/>
        <v>0</v>
      </c>
      <c r="X137" s="29">
        <f t="shared" si="55"/>
        <v>0</v>
      </c>
      <c r="Y137">
        <f t="shared" si="56"/>
        <v>0</v>
      </c>
    </row>
    <row r="138" spans="1:25" x14ac:dyDescent="0.25">
      <c r="A138" s="4" t="s">
        <v>920</v>
      </c>
      <c r="B138" s="7" t="s">
        <v>283</v>
      </c>
      <c r="C138" s="2" t="s">
        <v>921</v>
      </c>
      <c r="D138">
        <f>VLOOKUP(B138,'Model allocations'!$A$1:$L$316,5,FALSE)</f>
        <v>51426.28595082165</v>
      </c>
      <c r="E138" s="31">
        <f>VLOOKUP(B138,'Initial adjusted formula count'!$A$1:$P$316,12,FALSE)</f>
        <v>0.116613418530351</v>
      </c>
      <c r="F138">
        <f>VLOOKUP(B138,'Model allocations'!$A$1:$L$316,10,FALSE)</f>
        <v>43712.343058198399</v>
      </c>
      <c r="G138" s="30">
        <f t="shared" si="45"/>
        <v>0.85</v>
      </c>
      <c r="H138">
        <f t="shared" si="46"/>
        <v>43712.343058198399</v>
      </c>
      <c r="I138">
        <f t="shared" si="38"/>
        <v>0</v>
      </c>
      <c r="J138">
        <f t="shared" si="39"/>
        <v>43712.343058198399</v>
      </c>
      <c r="K138">
        <f t="shared" si="40"/>
        <v>43678.965966964432</v>
      </c>
      <c r="L138">
        <f t="shared" si="47"/>
        <v>43678.965966964432</v>
      </c>
      <c r="M138">
        <f t="shared" si="41"/>
        <v>43712.343058198399</v>
      </c>
      <c r="N138" s="29">
        <f t="shared" si="48"/>
        <v>0</v>
      </c>
      <c r="O138" s="29">
        <f t="shared" si="42"/>
        <v>0</v>
      </c>
      <c r="P138" s="29">
        <f t="shared" si="49"/>
        <v>43712.343058198399</v>
      </c>
      <c r="Q138">
        <f t="shared" si="50"/>
        <v>0</v>
      </c>
      <c r="R138" s="29">
        <f t="shared" si="51"/>
        <v>0</v>
      </c>
      <c r="S138" s="29">
        <f t="shared" si="43"/>
        <v>0</v>
      </c>
      <c r="T138" s="29">
        <f t="shared" si="52"/>
        <v>43712.343058198399</v>
      </c>
      <c r="U138">
        <f t="shared" si="53"/>
        <v>0</v>
      </c>
      <c r="V138" s="29">
        <f t="shared" si="54"/>
        <v>0</v>
      </c>
      <c r="W138" s="29">
        <f t="shared" si="44"/>
        <v>0</v>
      </c>
      <c r="X138" s="29">
        <f t="shared" si="55"/>
        <v>43712.343058198399</v>
      </c>
      <c r="Y138">
        <f t="shared" si="56"/>
        <v>0</v>
      </c>
    </row>
    <row r="139" spans="1:25" x14ac:dyDescent="0.25">
      <c r="A139" s="4" t="s">
        <v>922</v>
      </c>
      <c r="B139" s="7" t="s">
        <v>460</v>
      </c>
      <c r="C139" s="2" t="s">
        <v>923</v>
      </c>
      <c r="D139">
        <f>VLOOKUP(B139,'Model allocations'!$A$1:$L$316,5,FALSE)</f>
        <v>19146.525998981546</v>
      </c>
      <c r="E139" s="31">
        <f>VLOOKUP(B139,'Initial adjusted formula count'!$A$1:$P$316,12,FALSE)</f>
        <v>0.128571428571429</v>
      </c>
      <c r="F139">
        <f>VLOOKUP(B139,'Model allocations'!$A$1:$L$316,10,FALSE)</f>
        <v>16274.547099134314</v>
      </c>
      <c r="G139" s="30">
        <f t="shared" si="45"/>
        <v>0.85</v>
      </c>
      <c r="H139">
        <f t="shared" si="46"/>
        <v>16274.547099134314</v>
      </c>
      <c r="I139">
        <f t="shared" si="38"/>
        <v>0</v>
      </c>
      <c r="J139">
        <f t="shared" si="39"/>
        <v>16274.547099134314</v>
      </c>
      <c r="K139">
        <f t="shared" si="40"/>
        <v>16262.120470742511</v>
      </c>
      <c r="L139">
        <f t="shared" si="47"/>
        <v>16262.120470742511</v>
      </c>
      <c r="M139">
        <f t="shared" si="41"/>
        <v>16274.547099134314</v>
      </c>
      <c r="N139" s="29">
        <f t="shared" si="48"/>
        <v>0</v>
      </c>
      <c r="O139" s="29">
        <f t="shared" si="42"/>
        <v>0</v>
      </c>
      <c r="P139" s="29">
        <f t="shared" si="49"/>
        <v>16274.547099134314</v>
      </c>
      <c r="Q139">
        <f t="shared" si="50"/>
        <v>0</v>
      </c>
      <c r="R139" s="29">
        <f t="shared" si="51"/>
        <v>0</v>
      </c>
      <c r="S139" s="29">
        <f t="shared" si="43"/>
        <v>0</v>
      </c>
      <c r="T139" s="29">
        <f t="shared" si="52"/>
        <v>16274.547099134314</v>
      </c>
      <c r="U139">
        <f t="shared" si="53"/>
        <v>0</v>
      </c>
      <c r="V139" s="29">
        <f t="shared" si="54"/>
        <v>0</v>
      </c>
      <c r="W139" s="29">
        <f t="shared" si="44"/>
        <v>0</v>
      </c>
      <c r="X139" s="29">
        <f t="shared" si="55"/>
        <v>16274.547099134314</v>
      </c>
      <c r="Y139">
        <f t="shared" si="56"/>
        <v>0</v>
      </c>
    </row>
    <row r="140" spans="1:25" x14ac:dyDescent="0.25">
      <c r="A140" s="4" t="s">
        <v>924</v>
      </c>
      <c r="B140" s="7" t="s">
        <v>462</v>
      </c>
      <c r="C140" s="2" t="s">
        <v>925</v>
      </c>
      <c r="D140">
        <f>VLOOKUP(B140,'Model allocations'!$A$1:$L$316,5,FALSE)</f>
        <v>68186.939185857918</v>
      </c>
      <c r="E140" s="31">
        <f>VLOOKUP(B140,'Initial adjusted formula count'!$A$1:$P$316,12,FALSE)</f>
        <v>0.22848200312989</v>
      </c>
      <c r="F140">
        <f>VLOOKUP(B140,'Model allocations'!$A$1:$L$316,10,FALSE)</f>
        <v>78481.311922501947</v>
      </c>
      <c r="G140" s="30">
        <f t="shared" si="45"/>
        <v>0.9</v>
      </c>
      <c r="H140">
        <f t="shared" si="46"/>
        <v>61368.245267272127</v>
      </c>
      <c r="I140">
        <f t="shared" si="38"/>
        <v>0</v>
      </c>
      <c r="J140">
        <f t="shared" si="39"/>
        <v>78481.311922501947</v>
      </c>
      <c r="K140">
        <f t="shared" si="40"/>
        <v>78421.386562181855</v>
      </c>
      <c r="L140">
        <f t="shared" si="47"/>
        <v>78421.386562181855</v>
      </c>
      <c r="M140">
        <f t="shared" si="41"/>
        <v>0</v>
      </c>
      <c r="N140" s="29">
        <f t="shared" si="48"/>
        <v>78421.386562181855</v>
      </c>
      <c r="O140" s="29">
        <f t="shared" si="42"/>
        <v>78416.932337563951</v>
      </c>
      <c r="P140" s="29">
        <f t="shared" si="49"/>
        <v>78416.932337563951</v>
      </c>
      <c r="Q140">
        <f t="shared" si="50"/>
        <v>0</v>
      </c>
      <c r="R140" s="29">
        <f t="shared" si="51"/>
        <v>78416.932337563951</v>
      </c>
      <c r="S140" s="29">
        <f t="shared" si="43"/>
        <v>78416.904387231363</v>
      </c>
      <c r="T140" s="29">
        <f t="shared" si="52"/>
        <v>78416.904387231363</v>
      </c>
      <c r="U140">
        <f t="shared" si="53"/>
        <v>0</v>
      </c>
      <c r="V140" s="29">
        <f t="shared" si="54"/>
        <v>78416.904387231363</v>
      </c>
      <c r="W140" s="29">
        <f t="shared" si="44"/>
        <v>78416.904387231378</v>
      </c>
      <c r="X140" s="29">
        <f t="shared" si="55"/>
        <v>78416.904387231378</v>
      </c>
      <c r="Y140">
        <f t="shared" si="56"/>
        <v>0</v>
      </c>
    </row>
    <row r="141" spans="1:25" x14ac:dyDescent="0.25">
      <c r="A141" s="4" t="s">
        <v>926</v>
      </c>
      <c r="B141" s="7" t="s">
        <v>162</v>
      </c>
      <c r="C141" s="2" t="s">
        <v>927</v>
      </c>
      <c r="D141">
        <f>VLOOKUP(B141,'Model allocations'!$A$1:$L$316,5,FALSE)</f>
        <v>763785.11722339946</v>
      </c>
      <c r="E141" s="31">
        <f>VLOOKUP(B141,'Initial adjusted formula count'!$A$1:$P$316,12,FALSE)</f>
        <v>0.11046511627907001</v>
      </c>
      <c r="F141">
        <f>VLOOKUP(B141,'Model allocations'!$A$1:$L$316,10,FALSE)</f>
        <v>750671.40463271725</v>
      </c>
      <c r="G141" s="30">
        <f t="shared" si="45"/>
        <v>0.85</v>
      </c>
      <c r="H141">
        <f t="shared" si="46"/>
        <v>649217.34963988955</v>
      </c>
      <c r="I141">
        <f t="shared" si="38"/>
        <v>0</v>
      </c>
      <c r="J141">
        <f t="shared" si="39"/>
        <v>750671.40463271725</v>
      </c>
      <c r="K141">
        <f t="shared" si="40"/>
        <v>750098.22035097342</v>
      </c>
      <c r="L141">
        <f t="shared" si="47"/>
        <v>750098.22035097342</v>
      </c>
      <c r="M141">
        <f t="shared" si="41"/>
        <v>0</v>
      </c>
      <c r="N141" s="29">
        <f t="shared" si="48"/>
        <v>750098.22035097342</v>
      </c>
      <c r="O141" s="29">
        <f t="shared" si="42"/>
        <v>750055.61582553212</v>
      </c>
      <c r="P141" s="29">
        <f t="shared" si="49"/>
        <v>750055.61582553212</v>
      </c>
      <c r="Q141">
        <f t="shared" si="50"/>
        <v>0</v>
      </c>
      <c r="R141" s="29">
        <f t="shared" si="51"/>
        <v>750055.61582553212</v>
      </c>
      <c r="S141" s="29">
        <f t="shared" si="43"/>
        <v>750055.34848143568</v>
      </c>
      <c r="T141" s="29">
        <f t="shared" si="52"/>
        <v>750055.34848143568</v>
      </c>
      <c r="U141">
        <f t="shared" si="53"/>
        <v>0</v>
      </c>
      <c r="V141" s="29">
        <f t="shared" si="54"/>
        <v>750055.34848143568</v>
      </c>
      <c r="W141" s="29">
        <f t="shared" si="44"/>
        <v>750055.34848143568</v>
      </c>
      <c r="X141" s="29">
        <f t="shared" si="55"/>
        <v>750055.34848143568</v>
      </c>
      <c r="Y141">
        <f t="shared" si="56"/>
        <v>0</v>
      </c>
    </row>
    <row r="142" spans="1:25" x14ac:dyDescent="0.25">
      <c r="A142" s="4" t="s">
        <v>928</v>
      </c>
      <c r="B142" s="7" t="s">
        <v>464</v>
      </c>
      <c r="C142" s="2" t="s">
        <v>929</v>
      </c>
      <c r="D142">
        <f>VLOOKUP(B142,'Model allocations'!$A$1:$L$316,5,FALSE)</f>
        <v>26236.952937353883</v>
      </c>
      <c r="E142" s="31">
        <f>VLOOKUP(B142,'Initial adjusted formula count'!$A$1:$P$316,12,FALSE)</f>
        <v>6.8783068783068793E-2</v>
      </c>
      <c r="F142">
        <f>VLOOKUP(B142,'Model allocations'!$A$1:$L$316,10,FALSE)</f>
        <v>22301.409996750801</v>
      </c>
      <c r="G142" s="30">
        <f t="shared" si="45"/>
        <v>0.85</v>
      </c>
      <c r="H142">
        <f t="shared" si="46"/>
        <v>22301.409996750801</v>
      </c>
      <c r="I142">
        <f t="shared" si="38"/>
        <v>0</v>
      </c>
      <c r="J142">
        <f t="shared" si="39"/>
        <v>22301.409996750801</v>
      </c>
      <c r="K142">
        <f t="shared" si="40"/>
        <v>22284.38148388622</v>
      </c>
      <c r="L142">
        <f t="shared" si="47"/>
        <v>22284.38148388622</v>
      </c>
      <c r="M142">
        <f t="shared" si="41"/>
        <v>22301.409996750801</v>
      </c>
      <c r="N142" s="29">
        <f t="shared" si="48"/>
        <v>0</v>
      </c>
      <c r="O142" s="29">
        <f t="shared" si="42"/>
        <v>0</v>
      </c>
      <c r="P142" s="29">
        <f t="shared" si="49"/>
        <v>22301.409996750801</v>
      </c>
      <c r="Q142">
        <f t="shared" si="50"/>
        <v>0</v>
      </c>
      <c r="R142" s="29">
        <f t="shared" si="51"/>
        <v>0</v>
      </c>
      <c r="S142" s="29">
        <f t="shared" si="43"/>
        <v>0</v>
      </c>
      <c r="T142" s="29">
        <f t="shared" si="52"/>
        <v>22301.409996750801</v>
      </c>
      <c r="U142">
        <f t="shared" si="53"/>
        <v>0</v>
      </c>
      <c r="V142" s="29">
        <f t="shared" si="54"/>
        <v>0</v>
      </c>
      <c r="W142" s="29">
        <f t="shared" si="44"/>
        <v>0</v>
      </c>
      <c r="X142" s="29">
        <f t="shared" si="55"/>
        <v>22301.409996750801</v>
      </c>
      <c r="Y142">
        <f t="shared" si="56"/>
        <v>0</v>
      </c>
    </row>
    <row r="143" spans="1:25" x14ac:dyDescent="0.25">
      <c r="A143" s="4" t="s">
        <v>930</v>
      </c>
      <c r="B143" s="7" t="s">
        <v>164</v>
      </c>
      <c r="C143" s="2" t="s">
        <v>931</v>
      </c>
      <c r="D143">
        <f>VLOOKUP(B143,'Model allocations'!$A$1:$L$316,5,FALSE)</f>
        <v>420665.8120955741</v>
      </c>
      <c r="E143" s="31">
        <f>VLOOKUP(B143,'Initial adjusted formula count'!$A$1:$P$316,12,FALSE)</f>
        <v>6.3085467959877295E-2</v>
      </c>
      <c r="F143">
        <f>VLOOKUP(B143,'Model allocations'!$A$1:$L$316,10,FALSE)</f>
        <v>357676.56707108143</v>
      </c>
      <c r="G143" s="30">
        <f t="shared" si="45"/>
        <v>0.85</v>
      </c>
      <c r="H143">
        <f t="shared" si="46"/>
        <v>357565.940281238</v>
      </c>
      <c r="I143">
        <f t="shared" si="38"/>
        <v>0</v>
      </c>
      <c r="J143">
        <f t="shared" si="39"/>
        <v>357676.56707108143</v>
      </c>
      <c r="K143">
        <f t="shared" si="40"/>
        <v>357403.45877772168</v>
      </c>
      <c r="L143">
        <f t="shared" si="47"/>
        <v>357403.45877772168</v>
      </c>
      <c r="M143">
        <f t="shared" si="41"/>
        <v>357565.940281238</v>
      </c>
      <c r="N143" s="29">
        <f t="shared" si="48"/>
        <v>0</v>
      </c>
      <c r="O143" s="29">
        <f t="shared" si="42"/>
        <v>0</v>
      </c>
      <c r="P143" s="29">
        <f t="shared" si="49"/>
        <v>357565.940281238</v>
      </c>
      <c r="Q143">
        <f t="shared" si="50"/>
        <v>0</v>
      </c>
      <c r="R143" s="29">
        <f t="shared" si="51"/>
        <v>0</v>
      </c>
      <c r="S143" s="29">
        <f t="shared" si="43"/>
        <v>0</v>
      </c>
      <c r="T143" s="29">
        <f t="shared" si="52"/>
        <v>357565.940281238</v>
      </c>
      <c r="U143">
        <f t="shared" si="53"/>
        <v>0</v>
      </c>
      <c r="V143" s="29">
        <f t="shared" si="54"/>
        <v>0</v>
      </c>
      <c r="W143" s="29">
        <f t="shared" si="44"/>
        <v>0</v>
      </c>
      <c r="X143" s="29">
        <f t="shared" si="55"/>
        <v>357565.940281238</v>
      </c>
      <c r="Y143">
        <f t="shared" si="56"/>
        <v>0</v>
      </c>
    </row>
    <row r="144" spans="1:25" x14ac:dyDescent="0.25">
      <c r="A144" s="4" t="s">
        <v>932</v>
      </c>
      <c r="B144" s="7" t="s">
        <v>166</v>
      </c>
      <c r="C144" s="2" t="s">
        <v>933</v>
      </c>
      <c r="D144">
        <f>VLOOKUP(B144,'Model allocations'!$A$1:$L$316,5,FALSE)</f>
        <v>73463.468224590892</v>
      </c>
      <c r="E144" s="31">
        <f>VLOOKUP(B144,'Initial adjusted formula count'!$A$1:$P$316,12,FALSE)</f>
        <v>7.0796460176991205E-2</v>
      </c>
      <c r="F144">
        <f>VLOOKUP(B144,'Model allocations'!$A$1:$L$316,10,FALSE)</f>
        <v>62448.09262944838</v>
      </c>
      <c r="G144" s="30">
        <f t="shared" si="45"/>
        <v>0.85</v>
      </c>
      <c r="H144">
        <f t="shared" si="46"/>
        <v>62443.947990902256</v>
      </c>
      <c r="I144">
        <f t="shared" si="38"/>
        <v>0</v>
      </c>
      <c r="J144">
        <f t="shared" si="39"/>
        <v>62448.09262944838</v>
      </c>
      <c r="K144">
        <f t="shared" si="40"/>
        <v>62400.409628738373</v>
      </c>
      <c r="L144">
        <f t="shared" si="47"/>
        <v>62400.409628738373</v>
      </c>
      <c r="M144">
        <f t="shared" si="41"/>
        <v>62443.947990902256</v>
      </c>
      <c r="N144" s="29">
        <f t="shared" si="48"/>
        <v>0</v>
      </c>
      <c r="O144" s="29">
        <f t="shared" si="42"/>
        <v>0</v>
      </c>
      <c r="P144" s="29">
        <f t="shared" si="49"/>
        <v>62443.947990902256</v>
      </c>
      <c r="Q144">
        <f t="shared" si="50"/>
        <v>0</v>
      </c>
      <c r="R144" s="29">
        <f t="shared" si="51"/>
        <v>0</v>
      </c>
      <c r="S144" s="29">
        <f t="shared" si="43"/>
        <v>0</v>
      </c>
      <c r="T144" s="29">
        <f t="shared" si="52"/>
        <v>62443.947990902256</v>
      </c>
      <c r="U144">
        <f t="shared" si="53"/>
        <v>0</v>
      </c>
      <c r="V144" s="29">
        <f t="shared" si="54"/>
        <v>0</v>
      </c>
      <c r="W144" s="29">
        <f t="shared" si="44"/>
        <v>0</v>
      </c>
      <c r="X144" s="29">
        <f t="shared" si="55"/>
        <v>62443.947990902256</v>
      </c>
      <c r="Y144">
        <f t="shared" si="56"/>
        <v>0</v>
      </c>
    </row>
    <row r="145" spans="1:25" x14ac:dyDescent="0.25">
      <c r="A145" s="4" t="s">
        <v>934</v>
      </c>
      <c r="B145" s="7" t="s">
        <v>168</v>
      </c>
      <c r="C145" s="2" t="s">
        <v>935</v>
      </c>
      <c r="D145">
        <f>VLOOKUP(B145,'Model allocations'!$A$1:$L$316,5,FALSE)</f>
        <v>0</v>
      </c>
      <c r="E145" s="31">
        <f>VLOOKUP(B145,'Initial adjusted formula count'!$A$1:$P$316,12,FALSE)</f>
        <v>2.7643260694108201E-2</v>
      </c>
      <c r="F145">
        <f>VLOOKUP(B145,'Model allocations'!$A$1:$L$316,10,FALSE)</f>
        <v>0</v>
      </c>
      <c r="G145" s="30">
        <f t="shared" si="45"/>
        <v>0.85</v>
      </c>
      <c r="H145">
        <f t="shared" si="46"/>
        <v>0</v>
      </c>
      <c r="I145">
        <f t="shared" si="38"/>
        <v>0</v>
      </c>
      <c r="J145">
        <f t="shared" si="39"/>
        <v>0</v>
      </c>
      <c r="K145">
        <f t="shared" si="40"/>
        <v>0</v>
      </c>
      <c r="L145">
        <f t="shared" si="47"/>
        <v>0</v>
      </c>
      <c r="M145">
        <f t="shared" si="41"/>
        <v>0</v>
      </c>
      <c r="N145" s="29">
        <f t="shared" si="48"/>
        <v>0</v>
      </c>
      <c r="O145" s="29">
        <f t="shared" si="42"/>
        <v>0</v>
      </c>
      <c r="P145" s="29">
        <f t="shared" si="49"/>
        <v>0</v>
      </c>
      <c r="Q145">
        <f t="shared" si="50"/>
        <v>0</v>
      </c>
      <c r="R145" s="29">
        <f t="shared" si="51"/>
        <v>0</v>
      </c>
      <c r="S145" s="29">
        <f t="shared" si="43"/>
        <v>0</v>
      </c>
      <c r="T145" s="29">
        <f t="shared" si="52"/>
        <v>0</v>
      </c>
      <c r="U145">
        <f t="shared" si="53"/>
        <v>0</v>
      </c>
      <c r="V145" s="29">
        <f t="shared" si="54"/>
        <v>0</v>
      </c>
      <c r="W145" s="29">
        <f t="shared" si="44"/>
        <v>0</v>
      </c>
      <c r="X145" s="29">
        <f t="shared" si="55"/>
        <v>0</v>
      </c>
      <c r="Y145">
        <f t="shared" si="56"/>
        <v>0</v>
      </c>
    </row>
    <row r="146" spans="1:25" x14ac:dyDescent="0.25">
      <c r="A146" s="4" t="s">
        <v>936</v>
      </c>
      <c r="B146" s="7" t="s">
        <v>170</v>
      </c>
      <c r="C146" s="2" t="s">
        <v>937</v>
      </c>
      <c r="D146">
        <f>VLOOKUP(B146,'Model allocations'!$A$1:$L$316,5,FALSE)</f>
        <v>90547.522129667603</v>
      </c>
      <c r="E146" s="31">
        <f>VLOOKUP(B146,'Initial adjusted formula count'!$A$1:$P$316,12,FALSE)</f>
        <v>9.3491124260354996E-2</v>
      </c>
      <c r="F146">
        <f>VLOOKUP(B146,'Model allocations'!$A$1:$L$316,10,FALSE)</f>
        <v>77217.57270108485</v>
      </c>
      <c r="G146" s="30">
        <f t="shared" si="45"/>
        <v>0.85</v>
      </c>
      <c r="H146">
        <f t="shared" si="46"/>
        <v>76965.393810217458</v>
      </c>
      <c r="I146">
        <f t="shared" si="38"/>
        <v>0</v>
      </c>
      <c r="J146">
        <f t="shared" si="39"/>
        <v>77217.57270108485</v>
      </c>
      <c r="K146">
        <f t="shared" si="40"/>
        <v>77158.61228421866</v>
      </c>
      <c r="L146">
        <f t="shared" si="47"/>
        <v>77158.61228421866</v>
      </c>
      <c r="M146">
        <f t="shared" si="41"/>
        <v>0</v>
      </c>
      <c r="N146" s="29">
        <f t="shared" si="48"/>
        <v>77158.61228421866</v>
      </c>
      <c r="O146" s="29">
        <f t="shared" si="42"/>
        <v>77154.229783406234</v>
      </c>
      <c r="P146" s="29">
        <f t="shared" si="49"/>
        <v>77154.229783406234</v>
      </c>
      <c r="Q146">
        <f t="shared" si="50"/>
        <v>0</v>
      </c>
      <c r="R146" s="29">
        <f t="shared" si="51"/>
        <v>77154.229783406234</v>
      </c>
      <c r="S146" s="29">
        <f t="shared" si="43"/>
        <v>77154.202283141698</v>
      </c>
      <c r="T146" s="29">
        <f t="shared" si="52"/>
        <v>77154.202283141698</v>
      </c>
      <c r="U146">
        <f t="shared" si="53"/>
        <v>0</v>
      </c>
      <c r="V146" s="29">
        <f t="shared" si="54"/>
        <v>77154.202283141698</v>
      </c>
      <c r="W146" s="29">
        <f t="shared" si="44"/>
        <v>77154.202283141713</v>
      </c>
      <c r="X146" s="29">
        <f t="shared" si="55"/>
        <v>77154.202283141713</v>
      </c>
      <c r="Y146">
        <f t="shared" si="56"/>
        <v>0</v>
      </c>
    </row>
    <row r="147" spans="1:25" x14ac:dyDescent="0.25">
      <c r="A147" s="4" t="s">
        <v>938</v>
      </c>
      <c r="B147" s="7" t="s">
        <v>466</v>
      </c>
      <c r="C147" s="2" t="s">
        <v>939</v>
      </c>
      <c r="D147">
        <f>VLOOKUP(B147,'Model allocations'!$A$1:$L$316,5,FALSE)</f>
        <v>54076.992382995872</v>
      </c>
      <c r="E147" s="31">
        <f>VLOOKUP(B147,'Initial adjusted formula count'!$A$1:$P$316,12,FALSE)</f>
        <v>0.12364945978391401</v>
      </c>
      <c r="F147">
        <f>VLOOKUP(B147,'Model allocations'!$A$1:$L$316,10,FALSE)</f>
        <v>45997.360015563703</v>
      </c>
      <c r="G147" s="30">
        <f t="shared" si="45"/>
        <v>0.85</v>
      </c>
      <c r="H147">
        <f t="shared" si="46"/>
        <v>45965.443525546492</v>
      </c>
      <c r="I147">
        <f t="shared" si="38"/>
        <v>0</v>
      </c>
      <c r="J147">
        <f t="shared" si="39"/>
        <v>45997.360015563703</v>
      </c>
      <c r="K147">
        <f t="shared" si="40"/>
        <v>45962.238171838304</v>
      </c>
      <c r="L147">
        <f t="shared" si="47"/>
        <v>45962.238171838304</v>
      </c>
      <c r="M147">
        <f t="shared" si="41"/>
        <v>45965.443525546492</v>
      </c>
      <c r="N147" s="29">
        <f t="shared" si="48"/>
        <v>0</v>
      </c>
      <c r="O147" s="29">
        <f t="shared" si="42"/>
        <v>0</v>
      </c>
      <c r="P147" s="29">
        <f t="shared" si="49"/>
        <v>45965.443525546492</v>
      </c>
      <c r="Q147">
        <f t="shared" si="50"/>
        <v>0</v>
      </c>
      <c r="R147" s="29">
        <f t="shared" si="51"/>
        <v>0</v>
      </c>
      <c r="S147" s="29">
        <f t="shared" si="43"/>
        <v>0</v>
      </c>
      <c r="T147" s="29">
        <f t="shared" si="52"/>
        <v>45965.443525546492</v>
      </c>
      <c r="U147">
        <f t="shared" si="53"/>
        <v>0</v>
      </c>
      <c r="V147" s="29">
        <f t="shared" si="54"/>
        <v>0</v>
      </c>
      <c r="W147" s="29">
        <f t="shared" si="44"/>
        <v>0</v>
      </c>
      <c r="X147" s="29">
        <f t="shared" si="55"/>
        <v>45965.443525546492</v>
      </c>
      <c r="Y147">
        <f t="shared" si="56"/>
        <v>0</v>
      </c>
    </row>
    <row r="148" spans="1:25" x14ac:dyDescent="0.25">
      <c r="A148" s="4" t="s">
        <v>940</v>
      </c>
      <c r="B148" s="7" t="s">
        <v>468</v>
      </c>
      <c r="C148" s="2" t="s">
        <v>941</v>
      </c>
      <c r="D148">
        <f>VLOOKUP(B148,'Model allocations'!$A$1:$L$316,5,FALSE)</f>
        <v>8920.0886468471053</v>
      </c>
      <c r="E148" s="31">
        <f>VLOOKUP(B148,'Initial adjusted formula count'!$A$1:$P$316,12,FALSE)</f>
        <v>0.12676056338028199</v>
      </c>
      <c r="F148">
        <f>VLOOKUP(B148,'Model allocations'!$A$1:$L$316,10,FALSE)</f>
        <v>0</v>
      </c>
      <c r="G148" s="30">
        <f t="shared" si="45"/>
        <v>0.85</v>
      </c>
      <c r="H148">
        <f t="shared" si="46"/>
        <v>0</v>
      </c>
      <c r="I148">
        <f t="shared" si="38"/>
        <v>0</v>
      </c>
      <c r="J148">
        <f t="shared" si="39"/>
        <v>0</v>
      </c>
      <c r="K148">
        <f t="shared" si="40"/>
        <v>0</v>
      </c>
      <c r="L148">
        <f t="shared" si="47"/>
        <v>0</v>
      </c>
      <c r="M148">
        <f t="shared" si="41"/>
        <v>0</v>
      </c>
      <c r="N148" s="29">
        <f t="shared" si="48"/>
        <v>0</v>
      </c>
      <c r="O148" s="29">
        <f t="shared" si="42"/>
        <v>0</v>
      </c>
      <c r="P148" s="29">
        <f t="shared" si="49"/>
        <v>0</v>
      </c>
      <c r="Q148">
        <f t="shared" si="50"/>
        <v>0</v>
      </c>
      <c r="R148" s="29">
        <f t="shared" si="51"/>
        <v>0</v>
      </c>
      <c r="S148" s="29">
        <f t="shared" si="43"/>
        <v>0</v>
      </c>
      <c r="T148" s="29">
        <f t="shared" si="52"/>
        <v>0</v>
      </c>
      <c r="U148">
        <f t="shared" si="53"/>
        <v>0</v>
      </c>
      <c r="V148" s="29">
        <f t="shared" si="54"/>
        <v>0</v>
      </c>
      <c r="W148" s="29">
        <f t="shared" si="44"/>
        <v>0</v>
      </c>
      <c r="X148" s="29">
        <f t="shared" si="55"/>
        <v>0</v>
      </c>
      <c r="Y148">
        <f t="shared" si="56"/>
        <v>0</v>
      </c>
    </row>
    <row r="149" spans="1:25" x14ac:dyDescent="0.25">
      <c r="A149" s="4" t="s">
        <v>942</v>
      </c>
      <c r="B149" s="7" t="s">
        <v>172</v>
      </c>
      <c r="C149" s="2" t="s">
        <v>943</v>
      </c>
      <c r="D149">
        <f>VLOOKUP(B149,'Model allocations'!$A$1:$L$316,5,FALSE)</f>
        <v>194090.29049090773</v>
      </c>
      <c r="E149" s="31">
        <f>VLOOKUP(B149,'Initial adjusted formula count'!$A$1:$P$316,12,FALSE)</f>
        <v>6.1230541141586402E-2</v>
      </c>
      <c r="F149">
        <f>VLOOKUP(B149,'Model allocations'!$A$1:$L$316,10,FALSE)</f>
        <v>175802.26261032731</v>
      </c>
      <c r="G149" s="30">
        <f t="shared" si="45"/>
        <v>0.85</v>
      </c>
      <c r="H149">
        <f t="shared" si="46"/>
        <v>164976.74691727158</v>
      </c>
      <c r="I149">
        <f t="shared" si="38"/>
        <v>0</v>
      </c>
      <c r="J149">
        <f t="shared" si="39"/>
        <v>175802.26261032731</v>
      </c>
      <c r="K149">
        <f t="shared" si="40"/>
        <v>175668.02665435328</v>
      </c>
      <c r="L149">
        <f t="shared" si="47"/>
        <v>175668.02665435328</v>
      </c>
      <c r="M149">
        <f t="shared" si="41"/>
        <v>0</v>
      </c>
      <c r="N149" s="29">
        <f t="shared" si="48"/>
        <v>175668.02665435328</v>
      </c>
      <c r="O149" s="29">
        <f t="shared" si="42"/>
        <v>175658.04895715608</v>
      </c>
      <c r="P149" s="29">
        <f t="shared" si="49"/>
        <v>175658.04895715608</v>
      </c>
      <c r="Q149">
        <f t="shared" si="50"/>
        <v>0</v>
      </c>
      <c r="R149" s="29">
        <f t="shared" si="51"/>
        <v>175658.04895715608</v>
      </c>
      <c r="S149" s="29">
        <f t="shared" si="43"/>
        <v>175657.9863469424</v>
      </c>
      <c r="T149" s="29">
        <f t="shared" si="52"/>
        <v>175657.9863469424</v>
      </c>
      <c r="U149">
        <f t="shared" si="53"/>
        <v>0</v>
      </c>
      <c r="V149" s="29">
        <f t="shared" si="54"/>
        <v>175657.9863469424</v>
      </c>
      <c r="W149" s="29">
        <f t="shared" si="44"/>
        <v>175657.98634694243</v>
      </c>
      <c r="X149" s="29">
        <f t="shared" si="55"/>
        <v>175657.98634694243</v>
      </c>
      <c r="Y149">
        <f t="shared" si="56"/>
        <v>0</v>
      </c>
    </row>
    <row r="150" spans="1:25" x14ac:dyDescent="0.25">
      <c r="A150" s="4" t="s">
        <v>944</v>
      </c>
      <c r="B150" s="7" t="s">
        <v>470</v>
      </c>
      <c r="C150" s="2" t="s">
        <v>945</v>
      </c>
      <c r="D150">
        <f>VLOOKUP(B150,'Model allocations'!$A$1:$L$316,5,FALSE)</f>
        <v>75867.507748334785</v>
      </c>
      <c r="E150" s="31">
        <f>VLOOKUP(B150,'Initial adjusted formula count'!$A$1:$P$316,12,FALSE)</f>
        <v>7.8728236184708603E-2</v>
      </c>
      <c r="F150">
        <f>VLOOKUP(B150,'Model allocations'!$A$1:$L$316,10,FALSE)</f>
        <v>64425.226360112261</v>
      </c>
      <c r="G150" s="30">
        <f t="shared" si="45"/>
        <v>0.85</v>
      </c>
      <c r="H150">
        <f t="shared" si="46"/>
        <v>64487.381586084564</v>
      </c>
      <c r="I150">
        <f t="shared" si="38"/>
        <v>64487.381586084564</v>
      </c>
      <c r="J150">
        <f t="shared" si="39"/>
        <v>0</v>
      </c>
      <c r="K150">
        <f t="shared" si="40"/>
        <v>0</v>
      </c>
      <c r="L150">
        <f t="shared" si="47"/>
        <v>64487.381586084564</v>
      </c>
      <c r="M150">
        <f t="shared" si="41"/>
        <v>0</v>
      </c>
      <c r="N150" s="29">
        <f t="shared" si="48"/>
        <v>0</v>
      </c>
      <c r="O150" s="29">
        <f t="shared" si="42"/>
        <v>0</v>
      </c>
      <c r="P150" s="29">
        <f t="shared" si="49"/>
        <v>64487.381586084564</v>
      </c>
      <c r="Q150">
        <f t="shared" si="50"/>
        <v>0</v>
      </c>
      <c r="R150" s="29">
        <f t="shared" si="51"/>
        <v>0</v>
      </c>
      <c r="S150" s="29">
        <f t="shared" si="43"/>
        <v>0</v>
      </c>
      <c r="T150" s="29">
        <f t="shared" si="52"/>
        <v>64487.381586084564</v>
      </c>
      <c r="U150">
        <f t="shared" si="53"/>
        <v>0</v>
      </c>
      <c r="V150" s="29">
        <f t="shared" si="54"/>
        <v>0</v>
      </c>
      <c r="W150" s="29">
        <f t="shared" si="44"/>
        <v>0</v>
      </c>
      <c r="X150" s="29">
        <f t="shared" si="55"/>
        <v>64487.381586084564</v>
      </c>
      <c r="Y150">
        <f t="shared" si="56"/>
        <v>0</v>
      </c>
    </row>
    <row r="151" spans="1:25" x14ac:dyDescent="0.25">
      <c r="A151" s="4" t="s">
        <v>946</v>
      </c>
      <c r="B151" s="7" t="s">
        <v>472</v>
      </c>
      <c r="C151" s="2" t="s">
        <v>947</v>
      </c>
      <c r="D151">
        <f>VLOOKUP(B151,'Model allocations'!$A$1:$L$316,5,FALSE)</f>
        <v>21764.765657997483</v>
      </c>
      <c r="E151" s="31">
        <f>VLOOKUP(B151,'Initial adjusted formula count'!$A$1:$P$316,12,FALSE)</f>
        <v>9.3567251461988299E-2</v>
      </c>
      <c r="F151">
        <f>VLOOKUP(B151,'Model allocations'!$A$1:$L$316,10,FALSE)</f>
        <v>18500.05080929786</v>
      </c>
      <c r="G151" s="30">
        <f t="shared" si="45"/>
        <v>0.85</v>
      </c>
      <c r="H151">
        <f t="shared" si="46"/>
        <v>18500.05080929786</v>
      </c>
      <c r="I151">
        <f t="shared" si="38"/>
        <v>0</v>
      </c>
      <c r="J151">
        <f t="shared" si="39"/>
        <v>18500.05080929786</v>
      </c>
      <c r="K151">
        <f t="shared" si="40"/>
        <v>18485.924870478411</v>
      </c>
      <c r="L151">
        <f t="shared" si="47"/>
        <v>18485.924870478411</v>
      </c>
      <c r="M151">
        <f t="shared" si="41"/>
        <v>18500.05080929786</v>
      </c>
      <c r="N151" s="29">
        <f t="shared" si="48"/>
        <v>0</v>
      </c>
      <c r="O151" s="29">
        <f t="shared" si="42"/>
        <v>0</v>
      </c>
      <c r="P151" s="29">
        <f t="shared" si="49"/>
        <v>18500.05080929786</v>
      </c>
      <c r="Q151">
        <f t="shared" si="50"/>
        <v>0</v>
      </c>
      <c r="R151" s="29">
        <f t="shared" si="51"/>
        <v>0</v>
      </c>
      <c r="S151" s="29">
        <f t="shared" si="43"/>
        <v>0</v>
      </c>
      <c r="T151" s="29">
        <f t="shared" si="52"/>
        <v>18500.05080929786</v>
      </c>
      <c r="U151">
        <f t="shared" si="53"/>
        <v>0</v>
      </c>
      <c r="V151" s="29">
        <f t="shared" si="54"/>
        <v>0</v>
      </c>
      <c r="W151" s="29">
        <f t="shared" si="44"/>
        <v>0</v>
      </c>
      <c r="X151" s="29">
        <f t="shared" si="55"/>
        <v>18500.05080929786</v>
      </c>
      <c r="Y151">
        <f t="shared" si="56"/>
        <v>0</v>
      </c>
    </row>
    <row r="152" spans="1:25" x14ac:dyDescent="0.25">
      <c r="A152" s="4" t="s">
        <v>948</v>
      </c>
      <c r="B152" s="7" t="s">
        <v>474</v>
      </c>
      <c r="C152" s="2" t="s">
        <v>949</v>
      </c>
      <c r="D152">
        <f>VLOOKUP(B152,'Model allocations'!$A$1:$L$316,5,FALSE)</f>
        <v>882628.74001858779</v>
      </c>
      <c r="E152" s="31">
        <f>VLOOKUP(B152,'Initial adjusted formula count'!$A$1:$P$316,12,FALSE)</f>
        <v>0.20670505964623601</v>
      </c>
      <c r="F152">
        <f>VLOOKUP(B152,'Model allocations'!$A$1:$L$316,10,FALSE)</f>
        <v>1136329.6368965344</v>
      </c>
      <c r="G152" s="30">
        <f t="shared" si="45"/>
        <v>0.9</v>
      </c>
      <c r="H152">
        <f t="shared" si="46"/>
        <v>794365.86601672904</v>
      </c>
      <c r="I152">
        <f t="shared" si="38"/>
        <v>0</v>
      </c>
      <c r="J152">
        <f t="shared" si="39"/>
        <v>1136329.6368965344</v>
      </c>
      <c r="K152">
        <f t="shared" si="40"/>
        <v>1135461.9785806199</v>
      </c>
      <c r="L152">
        <f t="shared" si="47"/>
        <v>1135461.9785806199</v>
      </c>
      <c r="M152">
        <f t="shared" si="41"/>
        <v>0</v>
      </c>
      <c r="N152" s="29">
        <f t="shared" si="48"/>
        <v>1135461.9785806199</v>
      </c>
      <c r="O152" s="29">
        <f t="shared" si="42"/>
        <v>1135397.4859349348</v>
      </c>
      <c r="P152" s="29">
        <f t="shared" si="49"/>
        <v>1135397.4859349348</v>
      </c>
      <c r="Q152">
        <f t="shared" si="50"/>
        <v>0</v>
      </c>
      <c r="R152" s="29">
        <f t="shared" si="51"/>
        <v>1135397.4859349348</v>
      </c>
      <c r="S152" s="29">
        <f t="shared" si="43"/>
        <v>1135397.0812425246</v>
      </c>
      <c r="T152" s="29">
        <f t="shared" si="52"/>
        <v>1135397.0812425246</v>
      </c>
      <c r="U152">
        <f t="shared" si="53"/>
        <v>0</v>
      </c>
      <c r="V152" s="29">
        <f t="shared" si="54"/>
        <v>1135397.0812425246</v>
      </c>
      <c r="W152" s="29">
        <f t="shared" si="44"/>
        <v>1135397.0812425248</v>
      </c>
      <c r="X152" s="29">
        <f t="shared" si="55"/>
        <v>1135397.0812425248</v>
      </c>
      <c r="Y152">
        <f t="shared" si="56"/>
        <v>0</v>
      </c>
    </row>
    <row r="153" spans="1:25" x14ac:dyDescent="0.25">
      <c r="A153" s="4" t="s">
        <v>950</v>
      </c>
      <c r="B153" s="7" t="s">
        <v>476</v>
      </c>
      <c r="C153" s="2" t="s">
        <v>951</v>
      </c>
      <c r="D153">
        <f>VLOOKUP(B153,'Model allocations'!$A$1:$L$316,5,FALSE)</f>
        <v>47339.106797942179</v>
      </c>
      <c r="E153" s="31">
        <f>VLOOKUP(B153,'Initial adjusted formula count'!$A$1:$P$316,12,FALSE)</f>
        <v>0.110027855153203</v>
      </c>
      <c r="F153">
        <f>VLOOKUP(B153,'Model allocations'!$A$1:$L$316,10,FALSE)</f>
        <v>40238.240778250853</v>
      </c>
      <c r="G153" s="30">
        <f t="shared" si="45"/>
        <v>0.85</v>
      </c>
      <c r="H153">
        <f t="shared" si="46"/>
        <v>40238.240778250853</v>
      </c>
      <c r="I153">
        <f t="shared" si="38"/>
        <v>0</v>
      </c>
      <c r="J153">
        <f t="shared" si="39"/>
        <v>40238.240778250853</v>
      </c>
      <c r="K153">
        <f t="shared" si="40"/>
        <v>40207.516380069734</v>
      </c>
      <c r="L153">
        <f t="shared" si="47"/>
        <v>40207.516380069734</v>
      </c>
      <c r="M153">
        <f t="shared" si="41"/>
        <v>40238.240778250853</v>
      </c>
      <c r="N153" s="29">
        <f t="shared" si="48"/>
        <v>0</v>
      </c>
      <c r="O153" s="29">
        <f t="shared" si="42"/>
        <v>0</v>
      </c>
      <c r="P153" s="29">
        <f t="shared" si="49"/>
        <v>40238.240778250853</v>
      </c>
      <c r="Q153">
        <f t="shared" si="50"/>
        <v>0</v>
      </c>
      <c r="R153" s="29">
        <f t="shared" si="51"/>
        <v>0</v>
      </c>
      <c r="S153" s="29">
        <f t="shared" si="43"/>
        <v>0</v>
      </c>
      <c r="T153" s="29">
        <f t="shared" si="52"/>
        <v>40238.240778250853</v>
      </c>
      <c r="U153">
        <f t="shared" si="53"/>
        <v>0</v>
      </c>
      <c r="V153" s="29">
        <f t="shared" si="54"/>
        <v>0</v>
      </c>
      <c r="W153" s="29">
        <f t="shared" si="44"/>
        <v>0</v>
      </c>
      <c r="X153" s="29">
        <f t="shared" si="55"/>
        <v>40238.240778250853</v>
      </c>
      <c r="Y153">
        <f t="shared" si="56"/>
        <v>0</v>
      </c>
    </row>
    <row r="154" spans="1:25" x14ac:dyDescent="0.25">
      <c r="A154" s="4" t="s">
        <v>952</v>
      </c>
      <c r="B154" s="7" t="s">
        <v>478</v>
      </c>
      <c r="C154" s="2" t="s">
        <v>953</v>
      </c>
      <c r="D154">
        <f>VLOOKUP(B154,'Model allocations'!$A$1:$L$316,5,FALSE)</f>
        <v>133945.01457489276</v>
      </c>
      <c r="E154" s="31">
        <f>VLOOKUP(B154,'Initial adjusted formula count'!$A$1:$P$316,12,FALSE)</f>
        <v>0.13608870967741901</v>
      </c>
      <c r="F154">
        <f>VLOOKUP(B154,'Model allocations'!$A$1:$L$316,10,FALSE)</f>
        <v>113958.7119161391</v>
      </c>
      <c r="G154" s="30">
        <f t="shared" si="45"/>
        <v>0.85</v>
      </c>
      <c r="H154">
        <f t="shared" si="46"/>
        <v>113853.26238865884</v>
      </c>
      <c r="I154">
        <f t="shared" si="38"/>
        <v>0</v>
      </c>
      <c r="J154">
        <f t="shared" si="39"/>
        <v>113958.7119161391</v>
      </c>
      <c r="K154">
        <f t="shared" si="40"/>
        <v>113871.69735552711</v>
      </c>
      <c r="L154">
        <f t="shared" si="47"/>
        <v>113871.69735552711</v>
      </c>
      <c r="M154">
        <f t="shared" si="41"/>
        <v>0</v>
      </c>
      <c r="N154" s="29">
        <f t="shared" si="48"/>
        <v>113871.69735552711</v>
      </c>
      <c r="O154" s="29">
        <f t="shared" si="42"/>
        <v>113865.2296030443</v>
      </c>
      <c r="P154" s="29">
        <f t="shared" si="49"/>
        <v>113865.2296030443</v>
      </c>
      <c r="Q154">
        <f t="shared" si="50"/>
        <v>0</v>
      </c>
      <c r="R154" s="29">
        <f t="shared" si="51"/>
        <v>113865.2296030443</v>
      </c>
      <c r="S154" s="29">
        <f t="shared" si="43"/>
        <v>113865.1890177913</v>
      </c>
      <c r="T154" s="29">
        <f t="shared" si="52"/>
        <v>113865.1890177913</v>
      </c>
      <c r="U154">
        <f t="shared" si="53"/>
        <v>0</v>
      </c>
      <c r="V154" s="29">
        <f t="shared" si="54"/>
        <v>113865.1890177913</v>
      </c>
      <c r="W154" s="29">
        <f t="shared" si="44"/>
        <v>113865.18901779132</v>
      </c>
      <c r="X154" s="29">
        <f t="shared" si="55"/>
        <v>113865.18901779132</v>
      </c>
      <c r="Y154">
        <f t="shared" si="56"/>
        <v>0</v>
      </c>
    </row>
    <row r="155" spans="1:25" x14ac:dyDescent="0.25">
      <c r="A155" s="4" t="s">
        <v>954</v>
      </c>
      <c r="B155" s="7" t="s">
        <v>480</v>
      </c>
      <c r="C155" s="2" t="s">
        <v>955</v>
      </c>
      <c r="D155">
        <f>VLOOKUP(B155,'Model allocations'!$A$1:$L$316,5,FALSE)</f>
        <v>128279.02185841523</v>
      </c>
      <c r="E155" s="31">
        <f>VLOOKUP(B155,'Initial adjusted formula count'!$A$1:$P$316,12,FALSE)</f>
        <v>7.5041459369817598E-2</v>
      </c>
      <c r="F155">
        <f>VLOOKUP(B155,'Model allocations'!$A$1:$L$316,10,FALSE)</f>
        <v>109037.16857965295</v>
      </c>
      <c r="G155" s="30">
        <f t="shared" si="45"/>
        <v>0.85</v>
      </c>
      <c r="H155">
        <f t="shared" si="46"/>
        <v>109037.16857965295</v>
      </c>
      <c r="I155">
        <f t="shared" si="38"/>
        <v>0</v>
      </c>
      <c r="J155">
        <f t="shared" si="39"/>
        <v>109037.16857965295</v>
      </c>
      <c r="K155">
        <f t="shared" si="40"/>
        <v>108953.91192331836</v>
      </c>
      <c r="L155">
        <f t="shared" si="47"/>
        <v>108953.91192331836</v>
      </c>
      <c r="M155">
        <f t="shared" si="41"/>
        <v>109037.16857965295</v>
      </c>
      <c r="N155" s="29">
        <f t="shared" si="48"/>
        <v>0</v>
      </c>
      <c r="O155" s="29">
        <f t="shared" si="42"/>
        <v>0</v>
      </c>
      <c r="P155" s="29">
        <f t="shared" si="49"/>
        <v>109037.16857965295</v>
      </c>
      <c r="Q155">
        <f t="shared" si="50"/>
        <v>0</v>
      </c>
      <c r="R155" s="29">
        <f t="shared" si="51"/>
        <v>0</v>
      </c>
      <c r="S155" s="29">
        <f t="shared" si="43"/>
        <v>0</v>
      </c>
      <c r="T155" s="29">
        <f t="shared" si="52"/>
        <v>109037.16857965295</v>
      </c>
      <c r="U155">
        <f t="shared" si="53"/>
        <v>0</v>
      </c>
      <c r="V155" s="29">
        <f t="shared" si="54"/>
        <v>0</v>
      </c>
      <c r="W155" s="29">
        <f t="shared" si="44"/>
        <v>0</v>
      </c>
      <c r="X155" s="29">
        <f t="shared" si="55"/>
        <v>109037.16857965295</v>
      </c>
      <c r="Y155">
        <f t="shared" si="56"/>
        <v>0</v>
      </c>
    </row>
    <row r="156" spans="1:25" x14ac:dyDescent="0.25">
      <c r="A156" s="4" t="s">
        <v>956</v>
      </c>
      <c r="B156" s="7" t="s">
        <v>174</v>
      </c>
      <c r="C156" s="2" t="s">
        <v>957</v>
      </c>
      <c r="D156">
        <f>VLOOKUP(B156,'Model allocations'!$A$1:$L$316,5,FALSE)</f>
        <v>0</v>
      </c>
      <c r="E156" s="31">
        <f>VLOOKUP(B156,'Initial adjusted formula count'!$A$1:$P$316,12,FALSE)</f>
        <v>0.128205128205128</v>
      </c>
      <c r="F156">
        <f>VLOOKUP(B156,'Model allocations'!$A$1:$L$316,10,FALSE)</f>
        <v>0</v>
      </c>
      <c r="G156" s="30">
        <f t="shared" si="45"/>
        <v>0.85</v>
      </c>
      <c r="H156">
        <f t="shared" si="46"/>
        <v>0</v>
      </c>
      <c r="I156">
        <f t="shared" si="38"/>
        <v>0</v>
      </c>
      <c r="J156">
        <f t="shared" si="39"/>
        <v>0</v>
      </c>
      <c r="K156">
        <f t="shared" si="40"/>
        <v>0</v>
      </c>
      <c r="L156">
        <f t="shared" si="47"/>
        <v>0</v>
      </c>
      <c r="M156">
        <f t="shared" si="41"/>
        <v>0</v>
      </c>
      <c r="N156" s="29">
        <f t="shared" si="48"/>
        <v>0</v>
      </c>
      <c r="O156" s="29">
        <f t="shared" si="42"/>
        <v>0</v>
      </c>
      <c r="P156" s="29">
        <f t="shared" si="49"/>
        <v>0</v>
      </c>
      <c r="Q156">
        <f t="shared" si="50"/>
        <v>0</v>
      </c>
      <c r="R156" s="29">
        <f t="shared" si="51"/>
        <v>0</v>
      </c>
      <c r="S156" s="29">
        <f t="shared" si="43"/>
        <v>0</v>
      </c>
      <c r="T156" s="29">
        <f t="shared" si="52"/>
        <v>0</v>
      </c>
      <c r="U156">
        <f t="shared" si="53"/>
        <v>0</v>
      </c>
      <c r="V156" s="29">
        <f t="shared" si="54"/>
        <v>0</v>
      </c>
      <c r="W156" s="29">
        <f t="shared" si="44"/>
        <v>0</v>
      </c>
      <c r="X156" s="29">
        <f t="shared" si="55"/>
        <v>0</v>
      </c>
      <c r="Y156">
        <f t="shared" si="56"/>
        <v>0</v>
      </c>
    </row>
    <row r="157" spans="1:25" x14ac:dyDescent="0.25">
      <c r="A157" s="4" t="s">
        <v>958</v>
      </c>
      <c r="B157" s="7" t="s">
        <v>482</v>
      </c>
      <c r="C157" s="9" t="s">
        <v>959</v>
      </c>
      <c r="D157">
        <f>VLOOKUP(B157,'Model allocations'!$A$1:$L$316,5,FALSE)</f>
        <v>425489.51371116948</v>
      </c>
      <c r="E157" s="31">
        <f>VLOOKUP(B157,'Initial adjusted formula count'!$A$1:$P$316,12,FALSE)</f>
        <v>0.114734657574859</v>
      </c>
      <c r="F157">
        <f>VLOOKUP(B157,'Model allocations'!$A$1:$L$316,10,FALSE)</f>
        <v>361954.57443870272</v>
      </c>
      <c r="G157" s="30">
        <f t="shared" si="45"/>
        <v>0.85</v>
      </c>
      <c r="H157">
        <f t="shared" si="46"/>
        <v>361666.08665449405</v>
      </c>
      <c r="I157">
        <f t="shared" si="38"/>
        <v>0</v>
      </c>
      <c r="J157">
        <f t="shared" si="39"/>
        <v>361954.57443870272</v>
      </c>
      <c r="K157">
        <f t="shared" si="40"/>
        <v>361678.19962078216</v>
      </c>
      <c r="L157">
        <f t="shared" si="47"/>
        <v>361678.19962078216</v>
      </c>
      <c r="M157">
        <f t="shared" si="41"/>
        <v>0</v>
      </c>
      <c r="N157" s="29">
        <f t="shared" si="48"/>
        <v>361678.19962078216</v>
      </c>
      <c r="O157" s="29">
        <f t="shared" si="42"/>
        <v>361657.65680700226</v>
      </c>
      <c r="P157" s="29">
        <f t="shared" si="49"/>
        <v>361657.65680700226</v>
      </c>
      <c r="Q157">
        <f t="shared" si="50"/>
        <v>361666.08665449405</v>
      </c>
      <c r="R157" s="29">
        <f t="shared" si="51"/>
        <v>0</v>
      </c>
      <c r="S157" s="29">
        <f t="shared" si="43"/>
        <v>0</v>
      </c>
      <c r="T157" s="29">
        <f t="shared" si="52"/>
        <v>361666.08665449405</v>
      </c>
      <c r="U157">
        <f t="shared" si="53"/>
        <v>0</v>
      </c>
      <c r="V157" s="29">
        <f t="shared" si="54"/>
        <v>0</v>
      </c>
      <c r="W157" s="29">
        <f t="shared" si="44"/>
        <v>0</v>
      </c>
      <c r="X157" s="29">
        <f t="shared" si="55"/>
        <v>361666.08665449405</v>
      </c>
      <c r="Y157">
        <f t="shared" si="56"/>
        <v>0</v>
      </c>
    </row>
    <row r="158" spans="1:25" x14ac:dyDescent="0.25">
      <c r="A158" s="4" t="s">
        <v>960</v>
      </c>
      <c r="B158" s="7" t="s">
        <v>285</v>
      </c>
      <c r="C158" s="2" t="s">
        <v>961</v>
      </c>
      <c r="D158">
        <f>VLOOKUP(B158,'Model allocations'!$A$1:$L$316,5,FALSE)</f>
        <v>1443520.3354329171</v>
      </c>
      <c r="E158" s="31">
        <f>VLOOKUP(B158,'Initial adjusted formula count'!$A$1:$P$316,12,FALSE)</f>
        <v>0.13799324874869001</v>
      </c>
      <c r="F158">
        <f>VLOOKUP(B158,'Model allocations'!$A$1:$L$316,10,FALSE)</f>
        <v>1390029.7543680964</v>
      </c>
      <c r="G158" s="30">
        <f t="shared" si="45"/>
        <v>0.85</v>
      </c>
      <c r="H158">
        <f t="shared" si="46"/>
        <v>1226992.2851179796</v>
      </c>
      <c r="I158">
        <f t="shared" si="38"/>
        <v>0</v>
      </c>
      <c r="J158">
        <f t="shared" si="39"/>
        <v>1390029.7543680964</v>
      </c>
      <c r="K158">
        <f t="shared" si="40"/>
        <v>1388968.3802416238</v>
      </c>
      <c r="L158">
        <f t="shared" si="47"/>
        <v>1388968.3802416238</v>
      </c>
      <c r="M158">
        <f t="shared" si="41"/>
        <v>0</v>
      </c>
      <c r="N158" s="29">
        <f t="shared" si="48"/>
        <v>1388968.3802416238</v>
      </c>
      <c r="O158" s="29">
        <f t="shared" si="42"/>
        <v>1388889.4887883612</v>
      </c>
      <c r="P158" s="29">
        <f t="shared" si="49"/>
        <v>1388889.4887883612</v>
      </c>
      <c r="Q158">
        <f t="shared" si="50"/>
        <v>0</v>
      </c>
      <c r="R158" s="29">
        <f t="shared" si="51"/>
        <v>1388889.4887883612</v>
      </c>
      <c r="S158" s="29">
        <f t="shared" si="43"/>
        <v>1388888.9937431968</v>
      </c>
      <c r="T158" s="29">
        <f t="shared" si="52"/>
        <v>1388888.9937431968</v>
      </c>
      <c r="U158">
        <f t="shared" si="53"/>
        <v>0</v>
      </c>
      <c r="V158" s="29">
        <f t="shared" si="54"/>
        <v>1388888.9937431968</v>
      </c>
      <c r="W158" s="29">
        <f t="shared" si="44"/>
        <v>1388888.9937431971</v>
      </c>
      <c r="X158" s="29">
        <f t="shared" si="55"/>
        <v>1388888.9937431971</v>
      </c>
      <c r="Y158">
        <f t="shared" si="56"/>
        <v>0</v>
      </c>
    </row>
    <row r="159" spans="1:25" x14ac:dyDescent="0.25">
      <c r="A159" s="4" t="s">
        <v>962</v>
      </c>
      <c r="B159" s="7" t="s">
        <v>484</v>
      </c>
      <c r="C159" s="2" t="s">
        <v>963</v>
      </c>
      <c r="D159">
        <f>VLOOKUP(B159,'Model allocations'!$A$1:$L$316,5,FALSE)</f>
        <v>76611.902577073372</v>
      </c>
      <c r="E159" s="31">
        <f>VLOOKUP(B159,'Initial adjusted formula count'!$A$1:$P$316,12,FALSE)</f>
        <v>0.117903930131004</v>
      </c>
      <c r="F159">
        <f>VLOOKUP(B159,'Model allocations'!$A$1:$L$316,10,FALSE)</f>
        <v>80451.882889471832</v>
      </c>
      <c r="G159" s="30">
        <f t="shared" si="45"/>
        <v>0.85</v>
      </c>
      <c r="H159">
        <f t="shared" si="46"/>
        <v>65120.117190512363</v>
      </c>
      <c r="I159">
        <f t="shared" si="38"/>
        <v>0</v>
      </c>
      <c r="J159">
        <f t="shared" si="39"/>
        <v>80451.882889471832</v>
      </c>
      <c r="K159">
        <f t="shared" si="40"/>
        <v>80390.452875721006</v>
      </c>
      <c r="L159">
        <f t="shared" si="47"/>
        <v>80390.452875721006</v>
      </c>
      <c r="M159">
        <f t="shared" si="41"/>
        <v>0</v>
      </c>
      <c r="N159" s="29">
        <f t="shared" si="48"/>
        <v>80390.452875721006</v>
      </c>
      <c r="O159" s="29">
        <f t="shared" si="42"/>
        <v>80385.886810901939</v>
      </c>
      <c r="P159" s="29">
        <f t="shared" si="49"/>
        <v>80385.886810901939</v>
      </c>
      <c r="Q159">
        <f t="shared" si="50"/>
        <v>0</v>
      </c>
      <c r="R159" s="29">
        <f t="shared" si="51"/>
        <v>80385.886810901939</v>
      </c>
      <c r="S159" s="29">
        <f t="shared" si="43"/>
        <v>80385.85815877025</v>
      </c>
      <c r="T159" s="29">
        <f t="shared" si="52"/>
        <v>80385.85815877025</v>
      </c>
      <c r="U159">
        <f t="shared" si="53"/>
        <v>0</v>
      </c>
      <c r="V159" s="29">
        <f t="shared" si="54"/>
        <v>80385.85815877025</v>
      </c>
      <c r="W159" s="29">
        <f t="shared" si="44"/>
        <v>80385.85815877025</v>
      </c>
      <c r="X159" s="29">
        <f t="shared" si="55"/>
        <v>80385.85815877025</v>
      </c>
      <c r="Y159">
        <f t="shared" si="56"/>
        <v>0</v>
      </c>
    </row>
    <row r="160" spans="1:25" x14ac:dyDescent="0.25">
      <c r="A160" s="4" t="s">
        <v>964</v>
      </c>
      <c r="B160" s="7" t="s">
        <v>486</v>
      </c>
      <c r="C160" s="2" t="s">
        <v>965</v>
      </c>
      <c r="D160">
        <f>VLOOKUP(B160,'Model allocations'!$A$1:$L$316,5,FALSE)</f>
        <v>36889.731238012711</v>
      </c>
      <c r="E160" s="31">
        <f>VLOOKUP(B160,'Initial adjusted formula count'!$A$1:$P$316,12,FALSE)</f>
        <v>0.10678391959799</v>
      </c>
      <c r="F160">
        <f>VLOOKUP(B160,'Model allocations'!$A$1:$L$316,10,FALSE)</f>
        <v>36182.063733360337</v>
      </c>
      <c r="G160" s="30">
        <f t="shared" si="45"/>
        <v>0.85</v>
      </c>
      <c r="H160">
        <f t="shared" si="46"/>
        <v>31356.271552310805</v>
      </c>
      <c r="I160">
        <f t="shared" si="38"/>
        <v>0</v>
      </c>
      <c r="J160">
        <f t="shared" si="39"/>
        <v>36182.063733360337</v>
      </c>
      <c r="K160">
        <f t="shared" si="40"/>
        <v>36154.43647849885</v>
      </c>
      <c r="L160">
        <f t="shared" si="47"/>
        <v>36154.43647849885</v>
      </c>
      <c r="M160">
        <f t="shared" si="41"/>
        <v>0</v>
      </c>
      <c r="N160" s="29">
        <f t="shared" si="48"/>
        <v>36154.43647849885</v>
      </c>
      <c r="O160" s="29">
        <f t="shared" si="42"/>
        <v>36152.382957283931</v>
      </c>
      <c r="P160" s="29">
        <f t="shared" si="49"/>
        <v>36152.382957283931</v>
      </c>
      <c r="Q160">
        <f t="shared" si="50"/>
        <v>0</v>
      </c>
      <c r="R160" s="29">
        <f t="shared" si="51"/>
        <v>36152.382957283931</v>
      </c>
      <c r="S160" s="29">
        <f t="shared" si="43"/>
        <v>36152.370071404599</v>
      </c>
      <c r="T160" s="29">
        <f t="shared" si="52"/>
        <v>36152.370071404599</v>
      </c>
      <c r="U160">
        <f t="shared" si="53"/>
        <v>0</v>
      </c>
      <c r="V160" s="29">
        <f t="shared" si="54"/>
        <v>36152.370071404599</v>
      </c>
      <c r="W160" s="29">
        <f t="shared" si="44"/>
        <v>36152.370071404599</v>
      </c>
      <c r="X160" s="29">
        <f t="shared" si="55"/>
        <v>36152.370071404599</v>
      </c>
      <c r="Y160">
        <f t="shared" si="56"/>
        <v>0</v>
      </c>
    </row>
    <row r="161" spans="1:25" x14ac:dyDescent="0.25">
      <c r="A161" s="4" t="s">
        <v>966</v>
      </c>
      <c r="B161" s="7" t="s">
        <v>488</v>
      </c>
      <c r="C161" s="2" t="s">
        <v>967</v>
      </c>
      <c r="D161">
        <f>VLOOKUP(B161,'Model allocations'!$A$1:$L$316,5,FALSE)</f>
        <v>16768.059653642144</v>
      </c>
      <c r="E161" s="31">
        <f>VLOOKUP(B161,'Initial adjusted formula count'!$A$1:$P$316,12,FALSE)</f>
        <v>0.12615384615384601</v>
      </c>
      <c r="F161">
        <f>VLOOKUP(B161,'Model allocations'!$A$1:$L$316,10,FALSE)</f>
        <v>17452.524859620869</v>
      </c>
      <c r="G161" s="30">
        <f t="shared" si="45"/>
        <v>0.85</v>
      </c>
      <c r="H161">
        <f t="shared" si="46"/>
        <v>14252.850705595822</v>
      </c>
      <c r="I161">
        <f t="shared" si="38"/>
        <v>0</v>
      </c>
      <c r="J161">
        <f t="shared" si="39"/>
        <v>17452.524859620869</v>
      </c>
      <c r="K161">
        <f t="shared" si="40"/>
        <v>17439.198771981803</v>
      </c>
      <c r="L161">
        <f t="shared" si="47"/>
        <v>17439.198771981803</v>
      </c>
      <c r="M161">
        <f t="shared" si="41"/>
        <v>0</v>
      </c>
      <c r="N161" s="29">
        <f t="shared" si="48"/>
        <v>17439.198771981803</v>
      </c>
      <c r="O161" s="29">
        <f t="shared" si="42"/>
        <v>17438.208249984014</v>
      </c>
      <c r="P161" s="29">
        <f t="shared" si="49"/>
        <v>17438.208249984014</v>
      </c>
      <c r="Q161">
        <f t="shared" si="50"/>
        <v>0</v>
      </c>
      <c r="R161" s="29">
        <f t="shared" si="51"/>
        <v>17438.208249984014</v>
      </c>
      <c r="S161" s="29">
        <f t="shared" si="43"/>
        <v>17438.20203444222</v>
      </c>
      <c r="T161" s="29">
        <f t="shared" si="52"/>
        <v>17438.20203444222</v>
      </c>
      <c r="U161">
        <f t="shared" si="53"/>
        <v>0</v>
      </c>
      <c r="V161" s="29">
        <f t="shared" si="54"/>
        <v>17438.20203444222</v>
      </c>
      <c r="W161" s="29">
        <f t="shared" si="44"/>
        <v>17438.20203444222</v>
      </c>
      <c r="X161" s="29">
        <f t="shared" si="55"/>
        <v>17438.20203444222</v>
      </c>
      <c r="Y161">
        <f t="shared" si="56"/>
        <v>0</v>
      </c>
    </row>
    <row r="162" spans="1:25" x14ac:dyDescent="0.25">
      <c r="A162" s="4" t="s">
        <v>968</v>
      </c>
      <c r="B162" s="7" t="s">
        <v>490</v>
      </c>
      <c r="C162" s="2" t="s">
        <v>969</v>
      </c>
      <c r="D162">
        <f>VLOOKUP(B162,'Model allocations'!$A$1:$L$316,5,FALSE)</f>
        <v>44209.806719735629</v>
      </c>
      <c r="E162" s="31">
        <f>VLOOKUP(B162,'Initial adjusted formula count'!$A$1:$P$316,12,FALSE)</f>
        <v>0.314285714285714</v>
      </c>
      <c r="F162">
        <f>VLOOKUP(B162,'Model allocations'!$A$1:$L$316,10,FALSE)</f>
        <v>53453.944318900678</v>
      </c>
      <c r="G162" s="30">
        <f t="shared" si="45"/>
        <v>0.95</v>
      </c>
      <c r="H162">
        <f t="shared" si="46"/>
        <v>41999.316383748846</v>
      </c>
      <c r="I162">
        <f t="shared" si="38"/>
        <v>0</v>
      </c>
      <c r="J162">
        <f t="shared" si="39"/>
        <v>53453.944318900678</v>
      </c>
      <c r="K162">
        <f t="shared" si="40"/>
        <v>53413.128909532854</v>
      </c>
      <c r="L162">
        <f t="shared" si="47"/>
        <v>53413.128909532854</v>
      </c>
      <c r="M162">
        <f t="shared" si="41"/>
        <v>0</v>
      </c>
      <c r="N162" s="29">
        <f t="shared" si="48"/>
        <v>53413.128909532854</v>
      </c>
      <c r="O162" s="29">
        <f t="shared" si="42"/>
        <v>53410.095118826801</v>
      </c>
      <c r="P162" s="29">
        <f t="shared" si="49"/>
        <v>53410.095118826801</v>
      </c>
      <c r="Q162">
        <f t="shared" si="50"/>
        <v>0</v>
      </c>
      <c r="R162" s="29">
        <f t="shared" si="51"/>
        <v>53410.095118826801</v>
      </c>
      <c r="S162" s="29">
        <f t="shared" si="43"/>
        <v>53410.076081740321</v>
      </c>
      <c r="T162" s="29">
        <f t="shared" si="52"/>
        <v>53410.076081740321</v>
      </c>
      <c r="U162">
        <f t="shared" si="53"/>
        <v>0</v>
      </c>
      <c r="V162" s="29">
        <f t="shared" si="54"/>
        <v>53410.076081740321</v>
      </c>
      <c r="W162" s="29">
        <f t="shared" si="44"/>
        <v>53410.076081740328</v>
      </c>
      <c r="X162" s="29">
        <f t="shared" si="55"/>
        <v>53410.076081740328</v>
      </c>
      <c r="Y162">
        <f t="shared" si="56"/>
        <v>0</v>
      </c>
    </row>
    <row r="163" spans="1:25" x14ac:dyDescent="0.25">
      <c r="A163" s="4" t="s">
        <v>970</v>
      </c>
      <c r="B163" s="7" t="s">
        <v>492</v>
      </c>
      <c r="C163" s="2" t="s">
        <v>971</v>
      </c>
      <c r="D163">
        <f>VLOOKUP(B163,'Model allocations'!$A$1:$L$316,5,FALSE)</f>
        <v>133894.84274104345</v>
      </c>
      <c r="E163" s="31">
        <f>VLOOKUP(B163,'Initial adjusted formula count'!$A$1:$P$316,12,FALSE)</f>
        <v>0.171171171171171</v>
      </c>
      <c r="F163">
        <f>VLOOKUP(B163,'Model allocations'!$A$1:$L$316,10,FALSE)</f>
        <v>120589.03237010495</v>
      </c>
      <c r="G163" s="30">
        <f t="shared" si="45"/>
        <v>0.9</v>
      </c>
      <c r="H163">
        <f t="shared" si="46"/>
        <v>120505.35846693911</v>
      </c>
      <c r="I163">
        <f t="shared" si="38"/>
        <v>0</v>
      </c>
      <c r="J163">
        <f t="shared" si="39"/>
        <v>120589.03237010495</v>
      </c>
      <c r="K163">
        <f t="shared" si="40"/>
        <v>120496.95514766291</v>
      </c>
      <c r="L163">
        <f t="shared" si="47"/>
        <v>120496.95514766291</v>
      </c>
      <c r="M163">
        <f t="shared" si="41"/>
        <v>120505.35846693911</v>
      </c>
      <c r="N163" s="29">
        <f t="shared" si="48"/>
        <v>0</v>
      </c>
      <c r="O163" s="29">
        <f t="shared" si="42"/>
        <v>0</v>
      </c>
      <c r="P163" s="29">
        <f t="shared" si="49"/>
        <v>120505.35846693911</v>
      </c>
      <c r="Q163">
        <f t="shared" si="50"/>
        <v>0</v>
      </c>
      <c r="R163" s="29">
        <f t="shared" si="51"/>
        <v>0</v>
      </c>
      <c r="S163" s="29">
        <f t="shared" si="43"/>
        <v>0</v>
      </c>
      <c r="T163" s="29">
        <f t="shared" si="52"/>
        <v>120505.35846693911</v>
      </c>
      <c r="U163">
        <f t="shared" si="53"/>
        <v>0</v>
      </c>
      <c r="V163" s="29">
        <f t="shared" si="54"/>
        <v>0</v>
      </c>
      <c r="W163" s="29">
        <f t="shared" si="44"/>
        <v>0</v>
      </c>
      <c r="X163" s="29">
        <f t="shared" si="55"/>
        <v>120505.35846693911</v>
      </c>
      <c r="Y163">
        <f t="shared" si="56"/>
        <v>0</v>
      </c>
    </row>
    <row r="164" spans="1:25" x14ac:dyDescent="0.25">
      <c r="A164" s="4" t="s">
        <v>972</v>
      </c>
      <c r="B164" s="7" t="s">
        <v>494</v>
      </c>
      <c r="C164" s="2" t="s">
        <v>973</v>
      </c>
      <c r="D164">
        <f>VLOOKUP(B164,'Model allocations'!$A$1:$L$316,5,FALSE)</f>
        <v>72591.647621933953</v>
      </c>
      <c r="E164" s="31">
        <f>VLOOKUP(B164,'Initial adjusted formula count'!$A$1:$P$316,12,FALSE)</f>
        <v>8.6317135549872095E-2</v>
      </c>
      <c r="F164">
        <f>VLOOKUP(B164,'Model allocations'!$A$1:$L$316,10,FALSE)</f>
        <v>61882.062451775171</v>
      </c>
      <c r="G164" s="30">
        <f t="shared" si="45"/>
        <v>0.85</v>
      </c>
      <c r="H164">
        <f t="shared" si="46"/>
        <v>61702.90047864386</v>
      </c>
      <c r="I164">
        <f t="shared" si="38"/>
        <v>0</v>
      </c>
      <c r="J164">
        <f t="shared" si="39"/>
        <v>61882.062451775171</v>
      </c>
      <c r="K164">
        <f t="shared" si="40"/>
        <v>61834.811650292191</v>
      </c>
      <c r="L164">
        <f t="shared" si="47"/>
        <v>61834.811650292191</v>
      </c>
      <c r="M164">
        <f t="shared" si="41"/>
        <v>0</v>
      </c>
      <c r="N164" s="29">
        <f t="shared" si="48"/>
        <v>61834.811650292191</v>
      </c>
      <c r="O164" s="29">
        <f t="shared" si="42"/>
        <v>61831.299519834291</v>
      </c>
      <c r="P164" s="29">
        <f t="shared" si="49"/>
        <v>61831.299519834291</v>
      </c>
      <c r="Q164">
        <f t="shared" si="50"/>
        <v>0</v>
      </c>
      <c r="R164" s="29">
        <f t="shared" si="51"/>
        <v>61831.299519834291</v>
      </c>
      <c r="S164" s="29">
        <f t="shared" si="43"/>
        <v>61831.277481158017</v>
      </c>
      <c r="T164" s="29">
        <f t="shared" si="52"/>
        <v>61831.277481158017</v>
      </c>
      <c r="U164">
        <f t="shared" si="53"/>
        <v>0</v>
      </c>
      <c r="V164" s="29">
        <f t="shared" si="54"/>
        <v>61831.277481158017</v>
      </c>
      <c r="W164" s="29">
        <f t="shared" si="44"/>
        <v>61831.277481158024</v>
      </c>
      <c r="X164" s="29">
        <f t="shared" si="55"/>
        <v>61831.277481158024</v>
      </c>
      <c r="Y164">
        <f t="shared" si="56"/>
        <v>0</v>
      </c>
    </row>
    <row r="165" spans="1:25" x14ac:dyDescent="0.25">
      <c r="A165" s="4" t="s">
        <v>974</v>
      </c>
      <c r="B165" s="7" t="s">
        <v>176</v>
      </c>
      <c r="C165" s="2" t="s">
        <v>975</v>
      </c>
      <c r="D165">
        <f>VLOOKUP(B165,'Model allocations'!$A$1:$L$316,5,FALSE)</f>
        <v>104381.17134392231</v>
      </c>
      <c r="E165" s="31">
        <f>VLOOKUP(B165,'Initial adjusted formula count'!$A$1:$P$316,12,FALSE)</f>
        <v>7.8117862037460004E-2</v>
      </c>
      <c r="F165">
        <f>VLOOKUP(B165,'Model allocations'!$A$1:$L$316,10,FALSE)</f>
        <v>88697.912407158074</v>
      </c>
      <c r="G165" s="30">
        <f t="shared" si="45"/>
        <v>0.85</v>
      </c>
      <c r="H165">
        <f t="shared" si="46"/>
        <v>88723.995642333961</v>
      </c>
      <c r="I165">
        <f t="shared" si="38"/>
        <v>88723.995642333961</v>
      </c>
      <c r="J165">
        <f t="shared" si="39"/>
        <v>0</v>
      </c>
      <c r="K165">
        <f t="shared" si="40"/>
        <v>0</v>
      </c>
      <c r="L165">
        <f t="shared" si="47"/>
        <v>88723.995642333961</v>
      </c>
      <c r="M165">
        <f t="shared" si="41"/>
        <v>0</v>
      </c>
      <c r="N165" s="29">
        <f t="shared" si="48"/>
        <v>0</v>
      </c>
      <c r="O165" s="29">
        <f t="shared" si="42"/>
        <v>0</v>
      </c>
      <c r="P165" s="29">
        <f t="shared" si="49"/>
        <v>88723.995642333961</v>
      </c>
      <c r="Q165">
        <f t="shared" si="50"/>
        <v>0</v>
      </c>
      <c r="R165" s="29">
        <f t="shared" si="51"/>
        <v>0</v>
      </c>
      <c r="S165" s="29">
        <f t="shared" si="43"/>
        <v>0</v>
      </c>
      <c r="T165" s="29">
        <f t="shared" si="52"/>
        <v>88723.995642333961</v>
      </c>
      <c r="U165">
        <f t="shared" si="53"/>
        <v>0</v>
      </c>
      <c r="V165" s="29">
        <f t="shared" si="54"/>
        <v>0</v>
      </c>
      <c r="W165" s="29">
        <f t="shared" si="44"/>
        <v>0</v>
      </c>
      <c r="X165" s="29">
        <f t="shared" si="55"/>
        <v>88723.995642333961</v>
      </c>
      <c r="Y165">
        <f t="shared" si="56"/>
        <v>0</v>
      </c>
    </row>
    <row r="166" spans="1:25" x14ac:dyDescent="0.25">
      <c r="A166" s="4" t="s">
        <v>976</v>
      </c>
      <c r="B166" s="7" t="s">
        <v>496</v>
      </c>
      <c r="C166" s="2" t="s">
        <v>977</v>
      </c>
      <c r="D166">
        <f>VLOOKUP(B166,'Model allocations'!$A$1:$L$316,5,FALSE)</f>
        <v>74554.731004663045</v>
      </c>
      <c r="E166" s="31">
        <f>VLOOKUP(B166,'Initial adjusted formula count'!$A$1:$P$316,12,FALSE)</f>
        <v>0.19914040114613199</v>
      </c>
      <c r="F166">
        <f>VLOOKUP(B166,'Model allocations'!$A$1:$L$316,10,FALSE)</f>
        <v>68826.245274872694</v>
      </c>
      <c r="G166" s="30">
        <f t="shared" si="45"/>
        <v>0.9</v>
      </c>
      <c r="H166">
        <f t="shared" si="46"/>
        <v>67099.25790419674</v>
      </c>
      <c r="I166">
        <f t="shared" si="38"/>
        <v>0</v>
      </c>
      <c r="J166">
        <f t="shared" si="39"/>
        <v>68826.245274872694</v>
      </c>
      <c r="K166">
        <f t="shared" si="40"/>
        <v>68773.692158130085</v>
      </c>
      <c r="L166">
        <f t="shared" si="47"/>
        <v>68773.692158130085</v>
      </c>
      <c r="M166">
        <f t="shared" si="41"/>
        <v>0</v>
      </c>
      <c r="N166" s="29">
        <f t="shared" si="48"/>
        <v>68773.692158130085</v>
      </c>
      <c r="O166" s="29">
        <f t="shared" si="42"/>
        <v>68769.78590900464</v>
      </c>
      <c r="P166" s="29">
        <f t="shared" si="49"/>
        <v>68769.78590900464</v>
      </c>
      <c r="Q166">
        <f t="shared" si="50"/>
        <v>0</v>
      </c>
      <c r="R166" s="29">
        <f t="shared" si="51"/>
        <v>68769.78590900464</v>
      </c>
      <c r="S166" s="29">
        <f t="shared" si="43"/>
        <v>68769.761397227252</v>
      </c>
      <c r="T166" s="29">
        <f t="shared" si="52"/>
        <v>68769.761397227252</v>
      </c>
      <c r="U166">
        <f t="shared" si="53"/>
        <v>0</v>
      </c>
      <c r="V166" s="29">
        <f t="shared" si="54"/>
        <v>68769.761397227252</v>
      </c>
      <c r="W166" s="29">
        <f t="shared" si="44"/>
        <v>68769.761397227267</v>
      </c>
      <c r="X166" s="29">
        <f t="shared" si="55"/>
        <v>68769.761397227267</v>
      </c>
      <c r="Y166">
        <f t="shared" si="56"/>
        <v>0</v>
      </c>
    </row>
    <row r="167" spans="1:25" x14ac:dyDescent="0.25">
      <c r="A167" s="4" t="s">
        <v>978</v>
      </c>
      <c r="B167" s="7" t="s">
        <v>498</v>
      </c>
      <c r="C167" s="2" t="s">
        <v>979</v>
      </c>
      <c r="D167">
        <f>VLOOKUP(B167,'Model allocations'!$A$1:$L$316,5,FALSE)</f>
        <v>163069.53658732405</v>
      </c>
      <c r="E167" s="31">
        <f>VLOOKUP(B167,'Initial adjusted formula count'!$A$1:$P$316,12,FALSE)</f>
        <v>0.10837887067395301</v>
      </c>
      <c r="F167">
        <f>VLOOKUP(B167,'Model allocations'!$A$1:$L$316,10,FALSE)</f>
        <v>138609.10609922544</v>
      </c>
      <c r="G167" s="30">
        <f t="shared" si="45"/>
        <v>0.85</v>
      </c>
      <c r="H167">
        <f t="shared" si="46"/>
        <v>138609.10609922544</v>
      </c>
      <c r="I167">
        <f t="shared" si="38"/>
        <v>0</v>
      </c>
      <c r="J167">
        <f t="shared" si="39"/>
        <v>138609.10609922544</v>
      </c>
      <c r="K167">
        <f t="shared" si="40"/>
        <v>138503.26943030171</v>
      </c>
      <c r="L167">
        <f t="shared" si="47"/>
        <v>138503.26943030171</v>
      </c>
      <c r="M167">
        <f t="shared" si="41"/>
        <v>138609.10609922544</v>
      </c>
      <c r="N167" s="29">
        <f t="shared" si="48"/>
        <v>0</v>
      </c>
      <c r="O167" s="29">
        <f t="shared" si="42"/>
        <v>0</v>
      </c>
      <c r="P167" s="29">
        <f t="shared" si="49"/>
        <v>138609.10609922544</v>
      </c>
      <c r="Q167">
        <f t="shared" si="50"/>
        <v>0</v>
      </c>
      <c r="R167" s="29">
        <f t="shared" si="51"/>
        <v>0</v>
      </c>
      <c r="S167" s="29">
        <f t="shared" si="43"/>
        <v>0</v>
      </c>
      <c r="T167" s="29">
        <f t="shared" si="52"/>
        <v>138609.10609922544</v>
      </c>
      <c r="U167">
        <f t="shared" si="53"/>
        <v>0</v>
      </c>
      <c r="V167" s="29">
        <f t="shared" si="54"/>
        <v>0</v>
      </c>
      <c r="W167" s="29">
        <f t="shared" si="44"/>
        <v>0</v>
      </c>
      <c r="X167" s="29">
        <f t="shared" si="55"/>
        <v>138609.10609922544</v>
      </c>
      <c r="Y167">
        <f t="shared" si="56"/>
        <v>0</v>
      </c>
    </row>
    <row r="168" spans="1:25" x14ac:dyDescent="0.25">
      <c r="A168" s="4" t="s">
        <v>980</v>
      </c>
      <c r="B168" s="7" t="s">
        <v>178</v>
      </c>
      <c r="C168" s="2" t="s">
        <v>981</v>
      </c>
      <c r="D168">
        <f>VLOOKUP(B168,'Model allocations'!$A$1:$L$316,5,FALSE)</f>
        <v>209181.54417918567</v>
      </c>
      <c r="E168" s="31">
        <f>VLOOKUP(B168,'Initial adjusted formula count'!$A$1:$P$316,12,FALSE)</f>
        <v>7.5833333333333294E-2</v>
      </c>
      <c r="F168">
        <f>VLOOKUP(B168,'Model allocations'!$A$1:$L$316,10,FALSE)</f>
        <v>232416.55056958523</v>
      </c>
      <c r="G168" s="30">
        <f t="shared" si="45"/>
        <v>0.85</v>
      </c>
      <c r="H168">
        <f t="shared" si="46"/>
        <v>177804.31255230782</v>
      </c>
      <c r="I168">
        <f t="shared" si="38"/>
        <v>0</v>
      </c>
      <c r="J168">
        <f t="shared" si="39"/>
        <v>232416.55056958523</v>
      </c>
      <c r="K168">
        <f t="shared" si="40"/>
        <v>232239.08608541617</v>
      </c>
      <c r="L168">
        <f t="shared" si="47"/>
        <v>232239.08608541617</v>
      </c>
      <c r="M168">
        <f t="shared" si="41"/>
        <v>0</v>
      </c>
      <c r="N168" s="29">
        <f t="shared" si="48"/>
        <v>232239.08608541617</v>
      </c>
      <c r="O168" s="29">
        <f t="shared" si="42"/>
        <v>232225.89523149445</v>
      </c>
      <c r="P168" s="29">
        <f t="shared" si="49"/>
        <v>232225.89523149445</v>
      </c>
      <c r="Q168">
        <f t="shared" si="50"/>
        <v>0</v>
      </c>
      <c r="R168" s="29">
        <f t="shared" si="51"/>
        <v>232225.89523149445</v>
      </c>
      <c r="S168" s="29">
        <f t="shared" si="43"/>
        <v>232225.81245866956</v>
      </c>
      <c r="T168" s="29">
        <f t="shared" si="52"/>
        <v>232225.81245866956</v>
      </c>
      <c r="U168">
        <f t="shared" si="53"/>
        <v>0</v>
      </c>
      <c r="V168" s="29">
        <f t="shared" si="54"/>
        <v>232225.81245866956</v>
      </c>
      <c r="W168" s="29">
        <f t="shared" si="44"/>
        <v>232225.81245866959</v>
      </c>
      <c r="X168" s="29">
        <f t="shared" si="55"/>
        <v>232225.81245866959</v>
      </c>
      <c r="Y168">
        <f t="shared" si="56"/>
        <v>0</v>
      </c>
    </row>
    <row r="169" spans="1:25" x14ac:dyDescent="0.25">
      <c r="A169" s="4" t="s">
        <v>982</v>
      </c>
      <c r="B169" s="7" t="s">
        <v>500</v>
      </c>
      <c r="C169" s="2" t="s">
        <v>983</v>
      </c>
      <c r="D169">
        <f>VLOOKUP(B169,'Model allocations'!$A$1:$L$316,5,FALSE)</f>
        <v>155942.95477887194</v>
      </c>
      <c r="E169" s="31">
        <f>VLOOKUP(B169,'Initial adjusted formula count'!$A$1:$P$316,12,FALSE)</f>
        <v>0.144904458598726</v>
      </c>
      <c r="F169">
        <f>VLOOKUP(B169,'Model allocations'!$A$1:$L$316,10,FALSE)</f>
        <v>154944.36704639017</v>
      </c>
      <c r="G169" s="30">
        <f t="shared" si="45"/>
        <v>0.85</v>
      </c>
      <c r="H169">
        <f t="shared" si="46"/>
        <v>132551.51156204115</v>
      </c>
      <c r="I169">
        <f t="shared" si="38"/>
        <v>0</v>
      </c>
      <c r="J169">
        <f t="shared" si="39"/>
        <v>154944.36704639017</v>
      </c>
      <c r="K169">
        <f t="shared" si="40"/>
        <v>154826.05739027748</v>
      </c>
      <c r="L169">
        <f t="shared" si="47"/>
        <v>154826.05739027748</v>
      </c>
      <c r="M169">
        <f t="shared" si="41"/>
        <v>0</v>
      </c>
      <c r="N169" s="29">
        <f t="shared" si="48"/>
        <v>154826.05739027748</v>
      </c>
      <c r="O169" s="29">
        <f t="shared" si="42"/>
        <v>154817.263487663</v>
      </c>
      <c r="P169" s="29">
        <f t="shared" si="49"/>
        <v>154817.263487663</v>
      </c>
      <c r="Q169">
        <f t="shared" si="50"/>
        <v>0</v>
      </c>
      <c r="R169" s="29">
        <f t="shared" si="51"/>
        <v>154817.263487663</v>
      </c>
      <c r="S169" s="29">
        <f t="shared" si="43"/>
        <v>154817.20830577976</v>
      </c>
      <c r="T169" s="29">
        <f t="shared" si="52"/>
        <v>154817.20830577976</v>
      </c>
      <c r="U169">
        <f t="shared" si="53"/>
        <v>0</v>
      </c>
      <c r="V169" s="29">
        <f t="shared" si="54"/>
        <v>154817.20830577976</v>
      </c>
      <c r="W169" s="29">
        <f t="shared" si="44"/>
        <v>154817.20830577979</v>
      </c>
      <c r="X169" s="29">
        <f t="shared" si="55"/>
        <v>154817.20830577979</v>
      </c>
      <c r="Y169">
        <f t="shared" si="56"/>
        <v>0</v>
      </c>
    </row>
    <row r="170" spans="1:25" x14ac:dyDescent="0.25">
      <c r="A170" s="4" t="s">
        <v>984</v>
      </c>
      <c r="B170" s="7" t="s">
        <v>502</v>
      </c>
      <c r="C170" s="2" t="s">
        <v>985</v>
      </c>
      <c r="D170">
        <f>VLOOKUP(B170,'Model allocations'!$A$1:$L$316,5,FALSE)</f>
        <v>4837.8576910451293</v>
      </c>
      <c r="E170" s="31">
        <f>VLOOKUP(B170,'Initial adjusted formula count'!$A$1:$P$316,12,FALSE)</f>
        <v>0.16</v>
      </c>
      <c r="F170">
        <f>VLOOKUP(B170,'Model allocations'!$A$1:$L$316,10,FALSE)</f>
        <v>0</v>
      </c>
      <c r="G170" s="30">
        <f t="shared" si="45"/>
        <v>0.9</v>
      </c>
      <c r="H170">
        <f t="shared" si="46"/>
        <v>0</v>
      </c>
      <c r="I170">
        <f t="shared" si="38"/>
        <v>0</v>
      </c>
      <c r="J170">
        <f t="shared" si="39"/>
        <v>0</v>
      </c>
      <c r="K170">
        <f t="shared" si="40"/>
        <v>0</v>
      </c>
      <c r="L170">
        <f t="shared" si="47"/>
        <v>0</v>
      </c>
      <c r="M170">
        <f t="shared" si="41"/>
        <v>0</v>
      </c>
      <c r="N170" s="29">
        <f t="shared" si="48"/>
        <v>0</v>
      </c>
      <c r="O170" s="29">
        <f t="shared" si="42"/>
        <v>0</v>
      </c>
      <c r="P170" s="29">
        <f t="shared" si="49"/>
        <v>0</v>
      </c>
      <c r="Q170">
        <f t="shared" si="50"/>
        <v>0</v>
      </c>
      <c r="R170" s="29">
        <f t="shared" si="51"/>
        <v>0</v>
      </c>
      <c r="S170" s="29">
        <f t="shared" si="43"/>
        <v>0</v>
      </c>
      <c r="T170" s="29">
        <f t="shared" si="52"/>
        <v>0</v>
      </c>
      <c r="U170">
        <f t="shared" si="53"/>
        <v>0</v>
      </c>
      <c r="V170" s="29">
        <f t="shared" si="54"/>
        <v>0</v>
      </c>
      <c r="W170" s="29">
        <f t="shared" si="44"/>
        <v>0</v>
      </c>
      <c r="X170" s="29">
        <f t="shared" si="55"/>
        <v>0</v>
      </c>
      <c r="Y170">
        <f t="shared" si="56"/>
        <v>0</v>
      </c>
    </row>
    <row r="171" spans="1:25" x14ac:dyDescent="0.25">
      <c r="A171" s="4" t="s">
        <v>986</v>
      </c>
      <c r="B171" s="7" t="s">
        <v>180</v>
      </c>
      <c r="C171" s="2" t="s">
        <v>987</v>
      </c>
      <c r="D171">
        <f>VLOOKUP(B171,'Model allocations'!$A$1:$L$316,5,FALSE)</f>
        <v>866279.8818562869</v>
      </c>
      <c r="E171" s="31">
        <f>VLOOKUP(B171,'Initial adjusted formula count'!$A$1:$P$316,12,FALSE)</f>
        <v>8.5567130984431694E-2</v>
      </c>
      <c r="F171">
        <f>VLOOKUP(B171,'Model allocations'!$A$1:$L$316,10,FALSE)</f>
        <v>786427.79702803784</v>
      </c>
      <c r="G171" s="30">
        <f t="shared" si="45"/>
        <v>0.85</v>
      </c>
      <c r="H171">
        <f t="shared" si="46"/>
        <v>736337.89957784384</v>
      </c>
      <c r="I171">
        <f t="shared" si="38"/>
        <v>0</v>
      </c>
      <c r="J171">
        <f t="shared" si="39"/>
        <v>786427.79702803784</v>
      </c>
      <c r="K171">
        <f t="shared" si="40"/>
        <v>785827.31051796034</v>
      </c>
      <c r="L171">
        <f t="shared" si="47"/>
        <v>785827.31051796034</v>
      </c>
      <c r="M171">
        <f t="shared" si="41"/>
        <v>0</v>
      </c>
      <c r="N171" s="29">
        <f t="shared" si="48"/>
        <v>785827.31051796034</v>
      </c>
      <c r="O171" s="29">
        <f t="shared" si="42"/>
        <v>785782.6766303773</v>
      </c>
      <c r="P171" s="29">
        <f t="shared" si="49"/>
        <v>785782.6766303773</v>
      </c>
      <c r="Q171">
        <f t="shared" si="50"/>
        <v>0</v>
      </c>
      <c r="R171" s="29">
        <f t="shared" si="51"/>
        <v>785782.6766303773</v>
      </c>
      <c r="S171" s="29">
        <f t="shared" si="43"/>
        <v>785782.39655200008</v>
      </c>
      <c r="T171" s="29">
        <f t="shared" si="52"/>
        <v>785782.39655200008</v>
      </c>
      <c r="U171">
        <f t="shared" si="53"/>
        <v>0</v>
      </c>
      <c r="V171" s="29">
        <f t="shared" si="54"/>
        <v>785782.39655200008</v>
      </c>
      <c r="W171" s="29">
        <f t="shared" si="44"/>
        <v>785782.39655200019</v>
      </c>
      <c r="X171" s="29">
        <f t="shared" si="55"/>
        <v>785782.39655200019</v>
      </c>
      <c r="Y171">
        <f t="shared" si="56"/>
        <v>0</v>
      </c>
    </row>
    <row r="172" spans="1:25" x14ac:dyDescent="0.25">
      <c r="A172" s="4" t="s">
        <v>988</v>
      </c>
      <c r="B172" s="7" t="s">
        <v>504</v>
      </c>
      <c r="C172" s="2" t="s">
        <v>989</v>
      </c>
      <c r="D172">
        <f>VLOOKUP(B172,'Model allocations'!$A$1:$L$316,5,FALSE)</f>
        <v>41856.814198572982</v>
      </c>
      <c r="E172" s="31">
        <f>VLOOKUP(B172,'Initial adjusted formula count'!$A$1:$P$316,12,FALSE)</f>
        <v>0.26222222222222202</v>
      </c>
      <c r="F172">
        <f>VLOOKUP(B172,'Model allocations'!$A$1:$L$316,10,FALSE)</f>
        <v>37671.132778715684</v>
      </c>
      <c r="G172" s="30">
        <f t="shared" si="45"/>
        <v>0.9</v>
      </c>
      <c r="H172">
        <f t="shared" si="46"/>
        <v>37671.132778715684</v>
      </c>
      <c r="I172">
        <f t="shared" si="38"/>
        <v>0</v>
      </c>
      <c r="J172">
        <f t="shared" si="39"/>
        <v>37671.132778715684</v>
      </c>
      <c r="K172">
        <f t="shared" si="40"/>
        <v>37642.368527072438</v>
      </c>
      <c r="L172">
        <f t="shared" si="47"/>
        <v>37642.368527072438</v>
      </c>
      <c r="M172">
        <f t="shared" si="41"/>
        <v>37671.132778715684</v>
      </c>
      <c r="N172" s="29">
        <f t="shared" si="48"/>
        <v>0</v>
      </c>
      <c r="O172" s="29">
        <f t="shared" si="42"/>
        <v>0</v>
      </c>
      <c r="P172" s="29">
        <f t="shared" si="49"/>
        <v>37671.132778715684</v>
      </c>
      <c r="Q172">
        <f t="shared" si="50"/>
        <v>0</v>
      </c>
      <c r="R172" s="29">
        <f t="shared" si="51"/>
        <v>0</v>
      </c>
      <c r="S172" s="29">
        <f t="shared" si="43"/>
        <v>0</v>
      </c>
      <c r="T172" s="29">
        <f t="shared" si="52"/>
        <v>37671.132778715684</v>
      </c>
      <c r="U172">
        <f t="shared" si="53"/>
        <v>0</v>
      </c>
      <c r="V172" s="29">
        <f t="shared" si="54"/>
        <v>0</v>
      </c>
      <c r="W172" s="29">
        <f t="shared" si="44"/>
        <v>0</v>
      </c>
      <c r="X172" s="29">
        <f t="shared" si="55"/>
        <v>37671.132778715684</v>
      </c>
      <c r="Y172">
        <f t="shared" si="56"/>
        <v>0</v>
      </c>
    </row>
    <row r="173" spans="1:25" x14ac:dyDescent="0.25">
      <c r="A173" s="4" t="s">
        <v>990</v>
      </c>
      <c r="B173" s="7" t="s">
        <v>182</v>
      </c>
      <c r="C173" s="2" t="s">
        <v>991</v>
      </c>
      <c r="D173">
        <f>VLOOKUP(B173,'Model allocations'!$A$1:$L$316,5,FALSE)</f>
        <v>0</v>
      </c>
      <c r="E173" s="31">
        <f>VLOOKUP(B173,'Initial adjusted formula count'!$A$1:$P$316,12,FALSE)</f>
        <v>3.9716205563271899E-2</v>
      </c>
      <c r="F173">
        <f>VLOOKUP(B173,'Model allocations'!$A$1:$L$316,10,FALSE)</f>
        <v>0</v>
      </c>
      <c r="G173" s="30">
        <f t="shared" si="45"/>
        <v>0.85</v>
      </c>
      <c r="H173">
        <f t="shared" si="46"/>
        <v>0</v>
      </c>
      <c r="I173">
        <f t="shared" si="38"/>
        <v>0</v>
      </c>
      <c r="J173">
        <f t="shared" si="39"/>
        <v>0</v>
      </c>
      <c r="K173">
        <f t="shared" si="40"/>
        <v>0</v>
      </c>
      <c r="L173">
        <f t="shared" si="47"/>
        <v>0</v>
      </c>
      <c r="M173">
        <f t="shared" si="41"/>
        <v>0</v>
      </c>
      <c r="N173" s="29">
        <f t="shared" si="48"/>
        <v>0</v>
      </c>
      <c r="O173" s="29">
        <f t="shared" si="42"/>
        <v>0</v>
      </c>
      <c r="P173" s="29">
        <f t="shared" si="49"/>
        <v>0</v>
      </c>
      <c r="Q173">
        <f t="shared" si="50"/>
        <v>0</v>
      </c>
      <c r="R173" s="29">
        <f t="shared" si="51"/>
        <v>0</v>
      </c>
      <c r="S173" s="29">
        <f t="shared" si="43"/>
        <v>0</v>
      </c>
      <c r="T173" s="29">
        <f t="shared" si="52"/>
        <v>0</v>
      </c>
      <c r="U173">
        <f t="shared" si="53"/>
        <v>0</v>
      </c>
      <c r="V173" s="29">
        <f t="shared" si="54"/>
        <v>0</v>
      </c>
      <c r="W173" s="29">
        <f t="shared" si="44"/>
        <v>0</v>
      </c>
      <c r="X173" s="29">
        <f t="shared" si="55"/>
        <v>0</v>
      </c>
      <c r="Y173">
        <f t="shared" si="56"/>
        <v>0</v>
      </c>
    </row>
    <row r="174" spans="1:25" x14ac:dyDescent="0.25">
      <c r="A174" s="4" t="s">
        <v>992</v>
      </c>
      <c r="B174" s="7" t="s">
        <v>184</v>
      </c>
      <c r="C174" s="2" t="s">
        <v>993</v>
      </c>
      <c r="D174">
        <f>VLOOKUP(B174,'Model allocations'!$A$1:$L$316,5,FALSE)</f>
        <v>241040.85752110562</v>
      </c>
      <c r="E174" s="31">
        <f>VLOOKUP(B174,'Initial adjusted formula count'!$A$1:$P$316,12,FALSE)</f>
        <v>8.8102030542037302E-2</v>
      </c>
      <c r="F174">
        <f>VLOOKUP(B174,'Model allocations'!$A$1:$L$316,10,FALSE)</f>
        <v>223477.45247075506</v>
      </c>
      <c r="G174" s="30">
        <f t="shared" si="45"/>
        <v>0.85</v>
      </c>
      <c r="H174">
        <f t="shared" si="46"/>
        <v>204884.72889293978</v>
      </c>
      <c r="I174">
        <f t="shared" si="38"/>
        <v>0</v>
      </c>
      <c r="J174">
        <f t="shared" si="39"/>
        <v>223477.45247075506</v>
      </c>
      <c r="K174">
        <f t="shared" si="40"/>
        <v>223306.81354366944</v>
      </c>
      <c r="L174">
        <f t="shared" si="47"/>
        <v>223306.81354366944</v>
      </c>
      <c r="M174">
        <f t="shared" si="41"/>
        <v>0</v>
      </c>
      <c r="N174" s="29">
        <f t="shared" si="48"/>
        <v>223306.81354366944</v>
      </c>
      <c r="O174" s="29">
        <f t="shared" si="42"/>
        <v>223294.13003028318</v>
      </c>
      <c r="P174" s="29">
        <f t="shared" si="49"/>
        <v>223294.13003028318</v>
      </c>
      <c r="Q174">
        <f t="shared" si="50"/>
        <v>0</v>
      </c>
      <c r="R174" s="29">
        <f t="shared" si="51"/>
        <v>223294.13003028318</v>
      </c>
      <c r="S174" s="29">
        <f t="shared" si="43"/>
        <v>223294.05044102849</v>
      </c>
      <c r="T174" s="29">
        <f t="shared" si="52"/>
        <v>223294.05044102849</v>
      </c>
      <c r="U174">
        <f t="shared" si="53"/>
        <v>0</v>
      </c>
      <c r="V174" s="29">
        <f t="shared" si="54"/>
        <v>223294.05044102849</v>
      </c>
      <c r="W174" s="29">
        <f t="shared" si="44"/>
        <v>223294.05044102852</v>
      </c>
      <c r="X174" s="29">
        <f t="shared" si="55"/>
        <v>223294.05044102852</v>
      </c>
      <c r="Y174">
        <f t="shared" si="56"/>
        <v>0</v>
      </c>
    </row>
    <row r="175" spans="1:25" x14ac:dyDescent="0.25">
      <c r="A175" s="4" t="s">
        <v>994</v>
      </c>
      <c r="B175" s="7" t="s">
        <v>186</v>
      </c>
      <c r="C175" s="2" t="s">
        <v>995</v>
      </c>
      <c r="D175">
        <f>VLOOKUP(B175,'Model allocations'!$A$1:$L$316,5,FALSE)</f>
        <v>0</v>
      </c>
      <c r="E175" s="31">
        <f>VLOOKUP(B175,'Initial adjusted formula count'!$A$1:$P$316,12,FALSE)</f>
        <v>8.3969465648855005E-2</v>
      </c>
      <c r="F175">
        <f>VLOOKUP(B175,'Model allocations'!$A$1:$L$316,10,FALSE)</f>
        <v>4682.3847184348688</v>
      </c>
      <c r="G175" s="30">
        <f t="shared" si="45"/>
        <v>0.85</v>
      </c>
      <c r="H175">
        <f t="shared" si="46"/>
        <v>0</v>
      </c>
      <c r="I175">
        <f t="shared" si="38"/>
        <v>0</v>
      </c>
      <c r="J175">
        <f t="shared" si="39"/>
        <v>4682.3847184348688</v>
      </c>
      <c r="K175">
        <f t="shared" si="40"/>
        <v>4678.8094266292646</v>
      </c>
      <c r="L175">
        <f t="shared" si="47"/>
        <v>4678.8094266292646</v>
      </c>
      <c r="M175">
        <f t="shared" si="41"/>
        <v>0</v>
      </c>
      <c r="N175" s="29">
        <f t="shared" si="48"/>
        <v>4678.8094266292646</v>
      </c>
      <c r="O175" s="29">
        <f t="shared" si="42"/>
        <v>4678.543676824981</v>
      </c>
      <c r="P175" s="29">
        <f t="shared" si="49"/>
        <v>4678.543676824981</v>
      </c>
      <c r="Q175">
        <f t="shared" si="50"/>
        <v>0</v>
      </c>
      <c r="R175" s="29">
        <f t="shared" si="51"/>
        <v>4678.543676824981</v>
      </c>
      <c r="S175" s="29">
        <f t="shared" si="43"/>
        <v>4678.5420092405966</v>
      </c>
      <c r="T175" s="29">
        <f t="shared" si="52"/>
        <v>4678.5420092405966</v>
      </c>
      <c r="U175">
        <f t="shared" si="53"/>
        <v>0</v>
      </c>
      <c r="V175" s="29">
        <f t="shared" si="54"/>
        <v>4678.5420092405966</v>
      </c>
      <c r="W175" s="29">
        <f t="shared" si="44"/>
        <v>4678.5420092405975</v>
      </c>
      <c r="X175" s="29">
        <f t="shared" si="55"/>
        <v>4678.5420092405975</v>
      </c>
      <c r="Y175">
        <f t="shared" si="56"/>
        <v>0</v>
      </c>
    </row>
    <row r="176" spans="1:25" x14ac:dyDescent="0.25">
      <c r="A176" s="4" t="s">
        <v>996</v>
      </c>
      <c r="B176" s="7" t="s">
        <v>506</v>
      </c>
      <c r="C176" s="2" t="s">
        <v>997</v>
      </c>
      <c r="D176">
        <f>VLOOKUP(B176,'Model allocations'!$A$1:$L$316,5,FALSE)</f>
        <v>56596.348521235188</v>
      </c>
      <c r="E176" s="31">
        <f>VLOOKUP(B176,'Initial adjusted formula count'!$A$1:$P$316,12,FALSE)</f>
        <v>0.11883408071748899</v>
      </c>
      <c r="F176">
        <f>VLOOKUP(B176,'Model allocations'!$A$1:$L$316,10,FALSE)</f>
        <v>48106.896243049909</v>
      </c>
      <c r="G176" s="30">
        <f t="shared" si="45"/>
        <v>0.85</v>
      </c>
      <c r="H176">
        <f t="shared" si="46"/>
        <v>48106.896243049909</v>
      </c>
      <c r="I176">
        <f t="shared" si="38"/>
        <v>0</v>
      </c>
      <c r="J176">
        <f t="shared" si="39"/>
        <v>48106.896243049909</v>
      </c>
      <c r="K176">
        <f t="shared" si="40"/>
        <v>48070.163637278827</v>
      </c>
      <c r="L176">
        <f t="shared" si="47"/>
        <v>48070.163637278827</v>
      </c>
      <c r="M176">
        <f t="shared" si="41"/>
        <v>48106.896243049909</v>
      </c>
      <c r="N176" s="29">
        <f t="shared" si="48"/>
        <v>0</v>
      </c>
      <c r="O176" s="29">
        <f t="shared" si="42"/>
        <v>0</v>
      </c>
      <c r="P176" s="29">
        <f t="shared" si="49"/>
        <v>48106.896243049909</v>
      </c>
      <c r="Q176">
        <f t="shared" si="50"/>
        <v>0</v>
      </c>
      <c r="R176" s="29">
        <f t="shared" si="51"/>
        <v>0</v>
      </c>
      <c r="S176" s="29">
        <f t="shared" si="43"/>
        <v>0</v>
      </c>
      <c r="T176" s="29">
        <f t="shared" si="52"/>
        <v>48106.896243049909</v>
      </c>
      <c r="U176">
        <f t="shared" si="53"/>
        <v>0</v>
      </c>
      <c r="V176" s="29">
        <f t="shared" si="54"/>
        <v>0</v>
      </c>
      <c r="W176" s="29">
        <f t="shared" si="44"/>
        <v>0</v>
      </c>
      <c r="X176" s="29">
        <f t="shared" si="55"/>
        <v>48106.896243049909</v>
      </c>
      <c r="Y176">
        <f t="shared" si="56"/>
        <v>0</v>
      </c>
    </row>
    <row r="177" spans="1:25" x14ac:dyDescent="0.25">
      <c r="A177" s="4" t="s">
        <v>998</v>
      </c>
      <c r="B177" s="7" t="s">
        <v>508</v>
      </c>
      <c r="C177" s="2" t="s">
        <v>999</v>
      </c>
      <c r="D177">
        <f>VLOOKUP(B177,'Model allocations'!$A$1:$L$316,5,FALSE)</f>
        <v>93675.792298725588</v>
      </c>
      <c r="E177" s="31">
        <f>VLOOKUP(B177,'Initial adjusted formula count'!$A$1:$P$316,12,FALSE)</f>
        <v>0.162743091095189</v>
      </c>
      <c r="F177">
        <f>VLOOKUP(B177,'Model allocations'!$A$1:$L$316,10,FALSE)</f>
        <v>84366.753181476684</v>
      </c>
      <c r="G177" s="30">
        <f t="shared" si="45"/>
        <v>0.9</v>
      </c>
      <c r="H177">
        <f t="shared" si="46"/>
        <v>84308.213068853031</v>
      </c>
      <c r="I177">
        <f t="shared" si="38"/>
        <v>0</v>
      </c>
      <c r="J177">
        <f t="shared" si="39"/>
        <v>84366.753181476684</v>
      </c>
      <c r="K177">
        <f t="shared" si="40"/>
        <v>84302.33392089617</v>
      </c>
      <c r="L177">
        <f t="shared" si="47"/>
        <v>84302.33392089617</v>
      </c>
      <c r="M177">
        <f t="shared" si="41"/>
        <v>84308.213068853031</v>
      </c>
      <c r="N177" s="29">
        <f t="shared" si="48"/>
        <v>0</v>
      </c>
      <c r="O177" s="29">
        <f t="shared" si="42"/>
        <v>0</v>
      </c>
      <c r="P177" s="29">
        <f t="shared" si="49"/>
        <v>84308.213068853031</v>
      </c>
      <c r="Q177">
        <f t="shared" si="50"/>
        <v>0</v>
      </c>
      <c r="R177" s="29">
        <f t="shared" si="51"/>
        <v>0</v>
      </c>
      <c r="S177" s="29">
        <f t="shared" si="43"/>
        <v>0</v>
      </c>
      <c r="T177" s="29">
        <f t="shared" si="52"/>
        <v>84308.213068853031</v>
      </c>
      <c r="U177">
        <f t="shared" si="53"/>
        <v>0</v>
      </c>
      <c r="V177" s="29">
        <f t="shared" si="54"/>
        <v>0</v>
      </c>
      <c r="W177" s="29">
        <f t="shared" si="44"/>
        <v>0</v>
      </c>
      <c r="X177" s="29">
        <f t="shared" si="55"/>
        <v>84308.213068853031</v>
      </c>
      <c r="Y177">
        <f t="shared" si="56"/>
        <v>0</v>
      </c>
    </row>
    <row r="178" spans="1:25" x14ac:dyDescent="0.25">
      <c r="A178" s="4" t="s">
        <v>1000</v>
      </c>
      <c r="B178" s="7" t="s">
        <v>510</v>
      </c>
      <c r="C178" s="2" t="s">
        <v>1001</v>
      </c>
      <c r="D178">
        <f>VLOOKUP(B178,'Model allocations'!$A$1:$L$316,5,FALSE)</f>
        <v>113319.37522465261</v>
      </c>
      <c r="E178" s="31">
        <f>VLOOKUP(B178,'Initial adjusted formula count'!$A$1:$P$316,12,FALSE)</f>
        <v>0.17438271604938299</v>
      </c>
      <c r="F178">
        <f>VLOOKUP(B178,'Model allocations'!$A$1:$L$316,10,FALSE)</f>
        <v>101846.18086326466</v>
      </c>
      <c r="G178" s="30">
        <f t="shared" si="45"/>
        <v>0.9</v>
      </c>
      <c r="H178">
        <f t="shared" si="46"/>
        <v>101987.43770218735</v>
      </c>
      <c r="I178">
        <f t="shared" si="38"/>
        <v>101987.43770218735</v>
      </c>
      <c r="J178">
        <f t="shared" si="39"/>
        <v>0</v>
      </c>
      <c r="K178">
        <f t="shared" si="40"/>
        <v>0</v>
      </c>
      <c r="L178">
        <f t="shared" si="47"/>
        <v>101987.43770218735</v>
      </c>
      <c r="M178">
        <f t="shared" si="41"/>
        <v>0</v>
      </c>
      <c r="N178" s="29">
        <f t="shared" si="48"/>
        <v>0</v>
      </c>
      <c r="O178" s="29">
        <f t="shared" si="42"/>
        <v>0</v>
      </c>
      <c r="P178" s="29">
        <f t="shared" si="49"/>
        <v>101987.43770218735</v>
      </c>
      <c r="Q178">
        <f t="shared" si="50"/>
        <v>0</v>
      </c>
      <c r="R178" s="29">
        <f t="shared" si="51"/>
        <v>0</v>
      </c>
      <c r="S178" s="29">
        <f t="shared" si="43"/>
        <v>0</v>
      </c>
      <c r="T178" s="29">
        <f t="shared" si="52"/>
        <v>101987.43770218735</v>
      </c>
      <c r="U178">
        <f t="shared" si="53"/>
        <v>0</v>
      </c>
      <c r="V178" s="29">
        <f t="shared" si="54"/>
        <v>0</v>
      </c>
      <c r="W178" s="29">
        <f t="shared" si="44"/>
        <v>0</v>
      </c>
      <c r="X178" s="29">
        <f t="shared" si="55"/>
        <v>101987.43770218735</v>
      </c>
      <c r="Y178">
        <f t="shared" si="56"/>
        <v>0</v>
      </c>
    </row>
    <row r="179" spans="1:25" x14ac:dyDescent="0.25">
      <c r="A179" s="4" t="s">
        <v>1002</v>
      </c>
      <c r="B179" s="7" t="s">
        <v>287</v>
      </c>
      <c r="C179" s="2" t="s">
        <v>1003</v>
      </c>
      <c r="D179">
        <f>VLOOKUP(B179,'Model allocations'!$A$1:$L$316,5,FALSE)</f>
        <v>18864.067110347409</v>
      </c>
      <c r="E179" s="31">
        <f>VLOOKUP(B179,'Initial adjusted formula count'!$A$1:$P$316,12,FALSE)</f>
        <v>0.123376623376623</v>
      </c>
      <c r="F179">
        <f>VLOOKUP(B179,'Model allocations'!$A$1:$L$316,10,FALSE)</f>
        <v>16175.510845502266</v>
      </c>
      <c r="G179" s="30">
        <f t="shared" si="45"/>
        <v>0.85</v>
      </c>
      <c r="H179">
        <f t="shared" si="46"/>
        <v>16034.457043795297</v>
      </c>
      <c r="I179">
        <f t="shared" si="38"/>
        <v>0</v>
      </c>
      <c r="J179">
        <f t="shared" si="39"/>
        <v>16175.510845502266</v>
      </c>
      <c r="K179">
        <f t="shared" si="40"/>
        <v>16163.159837446543</v>
      </c>
      <c r="L179">
        <f t="shared" si="47"/>
        <v>16163.159837446543</v>
      </c>
      <c r="M179">
        <f t="shared" si="41"/>
        <v>0</v>
      </c>
      <c r="N179" s="29">
        <f t="shared" si="48"/>
        <v>16163.159837446543</v>
      </c>
      <c r="O179" s="29">
        <f t="shared" si="42"/>
        <v>16162.241792668108</v>
      </c>
      <c r="P179" s="29">
        <f t="shared" si="49"/>
        <v>16162.241792668108</v>
      </c>
      <c r="Q179">
        <f t="shared" si="50"/>
        <v>0</v>
      </c>
      <c r="R179" s="29">
        <f t="shared" si="51"/>
        <v>16162.241792668108</v>
      </c>
      <c r="S179" s="29">
        <f t="shared" si="43"/>
        <v>16162.236031922053</v>
      </c>
      <c r="T179" s="29">
        <f t="shared" si="52"/>
        <v>16162.236031922053</v>
      </c>
      <c r="U179">
        <f t="shared" si="53"/>
        <v>0</v>
      </c>
      <c r="V179" s="29">
        <f t="shared" si="54"/>
        <v>16162.236031922053</v>
      </c>
      <c r="W179" s="29">
        <f t="shared" si="44"/>
        <v>16162.236031922057</v>
      </c>
      <c r="X179" s="29">
        <f t="shared" si="55"/>
        <v>16162.236031922057</v>
      </c>
      <c r="Y179">
        <f t="shared" si="56"/>
        <v>0</v>
      </c>
    </row>
    <row r="180" spans="1:25" x14ac:dyDescent="0.25">
      <c r="A180" s="4" t="s">
        <v>1004</v>
      </c>
      <c r="B180" s="7" t="s">
        <v>512</v>
      </c>
      <c r="C180" s="2" t="s">
        <v>1005</v>
      </c>
      <c r="D180">
        <f>VLOOKUP(B180,'Model allocations'!$A$1:$L$316,5,FALSE)</f>
        <v>107691.39484693202</v>
      </c>
      <c r="E180" s="31">
        <f>VLOOKUP(B180,'Initial adjusted formula count'!$A$1:$P$316,12,FALSE)</f>
        <v>0.17566137566137599</v>
      </c>
      <c r="F180">
        <f>VLOOKUP(B180,'Model allocations'!$A$1:$L$316,10,FALSE)</f>
        <v>96922.255362238822</v>
      </c>
      <c r="G180" s="30">
        <f t="shared" si="45"/>
        <v>0.9</v>
      </c>
      <c r="H180">
        <f t="shared" si="46"/>
        <v>96922.255362238822</v>
      </c>
      <c r="I180">
        <f t="shared" si="38"/>
        <v>0</v>
      </c>
      <c r="J180">
        <f t="shared" si="39"/>
        <v>96922.255362238822</v>
      </c>
      <c r="K180">
        <f t="shared" si="40"/>
        <v>96848.249195250246</v>
      </c>
      <c r="L180">
        <f t="shared" si="47"/>
        <v>96848.249195250246</v>
      </c>
      <c r="M180">
        <f t="shared" si="41"/>
        <v>96922.255362238822</v>
      </c>
      <c r="N180" s="29">
        <f t="shared" si="48"/>
        <v>0</v>
      </c>
      <c r="O180" s="29">
        <f t="shared" si="42"/>
        <v>0</v>
      </c>
      <c r="P180" s="29">
        <f t="shared" si="49"/>
        <v>96922.255362238822</v>
      </c>
      <c r="Q180">
        <f t="shared" si="50"/>
        <v>0</v>
      </c>
      <c r="R180" s="29">
        <f t="shared" si="51"/>
        <v>0</v>
      </c>
      <c r="S180" s="29">
        <f t="shared" si="43"/>
        <v>0</v>
      </c>
      <c r="T180" s="29">
        <f t="shared" si="52"/>
        <v>96922.255362238822</v>
      </c>
      <c r="U180">
        <f t="shared" si="53"/>
        <v>0</v>
      </c>
      <c r="V180" s="29">
        <f t="shared" si="54"/>
        <v>0</v>
      </c>
      <c r="W180" s="29">
        <f t="shared" si="44"/>
        <v>0</v>
      </c>
      <c r="X180" s="29">
        <f t="shared" si="55"/>
        <v>96922.255362238822</v>
      </c>
      <c r="Y180">
        <f t="shared" si="56"/>
        <v>0</v>
      </c>
    </row>
    <row r="181" spans="1:25" x14ac:dyDescent="0.25">
      <c r="A181" s="4" t="s">
        <v>1006</v>
      </c>
      <c r="B181" s="7" t="s">
        <v>188</v>
      </c>
      <c r="C181" s="2" t="s">
        <v>1007</v>
      </c>
      <c r="D181">
        <f>VLOOKUP(B181,'Model allocations'!$A$1:$L$316,5,FALSE)</f>
        <v>451625.41656165157</v>
      </c>
      <c r="E181" s="31">
        <f>VLOOKUP(B181,'Initial adjusted formula count'!$A$1:$P$316,12,FALSE)</f>
        <v>7.7306255388447195E-2</v>
      </c>
      <c r="F181">
        <f>VLOOKUP(B181,'Model allocations'!$A$1:$L$316,10,FALSE)</f>
        <v>383681.26924592617</v>
      </c>
      <c r="G181" s="30">
        <f t="shared" si="45"/>
        <v>0.85</v>
      </c>
      <c r="H181">
        <f t="shared" si="46"/>
        <v>383881.60407740384</v>
      </c>
      <c r="I181">
        <f t="shared" si="38"/>
        <v>383881.60407740384</v>
      </c>
      <c r="J181">
        <f t="shared" si="39"/>
        <v>0</v>
      </c>
      <c r="K181">
        <f t="shared" si="40"/>
        <v>0</v>
      </c>
      <c r="L181">
        <f t="shared" si="47"/>
        <v>383881.60407740384</v>
      </c>
      <c r="M181">
        <f t="shared" si="41"/>
        <v>0</v>
      </c>
      <c r="N181" s="29">
        <f t="shared" si="48"/>
        <v>0</v>
      </c>
      <c r="O181" s="29">
        <f t="shared" si="42"/>
        <v>0</v>
      </c>
      <c r="P181" s="29">
        <f t="shared" si="49"/>
        <v>383881.60407740384</v>
      </c>
      <c r="Q181">
        <f t="shared" si="50"/>
        <v>0</v>
      </c>
      <c r="R181" s="29">
        <f t="shared" si="51"/>
        <v>0</v>
      </c>
      <c r="S181" s="29">
        <f t="shared" si="43"/>
        <v>0</v>
      </c>
      <c r="T181" s="29">
        <f t="shared" si="52"/>
        <v>383881.60407740384</v>
      </c>
      <c r="U181">
        <f t="shared" si="53"/>
        <v>0</v>
      </c>
      <c r="V181" s="29">
        <f t="shared" si="54"/>
        <v>0</v>
      </c>
      <c r="W181" s="29">
        <f t="shared" si="44"/>
        <v>0</v>
      </c>
      <c r="X181" s="29">
        <f t="shared" si="55"/>
        <v>383881.60407740384</v>
      </c>
      <c r="Y181">
        <f t="shared" si="56"/>
        <v>0</v>
      </c>
    </row>
    <row r="182" spans="1:25" x14ac:dyDescent="0.25">
      <c r="A182" s="4" t="s">
        <v>1008</v>
      </c>
      <c r="B182" s="7" t="s">
        <v>514</v>
      </c>
      <c r="C182" s="2" t="s">
        <v>1009</v>
      </c>
      <c r="D182">
        <f>VLOOKUP(B182,'Model allocations'!$A$1:$L$316,5,FALSE)</f>
        <v>211370.53613208703</v>
      </c>
      <c r="E182" s="31">
        <f>VLOOKUP(B182,'Initial adjusted formula count'!$A$1:$P$316,12,FALSE)</f>
        <v>0.18599679315873899</v>
      </c>
      <c r="F182">
        <f>VLOOKUP(B182,'Model allocations'!$A$1:$L$316,10,FALSE)</f>
        <v>190233.48251887833</v>
      </c>
      <c r="G182" s="30">
        <f t="shared" si="45"/>
        <v>0.9</v>
      </c>
      <c r="H182">
        <f t="shared" si="46"/>
        <v>190233.48251887833</v>
      </c>
      <c r="I182">
        <f t="shared" si="38"/>
        <v>0</v>
      </c>
      <c r="J182">
        <f t="shared" si="39"/>
        <v>190233.48251887833</v>
      </c>
      <c r="K182">
        <f t="shared" si="40"/>
        <v>190088.22742941004</v>
      </c>
      <c r="L182">
        <f t="shared" si="47"/>
        <v>190088.22742941004</v>
      </c>
      <c r="M182">
        <f t="shared" si="41"/>
        <v>190233.48251887833</v>
      </c>
      <c r="N182" s="29">
        <f t="shared" si="48"/>
        <v>0</v>
      </c>
      <c r="O182" s="29">
        <f t="shared" si="42"/>
        <v>0</v>
      </c>
      <c r="P182" s="29">
        <f t="shared" si="49"/>
        <v>190233.48251887833</v>
      </c>
      <c r="Q182">
        <f t="shared" si="50"/>
        <v>0</v>
      </c>
      <c r="R182" s="29">
        <f t="shared" si="51"/>
        <v>0</v>
      </c>
      <c r="S182" s="29">
        <f t="shared" si="43"/>
        <v>0</v>
      </c>
      <c r="T182" s="29">
        <f t="shared" si="52"/>
        <v>190233.48251887833</v>
      </c>
      <c r="U182">
        <f t="shared" si="53"/>
        <v>0</v>
      </c>
      <c r="V182" s="29">
        <f t="shared" si="54"/>
        <v>0</v>
      </c>
      <c r="W182" s="29">
        <f t="shared" si="44"/>
        <v>0</v>
      </c>
      <c r="X182" s="29">
        <f t="shared" si="55"/>
        <v>190233.48251887833</v>
      </c>
      <c r="Y182">
        <f t="shared" si="56"/>
        <v>0</v>
      </c>
    </row>
    <row r="183" spans="1:25" x14ac:dyDescent="0.25">
      <c r="A183" s="4" t="s">
        <v>1010</v>
      </c>
      <c r="B183" s="7" t="s">
        <v>516</v>
      </c>
      <c r="C183" s="2" t="s">
        <v>1011</v>
      </c>
      <c r="D183">
        <f>VLOOKUP(B183,'Model allocations'!$A$1:$L$316,5,FALSE)</f>
        <v>49046.574486903235</v>
      </c>
      <c r="E183" s="31">
        <f>VLOOKUP(B183,'Initial adjusted formula count'!$A$1:$P$316,12,FALSE)</f>
        <v>0.104275286757039</v>
      </c>
      <c r="F183">
        <f>VLOOKUP(B183,'Model allocations'!$A$1:$L$316,10,FALSE)</f>
        <v>42567.133803953337</v>
      </c>
      <c r="G183" s="30">
        <f t="shared" si="45"/>
        <v>0.85</v>
      </c>
      <c r="H183">
        <f t="shared" si="46"/>
        <v>41689.588313867745</v>
      </c>
      <c r="I183">
        <f t="shared" si="38"/>
        <v>0</v>
      </c>
      <c r="J183">
        <f t="shared" si="39"/>
        <v>42567.133803953337</v>
      </c>
      <c r="K183">
        <f t="shared" si="40"/>
        <v>42534.631151175119</v>
      </c>
      <c r="L183">
        <f t="shared" si="47"/>
        <v>42534.631151175119</v>
      </c>
      <c r="M183">
        <f t="shared" si="41"/>
        <v>0</v>
      </c>
      <c r="N183" s="29">
        <f t="shared" si="48"/>
        <v>42534.631151175119</v>
      </c>
      <c r="O183" s="29">
        <f t="shared" si="42"/>
        <v>42532.215243863451</v>
      </c>
      <c r="P183" s="29">
        <f t="shared" si="49"/>
        <v>42532.215243863451</v>
      </c>
      <c r="Q183">
        <f t="shared" si="50"/>
        <v>0</v>
      </c>
      <c r="R183" s="29">
        <f t="shared" si="51"/>
        <v>42532.215243863451</v>
      </c>
      <c r="S183" s="29">
        <f t="shared" si="43"/>
        <v>42532.200084005417</v>
      </c>
      <c r="T183" s="29">
        <f t="shared" si="52"/>
        <v>42532.200084005417</v>
      </c>
      <c r="U183">
        <f t="shared" si="53"/>
        <v>0</v>
      </c>
      <c r="V183" s="29">
        <f t="shared" si="54"/>
        <v>42532.200084005417</v>
      </c>
      <c r="W183" s="29">
        <f t="shared" si="44"/>
        <v>42532.200084005417</v>
      </c>
      <c r="X183" s="29">
        <f t="shared" si="55"/>
        <v>42532.200084005417</v>
      </c>
      <c r="Y183">
        <f t="shared" si="56"/>
        <v>0</v>
      </c>
    </row>
    <row r="184" spans="1:25" x14ac:dyDescent="0.25">
      <c r="A184" s="4" t="s">
        <v>1012</v>
      </c>
      <c r="B184" s="7" t="s">
        <v>518</v>
      </c>
      <c r="C184" s="2" t="s">
        <v>1013</v>
      </c>
      <c r="D184">
        <f>VLOOKUP(B184,'Model allocations'!$A$1:$L$316,5,FALSE)</f>
        <v>19258.483313512916</v>
      </c>
      <c r="E184" s="31">
        <f>VLOOKUP(B184,'Initial adjusted formula count'!$A$1:$P$316,12,FALSE)</f>
        <v>0.29032258064516098</v>
      </c>
      <c r="F184">
        <f>VLOOKUP(B184,'Model allocations'!$A$1:$L$316,10,FALSE)</f>
        <v>17344.670042175188</v>
      </c>
      <c r="G184" s="30">
        <f t="shared" si="45"/>
        <v>0.9</v>
      </c>
      <c r="H184">
        <f t="shared" si="46"/>
        <v>17332.634982161624</v>
      </c>
      <c r="I184">
        <f t="shared" si="38"/>
        <v>0</v>
      </c>
      <c r="J184">
        <f t="shared" si="39"/>
        <v>17344.670042175188</v>
      </c>
      <c r="K184">
        <f t="shared" si="40"/>
        <v>17331.426308393864</v>
      </c>
      <c r="L184">
        <f t="shared" si="47"/>
        <v>17331.426308393864</v>
      </c>
      <c r="M184">
        <f t="shared" si="41"/>
        <v>17332.634982161624</v>
      </c>
      <c r="N184" s="29">
        <f t="shared" si="48"/>
        <v>0</v>
      </c>
      <c r="O184" s="29">
        <f t="shared" si="42"/>
        <v>0</v>
      </c>
      <c r="P184" s="29">
        <f t="shared" si="49"/>
        <v>17332.634982161624</v>
      </c>
      <c r="Q184">
        <f t="shared" si="50"/>
        <v>0</v>
      </c>
      <c r="R184" s="29">
        <f t="shared" si="51"/>
        <v>0</v>
      </c>
      <c r="S184" s="29">
        <f t="shared" si="43"/>
        <v>0</v>
      </c>
      <c r="T184" s="29">
        <f t="shared" si="52"/>
        <v>17332.634982161624</v>
      </c>
      <c r="U184">
        <f t="shared" si="53"/>
        <v>0</v>
      </c>
      <c r="V184" s="29">
        <f t="shared" si="54"/>
        <v>0</v>
      </c>
      <c r="W184" s="29">
        <f t="shared" si="44"/>
        <v>0</v>
      </c>
      <c r="X184" s="29">
        <f t="shared" si="55"/>
        <v>17332.634982161624</v>
      </c>
      <c r="Y184">
        <f t="shared" si="56"/>
        <v>0</v>
      </c>
    </row>
    <row r="185" spans="1:25" x14ac:dyDescent="0.25">
      <c r="A185" s="4" t="s">
        <v>1014</v>
      </c>
      <c r="B185" s="7" t="s">
        <v>520</v>
      </c>
      <c r="C185" s="2" t="s">
        <v>1015</v>
      </c>
      <c r="D185">
        <f>VLOOKUP(B185,'Model allocations'!$A$1:$L$316,5,FALSE)</f>
        <v>35212.925272648485</v>
      </c>
      <c r="E185" s="31">
        <f>VLOOKUP(B185,'Initial adjusted formula count'!$A$1:$P$316,12,FALSE)</f>
        <v>0.123674911660777</v>
      </c>
      <c r="F185">
        <f>VLOOKUP(B185,'Model allocations'!$A$1:$L$316,10,FALSE)</f>
        <v>29951.769312460085</v>
      </c>
      <c r="G185" s="30">
        <f t="shared" si="45"/>
        <v>0.85</v>
      </c>
      <c r="H185">
        <f t="shared" si="46"/>
        <v>29930.98648175121</v>
      </c>
      <c r="I185">
        <f t="shared" si="38"/>
        <v>0</v>
      </c>
      <c r="J185">
        <f t="shared" si="39"/>
        <v>29951.769312460085</v>
      </c>
      <c r="K185">
        <f t="shared" si="40"/>
        <v>29928.899274685409</v>
      </c>
      <c r="L185">
        <f t="shared" si="47"/>
        <v>29928.899274685409</v>
      </c>
      <c r="M185">
        <f t="shared" si="41"/>
        <v>29930.98648175121</v>
      </c>
      <c r="N185" s="29">
        <f t="shared" si="48"/>
        <v>0</v>
      </c>
      <c r="O185" s="29">
        <f t="shared" si="42"/>
        <v>0</v>
      </c>
      <c r="P185" s="29">
        <f t="shared" si="49"/>
        <v>29930.98648175121</v>
      </c>
      <c r="Q185">
        <f t="shared" si="50"/>
        <v>0</v>
      </c>
      <c r="R185" s="29">
        <f t="shared" si="51"/>
        <v>0</v>
      </c>
      <c r="S185" s="29">
        <f t="shared" si="43"/>
        <v>0</v>
      </c>
      <c r="T185" s="29">
        <f t="shared" si="52"/>
        <v>29930.98648175121</v>
      </c>
      <c r="U185">
        <f t="shared" si="53"/>
        <v>0</v>
      </c>
      <c r="V185" s="29">
        <f t="shared" si="54"/>
        <v>0</v>
      </c>
      <c r="W185" s="29">
        <f t="shared" si="44"/>
        <v>0</v>
      </c>
      <c r="X185" s="29">
        <f t="shared" si="55"/>
        <v>29930.98648175121</v>
      </c>
      <c r="Y185">
        <f t="shared" si="56"/>
        <v>0</v>
      </c>
    </row>
    <row r="186" spans="1:25" x14ac:dyDescent="0.25">
      <c r="A186" s="4" t="s">
        <v>1016</v>
      </c>
      <c r="B186" s="7" t="s">
        <v>289</v>
      </c>
      <c r="C186" s="2" t="s">
        <v>1017</v>
      </c>
      <c r="D186">
        <f>VLOOKUP(B186,'Model allocations'!$A$1:$L$316,5,FALSE)</f>
        <v>7696.1728616238088</v>
      </c>
      <c r="E186" s="31">
        <f>VLOOKUP(B186,'Initial adjusted formula count'!$A$1:$P$316,12,FALSE)</f>
        <v>5.0847457627118599E-2</v>
      </c>
      <c r="F186">
        <f>VLOOKUP(B186,'Model allocations'!$A$1:$L$316,10,FALSE)</f>
        <v>0</v>
      </c>
      <c r="G186" s="30">
        <f t="shared" si="45"/>
        <v>0.85</v>
      </c>
      <c r="H186">
        <f t="shared" si="46"/>
        <v>0</v>
      </c>
      <c r="I186">
        <f t="shared" si="38"/>
        <v>0</v>
      </c>
      <c r="J186">
        <f t="shared" si="39"/>
        <v>0</v>
      </c>
      <c r="K186">
        <f t="shared" si="40"/>
        <v>0</v>
      </c>
      <c r="L186">
        <f t="shared" si="47"/>
        <v>0</v>
      </c>
      <c r="M186">
        <f t="shared" si="41"/>
        <v>0</v>
      </c>
      <c r="N186" s="29">
        <f t="shared" si="48"/>
        <v>0</v>
      </c>
      <c r="O186" s="29">
        <f t="shared" si="42"/>
        <v>0</v>
      </c>
      <c r="P186" s="29">
        <f t="shared" si="49"/>
        <v>0</v>
      </c>
      <c r="Q186">
        <f t="shared" si="50"/>
        <v>0</v>
      </c>
      <c r="R186" s="29">
        <f t="shared" si="51"/>
        <v>0</v>
      </c>
      <c r="S186" s="29">
        <f t="shared" si="43"/>
        <v>0</v>
      </c>
      <c r="T186" s="29">
        <f t="shared" si="52"/>
        <v>0</v>
      </c>
      <c r="U186">
        <f t="shared" si="53"/>
        <v>0</v>
      </c>
      <c r="V186" s="29">
        <f t="shared" si="54"/>
        <v>0</v>
      </c>
      <c r="W186" s="29">
        <f t="shared" si="44"/>
        <v>0</v>
      </c>
      <c r="X186" s="29">
        <f t="shared" si="55"/>
        <v>0</v>
      </c>
      <c r="Y186">
        <f t="shared" si="56"/>
        <v>0</v>
      </c>
    </row>
    <row r="187" spans="1:25" x14ac:dyDescent="0.25">
      <c r="A187" s="4" t="s">
        <v>1018</v>
      </c>
      <c r="B187" s="7" t="s">
        <v>522</v>
      </c>
      <c r="C187" s="2" t="s">
        <v>1019</v>
      </c>
      <c r="D187">
        <f>VLOOKUP(B187,'Model allocations'!$A$1:$L$316,5,FALSE)</f>
        <v>33576.467450825847</v>
      </c>
      <c r="E187" s="31">
        <f>VLOOKUP(B187,'Initial adjusted formula count'!$A$1:$P$316,12,FALSE)</f>
        <v>0.170542635658915</v>
      </c>
      <c r="F187">
        <f>VLOOKUP(B187,'Model allocations'!$A$1:$L$316,10,FALSE)</f>
        <v>30239.803396552088</v>
      </c>
      <c r="G187" s="30">
        <f t="shared" si="45"/>
        <v>0.9</v>
      </c>
      <c r="H187">
        <f t="shared" si="46"/>
        <v>30218.820705743263</v>
      </c>
      <c r="I187">
        <f t="shared" si="38"/>
        <v>0</v>
      </c>
      <c r="J187">
        <f t="shared" si="39"/>
        <v>30239.803396552088</v>
      </c>
      <c r="K187">
        <f t="shared" si="40"/>
        <v>30216.713426849023</v>
      </c>
      <c r="L187">
        <f t="shared" si="47"/>
        <v>30216.713426849023</v>
      </c>
      <c r="M187">
        <f t="shared" si="41"/>
        <v>30218.820705743263</v>
      </c>
      <c r="N187" s="29">
        <f t="shared" si="48"/>
        <v>0</v>
      </c>
      <c r="O187" s="29">
        <f t="shared" si="42"/>
        <v>0</v>
      </c>
      <c r="P187" s="29">
        <f t="shared" si="49"/>
        <v>30218.820705743263</v>
      </c>
      <c r="Q187">
        <f t="shared" si="50"/>
        <v>0</v>
      </c>
      <c r="R187" s="29">
        <f t="shared" si="51"/>
        <v>0</v>
      </c>
      <c r="S187" s="29">
        <f t="shared" si="43"/>
        <v>0</v>
      </c>
      <c r="T187" s="29">
        <f t="shared" si="52"/>
        <v>30218.820705743263</v>
      </c>
      <c r="U187">
        <f t="shared" si="53"/>
        <v>0</v>
      </c>
      <c r="V187" s="29">
        <f t="shared" si="54"/>
        <v>0</v>
      </c>
      <c r="W187" s="29">
        <f t="shared" si="44"/>
        <v>0</v>
      </c>
      <c r="X187" s="29">
        <f t="shared" si="55"/>
        <v>30218.820705743263</v>
      </c>
      <c r="Y187">
        <f t="shared" si="56"/>
        <v>0</v>
      </c>
    </row>
    <row r="188" spans="1:25" x14ac:dyDescent="0.25">
      <c r="A188" s="4" t="s">
        <v>1020</v>
      </c>
      <c r="B188" s="7" t="s">
        <v>524</v>
      </c>
      <c r="C188" s="2" t="s">
        <v>1021</v>
      </c>
      <c r="D188">
        <f>VLOOKUP(B188,'Model allocations'!$A$1:$L$316,5,FALSE)</f>
        <v>21880.423920906869</v>
      </c>
      <c r="E188" s="31">
        <f>VLOOKUP(B188,'Initial adjusted formula count'!$A$1:$P$316,12,FALSE)</f>
        <v>6.15384615384615E-2</v>
      </c>
      <c r="F188">
        <f>VLOOKUP(B188,'Model allocations'!$A$1:$L$316,10,FALSE)</f>
        <v>18598.360332770837</v>
      </c>
      <c r="G188" s="30">
        <f t="shared" si="45"/>
        <v>0.85</v>
      </c>
      <c r="H188">
        <f t="shared" si="46"/>
        <v>18598.360332770837</v>
      </c>
      <c r="I188">
        <f t="shared" si="38"/>
        <v>0</v>
      </c>
      <c r="J188">
        <f t="shared" si="39"/>
        <v>18598.360332770837</v>
      </c>
      <c r="K188">
        <f t="shared" si="40"/>
        <v>18584.159328518959</v>
      </c>
      <c r="L188">
        <f t="shared" si="47"/>
        <v>18584.159328518959</v>
      </c>
      <c r="M188">
        <f t="shared" si="41"/>
        <v>18598.360332770837</v>
      </c>
      <c r="N188" s="29">
        <f t="shared" si="48"/>
        <v>0</v>
      </c>
      <c r="O188" s="29">
        <f t="shared" si="42"/>
        <v>0</v>
      </c>
      <c r="P188" s="29">
        <f t="shared" si="49"/>
        <v>18598.360332770837</v>
      </c>
      <c r="Q188">
        <f t="shared" si="50"/>
        <v>0</v>
      </c>
      <c r="R188" s="29">
        <f t="shared" si="51"/>
        <v>0</v>
      </c>
      <c r="S188" s="29">
        <f t="shared" si="43"/>
        <v>0</v>
      </c>
      <c r="T188" s="29">
        <f t="shared" si="52"/>
        <v>18598.360332770837</v>
      </c>
      <c r="U188">
        <f t="shared" si="53"/>
        <v>0</v>
      </c>
      <c r="V188" s="29">
        <f t="shared" si="54"/>
        <v>0</v>
      </c>
      <c r="W188" s="29">
        <f t="shared" si="44"/>
        <v>0</v>
      </c>
      <c r="X188" s="29">
        <f t="shared" si="55"/>
        <v>18598.360332770837</v>
      </c>
      <c r="Y188">
        <f t="shared" si="56"/>
        <v>0</v>
      </c>
    </row>
    <row r="189" spans="1:25" x14ac:dyDescent="0.25">
      <c r="A189" s="4" t="s">
        <v>1022</v>
      </c>
      <c r="B189" s="7" t="s">
        <v>526</v>
      </c>
      <c r="C189" s="2" t="s">
        <v>1023</v>
      </c>
      <c r="D189">
        <f>VLOOKUP(B189,'Model allocations'!$A$1:$L$316,5,FALSE)</f>
        <v>175697.61470436701</v>
      </c>
      <c r="E189" s="31">
        <f>VLOOKUP(B189,'Initial adjusted formula count'!$A$1:$P$316,12,FALSE)</f>
        <v>0.19738751814223501</v>
      </c>
      <c r="F189">
        <f>VLOOKUP(B189,'Model allocations'!$A$1:$L$316,10,FALSE)</f>
        <v>158127.85323393031</v>
      </c>
      <c r="G189" s="30">
        <f t="shared" si="45"/>
        <v>0.9</v>
      </c>
      <c r="H189">
        <f t="shared" si="46"/>
        <v>158127.85323393031</v>
      </c>
      <c r="I189">
        <f t="shared" si="38"/>
        <v>0</v>
      </c>
      <c r="J189">
        <f t="shared" si="39"/>
        <v>158127.85323393031</v>
      </c>
      <c r="K189">
        <f t="shared" si="40"/>
        <v>158007.112788217</v>
      </c>
      <c r="L189">
        <f t="shared" si="47"/>
        <v>158007.112788217</v>
      </c>
      <c r="M189">
        <f t="shared" si="41"/>
        <v>158127.85323393031</v>
      </c>
      <c r="N189" s="29">
        <f t="shared" si="48"/>
        <v>0</v>
      </c>
      <c r="O189" s="29">
        <f t="shared" si="42"/>
        <v>0</v>
      </c>
      <c r="P189" s="29">
        <f t="shared" si="49"/>
        <v>158127.85323393031</v>
      </c>
      <c r="Q189">
        <f t="shared" si="50"/>
        <v>0</v>
      </c>
      <c r="R189" s="29">
        <f t="shared" si="51"/>
        <v>0</v>
      </c>
      <c r="S189" s="29">
        <f t="shared" si="43"/>
        <v>0</v>
      </c>
      <c r="T189" s="29">
        <f t="shared" si="52"/>
        <v>158127.85323393031</v>
      </c>
      <c r="U189">
        <f t="shared" si="53"/>
        <v>0</v>
      </c>
      <c r="V189" s="29">
        <f t="shared" si="54"/>
        <v>0</v>
      </c>
      <c r="W189" s="29">
        <f t="shared" si="44"/>
        <v>0</v>
      </c>
      <c r="X189" s="29">
        <f t="shared" si="55"/>
        <v>158127.85323393031</v>
      </c>
      <c r="Y189">
        <f t="shared" si="56"/>
        <v>0</v>
      </c>
    </row>
    <row r="190" spans="1:25" x14ac:dyDescent="0.25">
      <c r="A190" s="4" t="s">
        <v>1024</v>
      </c>
      <c r="B190" s="7" t="s">
        <v>291</v>
      </c>
      <c r="C190" s="2" t="s">
        <v>1025</v>
      </c>
      <c r="D190">
        <f>VLOOKUP(B190,'Model allocations'!$A$1:$L$316,5,FALSE)</f>
        <v>70845.052036637993</v>
      </c>
      <c r="E190" s="31">
        <f>VLOOKUP(B190,'Initial adjusted formula count'!$A$1:$P$316,12,FALSE)</f>
        <v>6.4693317058285002E-2</v>
      </c>
      <c r="F190">
        <f>VLOOKUP(B190,'Model allocations'!$A$1:$L$316,10,FALSE)</f>
        <v>90242.323664381081</v>
      </c>
      <c r="G190" s="30">
        <f t="shared" si="45"/>
        <v>0.85</v>
      </c>
      <c r="H190">
        <f t="shared" si="46"/>
        <v>60218.294231142296</v>
      </c>
      <c r="I190">
        <f t="shared" si="38"/>
        <v>0</v>
      </c>
      <c r="J190">
        <f t="shared" si="39"/>
        <v>90242.323664381081</v>
      </c>
      <c r="K190">
        <f t="shared" si="40"/>
        <v>90173.418040491262</v>
      </c>
      <c r="L190">
        <f t="shared" si="47"/>
        <v>90173.418040491262</v>
      </c>
      <c r="M190">
        <f t="shared" si="41"/>
        <v>0</v>
      </c>
      <c r="N190" s="29">
        <f t="shared" si="48"/>
        <v>90173.418040491262</v>
      </c>
      <c r="O190" s="29">
        <f t="shared" si="42"/>
        <v>90168.296316990527</v>
      </c>
      <c r="P190" s="29">
        <f t="shared" si="49"/>
        <v>90168.296316990527</v>
      </c>
      <c r="Q190">
        <f t="shared" si="50"/>
        <v>0</v>
      </c>
      <c r="R190" s="29">
        <f t="shared" si="51"/>
        <v>90168.296316990527</v>
      </c>
      <c r="S190" s="29">
        <f t="shared" si="43"/>
        <v>90168.264178091486</v>
      </c>
      <c r="T190" s="29">
        <f t="shared" si="52"/>
        <v>90168.264178091486</v>
      </c>
      <c r="U190">
        <f t="shared" si="53"/>
        <v>0</v>
      </c>
      <c r="V190" s="29">
        <f t="shared" si="54"/>
        <v>90168.264178091486</v>
      </c>
      <c r="W190" s="29">
        <f t="shared" si="44"/>
        <v>90168.2641780915</v>
      </c>
      <c r="X190" s="29">
        <f t="shared" si="55"/>
        <v>90168.2641780915</v>
      </c>
      <c r="Y190">
        <f t="shared" si="56"/>
        <v>0</v>
      </c>
    </row>
    <row r="191" spans="1:25" x14ac:dyDescent="0.25">
      <c r="A191" s="4" t="s">
        <v>1026</v>
      </c>
      <c r="B191" s="7" t="s">
        <v>528</v>
      </c>
      <c r="C191" s="2" t="s">
        <v>1027</v>
      </c>
      <c r="D191">
        <f>VLOOKUP(B191,'Model allocations'!$A$1:$L$316,5,FALSE)</f>
        <v>440253.11951381498</v>
      </c>
      <c r="E191" s="31">
        <f>VLOOKUP(B191,'Initial adjusted formula count'!$A$1:$P$316,12,FALSE)</f>
        <v>0.20232609172701299</v>
      </c>
      <c r="F191">
        <f>VLOOKUP(B191,'Model allocations'!$A$1:$L$316,10,FALSE)</f>
        <v>460156.90993870399</v>
      </c>
      <c r="G191" s="30">
        <f t="shared" si="45"/>
        <v>0.9</v>
      </c>
      <c r="H191">
        <f t="shared" si="46"/>
        <v>396227.80756243347</v>
      </c>
      <c r="I191">
        <f t="shared" si="38"/>
        <v>0</v>
      </c>
      <c r="J191">
        <f t="shared" si="39"/>
        <v>460156.90993870399</v>
      </c>
      <c r="K191">
        <f t="shared" si="40"/>
        <v>459805.55153303547</v>
      </c>
      <c r="L191">
        <f t="shared" si="47"/>
        <v>459805.55153303547</v>
      </c>
      <c r="M191">
        <f t="shared" si="41"/>
        <v>0</v>
      </c>
      <c r="N191" s="29">
        <f t="shared" si="48"/>
        <v>459805.55153303547</v>
      </c>
      <c r="O191" s="29">
        <f t="shared" si="42"/>
        <v>459779.43522348179</v>
      </c>
      <c r="P191" s="29">
        <f t="shared" si="49"/>
        <v>459779.43522348179</v>
      </c>
      <c r="Q191">
        <f t="shared" si="50"/>
        <v>0</v>
      </c>
      <c r="R191" s="29">
        <f t="shared" si="51"/>
        <v>459779.43522348179</v>
      </c>
      <c r="S191" s="29">
        <f t="shared" si="43"/>
        <v>459779.27134321065</v>
      </c>
      <c r="T191" s="29">
        <f t="shared" si="52"/>
        <v>459779.27134321065</v>
      </c>
      <c r="U191">
        <f t="shared" si="53"/>
        <v>0</v>
      </c>
      <c r="V191" s="29">
        <f t="shared" si="54"/>
        <v>459779.27134321065</v>
      </c>
      <c r="W191" s="29">
        <f t="shared" si="44"/>
        <v>459779.27134321071</v>
      </c>
      <c r="X191" s="29">
        <f t="shared" si="55"/>
        <v>459779.27134321071</v>
      </c>
      <c r="Y191">
        <f t="shared" si="56"/>
        <v>0</v>
      </c>
    </row>
    <row r="192" spans="1:25" x14ac:dyDescent="0.25">
      <c r="A192" s="4" t="s">
        <v>1028</v>
      </c>
      <c r="B192" s="7" t="s">
        <v>530</v>
      </c>
      <c r="C192" s="2" t="s">
        <v>1029</v>
      </c>
      <c r="D192">
        <f>VLOOKUP(B192,'Model allocations'!$A$1:$L$316,5,FALSE)</f>
        <v>0</v>
      </c>
      <c r="E192" s="31">
        <f>VLOOKUP(B192,'Initial adjusted formula count'!$A$1:$P$316,12,FALSE)</f>
        <v>8.6956521739130405E-2</v>
      </c>
      <c r="F192">
        <f>VLOOKUP(B192,'Model allocations'!$A$1:$L$316,10,FALSE)</f>
        <v>0</v>
      </c>
      <c r="G192" s="30">
        <f t="shared" si="45"/>
        <v>0.85</v>
      </c>
      <c r="H192">
        <f t="shared" si="46"/>
        <v>0</v>
      </c>
      <c r="I192">
        <f t="shared" si="38"/>
        <v>0</v>
      </c>
      <c r="J192">
        <f t="shared" si="39"/>
        <v>0</v>
      </c>
      <c r="K192">
        <f t="shared" si="40"/>
        <v>0</v>
      </c>
      <c r="L192">
        <f t="shared" si="47"/>
        <v>0</v>
      </c>
      <c r="M192">
        <f t="shared" si="41"/>
        <v>0</v>
      </c>
      <c r="N192" s="29">
        <f t="shared" si="48"/>
        <v>0</v>
      </c>
      <c r="O192" s="29">
        <f t="shared" si="42"/>
        <v>0</v>
      </c>
      <c r="P192" s="29">
        <f t="shared" si="49"/>
        <v>0</v>
      </c>
      <c r="Q192">
        <f t="shared" si="50"/>
        <v>0</v>
      </c>
      <c r="R192" s="29">
        <f t="shared" si="51"/>
        <v>0</v>
      </c>
      <c r="S192" s="29">
        <f t="shared" si="43"/>
        <v>0</v>
      </c>
      <c r="T192" s="29">
        <f t="shared" si="52"/>
        <v>0</v>
      </c>
      <c r="U192">
        <f t="shared" si="53"/>
        <v>0</v>
      </c>
      <c r="V192" s="29">
        <f t="shared" si="54"/>
        <v>0</v>
      </c>
      <c r="W192" s="29">
        <f t="shared" si="44"/>
        <v>0</v>
      </c>
      <c r="X192" s="29">
        <f t="shared" si="55"/>
        <v>0</v>
      </c>
      <c r="Y192">
        <f t="shared" si="56"/>
        <v>0</v>
      </c>
    </row>
    <row r="193" spans="1:25" x14ac:dyDescent="0.25">
      <c r="A193" s="4" t="s">
        <v>1030</v>
      </c>
      <c r="B193" s="7" t="s">
        <v>532</v>
      </c>
      <c r="C193" s="2" t="s">
        <v>1031</v>
      </c>
      <c r="D193">
        <f>VLOOKUP(B193,'Model allocations'!$A$1:$L$316,5,FALSE)</f>
        <v>0</v>
      </c>
      <c r="E193" s="31">
        <f>VLOOKUP(B193,'Initial adjusted formula count'!$A$1:$P$316,12,FALSE)</f>
        <v>5.6680161943319797E-2</v>
      </c>
      <c r="F193">
        <f>VLOOKUP(B193,'Model allocations'!$A$1:$L$316,10,FALSE)</f>
        <v>5959.3987325534672</v>
      </c>
      <c r="G193" s="30">
        <f t="shared" si="45"/>
        <v>0.85</v>
      </c>
      <c r="H193">
        <f t="shared" si="46"/>
        <v>0</v>
      </c>
      <c r="I193">
        <f t="shared" si="38"/>
        <v>0</v>
      </c>
      <c r="J193">
        <f t="shared" si="39"/>
        <v>5959.3987325534672</v>
      </c>
      <c r="K193">
        <f t="shared" si="40"/>
        <v>5954.848361164517</v>
      </c>
      <c r="L193">
        <f t="shared" si="47"/>
        <v>5954.848361164517</v>
      </c>
      <c r="M193">
        <f t="shared" si="41"/>
        <v>0</v>
      </c>
      <c r="N193" s="29">
        <f t="shared" si="48"/>
        <v>5954.848361164517</v>
      </c>
      <c r="O193" s="29">
        <f t="shared" si="42"/>
        <v>5954.5101341408827</v>
      </c>
      <c r="P193" s="29">
        <f t="shared" si="49"/>
        <v>5954.5101341408827</v>
      </c>
      <c r="Q193">
        <f t="shared" si="50"/>
        <v>0</v>
      </c>
      <c r="R193" s="29">
        <f t="shared" si="51"/>
        <v>5954.5101341408827</v>
      </c>
      <c r="S193" s="29">
        <f t="shared" si="43"/>
        <v>5954.5080117607577</v>
      </c>
      <c r="T193" s="29">
        <f t="shared" si="52"/>
        <v>5954.5080117607577</v>
      </c>
      <c r="U193">
        <f t="shared" si="53"/>
        <v>0</v>
      </c>
      <c r="V193" s="29">
        <f t="shared" si="54"/>
        <v>5954.5080117607577</v>
      </c>
      <c r="W193" s="29">
        <f t="shared" si="44"/>
        <v>5954.5080117607586</v>
      </c>
      <c r="X193" s="29">
        <f t="shared" si="55"/>
        <v>5954.5080117607586</v>
      </c>
      <c r="Y193">
        <f t="shared" si="56"/>
        <v>0</v>
      </c>
    </row>
    <row r="194" spans="1:25" x14ac:dyDescent="0.25">
      <c r="A194" s="4" t="s">
        <v>1032</v>
      </c>
      <c r="B194" s="7" t="s">
        <v>534</v>
      </c>
      <c r="C194" s="2" t="s">
        <v>1033</v>
      </c>
      <c r="D194">
        <f>VLOOKUP(B194,'Model allocations'!$A$1:$L$316,5,FALSE)</f>
        <v>2057231.3187562202</v>
      </c>
      <c r="E194" s="31">
        <f>VLOOKUP(B194,'Initial adjusted formula count'!$A$1:$P$316,12,FALSE)</f>
        <v>0.177343788528875</v>
      </c>
      <c r="F194">
        <f>VLOOKUP(B194,'Model allocations'!$A$1:$L$316,10,FALSE)</f>
        <v>2432924.5325649534</v>
      </c>
      <c r="G194" s="30">
        <f t="shared" si="45"/>
        <v>0.9</v>
      </c>
      <c r="H194">
        <f t="shared" si="46"/>
        <v>1851508.1868805981</v>
      </c>
      <c r="I194">
        <f t="shared" si="38"/>
        <v>0</v>
      </c>
      <c r="J194">
        <f t="shared" si="39"/>
        <v>2432924.5325649534</v>
      </c>
      <c r="K194">
        <f t="shared" si="40"/>
        <v>2431066.8434454147</v>
      </c>
      <c r="L194">
        <f t="shared" si="47"/>
        <v>2431066.8434454147</v>
      </c>
      <c r="M194">
        <f t="shared" si="41"/>
        <v>0</v>
      </c>
      <c r="N194" s="29">
        <f t="shared" si="48"/>
        <v>2431066.8434454147</v>
      </c>
      <c r="O194" s="29">
        <f t="shared" si="42"/>
        <v>2430928.7622630158</v>
      </c>
      <c r="P194" s="29">
        <f t="shared" si="49"/>
        <v>2430928.7622630158</v>
      </c>
      <c r="Q194">
        <f t="shared" si="50"/>
        <v>0</v>
      </c>
      <c r="R194" s="29">
        <f t="shared" si="51"/>
        <v>2430928.7622630158</v>
      </c>
      <c r="S194" s="29">
        <f t="shared" si="43"/>
        <v>2430927.89580133</v>
      </c>
      <c r="T194" s="29">
        <f t="shared" si="52"/>
        <v>2430927.89580133</v>
      </c>
      <c r="U194">
        <f t="shared" si="53"/>
        <v>0</v>
      </c>
      <c r="V194" s="29">
        <f t="shared" si="54"/>
        <v>2430927.89580133</v>
      </c>
      <c r="W194" s="29">
        <f t="shared" si="44"/>
        <v>2430927.89580133</v>
      </c>
      <c r="X194" s="29">
        <f t="shared" si="55"/>
        <v>2430927.89580133</v>
      </c>
      <c r="Y194">
        <f t="shared" si="56"/>
        <v>0</v>
      </c>
    </row>
    <row r="195" spans="1:25" x14ac:dyDescent="0.25">
      <c r="A195" s="4" t="s">
        <v>1034</v>
      </c>
      <c r="B195" s="7" t="s">
        <v>536</v>
      </c>
      <c r="C195" s="2" t="s">
        <v>1035</v>
      </c>
      <c r="D195">
        <f>VLOOKUP(B195,'Model allocations'!$A$1:$L$316,5,FALSE)</f>
        <v>23767.028483033719</v>
      </c>
      <c r="E195" s="31">
        <f>VLOOKUP(B195,'Initial adjusted formula count'!$A$1:$P$316,12,FALSE)</f>
        <v>0.20979020979021001</v>
      </c>
      <c r="F195">
        <f>VLOOKUP(B195,'Model allocations'!$A$1:$L$316,10,FALSE)</f>
        <v>30469.937481074045</v>
      </c>
      <c r="G195" s="30">
        <f t="shared" si="45"/>
        <v>0.9</v>
      </c>
      <c r="H195">
        <f t="shared" si="46"/>
        <v>21390.325634730347</v>
      </c>
      <c r="I195">
        <f t="shared" si="38"/>
        <v>0</v>
      </c>
      <c r="J195">
        <f t="shared" si="39"/>
        <v>30469.937481074045</v>
      </c>
      <c r="K195">
        <f t="shared" si="40"/>
        <v>30446.671789691522</v>
      </c>
      <c r="L195">
        <f t="shared" si="47"/>
        <v>30446.671789691522</v>
      </c>
      <c r="M195">
        <f t="shared" si="41"/>
        <v>0</v>
      </c>
      <c r="N195" s="29">
        <f t="shared" si="48"/>
        <v>30446.671789691522</v>
      </c>
      <c r="O195" s="29">
        <f t="shared" si="42"/>
        <v>30444.942461494658</v>
      </c>
      <c r="P195" s="29">
        <f t="shared" si="49"/>
        <v>30444.942461494658</v>
      </c>
      <c r="Q195">
        <f t="shared" si="50"/>
        <v>0</v>
      </c>
      <c r="R195" s="29">
        <f t="shared" si="51"/>
        <v>30444.942461494658</v>
      </c>
      <c r="S195" s="29">
        <f t="shared" si="43"/>
        <v>30444.931609931838</v>
      </c>
      <c r="T195" s="29">
        <f t="shared" si="52"/>
        <v>30444.931609931838</v>
      </c>
      <c r="U195">
        <f t="shared" si="53"/>
        <v>0</v>
      </c>
      <c r="V195" s="29">
        <f t="shared" si="54"/>
        <v>30444.931609931838</v>
      </c>
      <c r="W195" s="29">
        <f t="shared" si="44"/>
        <v>30444.931609931842</v>
      </c>
      <c r="X195" s="29">
        <f t="shared" si="55"/>
        <v>30444.931609931842</v>
      </c>
      <c r="Y195">
        <f t="shared" si="56"/>
        <v>0</v>
      </c>
    </row>
    <row r="196" spans="1:25" x14ac:dyDescent="0.25">
      <c r="A196" s="4" t="s">
        <v>1036</v>
      </c>
      <c r="B196" s="7" t="s">
        <v>190</v>
      </c>
      <c r="C196" s="2" t="s">
        <v>1037</v>
      </c>
      <c r="D196">
        <f>VLOOKUP(B196,'Model allocations'!$A$1:$L$316,5,FALSE)</f>
        <v>0</v>
      </c>
      <c r="E196" s="31">
        <f>VLOOKUP(B196,'Initial adjusted formula count'!$A$1:$P$316,12,FALSE)</f>
        <v>4.49438202247191E-2</v>
      </c>
      <c r="F196">
        <f>VLOOKUP(B196,'Model allocations'!$A$1:$L$316,10,FALSE)</f>
        <v>0</v>
      </c>
      <c r="G196" s="30">
        <f t="shared" si="45"/>
        <v>0.85</v>
      </c>
      <c r="H196">
        <f t="shared" si="46"/>
        <v>0</v>
      </c>
      <c r="I196">
        <f t="shared" ref="I196:I258" si="57">IF(F196&lt;H196,H196,0)</f>
        <v>0</v>
      </c>
      <c r="J196">
        <f t="shared" ref="J196:J258" si="58">IF(I196=0,F196,0)</f>
        <v>0</v>
      </c>
      <c r="K196">
        <f t="shared" ref="K196:K258" si="59">(J196/$J$3)*($F$3-$I$3)</f>
        <v>0</v>
      </c>
      <c r="L196">
        <f t="shared" si="47"/>
        <v>0</v>
      </c>
      <c r="M196">
        <f t="shared" ref="M196:M258" si="60">IF(L196&lt;H196,H196,0)</f>
        <v>0</v>
      </c>
      <c r="N196" s="29">
        <f t="shared" si="48"/>
        <v>0</v>
      </c>
      <c r="O196" s="29">
        <f t="shared" ref="O196:O258" si="61">((N196/$N$3)*($F$3-$I$3-$M$3))</f>
        <v>0</v>
      </c>
      <c r="P196" s="29">
        <f t="shared" si="49"/>
        <v>0</v>
      </c>
      <c r="Q196">
        <f t="shared" si="50"/>
        <v>0</v>
      </c>
      <c r="R196" s="29">
        <f t="shared" si="51"/>
        <v>0</v>
      </c>
      <c r="S196" s="29">
        <f t="shared" ref="S196:S258" si="62">((R196/$R$3)*($F$3-$I$3-$M$3-$Q$3))</f>
        <v>0</v>
      </c>
      <c r="T196" s="29">
        <f t="shared" si="52"/>
        <v>0</v>
      </c>
      <c r="U196">
        <f t="shared" si="53"/>
        <v>0</v>
      </c>
      <c r="V196" s="29">
        <f t="shared" si="54"/>
        <v>0</v>
      </c>
      <c r="W196" s="29">
        <f t="shared" ref="W196:W258" si="63">((V196/$V$3)*($F$3-$I$3-$M$3-$Q$3-$U$3))</f>
        <v>0</v>
      </c>
      <c r="X196" s="29">
        <f t="shared" si="55"/>
        <v>0</v>
      </c>
      <c r="Y196">
        <f t="shared" si="56"/>
        <v>0</v>
      </c>
    </row>
    <row r="197" spans="1:25" x14ac:dyDescent="0.25">
      <c r="A197" s="4" t="s">
        <v>1038</v>
      </c>
      <c r="B197" s="7" t="s">
        <v>293</v>
      </c>
      <c r="C197" s="2" t="s">
        <v>1039</v>
      </c>
      <c r="D197">
        <f>VLOOKUP(B197,'Model allocations'!$A$1:$L$316,5,FALSE)</f>
        <v>10844.106621815814</v>
      </c>
      <c r="E197" s="31">
        <f>VLOOKUP(B197,'Initial adjusted formula count'!$A$1:$P$316,12,FALSE)</f>
        <v>9.8039215686274495E-2</v>
      </c>
      <c r="F197">
        <f>VLOOKUP(B197,'Model allocations'!$A$1:$L$316,10,FALSE)</f>
        <v>10641.783450988338</v>
      </c>
      <c r="G197" s="30">
        <f t="shared" ref="G197:G259" si="64">IF(E197&lt;0.15,0.85,IF(AND(E197&gt;=0.15,E197&lt;0.3),0.9,0.95))</f>
        <v>0.85</v>
      </c>
      <c r="H197">
        <f t="shared" ref="H197:H259" si="65">IF(F197 = 0, 0, D197*G197)</f>
        <v>9217.4906285434408</v>
      </c>
      <c r="I197">
        <f t="shared" si="57"/>
        <v>0</v>
      </c>
      <c r="J197">
        <f t="shared" si="58"/>
        <v>10641.783450988338</v>
      </c>
      <c r="K197">
        <f t="shared" si="59"/>
        <v>10633.657787793783</v>
      </c>
      <c r="L197">
        <f t="shared" ref="L197:L259" si="66">I197+K197</f>
        <v>10633.657787793783</v>
      </c>
      <c r="M197">
        <f t="shared" si="60"/>
        <v>0</v>
      </c>
      <c r="N197" s="29">
        <f t="shared" ref="N197:N259" si="67">IF($I197+$M197=0,L197,0)</f>
        <v>10633.657787793783</v>
      </c>
      <c r="O197" s="29">
        <f t="shared" si="61"/>
        <v>10633.053810965865</v>
      </c>
      <c r="P197" s="29">
        <f t="shared" ref="P197:P259" si="68">$I197+$M197+O197</f>
        <v>10633.053810965865</v>
      </c>
      <c r="Q197">
        <f t="shared" ref="Q197:Q259" si="69">IF(P197&lt;H197,H197,0)</f>
        <v>0</v>
      </c>
      <c r="R197" s="29">
        <f t="shared" ref="R197:R259" si="70">IF($I197+$M197+$Q197=0,P197,0)</f>
        <v>10633.053810965865</v>
      </c>
      <c r="S197" s="29">
        <f t="shared" si="62"/>
        <v>10633.050021001354</v>
      </c>
      <c r="T197" s="29">
        <f t="shared" ref="T197:T259" si="71">$I197+$M197+$Q197+S197</f>
        <v>10633.050021001354</v>
      </c>
      <c r="U197">
        <f t="shared" ref="U197:U259" si="72">IF(T197&lt;H197,H197,0)</f>
        <v>0</v>
      </c>
      <c r="V197" s="29">
        <f t="shared" ref="V197:V259" si="73">IF($I197+$M197+$Q197+U197=0,T197,0)</f>
        <v>10633.050021001354</v>
      </c>
      <c r="W197" s="29">
        <f t="shared" si="63"/>
        <v>10633.050021001354</v>
      </c>
      <c r="X197" s="29">
        <f t="shared" ref="X197:X259" si="74">$I197+$M197+$Q197+$U197+W197</f>
        <v>10633.050021001354</v>
      </c>
      <c r="Y197">
        <f t="shared" ref="Y197:Y259" si="75">IF(X197&lt;H197,H197,0)</f>
        <v>0</v>
      </c>
    </row>
    <row r="198" spans="1:25" x14ac:dyDescent="0.25">
      <c r="A198" s="4" t="s">
        <v>1040</v>
      </c>
      <c r="B198" s="7" t="s">
        <v>192</v>
      </c>
      <c r="C198" s="2" t="s">
        <v>1041</v>
      </c>
      <c r="D198">
        <f>VLOOKUP(B198,'Model allocations'!$A$1:$L$316,5,FALSE)</f>
        <v>0</v>
      </c>
      <c r="E198" s="31">
        <f>VLOOKUP(B198,'Initial adjusted formula count'!$A$1:$P$316,12,FALSE)</f>
        <v>5.3457785320322401E-2</v>
      </c>
      <c r="F198">
        <f>VLOOKUP(B198,'Model allocations'!$A$1:$L$316,10,FALSE)</f>
        <v>268172.94296490605</v>
      </c>
      <c r="G198" s="30">
        <f t="shared" si="64"/>
        <v>0.85</v>
      </c>
      <c r="H198">
        <f t="shared" si="65"/>
        <v>0</v>
      </c>
      <c r="I198">
        <f t="shared" si="57"/>
        <v>0</v>
      </c>
      <c r="J198">
        <f t="shared" si="58"/>
        <v>268172.94296490605</v>
      </c>
      <c r="K198">
        <f t="shared" si="59"/>
        <v>267968.1762524033</v>
      </c>
      <c r="L198">
        <f t="shared" si="66"/>
        <v>267968.1762524033</v>
      </c>
      <c r="M198">
        <f t="shared" si="60"/>
        <v>0</v>
      </c>
      <c r="N198" s="29">
        <f t="shared" si="67"/>
        <v>267968.1762524033</v>
      </c>
      <c r="O198" s="29">
        <f t="shared" si="61"/>
        <v>267952.9560363398</v>
      </c>
      <c r="P198" s="29">
        <f t="shared" si="68"/>
        <v>267952.9560363398</v>
      </c>
      <c r="Q198">
        <f t="shared" si="69"/>
        <v>0</v>
      </c>
      <c r="R198" s="29">
        <f t="shared" si="70"/>
        <v>267952.9560363398</v>
      </c>
      <c r="S198" s="29">
        <f t="shared" si="62"/>
        <v>267952.86052923417</v>
      </c>
      <c r="T198" s="29">
        <f t="shared" si="71"/>
        <v>267952.86052923417</v>
      </c>
      <c r="U198">
        <f t="shared" si="72"/>
        <v>0</v>
      </c>
      <c r="V198" s="29">
        <f t="shared" si="73"/>
        <v>267952.86052923417</v>
      </c>
      <c r="W198" s="29">
        <f t="shared" si="63"/>
        <v>267952.86052923423</v>
      </c>
      <c r="X198" s="29">
        <f t="shared" si="74"/>
        <v>267952.86052923423</v>
      </c>
      <c r="Y198">
        <f t="shared" si="75"/>
        <v>0</v>
      </c>
    </row>
    <row r="199" spans="1:25" x14ac:dyDescent="0.25">
      <c r="A199" s="4" t="s">
        <v>52</v>
      </c>
      <c r="B199" s="7" t="s">
        <v>82</v>
      </c>
      <c r="C199" s="2" t="s">
        <v>1042</v>
      </c>
      <c r="D199">
        <f>VLOOKUP(B199,'Model allocations'!$A$1:$L$316,5,FALSE)</f>
        <v>11685.632508271046</v>
      </c>
      <c r="E199" s="31">
        <f>VLOOKUP(B199,'Initial adjusted formula count'!$A$1:$P$316,12,FALSE)</f>
        <v>0.116091427297897</v>
      </c>
      <c r="F199">
        <f>VLOOKUP(B199,'Model allocations'!$A$1:$L$316,10,FALSE)</f>
        <v>15027.7006022239</v>
      </c>
      <c r="G199" s="30">
        <f t="shared" si="64"/>
        <v>0.85</v>
      </c>
      <c r="H199">
        <f t="shared" si="65"/>
        <v>9932.7876320303894</v>
      </c>
      <c r="I199">
        <f t="shared" si="57"/>
        <v>0</v>
      </c>
      <c r="J199">
        <f t="shared" si="58"/>
        <v>15027.7006022239</v>
      </c>
      <c r="K199">
        <f t="shared" si="59"/>
        <v>15016.22601864074</v>
      </c>
      <c r="L199">
        <f t="shared" si="66"/>
        <v>15016.22601864074</v>
      </c>
      <c r="M199">
        <f t="shared" si="60"/>
        <v>0</v>
      </c>
      <c r="N199" s="29">
        <f t="shared" si="67"/>
        <v>15016.22601864074</v>
      </c>
      <c r="O199" s="29">
        <f t="shared" si="61"/>
        <v>15015.373118092402</v>
      </c>
      <c r="P199" s="29">
        <f t="shared" si="68"/>
        <v>15015.373118092402</v>
      </c>
      <c r="Q199">
        <f t="shared" si="69"/>
        <v>0</v>
      </c>
      <c r="R199" s="29">
        <f t="shared" si="70"/>
        <v>15015.373118092402</v>
      </c>
      <c r="S199" s="29">
        <f t="shared" si="62"/>
        <v>15015.367766127461</v>
      </c>
      <c r="T199" s="29">
        <f t="shared" si="71"/>
        <v>15015.367766127461</v>
      </c>
      <c r="U199">
        <f t="shared" si="72"/>
        <v>0</v>
      </c>
      <c r="V199" s="29">
        <f t="shared" si="73"/>
        <v>15015.367766127461</v>
      </c>
      <c r="W199" s="29">
        <f t="shared" si="63"/>
        <v>15015.367766127461</v>
      </c>
      <c r="X199" s="29">
        <f t="shared" si="74"/>
        <v>15015.367766127461</v>
      </c>
      <c r="Y199">
        <f t="shared" si="75"/>
        <v>0</v>
      </c>
    </row>
    <row r="200" spans="1:25" x14ac:dyDescent="0.25">
      <c r="A200" s="4" t="s">
        <v>1043</v>
      </c>
      <c r="B200" s="7" t="s">
        <v>538</v>
      </c>
      <c r="C200" s="2" t="s">
        <v>1044</v>
      </c>
      <c r="D200">
        <f>VLOOKUP(B200,'Model allocations'!$A$1:$L$316,5,FALSE)</f>
        <v>73775.444403139627</v>
      </c>
      <c r="E200" s="31">
        <f>VLOOKUP(B200,'Initial adjusted formula count'!$A$1:$P$316,12,FALSE)</f>
        <v>0.152542372881356</v>
      </c>
      <c r="F200">
        <f>VLOOKUP(B200,'Model allocations'!$A$1:$L$316,10,FALSE)</f>
        <v>99607.093101250823</v>
      </c>
      <c r="G200" s="30">
        <f t="shared" si="64"/>
        <v>0.9</v>
      </c>
      <c r="H200">
        <f t="shared" si="65"/>
        <v>66397.899962825672</v>
      </c>
      <c r="I200">
        <f t="shared" si="57"/>
        <v>0</v>
      </c>
      <c r="J200">
        <f t="shared" si="58"/>
        <v>99607.093101250823</v>
      </c>
      <c r="K200">
        <f t="shared" si="59"/>
        <v>99531.036893749799</v>
      </c>
      <c r="L200">
        <f t="shared" si="66"/>
        <v>99531.036893749799</v>
      </c>
      <c r="M200">
        <f t="shared" si="60"/>
        <v>0</v>
      </c>
      <c r="N200" s="29">
        <f t="shared" si="67"/>
        <v>99531.036893749799</v>
      </c>
      <c r="O200" s="29">
        <f t="shared" si="61"/>
        <v>99525.383670640484</v>
      </c>
      <c r="P200" s="29">
        <f t="shared" si="68"/>
        <v>99525.383670640484</v>
      </c>
      <c r="Q200">
        <f t="shared" si="69"/>
        <v>0</v>
      </c>
      <c r="R200" s="29">
        <f t="shared" si="70"/>
        <v>99525.383670640484</v>
      </c>
      <c r="S200" s="29">
        <f t="shared" si="62"/>
        <v>99525.348196572682</v>
      </c>
      <c r="T200" s="29">
        <f t="shared" si="71"/>
        <v>99525.348196572682</v>
      </c>
      <c r="U200">
        <f t="shared" si="72"/>
        <v>0</v>
      </c>
      <c r="V200" s="29">
        <f t="shared" si="73"/>
        <v>99525.348196572682</v>
      </c>
      <c r="W200" s="29">
        <f t="shared" si="63"/>
        <v>99525.348196572697</v>
      </c>
      <c r="X200" s="29">
        <f t="shared" si="74"/>
        <v>99525.348196572697</v>
      </c>
      <c r="Y200">
        <f t="shared" si="75"/>
        <v>0</v>
      </c>
    </row>
    <row r="201" spans="1:25" x14ac:dyDescent="0.25">
      <c r="A201" s="4" t="s">
        <v>1045</v>
      </c>
      <c r="B201" s="7" t="s">
        <v>540</v>
      </c>
      <c r="C201" s="2" t="s">
        <v>1046</v>
      </c>
      <c r="D201">
        <f>VLOOKUP(B201,'Model allocations'!$A$1:$L$316,5,FALSE)</f>
        <v>25816.25420045463</v>
      </c>
      <c r="E201" s="31">
        <f>VLOOKUP(B201,'Initial adjusted formula count'!$A$1:$P$316,12,FALSE)</f>
        <v>0.162983425414365</v>
      </c>
      <c r="F201">
        <f>VLOOKUP(B201,'Model allocations'!$A$1:$L$316,10,FALSE)</f>
        <v>25944.795754910971</v>
      </c>
      <c r="G201" s="30">
        <f t="shared" si="64"/>
        <v>0.9</v>
      </c>
      <c r="H201">
        <f t="shared" si="65"/>
        <v>23234.628780409166</v>
      </c>
      <c r="I201">
        <f t="shared" si="57"/>
        <v>0</v>
      </c>
      <c r="J201">
        <f t="shared" si="58"/>
        <v>25944.795754910971</v>
      </c>
      <c r="K201">
        <f t="shared" si="59"/>
        <v>25924.985290534689</v>
      </c>
      <c r="L201">
        <f t="shared" si="66"/>
        <v>25924.985290534689</v>
      </c>
      <c r="M201">
        <f t="shared" si="60"/>
        <v>0</v>
      </c>
      <c r="N201" s="29">
        <f t="shared" si="67"/>
        <v>25924.985290534689</v>
      </c>
      <c r="O201" s="29">
        <f t="shared" si="61"/>
        <v>25923.512787780503</v>
      </c>
      <c r="P201" s="29">
        <f t="shared" si="68"/>
        <v>25923.512787780503</v>
      </c>
      <c r="Q201">
        <f t="shared" si="69"/>
        <v>0</v>
      </c>
      <c r="R201" s="29">
        <f t="shared" si="70"/>
        <v>25923.512787780503</v>
      </c>
      <c r="S201" s="29">
        <f t="shared" si="62"/>
        <v>25923.503547801549</v>
      </c>
      <c r="T201" s="29">
        <f t="shared" si="71"/>
        <v>25923.503547801549</v>
      </c>
      <c r="U201">
        <f t="shared" si="72"/>
        <v>0</v>
      </c>
      <c r="V201" s="29">
        <f t="shared" si="73"/>
        <v>25923.503547801549</v>
      </c>
      <c r="W201" s="29">
        <f t="shared" si="63"/>
        <v>25923.503547801552</v>
      </c>
      <c r="X201" s="29">
        <f t="shared" si="74"/>
        <v>25923.503547801552</v>
      </c>
      <c r="Y201">
        <f t="shared" si="75"/>
        <v>0</v>
      </c>
    </row>
    <row r="202" spans="1:25" x14ac:dyDescent="0.25">
      <c r="A202" s="4" t="s">
        <v>1047</v>
      </c>
      <c r="B202" s="7" t="s">
        <v>542</v>
      </c>
      <c r="C202" s="2" t="s">
        <v>1048</v>
      </c>
      <c r="D202">
        <f>VLOOKUP(B202,'Model allocations'!$A$1:$L$316,5,FALSE)</f>
        <v>254455.3052440194</v>
      </c>
      <c r="E202" s="31">
        <f>VLOOKUP(B202,'Initial adjusted formula count'!$A$1:$P$316,12,FALSE)</f>
        <v>0.126034523528021</v>
      </c>
      <c r="F202">
        <f>VLOOKUP(B202,'Model allocations'!$A$1:$L$316,10,FALSE)</f>
        <v>226882.82317507119</v>
      </c>
      <c r="G202" s="30">
        <f t="shared" si="64"/>
        <v>0.85</v>
      </c>
      <c r="H202">
        <f t="shared" si="65"/>
        <v>216287.00945741648</v>
      </c>
      <c r="I202">
        <f t="shared" si="57"/>
        <v>0</v>
      </c>
      <c r="J202">
        <f t="shared" si="58"/>
        <v>226882.82317507119</v>
      </c>
      <c r="K202">
        <f t="shared" si="59"/>
        <v>226709.58403576328</v>
      </c>
      <c r="L202">
        <f t="shared" si="66"/>
        <v>226709.58403576328</v>
      </c>
      <c r="M202">
        <f t="shared" si="60"/>
        <v>0</v>
      </c>
      <c r="N202" s="29">
        <f t="shared" si="67"/>
        <v>226709.58403576328</v>
      </c>
      <c r="O202" s="29">
        <f t="shared" si="61"/>
        <v>226696.70724979209</v>
      </c>
      <c r="P202" s="29">
        <f t="shared" si="68"/>
        <v>226696.70724979209</v>
      </c>
      <c r="Q202">
        <f t="shared" si="69"/>
        <v>0</v>
      </c>
      <c r="R202" s="29">
        <f t="shared" si="70"/>
        <v>226696.70724979209</v>
      </c>
      <c r="S202" s="29">
        <f t="shared" si="62"/>
        <v>226696.62644774874</v>
      </c>
      <c r="T202" s="29">
        <f t="shared" si="71"/>
        <v>226696.62644774874</v>
      </c>
      <c r="U202">
        <f t="shared" si="72"/>
        <v>0</v>
      </c>
      <c r="V202" s="29">
        <f t="shared" si="73"/>
        <v>226696.62644774874</v>
      </c>
      <c r="W202" s="29">
        <f t="shared" si="63"/>
        <v>226696.62644774877</v>
      </c>
      <c r="X202" s="29">
        <f t="shared" si="74"/>
        <v>226696.62644774877</v>
      </c>
      <c r="Y202">
        <f t="shared" si="75"/>
        <v>0</v>
      </c>
    </row>
    <row r="203" spans="1:25" x14ac:dyDescent="0.25">
      <c r="A203" s="4" t="s">
        <v>1049</v>
      </c>
      <c r="B203" s="7" t="s">
        <v>544</v>
      </c>
      <c r="C203" s="2" t="s">
        <v>1050</v>
      </c>
      <c r="D203">
        <f>VLOOKUP(B203,'Model allocations'!$A$1:$L$316,5,FALSE)</f>
        <v>101870.46881190789</v>
      </c>
      <c r="E203" s="31">
        <f>VLOOKUP(B203,'Initial adjusted formula count'!$A$1:$P$316,12,FALSE)</f>
        <v>0.15167682926829301</v>
      </c>
      <c r="F203">
        <f>VLOOKUP(B203,'Model allocations'!$A$1:$L$316,10,FALSE)</f>
        <v>91747.0830812762</v>
      </c>
      <c r="G203" s="30">
        <f t="shared" si="64"/>
        <v>0.9</v>
      </c>
      <c r="H203">
        <f t="shared" si="65"/>
        <v>91683.421930717101</v>
      </c>
      <c r="I203">
        <f t="shared" si="57"/>
        <v>0</v>
      </c>
      <c r="J203">
        <f t="shared" si="58"/>
        <v>91747.0830812762</v>
      </c>
      <c r="K203">
        <f t="shared" si="59"/>
        <v>91677.028480030582</v>
      </c>
      <c r="L203">
        <f t="shared" si="66"/>
        <v>91677.028480030582</v>
      </c>
      <c r="M203">
        <f t="shared" si="60"/>
        <v>91683.421930717101</v>
      </c>
      <c r="N203" s="29">
        <f t="shared" si="67"/>
        <v>0</v>
      </c>
      <c r="O203" s="29">
        <f t="shared" si="61"/>
        <v>0</v>
      </c>
      <c r="P203" s="29">
        <f t="shared" si="68"/>
        <v>91683.421930717101</v>
      </c>
      <c r="Q203">
        <f t="shared" si="69"/>
        <v>0</v>
      </c>
      <c r="R203" s="29">
        <f t="shared" si="70"/>
        <v>0</v>
      </c>
      <c r="S203" s="29">
        <f t="shared" si="62"/>
        <v>0</v>
      </c>
      <c r="T203" s="29">
        <f t="shared" si="71"/>
        <v>91683.421930717101</v>
      </c>
      <c r="U203">
        <f t="shared" si="72"/>
        <v>0</v>
      </c>
      <c r="V203" s="29">
        <f t="shared" si="73"/>
        <v>0</v>
      </c>
      <c r="W203" s="29">
        <f t="shared" si="63"/>
        <v>0</v>
      </c>
      <c r="X203" s="29">
        <f t="shared" si="74"/>
        <v>91683.421930717101</v>
      </c>
      <c r="Y203">
        <f t="shared" si="75"/>
        <v>0</v>
      </c>
    </row>
    <row r="204" spans="1:25" x14ac:dyDescent="0.25">
      <c r="A204" s="4" t="s">
        <v>1051</v>
      </c>
      <c r="B204" s="7" t="s">
        <v>546</v>
      </c>
      <c r="C204" s="2" t="s">
        <v>1052</v>
      </c>
      <c r="D204">
        <f>VLOOKUP(B204,'Model allocations'!$A$1:$L$316,5,FALSE)</f>
        <v>33670.22186436427</v>
      </c>
      <c r="E204" s="31">
        <f>VLOOKUP(B204,'Initial adjusted formula count'!$A$1:$P$316,12,FALSE)</f>
        <v>0.168604651162791</v>
      </c>
      <c r="F204">
        <f>VLOOKUP(B204,'Model allocations'!$A$1:$L$316,10,FALSE)</f>
        <v>30324.240957981485</v>
      </c>
      <c r="G204" s="30">
        <f t="shared" si="64"/>
        <v>0.9</v>
      </c>
      <c r="H204">
        <f t="shared" si="65"/>
        <v>30303.199677927845</v>
      </c>
      <c r="I204">
        <f t="shared" si="57"/>
        <v>0</v>
      </c>
      <c r="J204">
        <f t="shared" si="58"/>
        <v>30324.240957981485</v>
      </c>
      <c r="K204">
        <f t="shared" si="59"/>
        <v>30301.086514951337</v>
      </c>
      <c r="L204">
        <f t="shared" si="66"/>
        <v>30301.086514951337</v>
      </c>
      <c r="M204">
        <f t="shared" si="60"/>
        <v>30303.199677927845</v>
      </c>
      <c r="N204" s="29">
        <f t="shared" si="67"/>
        <v>0</v>
      </c>
      <c r="O204" s="29">
        <f t="shared" si="61"/>
        <v>0</v>
      </c>
      <c r="P204" s="29">
        <f t="shared" si="68"/>
        <v>30303.199677927845</v>
      </c>
      <c r="Q204">
        <f t="shared" si="69"/>
        <v>0</v>
      </c>
      <c r="R204" s="29">
        <f t="shared" si="70"/>
        <v>0</v>
      </c>
      <c r="S204" s="29">
        <f t="shared" si="62"/>
        <v>0</v>
      </c>
      <c r="T204" s="29">
        <f t="shared" si="71"/>
        <v>30303.199677927845</v>
      </c>
      <c r="U204">
        <f t="shared" si="72"/>
        <v>0</v>
      </c>
      <c r="V204" s="29">
        <f t="shared" si="73"/>
        <v>0</v>
      </c>
      <c r="W204" s="29">
        <f t="shared" si="63"/>
        <v>0</v>
      </c>
      <c r="X204" s="29">
        <f t="shared" si="74"/>
        <v>30303.199677927845</v>
      </c>
      <c r="Y204">
        <f t="shared" si="75"/>
        <v>0</v>
      </c>
    </row>
    <row r="205" spans="1:25" x14ac:dyDescent="0.25">
      <c r="A205" s="4" t="s">
        <v>33</v>
      </c>
      <c r="B205" s="7" t="s">
        <v>77</v>
      </c>
      <c r="C205" s="2" t="s">
        <v>1053</v>
      </c>
      <c r="D205">
        <f>VLOOKUP(B205,'Model allocations'!$A$1:$L$316,5,FALSE)</f>
        <v>39444.524193136269</v>
      </c>
      <c r="E205" s="31">
        <f>VLOOKUP(B205,'Initial adjusted formula count'!$A$1:$P$316,12,FALSE)</f>
        <v>8.3709505447087995E-2</v>
      </c>
      <c r="F205">
        <f>VLOOKUP(B205,'Model allocations'!$A$1:$L$316,10,FALSE)</f>
        <v>13053.806484792109</v>
      </c>
      <c r="G205" s="30">
        <f t="shared" si="64"/>
        <v>0.85</v>
      </c>
      <c r="H205">
        <f t="shared" si="65"/>
        <v>33527.845564165829</v>
      </c>
      <c r="I205">
        <f t="shared" si="57"/>
        <v>33527.845564165829</v>
      </c>
      <c r="J205">
        <f t="shared" si="58"/>
        <v>0</v>
      </c>
      <c r="K205">
        <f t="shared" si="59"/>
        <v>0</v>
      </c>
      <c r="L205">
        <f t="shared" si="66"/>
        <v>33527.845564165829</v>
      </c>
      <c r="M205">
        <f t="shared" si="60"/>
        <v>0</v>
      </c>
      <c r="N205" s="29">
        <f t="shared" si="67"/>
        <v>0</v>
      </c>
      <c r="O205" s="29">
        <f t="shared" si="61"/>
        <v>0</v>
      </c>
      <c r="P205" s="29">
        <f t="shared" si="68"/>
        <v>33527.845564165829</v>
      </c>
      <c r="Q205">
        <f t="shared" si="69"/>
        <v>0</v>
      </c>
      <c r="R205" s="29">
        <f t="shared" si="70"/>
        <v>0</v>
      </c>
      <c r="S205" s="29">
        <f t="shared" si="62"/>
        <v>0</v>
      </c>
      <c r="T205" s="29">
        <f t="shared" si="71"/>
        <v>33527.845564165829</v>
      </c>
      <c r="U205">
        <f t="shared" si="72"/>
        <v>0</v>
      </c>
      <c r="V205" s="29">
        <f t="shared" si="73"/>
        <v>0</v>
      </c>
      <c r="W205" s="29">
        <f t="shared" si="63"/>
        <v>0</v>
      </c>
      <c r="X205" s="29">
        <f t="shared" si="74"/>
        <v>33527.845564165829</v>
      </c>
      <c r="Y205">
        <f t="shared" si="75"/>
        <v>0</v>
      </c>
    </row>
    <row r="206" spans="1:25" x14ac:dyDescent="0.25">
      <c r="A206" s="4" t="s">
        <v>1054</v>
      </c>
      <c r="B206" s="7" t="s">
        <v>548</v>
      </c>
      <c r="C206" s="2" t="s">
        <v>1055</v>
      </c>
      <c r="D206">
        <f>VLOOKUP(B206,'Model allocations'!$A$1:$L$316,5,FALSE)</f>
        <v>150074.13390009711</v>
      </c>
      <c r="E206" s="31">
        <f>VLOOKUP(B206,'Initial adjusted formula count'!$A$1:$P$316,12,FALSE)</f>
        <v>9.7660223804679605E-2</v>
      </c>
      <c r="F206">
        <f>VLOOKUP(B206,'Model allocations'!$A$1:$L$316,10,FALSE)</f>
        <v>127651.58826024662</v>
      </c>
      <c r="G206" s="30">
        <f t="shared" si="64"/>
        <v>0.85</v>
      </c>
      <c r="H206">
        <f t="shared" si="65"/>
        <v>127563.01381508254</v>
      </c>
      <c r="I206">
        <f t="shared" si="57"/>
        <v>0</v>
      </c>
      <c r="J206">
        <f t="shared" si="58"/>
        <v>127651.58826024662</v>
      </c>
      <c r="K206">
        <f t="shared" si="59"/>
        <v>127554.11833734978</v>
      </c>
      <c r="L206">
        <f t="shared" si="66"/>
        <v>127554.11833734978</v>
      </c>
      <c r="M206">
        <f t="shared" si="60"/>
        <v>127563.01381508254</v>
      </c>
      <c r="N206" s="29">
        <f t="shared" si="67"/>
        <v>0</v>
      </c>
      <c r="O206" s="29">
        <f t="shared" si="61"/>
        <v>0</v>
      </c>
      <c r="P206" s="29">
        <f t="shared" si="68"/>
        <v>127563.01381508254</v>
      </c>
      <c r="Q206">
        <f t="shared" si="69"/>
        <v>0</v>
      </c>
      <c r="R206" s="29">
        <f t="shared" si="70"/>
        <v>0</v>
      </c>
      <c r="S206" s="29">
        <f t="shared" si="62"/>
        <v>0</v>
      </c>
      <c r="T206" s="29">
        <f t="shared" si="71"/>
        <v>127563.01381508254</v>
      </c>
      <c r="U206">
        <f t="shared" si="72"/>
        <v>0</v>
      </c>
      <c r="V206" s="29">
        <f t="shared" si="73"/>
        <v>0</v>
      </c>
      <c r="W206" s="29">
        <f t="shared" si="63"/>
        <v>0</v>
      </c>
      <c r="X206" s="29">
        <f t="shared" si="74"/>
        <v>127563.01381508254</v>
      </c>
      <c r="Y206">
        <f t="shared" si="75"/>
        <v>0</v>
      </c>
    </row>
    <row r="207" spans="1:25" x14ac:dyDescent="0.25">
      <c r="A207" s="4" t="s">
        <v>20</v>
      </c>
      <c r="B207" s="7" t="s">
        <v>58</v>
      </c>
      <c r="C207" s="2" t="s">
        <v>1056</v>
      </c>
      <c r="D207">
        <f>VLOOKUP(B207,'Model allocations'!$A$1:$L$316,5,FALSE)</f>
        <v>175645.42487190137</v>
      </c>
      <c r="E207" s="31">
        <f>VLOOKUP(B207,'Initial adjusted formula count'!$A$1:$P$316,12,FALSE)</f>
        <v>0.12808320950965801</v>
      </c>
      <c r="F207">
        <f>VLOOKUP(B207,'Model allocations'!$A$1:$L$316,10,FALSE)</f>
        <v>183464.3466950389</v>
      </c>
      <c r="G207" s="30">
        <f t="shared" si="64"/>
        <v>0.85</v>
      </c>
      <c r="H207">
        <f t="shared" si="65"/>
        <v>149298.61114111615</v>
      </c>
      <c r="I207">
        <f t="shared" si="57"/>
        <v>0</v>
      </c>
      <c r="J207">
        <f t="shared" si="58"/>
        <v>183464.3466950389</v>
      </c>
      <c r="K207">
        <f t="shared" si="59"/>
        <v>183324.26026156481</v>
      </c>
      <c r="L207">
        <f t="shared" si="66"/>
        <v>183324.26026156481</v>
      </c>
      <c r="M207">
        <f t="shared" si="60"/>
        <v>0</v>
      </c>
      <c r="N207" s="29">
        <f t="shared" si="67"/>
        <v>183324.26026156481</v>
      </c>
      <c r="O207" s="29">
        <f t="shared" si="61"/>
        <v>183313.84770105151</v>
      </c>
      <c r="P207" s="29">
        <f t="shared" si="68"/>
        <v>183313.84770105151</v>
      </c>
      <c r="Q207">
        <f t="shared" si="69"/>
        <v>0</v>
      </c>
      <c r="R207" s="29">
        <f t="shared" si="70"/>
        <v>183313.84770105151</v>
      </c>
      <c r="S207" s="29">
        <f t="shared" si="62"/>
        <v>183313.78236206336</v>
      </c>
      <c r="T207" s="29">
        <f t="shared" si="71"/>
        <v>183313.78236206336</v>
      </c>
      <c r="U207">
        <f t="shared" si="72"/>
        <v>0</v>
      </c>
      <c r="V207" s="29">
        <f t="shared" si="73"/>
        <v>183313.78236206336</v>
      </c>
      <c r="W207" s="29">
        <f t="shared" si="63"/>
        <v>183313.78236206339</v>
      </c>
      <c r="X207" s="29">
        <f t="shared" si="74"/>
        <v>183313.78236206339</v>
      </c>
      <c r="Y207">
        <f t="shared" si="75"/>
        <v>0</v>
      </c>
    </row>
    <row r="208" spans="1:25" x14ac:dyDescent="0.25">
      <c r="A208" s="4" t="s">
        <v>1057</v>
      </c>
      <c r="B208" s="7" t="s">
        <v>194</v>
      </c>
      <c r="C208" s="2" t="s">
        <v>1058</v>
      </c>
      <c r="D208">
        <f>VLOOKUP(B208,'Model allocations'!$A$1:$L$316,5,FALSE)</f>
        <v>1170620.1645698915</v>
      </c>
      <c r="E208" s="31">
        <f>VLOOKUP(B208,'Initial adjusted formula count'!$A$1:$P$316,12,FALSE)</f>
        <v>9.0887923005277899E-2</v>
      </c>
      <c r="F208">
        <f>VLOOKUP(B208,'Model allocations'!$A$1:$L$316,10,FALSE)</f>
        <v>1365340.8167618036</v>
      </c>
      <c r="G208" s="30">
        <f t="shared" si="64"/>
        <v>0.85</v>
      </c>
      <c r="H208">
        <f t="shared" si="65"/>
        <v>995027.13988440775</v>
      </c>
      <c r="I208">
        <f t="shared" si="57"/>
        <v>0</v>
      </c>
      <c r="J208">
        <f t="shared" si="58"/>
        <v>1365340.8167618036</v>
      </c>
      <c r="K208">
        <f t="shared" si="59"/>
        <v>1364298.2941739422</v>
      </c>
      <c r="L208">
        <f t="shared" si="66"/>
        <v>1364298.2941739422</v>
      </c>
      <c r="M208">
        <f t="shared" si="60"/>
        <v>0</v>
      </c>
      <c r="N208" s="29">
        <f t="shared" si="67"/>
        <v>1364298.2941739422</v>
      </c>
      <c r="O208" s="29">
        <f t="shared" si="61"/>
        <v>1364220.8039469204</v>
      </c>
      <c r="P208" s="29">
        <f t="shared" si="68"/>
        <v>1364220.8039469204</v>
      </c>
      <c r="Q208">
        <f t="shared" si="69"/>
        <v>0</v>
      </c>
      <c r="R208" s="29">
        <f t="shared" si="70"/>
        <v>1364220.8039469204</v>
      </c>
      <c r="S208" s="29">
        <f t="shared" si="62"/>
        <v>1364220.317694474</v>
      </c>
      <c r="T208" s="29">
        <f t="shared" si="71"/>
        <v>1364220.317694474</v>
      </c>
      <c r="U208">
        <f t="shared" si="72"/>
        <v>0</v>
      </c>
      <c r="V208" s="29">
        <f t="shared" si="73"/>
        <v>1364220.317694474</v>
      </c>
      <c r="W208" s="29">
        <f t="shared" si="63"/>
        <v>1364220.317694474</v>
      </c>
      <c r="X208" s="29">
        <f t="shared" si="74"/>
        <v>1364220.317694474</v>
      </c>
      <c r="Y208">
        <f t="shared" si="75"/>
        <v>0</v>
      </c>
    </row>
    <row r="209" spans="1:25" x14ac:dyDescent="0.25">
      <c r="A209" s="4" t="s">
        <v>1059</v>
      </c>
      <c r="B209" s="7" t="s">
        <v>550</v>
      </c>
      <c r="C209" s="2" t="s">
        <v>1060</v>
      </c>
      <c r="D209">
        <f>VLOOKUP(B209,'Model allocations'!$A$1:$L$316,5,FALSE)</f>
        <v>0</v>
      </c>
      <c r="E209" s="31">
        <f>VLOOKUP(B209,'Initial adjusted formula count'!$A$1:$P$316,12,FALSE)</f>
        <v>0.45161290322580599</v>
      </c>
      <c r="F209">
        <f>VLOOKUP(B209,'Model allocations'!$A$1:$L$316,10,FALSE)</f>
        <v>13338.017631481085</v>
      </c>
      <c r="G209" s="30">
        <f t="shared" si="64"/>
        <v>0.95</v>
      </c>
      <c r="H209">
        <f t="shared" si="65"/>
        <v>0</v>
      </c>
      <c r="I209">
        <f t="shared" si="57"/>
        <v>0</v>
      </c>
      <c r="J209">
        <f t="shared" si="58"/>
        <v>13338.017631481085</v>
      </c>
      <c r="K209">
        <f t="shared" si="59"/>
        <v>13327.83322588257</v>
      </c>
      <c r="L209">
        <f t="shared" si="66"/>
        <v>13327.83322588257</v>
      </c>
      <c r="M209">
        <f t="shared" si="60"/>
        <v>0</v>
      </c>
      <c r="N209" s="29">
        <f t="shared" si="67"/>
        <v>13327.83322588257</v>
      </c>
      <c r="O209" s="29">
        <f t="shared" si="61"/>
        <v>13327.076223673601</v>
      </c>
      <c r="P209" s="29">
        <f t="shared" si="68"/>
        <v>13327.076223673601</v>
      </c>
      <c r="Q209">
        <f t="shared" si="69"/>
        <v>0</v>
      </c>
      <c r="R209" s="29">
        <f t="shared" si="70"/>
        <v>13327.076223673601</v>
      </c>
      <c r="S209" s="29">
        <f t="shared" si="62"/>
        <v>13327.071473472313</v>
      </c>
      <c r="T209" s="29">
        <f t="shared" si="71"/>
        <v>13327.071473472313</v>
      </c>
      <c r="U209">
        <f t="shared" si="72"/>
        <v>0</v>
      </c>
      <c r="V209" s="29">
        <f t="shared" si="73"/>
        <v>13327.071473472313</v>
      </c>
      <c r="W209" s="29">
        <f t="shared" si="63"/>
        <v>13327.071473472315</v>
      </c>
      <c r="X209" s="29">
        <f t="shared" si="74"/>
        <v>13327.071473472315</v>
      </c>
      <c r="Y209">
        <f t="shared" si="75"/>
        <v>0</v>
      </c>
    </row>
    <row r="210" spans="1:25" x14ac:dyDescent="0.25">
      <c r="A210" s="4" t="s">
        <v>1061</v>
      </c>
      <c r="B210" s="7" t="s">
        <v>552</v>
      </c>
      <c r="C210" s="2" t="s">
        <v>1062</v>
      </c>
      <c r="D210">
        <f>VLOOKUP(B210,'Model allocations'!$A$1:$L$316,5,FALSE)</f>
        <v>13287.827912454144</v>
      </c>
      <c r="E210" s="31">
        <f>VLOOKUP(B210,'Initial adjusted formula count'!$A$1:$P$316,12,FALSE)</f>
        <v>0.123711340206186</v>
      </c>
      <c r="F210">
        <f>VLOOKUP(B210,'Model allocations'!$A$1:$L$316,10,FALSE)</f>
        <v>11302.496262832077</v>
      </c>
      <c r="G210" s="30">
        <f t="shared" si="64"/>
        <v>0.85</v>
      </c>
      <c r="H210">
        <f t="shared" si="65"/>
        <v>11294.653725586022</v>
      </c>
      <c r="I210">
        <f t="shared" si="57"/>
        <v>0</v>
      </c>
      <c r="J210">
        <f t="shared" si="58"/>
        <v>11302.496262832077</v>
      </c>
      <c r="K210">
        <f t="shared" si="59"/>
        <v>11293.866104333509</v>
      </c>
      <c r="L210">
        <f t="shared" si="66"/>
        <v>11293.866104333509</v>
      </c>
      <c r="M210">
        <f t="shared" si="60"/>
        <v>11294.653725586022</v>
      </c>
      <c r="N210" s="29">
        <f t="shared" si="67"/>
        <v>0</v>
      </c>
      <c r="O210" s="29">
        <f t="shared" si="61"/>
        <v>0</v>
      </c>
      <c r="P210" s="29">
        <f t="shared" si="68"/>
        <v>11294.653725586022</v>
      </c>
      <c r="Q210">
        <f t="shared" si="69"/>
        <v>0</v>
      </c>
      <c r="R210" s="29">
        <f t="shared" si="70"/>
        <v>0</v>
      </c>
      <c r="S210" s="29">
        <f t="shared" si="62"/>
        <v>0</v>
      </c>
      <c r="T210" s="29">
        <f t="shared" si="71"/>
        <v>11294.653725586022</v>
      </c>
      <c r="U210">
        <f t="shared" si="72"/>
        <v>0</v>
      </c>
      <c r="V210" s="29">
        <f t="shared" si="73"/>
        <v>0</v>
      </c>
      <c r="W210" s="29">
        <f t="shared" si="63"/>
        <v>0</v>
      </c>
      <c r="X210" s="29">
        <f t="shared" si="74"/>
        <v>11294.653725586022</v>
      </c>
      <c r="Y210">
        <f t="shared" si="75"/>
        <v>0</v>
      </c>
    </row>
    <row r="211" spans="1:25" x14ac:dyDescent="0.25">
      <c r="A211" s="4" t="s">
        <v>1063</v>
      </c>
      <c r="B211" s="7" t="s">
        <v>554</v>
      </c>
      <c r="C211" s="2" t="s">
        <v>1064</v>
      </c>
      <c r="D211">
        <f>VLOOKUP(B211,'Model allocations'!$A$1:$L$316,5,FALSE)</f>
        <v>143895.93089905556</v>
      </c>
      <c r="E211" s="31">
        <f>VLOOKUP(B211,'Initial adjusted formula count'!$A$1:$P$316,12,FALSE)</f>
        <v>0.14830875975715499</v>
      </c>
      <c r="F211">
        <f>VLOOKUP(B211,'Model allocations'!$A$1:$L$316,10,FALSE)</f>
        <v>122311.54126419722</v>
      </c>
      <c r="G211" s="30">
        <f t="shared" si="64"/>
        <v>0.85</v>
      </c>
      <c r="H211">
        <f t="shared" si="65"/>
        <v>122311.54126419722</v>
      </c>
      <c r="I211">
        <f t="shared" si="57"/>
        <v>0</v>
      </c>
      <c r="J211">
        <f t="shared" si="58"/>
        <v>122311.54126419722</v>
      </c>
      <c r="K211">
        <f t="shared" si="59"/>
        <v>122218.14879913749</v>
      </c>
      <c r="L211">
        <f t="shared" si="66"/>
        <v>122218.14879913749</v>
      </c>
      <c r="M211">
        <f t="shared" si="60"/>
        <v>122311.54126419722</v>
      </c>
      <c r="N211" s="29">
        <f t="shared" si="67"/>
        <v>0</v>
      </c>
      <c r="O211" s="29">
        <f t="shared" si="61"/>
        <v>0</v>
      </c>
      <c r="P211" s="29">
        <f t="shared" si="68"/>
        <v>122311.54126419722</v>
      </c>
      <c r="Q211">
        <f t="shared" si="69"/>
        <v>0</v>
      </c>
      <c r="R211" s="29">
        <f t="shared" si="70"/>
        <v>0</v>
      </c>
      <c r="S211" s="29">
        <f t="shared" si="62"/>
        <v>0</v>
      </c>
      <c r="T211" s="29">
        <f t="shared" si="71"/>
        <v>122311.54126419722</v>
      </c>
      <c r="U211">
        <f t="shared" si="72"/>
        <v>0</v>
      </c>
      <c r="V211" s="29">
        <f t="shared" si="73"/>
        <v>0</v>
      </c>
      <c r="W211" s="29">
        <f t="shared" si="63"/>
        <v>0</v>
      </c>
      <c r="X211" s="29">
        <f t="shared" si="74"/>
        <v>122311.54126419722</v>
      </c>
      <c r="Y211">
        <f t="shared" si="75"/>
        <v>0</v>
      </c>
    </row>
    <row r="212" spans="1:25" x14ac:dyDescent="0.25">
      <c r="A212" s="4" t="s">
        <v>1065</v>
      </c>
      <c r="B212" s="7" t="s">
        <v>444</v>
      </c>
      <c r="C212" s="2" t="s">
        <v>1066</v>
      </c>
      <c r="D212">
        <f>VLOOKUP(B212,'Model allocations'!$A$1:$L$316,5,FALSE)</f>
        <v>18821.91468540447</v>
      </c>
      <c r="E212" s="31">
        <f>VLOOKUP(B212,'Initial adjusted formula count'!$A$1:$P$316,12,FALSE)</f>
        <v>9.8837209302325604E-2</v>
      </c>
      <c r="F212">
        <f>VLOOKUP(B212,'Model allocations'!$A$1:$L$316,10,FALSE)</f>
        <v>15998.6274825938</v>
      </c>
      <c r="G212" s="30">
        <f t="shared" si="64"/>
        <v>0.85</v>
      </c>
      <c r="H212">
        <f t="shared" si="65"/>
        <v>15998.6274825938</v>
      </c>
      <c r="I212">
        <f t="shared" si="57"/>
        <v>0</v>
      </c>
      <c r="J212">
        <f t="shared" si="58"/>
        <v>15998.6274825938</v>
      </c>
      <c r="K212">
        <f t="shared" si="59"/>
        <v>15986.411535981335</v>
      </c>
      <c r="L212">
        <f t="shared" si="66"/>
        <v>15986.411535981335</v>
      </c>
      <c r="M212">
        <f t="shared" si="60"/>
        <v>15998.6274825938</v>
      </c>
      <c r="N212" s="29">
        <f t="shared" si="67"/>
        <v>0</v>
      </c>
      <c r="O212" s="29">
        <f t="shared" si="61"/>
        <v>0</v>
      </c>
      <c r="P212" s="29">
        <f t="shared" si="68"/>
        <v>15998.6274825938</v>
      </c>
      <c r="Q212">
        <f t="shared" si="69"/>
        <v>0</v>
      </c>
      <c r="R212" s="29">
        <f t="shared" si="70"/>
        <v>0</v>
      </c>
      <c r="S212" s="29">
        <f t="shared" si="62"/>
        <v>0</v>
      </c>
      <c r="T212" s="29">
        <f t="shared" si="71"/>
        <v>15998.6274825938</v>
      </c>
      <c r="U212">
        <f t="shared" si="72"/>
        <v>0</v>
      </c>
      <c r="V212" s="29">
        <f t="shared" si="73"/>
        <v>0</v>
      </c>
      <c r="W212" s="29">
        <f t="shared" si="63"/>
        <v>0</v>
      </c>
      <c r="X212" s="29">
        <f t="shared" si="74"/>
        <v>15998.6274825938</v>
      </c>
      <c r="Y212">
        <f t="shared" si="75"/>
        <v>0</v>
      </c>
    </row>
    <row r="213" spans="1:25" x14ac:dyDescent="0.25">
      <c r="A213" s="4" t="s">
        <v>1067</v>
      </c>
      <c r="B213" s="7" t="s">
        <v>556</v>
      </c>
      <c r="C213" s="2" t="s">
        <v>1068</v>
      </c>
      <c r="D213">
        <f>VLOOKUP(B213,'Model allocations'!$A$1:$L$316,5,FALSE)</f>
        <v>184867.85768140454</v>
      </c>
      <c r="E213" s="31">
        <f>VLOOKUP(B213,'Initial adjusted formula count'!$A$1:$P$316,12,FALSE)</f>
        <v>0.19065898912348</v>
      </c>
      <c r="F213">
        <f>VLOOKUP(B213,'Model allocations'!$A$1:$L$316,10,FALSE)</f>
        <v>288488.91634838498</v>
      </c>
      <c r="G213" s="30">
        <f t="shared" si="64"/>
        <v>0.9</v>
      </c>
      <c r="H213">
        <f t="shared" si="65"/>
        <v>166381.07191326408</v>
      </c>
      <c r="I213">
        <f t="shared" si="57"/>
        <v>0</v>
      </c>
      <c r="J213">
        <f t="shared" si="58"/>
        <v>288488.91634838498</v>
      </c>
      <c r="K213">
        <f t="shared" si="59"/>
        <v>288268.63712729345</v>
      </c>
      <c r="L213">
        <f t="shared" si="66"/>
        <v>288268.63712729345</v>
      </c>
      <c r="M213">
        <f t="shared" si="60"/>
        <v>0</v>
      </c>
      <c r="N213" s="29">
        <f t="shared" si="67"/>
        <v>288268.63712729345</v>
      </c>
      <c r="O213" s="29">
        <f t="shared" si="61"/>
        <v>288252.26387356315</v>
      </c>
      <c r="P213" s="29">
        <f t="shared" si="68"/>
        <v>288252.26387356315</v>
      </c>
      <c r="Q213">
        <f t="shared" si="69"/>
        <v>0</v>
      </c>
      <c r="R213" s="29">
        <f t="shared" si="70"/>
        <v>288252.26387356315</v>
      </c>
      <c r="S213" s="29">
        <f t="shared" si="62"/>
        <v>288252.16113112721</v>
      </c>
      <c r="T213" s="29">
        <f t="shared" si="71"/>
        <v>288252.16113112721</v>
      </c>
      <c r="U213">
        <f t="shared" si="72"/>
        <v>0</v>
      </c>
      <c r="V213" s="29">
        <f t="shared" si="73"/>
        <v>288252.16113112721</v>
      </c>
      <c r="W213" s="29">
        <f t="shared" si="63"/>
        <v>288252.16113112727</v>
      </c>
      <c r="X213" s="29">
        <f t="shared" si="74"/>
        <v>288252.16113112727</v>
      </c>
      <c r="Y213">
        <f t="shared" si="75"/>
        <v>0</v>
      </c>
    </row>
    <row r="214" spans="1:25" x14ac:dyDescent="0.25">
      <c r="A214" s="4" t="s">
        <v>1069</v>
      </c>
      <c r="B214" s="7" t="s">
        <v>196</v>
      </c>
      <c r="C214" s="2" t="s">
        <v>1070</v>
      </c>
      <c r="D214">
        <f>VLOOKUP(B214,'Model allocations'!$A$1:$L$316,5,FALSE)</f>
        <v>45682.689847933238</v>
      </c>
      <c r="E214" s="31">
        <f>VLOOKUP(B214,'Initial adjusted formula count'!$A$1:$P$316,12,FALSE)</f>
        <v>5.9280855199222597E-2</v>
      </c>
      <c r="F214">
        <f>VLOOKUP(B214,'Model allocations'!$A$1:$L$316,10,FALSE)</f>
        <v>38787.987583847018</v>
      </c>
      <c r="G214" s="30">
        <f t="shared" si="64"/>
        <v>0.85</v>
      </c>
      <c r="H214">
        <f t="shared" si="65"/>
        <v>38830.286370743248</v>
      </c>
      <c r="I214">
        <f t="shared" si="57"/>
        <v>38830.286370743248</v>
      </c>
      <c r="J214">
        <f t="shared" si="58"/>
        <v>0</v>
      </c>
      <c r="K214">
        <f t="shared" si="59"/>
        <v>0</v>
      </c>
      <c r="L214">
        <f t="shared" si="66"/>
        <v>38830.286370743248</v>
      </c>
      <c r="M214">
        <f t="shared" si="60"/>
        <v>0</v>
      </c>
      <c r="N214" s="29">
        <f t="shared" si="67"/>
        <v>0</v>
      </c>
      <c r="O214" s="29">
        <f t="shared" si="61"/>
        <v>0</v>
      </c>
      <c r="P214" s="29">
        <f t="shared" si="68"/>
        <v>38830.286370743248</v>
      </c>
      <c r="Q214">
        <f t="shared" si="69"/>
        <v>0</v>
      </c>
      <c r="R214" s="29">
        <f t="shared" si="70"/>
        <v>0</v>
      </c>
      <c r="S214" s="29">
        <f t="shared" si="62"/>
        <v>0</v>
      </c>
      <c r="T214" s="29">
        <f t="shared" si="71"/>
        <v>38830.286370743248</v>
      </c>
      <c r="U214">
        <f t="shared" si="72"/>
        <v>0</v>
      </c>
      <c r="V214" s="29">
        <f t="shared" si="73"/>
        <v>0</v>
      </c>
      <c r="W214" s="29">
        <f t="shared" si="63"/>
        <v>0</v>
      </c>
      <c r="X214" s="29">
        <f t="shared" si="74"/>
        <v>38830.286370743248</v>
      </c>
      <c r="Y214">
        <f t="shared" si="75"/>
        <v>0</v>
      </c>
    </row>
    <row r="215" spans="1:25" x14ac:dyDescent="0.25">
      <c r="A215" s="4" t="s">
        <v>15</v>
      </c>
      <c r="B215" s="7" t="s">
        <v>69</v>
      </c>
      <c r="C215" s="2" t="s">
        <v>1071</v>
      </c>
      <c r="D215">
        <f>VLOOKUP(B215,'Model allocations'!$A$1:$L$316,5,FALSE)</f>
        <v>45142.553579007857</v>
      </c>
      <c r="E215" s="31">
        <f>VLOOKUP(B215,'Initial adjusted formula count'!$A$1:$P$316,12,FALSE)</f>
        <v>0.17293702827634</v>
      </c>
      <c r="F215">
        <f>VLOOKUP(B215,'Model allocations'!$A$1:$L$316,10,FALSE)</f>
        <v>45959.558680319067</v>
      </c>
      <c r="G215" s="30">
        <f t="shared" si="64"/>
        <v>0.9</v>
      </c>
      <c r="H215">
        <f t="shared" si="65"/>
        <v>40628.29822110707</v>
      </c>
      <c r="I215">
        <f t="shared" si="57"/>
        <v>0</v>
      </c>
      <c r="J215">
        <f t="shared" si="58"/>
        <v>45959.558680319067</v>
      </c>
      <c r="K215">
        <f t="shared" si="59"/>
        <v>45924.46570026299</v>
      </c>
      <c r="L215">
        <f t="shared" si="66"/>
        <v>45924.46570026299</v>
      </c>
      <c r="M215">
        <f t="shared" si="60"/>
        <v>0</v>
      </c>
      <c r="N215" s="29">
        <f t="shared" si="67"/>
        <v>45924.46570026299</v>
      </c>
      <c r="O215" s="29">
        <f t="shared" si="61"/>
        <v>45921.857255109782</v>
      </c>
      <c r="P215" s="29">
        <f t="shared" si="68"/>
        <v>45921.857255109782</v>
      </c>
      <c r="Q215">
        <f t="shared" si="69"/>
        <v>0</v>
      </c>
      <c r="R215" s="29">
        <f t="shared" si="70"/>
        <v>45921.857255109782</v>
      </c>
      <c r="S215" s="29">
        <f t="shared" si="62"/>
        <v>45921.840887073631</v>
      </c>
      <c r="T215" s="29">
        <f t="shared" si="71"/>
        <v>45921.840887073631</v>
      </c>
      <c r="U215">
        <f t="shared" si="72"/>
        <v>0</v>
      </c>
      <c r="V215" s="29">
        <f t="shared" si="73"/>
        <v>45921.840887073631</v>
      </c>
      <c r="W215" s="29">
        <f t="shared" si="63"/>
        <v>45921.840887073638</v>
      </c>
      <c r="X215" s="29">
        <f t="shared" si="74"/>
        <v>45921.840887073638</v>
      </c>
      <c r="Y215">
        <f t="shared" si="75"/>
        <v>0</v>
      </c>
    </row>
    <row r="216" spans="1:25" x14ac:dyDescent="0.25">
      <c r="A216" s="4" t="s">
        <v>21</v>
      </c>
      <c r="B216" s="7" t="s">
        <v>71</v>
      </c>
      <c r="C216" s="2" t="s">
        <v>1072</v>
      </c>
      <c r="D216">
        <f>VLOOKUP(B216,'Model allocations'!$A$1:$L$316,5,FALSE)</f>
        <v>40145.236746375085</v>
      </c>
      <c r="E216" s="31">
        <f>VLOOKUP(B216,'Initial adjusted formula count'!$A$1:$P$316,12,FALSE)</f>
        <v>0.152332290292609</v>
      </c>
      <c r="F216">
        <f>VLOOKUP(B216,'Model allocations'!$A$1:$L$316,10,FALSE)</f>
        <v>20124.780745653636</v>
      </c>
      <c r="G216" s="30">
        <f t="shared" si="64"/>
        <v>0.9</v>
      </c>
      <c r="H216">
        <f t="shared" si="65"/>
        <v>36130.713071737577</v>
      </c>
      <c r="I216">
        <f t="shared" si="57"/>
        <v>36130.713071737577</v>
      </c>
      <c r="J216">
        <f t="shared" si="58"/>
        <v>0</v>
      </c>
      <c r="K216">
        <f t="shared" si="59"/>
        <v>0</v>
      </c>
      <c r="L216">
        <f t="shared" si="66"/>
        <v>36130.713071737577</v>
      </c>
      <c r="M216">
        <f t="shared" si="60"/>
        <v>0</v>
      </c>
      <c r="N216" s="29">
        <f t="shared" si="67"/>
        <v>0</v>
      </c>
      <c r="O216" s="29">
        <f t="shared" si="61"/>
        <v>0</v>
      </c>
      <c r="P216" s="29">
        <f t="shared" si="68"/>
        <v>36130.713071737577</v>
      </c>
      <c r="Q216">
        <f t="shared" si="69"/>
        <v>0</v>
      </c>
      <c r="R216" s="29">
        <f t="shared" si="70"/>
        <v>0</v>
      </c>
      <c r="S216" s="29">
        <f t="shared" si="62"/>
        <v>0</v>
      </c>
      <c r="T216" s="29">
        <f t="shared" si="71"/>
        <v>36130.713071737577</v>
      </c>
      <c r="U216">
        <f t="shared" si="72"/>
        <v>0</v>
      </c>
      <c r="V216" s="29">
        <f t="shared" si="73"/>
        <v>0</v>
      </c>
      <c r="W216" s="29">
        <f t="shared" si="63"/>
        <v>0</v>
      </c>
      <c r="X216" s="29">
        <f t="shared" si="74"/>
        <v>36130.713071737577</v>
      </c>
      <c r="Y216">
        <f t="shared" si="75"/>
        <v>0</v>
      </c>
    </row>
    <row r="217" spans="1:25" x14ac:dyDescent="0.25">
      <c r="A217" s="4" t="s">
        <v>1073</v>
      </c>
      <c r="B217" s="7" t="s">
        <v>558</v>
      </c>
      <c r="C217" s="2" t="s">
        <v>1074</v>
      </c>
      <c r="D217">
        <f>VLOOKUP(B217,'Model allocations'!$A$1:$L$316,5,FALSE)</f>
        <v>57907.341209751925</v>
      </c>
      <c r="E217" s="31">
        <f>VLOOKUP(B217,'Initial adjusted formula count'!$A$1:$P$316,12,FALSE)</f>
        <v>0.223168654173765</v>
      </c>
      <c r="F217">
        <f>VLOOKUP(B217,'Model allocations'!$A$1:$L$316,10,FALSE)</f>
        <v>68775.622310996347</v>
      </c>
      <c r="G217" s="30">
        <f t="shared" si="64"/>
        <v>0.9</v>
      </c>
      <c r="H217">
        <f t="shared" si="65"/>
        <v>52116.607088776735</v>
      </c>
      <c r="I217">
        <f t="shared" si="57"/>
        <v>0</v>
      </c>
      <c r="J217">
        <f t="shared" si="58"/>
        <v>68775.622310996347</v>
      </c>
      <c r="K217">
        <f t="shared" si="59"/>
        <v>68723.107848033556</v>
      </c>
      <c r="L217">
        <f t="shared" si="66"/>
        <v>68723.107848033556</v>
      </c>
      <c r="M217">
        <f t="shared" si="60"/>
        <v>0</v>
      </c>
      <c r="N217" s="29">
        <f t="shared" si="67"/>
        <v>68723.107848033556</v>
      </c>
      <c r="O217" s="29">
        <f t="shared" si="61"/>
        <v>68719.204472025885</v>
      </c>
      <c r="P217" s="29">
        <f t="shared" si="68"/>
        <v>68719.204472025885</v>
      </c>
      <c r="Q217">
        <f t="shared" si="69"/>
        <v>0</v>
      </c>
      <c r="R217" s="29">
        <f t="shared" si="70"/>
        <v>68719.204472025885</v>
      </c>
      <c r="S217" s="29">
        <f t="shared" si="62"/>
        <v>68719.17997827736</v>
      </c>
      <c r="T217" s="29">
        <f t="shared" si="71"/>
        <v>68719.17997827736</v>
      </c>
      <c r="U217">
        <f t="shared" si="72"/>
        <v>0</v>
      </c>
      <c r="V217" s="29">
        <f t="shared" si="73"/>
        <v>68719.17997827736</v>
      </c>
      <c r="W217" s="29">
        <f t="shared" si="63"/>
        <v>68719.17997827736</v>
      </c>
      <c r="X217" s="29">
        <f t="shared" si="74"/>
        <v>68719.17997827736</v>
      </c>
      <c r="Y217">
        <f t="shared" si="75"/>
        <v>0</v>
      </c>
    </row>
    <row r="218" spans="1:25" x14ac:dyDescent="0.25">
      <c r="A218" s="4" t="s">
        <v>1075</v>
      </c>
      <c r="B218" s="7" t="s">
        <v>560</v>
      </c>
      <c r="C218" s="2" t="s">
        <v>1076</v>
      </c>
      <c r="D218">
        <f>VLOOKUP(B218,'Model allocations'!$A$1:$L$316,5,FALSE)</f>
        <v>44777.733013083969</v>
      </c>
      <c r="E218" s="31">
        <f>VLOOKUP(B218,'Initial adjusted formula count'!$A$1:$P$316,12,FALSE)</f>
        <v>8.1325301204819303E-2</v>
      </c>
      <c r="F218">
        <f>VLOOKUP(B218,'Model allocations'!$A$1:$L$316,10,FALSE)</f>
        <v>38186.651639283067</v>
      </c>
      <c r="G218" s="30">
        <f t="shared" si="64"/>
        <v>0.85</v>
      </c>
      <c r="H218">
        <f t="shared" si="65"/>
        <v>38061.073061121373</v>
      </c>
      <c r="I218">
        <f t="shared" si="57"/>
        <v>0</v>
      </c>
      <c r="J218">
        <f t="shared" si="58"/>
        <v>38186.651639283067</v>
      </c>
      <c r="K218">
        <f t="shared" si="59"/>
        <v>38157.49375694336</v>
      </c>
      <c r="L218">
        <f t="shared" si="66"/>
        <v>38157.49375694336</v>
      </c>
      <c r="M218">
        <f t="shared" si="60"/>
        <v>0</v>
      </c>
      <c r="N218" s="29">
        <f t="shared" si="67"/>
        <v>38157.49375694336</v>
      </c>
      <c r="O218" s="29">
        <f t="shared" si="61"/>
        <v>38155.326464888218</v>
      </c>
      <c r="P218" s="29">
        <f t="shared" si="68"/>
        <v>38155.326464888218</v>
      </c>
      <c r="Q218">
        <f t="shared" si="69"/>
        <v>0</v>
      </c>
      <c r="R218" s="29">
        <f t="shared" si="70"/>
        <v>38155.326464888218</v>
      </c>
      <c r="S218" s="29">
        <f t="shared" si="62"/>
        <v>38155.312865094995</v>
      </c>
      <c r="T218" s="29">
        <f t="shared" si="71"/>
        <v>38155.312865094995</v>
      </c>
      <c r="U218">
        <f t="shared" si="72"/>
        <v>0</v>
      </c>
      <c r="V218" s="29">
        <f t="shared" si="73"/>
        <v>38155.312865094995</v>
      </c>
      <c r="W218" s="29">
        <f t="shared" si="63"/>
        <v>38155.312865095002</v>
      </c>
      <c r="X218" s="29">
        <f t="shared" si="74"/>
        <v>38155.312865095002</v>
      </c>
      <c r="Y218">
        <f t="shared" si="75"/>
        <v>0</v>
      </c>
    </row>
    <row r="219" spans="1:25" x14ac:dyDescent="0.25">
      <c r="A219" s="4" t="s">
        <v>1077</v>
      </c>
      <c r="B219" s="7" t="s">
        <v>562</v>
      </c>
      <c r="C219" s="2" t="s">
        <v>1078</v>
      </c>
      <c r="D219">
        <f>VLOOKUP(B219,'Model allocations'!$A$1:$L$316,5,FALSE)</f>
        <v>1348913.3189749229</v>
      </c>
      <c r="E219" s="31">
        <f>VLOOKUP(B219,'Initial adjusted formula count'!$A$1:$P$316,12,FALSE)</f>
        <v>0.12677871174366601</v>
      </c>
      <c r="F219">
        <f>VLOOKUP(B219,'Model allocations'!$A$1:$L$316,10,FALSE)</f>
        <v>1286059.2913420466</v>
      </c>
      <c r="G219" s="30">
        <f t="shared" si="64"/>
        <v>0.85</v>
      </c>
      <c r="H219">
        <f t="shared" si="65"/>
        <v>1146576.3211286843</v>
      </c>
      <c r="I219">
        <f t="shared" si="57"/>
        <v>0</v>
      </c>
      <c r="J219">
        <f t="shared" si="58"/>
        <v>1286059.2913420466</v>
      </c>
      <c r="K219">
        <f t="shared" si="59"/>
        <v>1285077.3051272547</v>
      </c>
      <c r="L219">
        <f t="shared" si="66"/>
        <v>1285077.3051272547</v>
      </c>
      <c r="M219">
        <f t="shared" si="60"/>
        <v>0</v>
      </c>
      <c r="N219" s="29">
        <f t="shared" si="67"/>
        <v>1285077.3051272547</v>
      </c>
      <c r="O219" s="29">
        <f t="shared" si="61"/>
        <v>1285004.314541149</v>
      </c>
      <c r="P219" s="29">
        <f t="shared" si="68"/>
        <v>1285004.314541149</v>
      </c>
      <c r="Q219">
        <f t="shared" si="69"/>
        <v>0</v>
      </c>
      <c r="R219" s="29">
        <f t="shared" si="70"/>
        <v>1285004.314541149</v>
      </c>
      <c r="S219" s="29">
        <f t="shared" si="62"/>
        <v>1285003.856524023</v>
      </c>
      <c r="T219" s="29">
        <f t="shared" si="71"/>
        <v>1285003.856524023</v>
      </c>
      <c r="U219">
        <f t="shared" si="72"/>
        <v>0</v>
      </c>
      <c r="V219" s="29">
        <f t="shared" si="73"/>
        <v>1285003.856524023</v>
      </c>
      <c r="W219" s="29">
        <f t="shared" si="63"/>
        <v>1285003.856524023</v>
      </c>
      <c r="X219" s="29">
        <f t="shared" si="74"/>
        <v>1285003.856524023</v>
      </c>
      <c r="Y219">
        <f t="shared" si="75"/>
        <v>0</v>
      </c>
    </row>
    <row r="220" spans="1:25" x14ac:dyDescent="0.25">
      <c r="A220" s="4" t="s">
        <v>1079</v>
      </c>
      <c r="B220" s="7" t="s">
        <v>563</v>
      </c>
      <c r="C220" s="2" t="s">
        <v>1080</v>
      </c>
      <c r="D220">
        <f>VLOOKUP(B220,'Model allocations'!$A$1:$L$316,5,FALSE)</f>
        <v>55123.686106688081</v>
      </c>
      <c r="E220" s="31">
        <f>VLOOKUP(B220,'Initial adjusted formula count'!$A$1:$P$316,12,FALSE)</f>
        <v>0.213720316622691</v>
      </c>
      <c r="F220">
        <f>VLOOKUP(B220,'Model allocations'!$A$1:$L$316,10,FALSE)</f>
        <v>49645.765529110104</v>
      </c>
      <c r="G220" s="30">
        <f t="shared" si="64"/>
        <v>0.9</v>
      </c>
      <c r="H220">
        <f t="shared" si="65"/>
        <v>49611.317496019277</v>
      </c>
      <c r="I220">
        <f t="shared" si="57"/>
        <v>0</v>
      </c>
      <c r="J220">
        <f t="shared" si="58"/>
        <v>49645.765529110104</v>
      </c>
      <c r="K220">
        <f t="shared" si="59"/>
        <v>49607.857900977724</v>
      </c>
      <c r="L220">
        <f t="shared" si="66"/>
        <v>49607.857900977724</v>
      </c>
      <c r="M220">
        <f t="shared" si="60"/>
        <v>49611.317496019277</v>
      </c>
      <c r="N220" s="29">
        <f t="shared" si="67"/>
        <v>0</v>
      </c>
      <c r="O220" s="29">
        <f t="shared" si="61"/>
        <v>0</v>
      </c>
      <c r="P220" s="29">
        <f t="shared" si="68"/>
        <v>49611.317496019277</v>
      </c>
      <c r="Q220">
        <f t="shared" si="69"/>
        <v>0</v>
      </c>
      <c r="R220" s="29">
        <f t="shared" si="70"/>
        <v>0</v>
      </c>
      <c r="S220" s="29">
        <f t="shared" si="62"/>
        <v>0</v>
      </c>
      <c r="T220" s="29">
        <f t="shared" si="71"/>
        <v>49611.317496019277</v>
      </c>
      <c r="U220">
        <f t="shared" si="72"/>
        <v>0</v>
      </c>
      <c r="V220" s="29">
        <f t="shared" si="73"/>
        <v>0</v>
      </c>
      <c r="W220" s="29">
        <f t="shared" si="63"/>
        <v>0</v>
      </c>
      <c r="X220" s="29">
        <f t="shared" si="74"/>
        <v>49611.317496019277</v>
      </c>
      <c r="Y220">
        <f t="shared" si="75"/>
        <v>0</v>
      </c>
    </row>
    <row r="221" spans="1:25" x14ac:dyDescent="0.25">
      <c r="A221" s="4" t="s">
        <v>1081</v>
      </c>
      <c r="B221" s="7" t="s">
        <v>198</v>
      </c>
      <c r="C221" s="2" t="s">
        <v>1082</v>
      </c>
      <c r="D221">
        <f>VLOOKUP(B221,'Model allocations'!$A$1:$L$316,5,FALSE)</f>
        <v>809058.87828823272</v>
      </c>
      <c r="E221" s="31">
        <f>VLOOKUP(B221,'Initial adjusted formula count'!$A$1:$P$316,12,FALSE)</f>
        <v>8.0586778433987399E-2</v>
      </c>
      <c r="F221">
        <f>VLOOKUP(B221,'Model allocations'!$A$1:$L$316,10,FALSE)</f>
        <v>688251.95120409352</v>
      </c>
      <c r="G221" s="30">
        <f t="shared" si="64"/>
        <v>0.85</v>
      </c>
      <c r="H221">
        <f t="shared" si="65"/>
        <v>687700.04654499784</v>
      </c>
      <c r="I221">
        <f t="shared" si="57"/>
        <v>0</v>
      </c>
      <c r="J221">
        <f t="shared" si="58"/>
        <v>688251.95120409352</v>
      </c>
      <c r="K221">
        <f t="shared" si="59"/>
        <v>687726.4280552495</v>
      </c>
      <c r="L221">
        <f t="shared" si="66"/>
        <v>687726.4280552495</v>
      </c>
      <c r="M221">
        <f t="shared" si="60"/>
        <v>0</v>
      </c>
      <c r="N221" s="29">
        <f t="shared" si="67"/>
        <v>687726.4280552495</v>
      </c>
      <c r="O221" s="29">
        <f t="shared" si="61"/>
        <v>687687.36616001255</v>
      </c>
      <c r="P221" s="29">
        <f t="shared" si="68"/>
        <v>687687.36616001255</v>
      </c>
      <c r="Q221">
        <f t="shared" si="69"/>
        <v>687700.04654499784</v>
      </c>
      <c r="R221" s="29">
        <f t="shared" si="70"/>
        <v>0</v>
      </c>
      <c r="S221" s="29">
        <f t="shared" si="62"/>
        <v>0</v>
      </c>
      <c r="T221" s="29">
        <f t="shared" si="71"/>
        <v>687700.04654499784</v>
      </c>
      <c r="U221">
        <f t="shared" si="72"/>
        <v>0</v>
      </c>
      <c r="V221" s="29">
        <f t="shared" si="73"/>
        <v>0</v>
      </c>
      <c r="W221" s="29">
        <f t="shared" si="63"/>
        <v>0</v>
      </c>
      <c r="X221" s="29">
        <f t="shared" si="74"/>
        <v>687700.04654499784</v>
      </c>
      <c r="Y221">
        <f t="shared" si="75"/>
        <v>0</v>
      </c>
    </row>
    <row r="222" spans="1:25" x14ac:dyDescent="0.25">
      <c r="A222" s="4" t="s">
        <v>1083</v>
      </c>
      <c r="B222" s="7" t="s">
        <v>200</v>
      </c>
      <c r="C222" s="2" t="s">
        <v>1084</v>
      </c>
      <c r="D222">
        <f>VLOOKUP(B222,'Model allocations'!$A$1:$L$316,5,FALSE)</f>
        <v>0</v>
      </c>
      <c r="E222" s="31">
        <f>VLOOKUP(B222,'Initial adjusted formula count'!$A$1:$P$316,12,FALSE)</f>
        <v>3.9120985269258599E-2</v>
      </c>
      <c r="F222">
        <f>VLOOKUP(B222,'Model allocations'!$A$1:$L$316,10,FALSE)</f>
        <v>0</v>
      </c>
      <c r="G222" s="30">
        <f t="shared" si="64"/>
        <v>0.85</v>
      </c>
      <c r="H222">
        <f t="shared" si="65"/>
        <v>0</v>
      </c>
      <c r="I222">
        <f t="shared" si="57"/>
        <v>0</v>
      </c>
      <c r="J222">
        <f t="shared" si="58"/>
        <v>0</v>
      </c>
      <c r="K222">
        <f t="shared" si="59"/>
        <v>0</v>
      </c>
      <c r="L222">
        <f t="shared" si="66"/>
        <v>0</v>
      </c>
      <c r="M222">
        <f t="shared" si="60"/>
        <v>0</v>
      </c>
      <c r="N222" s="29">
        <f t="shared" si="67"/>
        <v>0</v>
      </c>
      <c r="O222" s="29">
        <f t="shared" si="61"/>
        <v>0</v>
      </c>
      <c r="P222" s="29">
        <f t="shared" si="68"/>
        <v>0</v>
      </c>
      <c r="Q222">
        <f t="shared" si="69"/>
        <v>0</v>
      </c>
      <c r="R222" s="29">
        <f t="shared" si="70"/>
        <v>0</v>
      </c>
      <c r="S222" s="29">
        <f t="shared" si="62"/>
        <v>0</v>
      </c>
      <c r="T222" s="29">
        <f t="shared" si="71"/>
        <v>0</v>
      </c>
      <c r="U222">
        <f t="shared" si="72"/>
        <v>0</v>
      </c>
      <c r="V222" s="29">
        <f t="shared" si="73"/>
        <v>0</v>
      </c>
      <c r="W222" s="29">
        <f t="shared" si="63"/>
        <v>0</v>
      </c>
      <c r="X222" s="29">
        <f t="shared" si="74"/>
        <v>0</v>
      </c>
      <c r="Y222">
        <f t="shared" si="75"/>
        <v>0</v>
      </c>
    </row>
    <row r="223" spans="1:25" x14ac:dyDescent="0.25">
      <c r="A223" s="4" t="s">
        <v>1085</v>
      </c>
      <c r="B223" s="7" t="s">
        <v>202</v>
      </c>
      <c r="C223" s="2" t="s">
        <v>1086</v>
      </c>
      <c r="D223">
        <f>VLOOKUP(B223,'Model allocations'!$A$1:$L$316,5,FALSE)</f>
        <v>20639.736310718396</v>
      </c>
      <c r="E223" s="31">
        <f>VLOOKUP(B223,'Initial adjusted formula count'!$A$1:$P$316,12,FALSE)</f>
        <v>0.12980769230769201</v>
      </c>
      <c r="F223">
        <f>VLOOKUP(B223,'Model allocations'!$A$1:$L$316,10,FALSE)</f>
        <v>22986.252254134801</v>
      </c>
      <c r="G223" s="30">
        <f t="shared" si="64"/>
        <v>0.85</v>
      </c>
      <c r="H223">
        <f t="shared" si="65"/>
        <v>17543.775864110637</v>
      </c>
      <c r="I223">
        <f t="shared" si="57"/>
        <v>0</v>
      </c>
      <c r="J223">
        <f t="shared" si="58"/>
        <v>22986.252254134801</v>
      </c>
      <c r="K223">
        <f t="shared" si="59"/>
        <v>22968.700821634568</v>
      </c>
      <c r="L223">
        <f t="shared" si="66"/>
        <v>22968.700821634568</v>
      </c>
      <c r="M223">
        <f t="shared" si="60"/>
        <v>0</v>
      </c>
      <c r="N223" s="29">
        <f t="shared" si="67"/>
        <v>22968.700821634568</v>
      </c>
      <c r="O223" s="29">
        <f t="shared" si="61"/>
        <v>22967.396231686263</v>
      </c>
      <c r="P223" s="29">
        <f t="shared" si="68"/>
        <v>22967.396231686263</v>
      </c>
      <c r="Q223">
        <f t="shared" si="69"/>
        <v>0</v>
      </c>
      <c r="R223" s="29">
        <f t="shared" si="70"/>
        <v>22967.396231686263</v>
      </c>
      <c r="S223" s="29">
        <f t="shared" si="62"/>
        <v>22967.388045362921</v>
      </c>
      <c r="T223" s="29">
        <f t="shared" si="71"/>
        <v>22967.388045362921</v>
      </c>
      <c r="U223">
        <f t="shared" si="72"/>
        <v>0</v>
      </c>
      <c r="V223" s="29">
        <f t="shared" si="73"/>
        <v>22967.388045362921</v>
      </c>
      <c r="W223" s="29">
        <f t="shared" si="63"/>
        <v>22967.388045362921</v>
      </c>
      <c r="X223" s="29">
        <f t="shared" si="74"/>
        <v>22967.388045362921</v>
      </c>
      <c r="Y223">
        <f t="shared" si="75"/>
        <v>0</v>
      </c>
    </row>
    <row r="224" spans="1:25" x14ac:dyDescent="0.25">
      <c r="A224" s="4" t="s">
        <v>1087</v>
      </c>
      <c r="B224" s="7" t="s">
        <v>295</v>
      </c>
      <c r="C224" s="2" t="s">
        <v>1088</v>
      </c>
      <c r="D224">
        <f>VLOOKUP(B224,'Model allocations'!$A$1:$L$316,5,FALSE)</f>
        <v>101446.76090453488</v>
      </c>
      <c r="E224" s="31">
        <f>VLOOKUP(B224,'Initial adjusted formula count'!$A$1:$P$316,12,FALSE)</f>
        <v>0.103750608865076</v>
      </c>
      <c r="F224">
        <f>VLOOKUP(B224,'Model allocations'!$A$1:$L$316,10,FALSE)</f>
        <v>90667.995002420634</v>
      </c>
      <c r="G224" s="30">
        <f t="shared" si="64"/>
        <v>0.85</v>
      </c>
      <c r="H224">
        <f t="shared" si="65"/>
        <v>86229.746768854646</v>
      </c>
      <c r="I224">
        <f t="shared" si="57"/>
        <v>0</v>
      </c>
      <c r="J224">
        <f t="shared" si="58"/>
        <v>90667.995002420634</v>
      </c>
      <c r="K224">
        <f t="shared" si="59"/>
        <v>90598.764352003025</v>
      </c>
      <c r="L224">
        <f t="shared" si="66"/>
        <v>90598.764352003025</v>
      </c>
      <c r="M224">
        <f t="shared" si="60"/>
        <v>0</v>
      </c>
      <c r="N224" s="29">
        <f t="shared" si="67"/>
        <v>90598.764352003025</v>
      </c>
      <c r="O224" s="29">
        <f t="shared" si="61"/>
        <v>90593.618469429159</v>
      </c>
      <c r="P224" s="29">
        <f t="shared" si="68"/>
        <v>90593.618469429159</v>
      </c>
      <c r="Q224">
        <f t="shared" si="69"/>
        <v>0</v>
      </c>
      <c r="R224" s="29">
        <f t="shared" si="70"/>
        <v>90593.618469429159</v>
      </c>
      <c r="S224" s="29">
        <f t="shared" si="62"/>
        <v>90593.586178931539</v>
      </c>
      <c r="T224" s="29">
        <f t="shared" si="71"/>
        <v>90593.586178931539</v>
      </c>
      <c r="U224">
        <f t="shared" si="72"/>
        <v>0</v>
      </c>
      <c r="V224" s="29">
        <f t="shared" si="73"/>
        <v>90593.586178931539</v>
      </c>
      <c r="W224" s="29">
        <f t="shared" si="63"/>
        <v>90593.586178931553</v>
      </c>
      <c r="X224" s="29">
        <f t="shared" si="74"/>
        <v>90593.586178931553</v>
      </c>
      <c r="Y224">
        <f t="shared" si="75"/>
        <v>0</v>
      </c>
    </row>
    <row r="225" spans="1:25" x14ac:dyDescent="0.25">
      <c r="A225" s="4" t="s">
        <v>1089</v>
      </c>
      <c r="B225" s="7" t="s">
        <v>204</v>
      </c>
      <c r="C225" s="2" t="s">
        <v>1090</v>
      </c>
      <c r="D225">
        <f>VLOOKUP(B225,'Model allocations'!$A$1:$L$316,5,FALSE)</f>
        <v>0</v>
      </c>
      <c r="E225" s="31">
        <f>VLOOKUP(B225,'Initial adjusted formula count'!$A$1:$P$316,12,FALSE)</f>
        <v>3.3876389966382203E-2</v>
      </c>
      <c r="F225">
        <f>VLOOKUP(B225,'Model allocations'!$A$1:$L$316,10,FALSE)</f>
        <v>0</v>
      </c>
      <c r="G225" s="30">
        <f t="shared" si="64"/>
        <v>0.85</v>
      </c>
      <c r="H225">
        <f t="shared" si="65"/>
        <v>0</v>
      </c>
      <c r="I225">
        <f t="shared" si="57"/>
        <v>0</v>
      </c>
      <c r="J225">
        <f t="shared" si="58"/>
        <v>0</v>
      </c>
      <c r="K225">
        <f t="shared" si="59"/>
        <v>0</v>
      </c>
      <c r="L225">
        <f t="shared" si="66"/>
        <v>0</v>
      </c>
      <c r="M225">
        <f t="shared" si="60"/>
        <v>0</v>
      </c>
      <c r="N225" s="29">
        <f t="shared" si="67"/>
        <v>0</v>
      </c>
      <c r="O225" s="29">
        <f t="shared" si="61"/>
        <v>0</v>
      </c>
      <c r="P225" s="29">
        <f t="shared" si="68"/>
        <v>0</v>
      </c>
      <c r="Q225">
        <f t="shared" si="69"/>
        <v>0</v>
      </c>
      <c r="R225" s="29">
        <f t="shared" si="70"/>
        <v>0</v>
      </c>
      <c r="S225" s="29">
        <f t="shared" si="62"/>
        <v>0</v>
      </c>
      <c r="T225" s="29">
        <f t="shared" si="71"/>
        <v>0</v>
      </c>
      <c r="U225">
        <f t="shared" si="72"/>
        <v>0</v>
      </c>
      <c r="V225" s="29">
        <f t="shared" si="73"/>
        <v>0</v>
      </c>
      <c r="W225" s="29">
        <f t="shared" si="63"/>
        <v>0</v>
      </c>
      <c r="X225" s="29">
        <f t="shared" si="74"/>
        <v>0</v>
      </c>
      <c r="Y225">
        <f t="shared" si="75"/>
        <v>0</v>
      </c>
    </row>
    <row r="226" spans="1:25" x14ac:dyDescent="0.25">
      <c r="A226" s="4" t="s">
        <v>1091</v>
      </c>
      <c r="B226" s="7" t="s">
        <v>565</v>
      </c>
      <c r="C226" s="2" t="s">
        <v>1092</v>
      </c>
      <c r="D226">
        <f>VLOOKUP(B226,'Model allocations'!$A$1:$L$316,5,FALSE)</f>
        <v>107734.78327465076</v>
      </c>
      <c r="E226" s="31">
        <f>VLOOKUP(B226,'Initial adjusted formula count'!$A$1:$P$316,12,FALSE)</f>
        <v>0.105622489959839</v>
      </c>
      <c r="F226">
        <f>VLOOKUP(B226,'Model allocations'!$A$1:$L$316,10,FALSE)</f>
        <v>111951.56190439728</v>
      </c>
      <c r="G226" s="30">
        <f t="shared" si="64"/>
        <v>0.85</v>
      </c>
      <c r="H226">
        <f t="shared" si="65"/>
        <v>91574.565783453145</v>
      </c>
      <c r="I226">
        <f t="shared" si="57"/>
        <v>0</v>
      </c>
      <c r="J226">
        <f t="shared" si="58"/>
        <v>111951.56190439728</v>
      </c>
      <c r="K226">
        <f t="shared" si="59"/>
        <v>111866.07992759057</v>
      </c>
      <c r="L226">
        <f t="shared" si="66"/>
        <v>111866.07992759057</v>
      </c>
      <c r="M226">
        <f t="shared" si="60"/>
        <v>0</v>
      </c>
      <c r="N226" s="29">
        <f t="shared" si="67"/>
        <v>111866.07992759057</v>
      </c>
      <c r="O226" s="29">
        <f t="shared" si="61"/>
        <v>111859.72609136088</v>
      </c>
      <c r="P226" s="29">
        <f t="shared" si="68"/>
        <v>111859.72609136088</v>
      </c>
      <c r="Q226">
        <f t="shared" si="69"/>
        <v>0</v>
      </c>
      <c r="R226" s="29">
        <f t="shared" si="70"/>
        <v>111859.72609136088</v>
      </c>
      <c r="S226" s="29">
        <f t="shared" si="62"/>
        <v>111859.68622093424</v>
      </c>
      <c r="T226" s="29">
        <f t="shared" si="71"/>
        <v>111859.68622093424</v>
      </c>
      <c r="U226">
        <f t="shared" si="72"/>
        <v>0</v>
      </c>
      <c r="V226" s="29">
        <f t="shared" si="73"/>
        <v>111859.68622093424</v>
      </c>
      <c r="W226" s="29">
        <f t="shared" si="63"/>
        <v>111859.68622093425</v>
      </c>
      <c r="X226" s="29">
        <f t="shared" si="74"/>
        <v>111859.68622093425</v>
      </c>
      <c r="Y226">
        <f t="shared" si="75"/>
        <v>0</v>
      </c>
    </row>
    <row r="227" spans="1:25" x14ac:dyDescent="0.25">
      <c r="A227" s="4" t="s">
        <v>1093</v>
      </c>
      <c r="B227" s="7" t="s">
        <v>297</v>
      </c>
      <c r="C227" s="2" t="s">
        <v>1094</v>
      </c>
      <c r="D227">
        <f>VLOOKUP(B227,'Model allocations'!$A$1:$L$316,5,FALSE)</f>
        <v>0</v>
      </c>
      <c r="E227" s="31">
        <f>VLOOKUP(B227,'Initial adjusted formula count'!$A$1:$P$316,12,FALSE)</f>
        <v>0.116279069767442</v>
      </c>
      <c r="F227">
        <f>VLOOKUP(B227,'Model allocations'!$A$1:$L$316,10,FALSE)</f>
        <v>0</v>
      </c>
      <c r="G227" s="30">
        <f t="shared" si="64"/>
        <v>0.85</v>
      </c>
      <c r="H227">
        <f t="shared" si="65"/>
        <v>0</v>
      </c>
      <c r="I227">
        <f t="shared" si="57"/>
        <v>0</v>
      </c>
      <c r="J227">
        <f t="shared" si="58"/>
        <v>0</v>
      </c>
      <c r="K227">
        <f t="shared" si="59"/>
        <v>0</v>
      </c>
      <c r="L227">
        <f t="shared" si="66"/>
        <v>0</v>
      </c>
      <c r="M227">
        <f t="shared" si="60"/>
        <v>0</v>
      </c>
      <c r="N227" s="29">
        <f t="shared" si="67"/>
        <v>0</v>
      </c>
      <c r="O227" s="29">
        <f t="shared" si="61"/>
        <v>0</v>
      </c>
      <c r="P227" s="29">
        <f t="shared" si="68"/>
        <v>0</v>
      </c>
      <c r="Q227">
        <f t="shared" si="69"/>
        <v>0</v>
      </c>
      <c r="R227" s="29">
        <f t="shared" si="70"/>
        <v>0</v>
      </c>
      <c r="S227" s="29">
        <f t="shared" si="62"/>
        <v>0</v>
      </c>
      <c r="T227" s="29">
        <f t="shared" si="71"/>
        <v>0</v>
      </c>
      <c r="U227">
        <f t="shared" si="72"/>
        <v>0</v>
      </c>
      <c r="V227" s="29">
        <f t="shared" si="73"/>
        <v>0</v>
      </c>
      <c r="W227" s="29">
        <f t="shared" si="63"/>
        <v>0</v>
      </c>
      <c r="X227" s="29">
        <f t="shared" si="74"/>
        <v>0</v>
      </c>
      <c r="Y227">
        <f t="shared" si="75"/>
        <v>0</v>
      </c>
    </row>
    <row r="228" spans="1:25" x14ac:dyDescent="0.25">
      <c r="A228" s="4" t="s">
        <v>1095</v>
      </c>
      <c r="B228" s="7" t="s">
        <v>567</v>
      </c>
      <c r="C228" s="2" t="s">
        <v>1096</v>
      </c>
      <c r="D228">
        <f>VLOOKUP(B228,'Model allocations'!$A$1:$L$316,5,FALSE)</f>
        <v>22380.350179790723</v>
      </c>
      <c r="E228" s="31">
        <f>VLOOKUP(B228,'Initial adjusted formula count'!$A$1:$P$316,12,FALSE)</f>
        <v>0.11740890688259099</v>
      </c>
      <c r="F228">
        <f>VLOOKUP(B228,'Model allocations'!$A$1:$L$316,10,FALSE)</f>
        <v>19036.506638596249</v>
      </c>
      <c r="G228" s="30">
        <f t="shared" si="64"/>
        <v>0.85</v>
      </c>
      <c r="H228">
        <f t="shared" si="65"/>
        <v>19023.297652822115</v>
      </c>
      <c r="I228">
        <f t="shared" si="57"/>
        <v>0</v>
      </c>
      <c r="J228">
        <f t="shared" si="58"/>
        <v>19036.506638596249</v>
      </c>
      <c r="K228">
        <f t="shared" si="59"/>
        <v>19021.971082403197</v>
      </c>
      <c r="L228">
        <f t="shared" si="66"/>
        <v>19021.971082403197</v>
      </c>
      <c r="M228">
        <f t="shared" si="60"/>
        <v>19023.297652822115</v>
      </c>
      <c r="N228" s="29">
        <f t="shared" si="67"/>
        <v>0</v>
      </c>
      <c r="O228" s="29">
        <f t="shared" si="61"/>
        <v>0</v>
      </c>
      <c r="P228" s="29">
        <f t="shared" si="68"/>
        <v>19023.297652822115</v>
      </c>
      <c r="Q228">
        <f t="shared" si="69"/>
        <v>0</v>
      </c>
      <c r="R228" s="29">
        <f t="shared" si="70"/>
        <v>0</v>
      </c>
      <c r="S228" s="29">
        <f t="shared" si="62"/>
        <v>0</v>
      </c>
      <c r="T228" s="29">
        <f t="shared" si="71"/>
        <v>19023.297652822115</v>
      </c>
      <c r="U228">
        <f t="shared" si="72"/>
        <v>0</v>
      </c>
      <c r="V228" s="29">
        <f t="shared" si="73"/>
        <v>0</v>
      </c>
      <c r="W228" s="29">
        <f t="shared" si="63"/>
        <v>0</v>
      </c>
      <c r="X228" s="29">
        <f t="shared" si="74"/>
        <v>19023.297652822115</v>
      </c>
      <c r="Y228">
        <f t="shared" si="75"/>
        <v>0</v>
      </c>
    </row>
    <row r="229" spans="1:25" x14ac:dyDescent="0.25">
      <c r="A229" s="4" t="s">
        <v>1097</v>
      </c>
      <c r="B229" s="7" t="s">
        <v>569</v>
      </c>
      <c r="C229" s="2" t="s">
        <v>1098</v>
      </c>
      <c r="D229">
        <f>VLOOKUP(B229,'Model allocations'!$A$1:$L$316,5,FALSE)</f>
        <v>104555.24047984883</v>
      </c>
      <c r="E229" s="31">
        <f>VLOOKUP(B229,'Initial adjusted formula count'!$A$1:$P$316,12,FALSE)</f>
        <v>0.146951219512195</v>
      </c>
      <c r="F229">
        <f>VLOOKUP(B229,'Model allocations'!$A$1:$L$316,10,FALSE)</f>
        <v>102586.79246752756</v>
      </c>
      <c r="G229" s="30">
        <f t="shared" si="64"/>
        <v>0.85</v>
      </c>
      <c r="H229">
        <f t="shared" si="65"/>
        <v>88871.954407871497</v>
      </c>
      <c r="I229">
        <f t="shared" si="57"/>
        <v>0</v>
      </c>
      <c r="J229">
        <f t="shared" si="58"/>
        <v>102586.79246752756</v>
      </c>
      <c r="K229">
        <f t="shared" si="59"/>
        <v>102508.46107433207</v>
      </c>
      <c r="L229">
        <f t="shared" si="66"/>
        <v>102508.46107433207</v>
      </c>
      <c r="M229">
        <f t="shared" si="60"/>
        <v>0</v>
      </c>
      <c r="N229" s="29">
        <f t="shared" si="67"/>
        <v>102508.46107433207</v>
      </c>
      <c r="O229" s="29">
        <f t="shared" si="61"/>
        <v>102502.63873771093</v>
      </c>
      <c r="P229" s="29">
        <f t="shared" si="68"/>
        <v>102502.63873771093</v>
      </c>
      <c r="Q229">
        <f t="shared" si="69"/>
        <v>0</v>
      </c>
      <c r="R229" s="29">
        <f t="shared" si="70"/>
        <v>102502.63873771093</v>
      </c>
      <c r="S229" s="29">
        <f t="shared" si="62"/>
        <v>102502.60220245307</v>
      </c>
      <c r="T229" s="29">
        <f t="shared" si="71"/>
        <v>102502.60220245307</v>
      </c>
      <c r="U229">
        <f t="shared" si="72"/>
        <v>0</v>
      </c>
      <c r="V229" s="29">
        <f t="shared" si="73"/>
        <v>102502.60220245307</v>
      </c>
      <c r="W229" s="29">
        <f t="shared" si="63"/>
        <v>102502.60220245308</v>
      </c>
      <c r="X229" s="29">
        <f t="shared" si="74"/>
        <v>102502.60220245308</v>
      </c>
      <c r="Y229">
        <f t="shared" si="75"/>
        <v>0</v>
      </c>
    </row>
    <row r="230" spans="1:25" x14ac:dyDescent="0.25">
      <c r="A230" s="4" t="s">
        <v>1099</v>
      </c>
      <c r="B230" s="7" t="s">
        <v>206</v>
      </c>
      <c r="C230" s="2" t="s">
        <v>1100</v>
      </c>
      <c r="D230">
        <f>VLOOKUP(B230,'Model allocations'!$A$1:$L$316,5,FALSE)</f>
        <v>36051.328255330583</v>
      </c>
      <c r="E230" s="31">
        <f>VLOOKUP(B230,'Initial adjusted formula count'!$A$1:$P$316,12,FALSE)</f>
        <v>8.7310826542491296E-2</v>
      </c>
      <c r="F230">
        <f>VLOOKUP(B230,'Model allocations'!$A$1:$L$316,10,FALSE)</f>
        <v>31925.350352965001</v>
      </c>
      <c r="G230" s="30">
        <f t="shared" si="64"/>
        <v>0.85</v>
      </c>
      <c r="H230">
        <f t="shared" si="65"/>
        <v>30643.629017030995</v>
      </c>
      <c r="I230">
        <f t="shared" si="57"/>
        <v>0</v>
      </c>
      <c r="J230">
        <f t="shared" si="58"/>
        <v>31925.350352965001</v>
      </c>
      <c r="K230">
        <f t="shared" si="59"/>
        <v>31900.973363381338</v>
      </c>
      <c r="L230">
        <f t="shared" si="66"/>
        <v>31900.973363381338</v>
      </c>
      <c r="M230">
        <f t="shared" si="60"/>
        <v>0</v>
      </c>
      <c r="N230" s="29">
        <f t="shared" si="67"/>
        <v>31900.973363381338</v>
      </c>
      <c r="O230" s="29">
        <f t="shared" si="61"/>
        <v>31899.161432897581</v>
      </c>
      <c r="P230" s="29">
        <f t="shared" si="68"/>
        <v>31899.161432897581</v>
      </c>
      <c r="Q230">
        <f t="shared" si="69"/>
        <v>0</v>
      </c>
      <c r="R230" s="29">
        <f t="shared" si="70"/>
        <v>31899.161432897581</v>
      </c>
      <c r="S230" s="29">
        <f t="shared" si="62"/>
        <v>31899.150063004054</v>
      </c>
      <c r="T230" s="29">
        <f t="shared" si="71"/>
        <v>31899.150063004054</v>
      </c>
      <c r="U230">
        <f t="shared" si="72"/>
        <v>0</v>
      </c>
      <c r="V230" s="29">
        <f t="shared" si="73"/>
        <v>31899.150063004054</v>
      </c>
      <c r="W230" s="29">
        <f t="shared" si="63"/>
        <v>31899.150063004054</v>
      </c>
      <c r="X230" s="29">
        <f t="shared" si="74"/>
        <v>31899.150063004054</v>
      </c>
      <c r="Y230">
        <f t="shared" si="75"/>
        <v>0</v>
      </c>
    </row>
    <row r="231" spans="1:25" x14ac:dyDescent="0.25">
      <c r="A231" s="4" t="s">
        <v>1101</v>
      </c>
      <c r="B231" s="7" t="s">
        <v>571</v>
      </c>
      <c r="C231" s="2" t="s">
        <v>1102</v>
      </c>
      <c r="D231">
        <f>VLOOKUP(B231,'Model allocations'!$A$1:$L$316,5,FALSE)</f>
        <v>7634.8743479050181</v>
      </c>
      <c r="E231" s="31">
        <f>VLOOKUP(B231,'Initial adjusted formula count'!$A$1:$P$316,12,FALSE)</f>
        <v>0.155963302752294</v>
      </c>
      <c r="F231">
        <f>VLOOKUP(B231,'Model allocations'!$A$1:$L$316,10,FALSE)</f>
        <v>7242.0954590348974</v>
      </c>
      <c r="G231" s="30">
        <f t="shared" si="64"/>
        <v>0.9</v>
      </c>
      <c r="H231">
        <f t="shared" si="65"/>
        <v>6871.3869131145166</v>
      </c>
      <c r="I231">
        <f t="shared" si="57"/>
        <v>0</v>
      </c>
      <c r="J231">
        <f t="shared" si="58"/>
        <v>7242.0954590348974</v>
      </c>
      <c r="K231">
        <f t="shared" si="59"/>
        <v>7236.5656689584548</v>
      </c>
      <c r="L231">
        <f t="shared" si="66"/>
        <v>7236.5656689584548</v>
      </c>
      <c r="M231">
        <f t="shared" si="60"/>
        <v>0</v>
      </c>
      <c r="N231" s="29">
        <f t="shared" si="67"/>
        <v>7236.5656689584548</v>
      </c>
      <c r="O231" s="29">
        <f t="shared" si="61"/>
        <v>7236.1546421918447</v>
      </c>
      <c r="P231" s="29">
        <f t="shared" si="68"/>
        <v>7236.1546421918447</v>
      </c>
      <c r="Q231">
        <f t="shared" si="69"/>
        <v>0</v>
      </c>
      <c r="R231" s="29">
        <f t="shared" si="70"/>
        <v>7236.1546421918447</v>
      </c>
      <c r="S231" s="29">
        <f t="shared" si="62"/>
        <v>7236.1520629921379</v>
      </c>
      <c r="T231" s="29">
        <f t="shared" si="71"/>
        <v>7236.1520629921379</v>
      </c>
      <c r="U231">
        <f t="shared" si="72"/>
        <v>0</v>
      </c>
      <c r="V231" s="29">
        <f t="shared" si="73"/>
        <v>7236.1520629921379</v>
      </c>
      <c r="W231" s="29">
        <f t="shared" si="63"/>
        <v>7236.1520629921388</v>
      </c>
      <c r="X231" s="29">
        <f t="shared" si="74"/>
        <v>7236.1520629921388</v>
      </c>
      <c r="Y231">
        <f t="shared" si="75"/>
        <v>0</v>
      </c>
    </row>
    <row r="232" spans="1:25" x14ac:dyDescent="0.25">
      <c r="A232" s="8" t="s">
        <v>50</v>
      </c>
      <c r="B232" s="7" t="s">
        <v>81</v>
      </c>
      <c r="C232" s="2" t="s">
        <v>1103</v>
      </c>
      <c r="D232">
        <f>VLOOKUP(B232,'Model allocations'!$A$1:$L$316,5,FALSE)</f>
        <v>12323.201297372489</v>
      </c>
      <c r="E232" s="31">
        <f>VLOOKUP(B232,'Initial adjusted formula count'!$A$1:$P$316,12,FALSE)</f>
        <v>0.120764644973055</v>
      </c>
      <c r="F232">
        <f>VLOOKUP(B232,'Model allocations'!$A$1:$L$316,10,FALSE)</f>
        <v>11298.22401904302</v>
      </c>
      <c r="G232" s="30">
        <f t="shared" si="64"/>
        <v>0.85</v>
      </c>
      <c r="H232">
        <f t="shared" si="65"/>
        <v>10474.721102766614</v>
      </c>
      <c r="I232">
        <f t="shared" si="57"/>
        <v>0</v>
      </c>
      <c r="J232">
        <f t="shared" si="58"/>
        <v>11298.22401904302</v>
      </c>
      <c r="K232">
        <f t="shared" si="59"/>
        <v>11289.597122668161</v>
      </c>
      <c r="L232">
        <f t="shared" si="66"/>
        <v>11289.597122668161</v>
      </c>
      <c r="M232">
        <f t="shared" si="60"/>
        <v>0</v>
      </c>
      <c r="N232" s="29">
        <f t="shared" si="67"/>
        <v>11289.597122668161</v>
      </c>
      <c r="O232" s="29">
        <f t="shared" si="61"/>
        <v>11288.955889407256</v>
      </c>
      <c r="P232" s="29">
        <f t="shared" si="68"/>
        <v>11288.955889407256</v>
      </c>
      <c r="Q232">
        <f t="shared" si="69"/>
        <v>0</v>
      </c>
      <c r="R232" s="29">
        <f t="shared" si="70"/>
        <v>11288.955889407256</v>
      </c>
      <c r="S232" s="29">
        <f t="shared" si="62"/>
        <v>11288.951865658019</v>
      </c>
      <c r="T232" s="29">
        <f t="shared" si="71"/>
        <v>11288.951865658019</v>
      </c>
      <c r="U232">
        <f t="shared" si="72"/>
        <v>0</v>
      </c>
      <c r="V232" s="29">
        <f t="shared" si="73"/>
        <v>11288.951865658019</v>
      </c>
      <c r="W232" s="29">
        <f t="shared" si="63"/>
        <v>11288.951865658019</v>
      </c>
      <c r="X232" s="29">
        <f t="shared" si="74"/>
        <v>11288.951865658019</v>
      </c>
      <c r="Y232">
        <f t="shared" si="75"/>
        <v>0</v>
      </c>
    </row>
    <row r="233" spans="1:25" x14ac:dyDescent="0.25">
      <c r="A233" s="4" t="s">
        <v>46</v>
      </c>
      <c r="B233" s="7" t="s">
        <v>80</v>
      </c>
      <c r="C233" s="2" t="s">
        <v>1104</v>
      </c>
      <c r="D233">
        <f>VLOOKUP(B233,'Model allocations'!$A$1:$L$316,5,FALSE)</f>
        <v>0</v>
      </c>
      <c r="E233" s="31">
        <f>VLOOKUP(B233,'Initial adjusted formula count'!$A$1:$P$316,12,FALSE)</f>
        <v>0.104075599186366</v>
      </c>
      <c r="F233">
        <f>VLOOKUP(B233,'Model allocations'!$A$1:$L$316,10,FALSE)</f>
        <v>0</v>
      </c>
      <c r="G233" s="30">
        <f t="shared" si="64"/>
        <v>0.85</v>
      </c>
      <c r="H233">
        <f t="shared" si="65"/>
        <v>0</v>
      </c>
      <c r="I233">
        <f t="shared" si="57"/>
        <v>0</v>
      </c>
      <c r="J233">
        <f t="shared" si="58"/>
        <v>0</v>
      </c>
      <c r="K233">
        <f t="shared" si="59"/>
        <v>0</v>
      </c>
      <c r="L233">
        <f t="shared" si="66"/>
        <v>0</v>
      </c>
      <c r="M233">
        <f t="shared" si="60"/>
        <v>0</v>
      </c>
      <c r="N233" s="29">
        <f t="shared" si="67"/>
        <v>0</v>
      </c>
      <c r="O233" s="29">
        <f t="shared" si="61"/>
        <v>0</v>
      </c>
      <c r="P233" s="29">
        <f t="shared" si="68"/>
        <v>0</v>
      </c>
      <c r="Q233">
        <f t="shared" si="69"/>
        <v>0</v>
      </c>
      <c r="R233" s="29">
        <f t="shared" si="70"/>
        <v>0</v>
      </c>
      <c r="S233" s="29">
        <f t="shared" si="62"/>
        <v>0</v>
      </c>
      <c r="T233" s="29">
        <f t="shared" si="71"/>
        <v>0</v>
      </c>
      <c r="U233">
        <f t="shared" si="72"/>
        <v>0</v>
      </c>
      <c r="V233" s="29">
        <f t="shared" si="73"/>
        <v>0</v>
      </c>
      <c r="W233" s="29">
        <f t="shared" si="63"/>
        <v>0</v>
      </c>
      <c r="X233" s="29">
        <f t="shared" si="74"/>
        <v>0</v>
      </c>
      <c r="Y233">
        <f t="shared" si="75"/>
        <v>0</v>
      </c>
    </row>
    <row r="234" spans="1:25" x14ac:dyDescent="0.25">
      <c r="A234" s="4" t="s">
        <v>24</v>
      </c>
      <c r="B234" s="7" t="s">
        <v>59</v>
      </c>
      <c r="C234" s="2" t="s">
        <v>1105</v>
      </c>
      <c r="D234">
        <f>VLOOKUP(B234,'Model allocations'!$A$1:$L$316,5,FALSE)</f>
        <v>4848413.4014268834</v>
      </c>
      <c r="E234" s="31">
        <f>VLOOKUP(B234,'Initial adjusted formula count'!$A$1:$P$316,12,FALSE)</f>
        <v>8.5865311603711206E-2</v>
      </c>
      <c r="F234">
        <f>VLOOKUP(B234,'Model allocations'!$A$1:$L$316,10,FALSE)</f>
        <v>4445356.80885405</v>
      </c>
      <c r="G234" s="30">
        <f t="shared" si="64"/>
        <v>0.85</v>
      </c>
      <c r="H234">
        <f t="shared" si="65"/>
        <v>4121151.3912128508</v>
      </c>
      <c r="I234">
        <f t="shared" si="57"/>
        <v>0</v>
      </c>
      <c r="J234">
        <f t="shared" si="58"/>
        <v>4445356.80885405</v>
      </c>
      <c r="K234">
        <f t="shared" si="59"/>
        <v>4441962.5025918782</v>
      </c>
      <c r="L234">
        <f t="shared" si="66"/>
        <v>4441962.5025918782</v>
      </c>
      <c r="M234">
        <f t="shared" si="60"/>
        <v>0</v>
      </c>
      <c r="N234" s="29">
        <f t="shared" si="67"/>
        <v>4441962.5025918782</v>
      </c>
      <c r="O234" s="29">
        <f t="shared" si="61"/>
        <v>4441710.2053602403</v>
      </c>
      <c r="P234" s="29">
        <f t="shared" si="68"/>
        <v>4441710.2053602403</v>
      </c>
      <c r="Q234">
        <f t="shared" si="69"/>
        <v>0</v>
      </c>
      <c r="R234" s="29">
        <f t="shared" si="70"/>
        <v>4441710.2053602403</v>
      </c>
      <c r="S234" s="29">
        <f t="shared" si="62"/>
        <v>4441708.62219097</v>
      </c>
      <c r="T234" s="29">
        <f t="shared" si="71"/>
        <v>4441708.62219097</v>
      </c>
      <c r="U234">
        <f t="shared" si="72"/>
        <v>0</v>
      </c>
      <c r="V234" s="29">
        <f t="shared" si="73"/>
        <v>4441708.62219097</v>
      </c>
      <c r="W234" s="29">
        <f t="shared" si="63"/>
        <v>4441708.62219097</v>
      </c>
      <c r="X234" s="29">
        <f t="shared" si="74"/>
        <v>4441708.62219097</v>
      </c>
      <c r="Y234">
        <f t="shared" si="75"/>
        <v>0</v>
      </c>
    </row>
    <row r="235" spans="1:25" x14ac:dyDescent="0.25">
      <c r="A235" s="4" t="s">
        <v>1106</v>
      </c>
      <c r="B235" s="7" t="s">
        <v>299</v>
      </c>
      <c r="C235" s="2" t="s">
        <v>1107</v>
      </c>
      <c r="D235">
        <f>VLOOKUP(B235,'Model allocations'!$A$1:$L$316,5,FALSE)</f>
        <v>239783.25304708249</v>
      </c>
      <c r="E235" s="31">
        <f>VLOOKUP(B235,'Initial adjusted formula count'!$A$1:$P$316,12,FALSE)</f>
        <v>9.0155849279936903E-2</v>
      </c>
      <c r="F235">
        <f>VLOOKUP(B235,'Model allocations'!$A$1:$L$316,10,FALSE)</f>
        <v>203957.2862705616</v>
      </c>
      <c r="G235" s="30">
        <f t="shared" si="64"/>
        <v>0.85</v>
      </c>
      <c r="H235">
        <f t="shared" si="65"/>
        <v>203815.76509002011</v>
      </c>
      <c r="I235">
        <f t="shared" si="57"/>
        <v>0</v>
      </c>
      <c r="J235">
        <f t="shared" si="58"/>
        <v>203957.2862705616</v>
      </c>
      <c r="K235">
        <f t="shared" si="59"/>
        <v>203801.55220381022</v>
      </c>
      <c r="L235">
        <f t="shared" si="66"/>
        <v>203801.55220381022</v>
      </c>
      <c r="M235">
        <f t="shared" si="60"/>
        <v>203815.76509002011</v>
      </c>
      <c r="N235" s="29">
        <f t="shared" si="67"/>
        <v>0</v>
      </c>
      <c r="O235" s="29">
        <f t="shared" si="61"/>
        <v>0</v>
      </c>
      <c r="P235" s="29">
        <f t="shared" si="68"/>
        <v>203815.76509002011</v>
      </c>
      <c r="Q235">
        <f t="shared" si="69"/>
        <v>0</v>
      </c>
      <c r="R235" s="29">
        <f t="shared" si="70"/>
        <v>0</v>
      </c>
      <c r="S235" s="29">
        <f t="shared" si="62"/>
        <v>0</v>
      </c>
      <c r="T235" s="29">
        <f t="shared" si="71"/>
        <v>203815.76509002011</v>
      </c>
      <c r="U235">
        <f t="shared" si="72"/>
        <v>0</v>
      </c>
      <c r="V235" s="29">
        <f t="shared" si="73"/>
        <v>0</v>
      </c>
      <c r="W235" s="29">
        <f t="shared" si="63"/>
        <v>0</v>
      </c>
      <c r="X235" s="29">
        <f t="shared" si="74"/>
        <v>203815.76509002011</v>
      </c>
      <c r="Y235">
        <f t="shared" si="75"/>
        <v>0</v>
      </c>
    </row>
    <row r="236" spans="1:25" x14ac:dyDescent="0.25">
      <c r="A236" s="4" t="s">
        <v>1108</v>
      </c>
      <c r="B236" s="7" t="s">
        <v>573</v>
      </c>
      <c r="C236" s="2" t="s">
        <v>1109</v>
      </c>
      <c r="D236">
        <f>VLOOKUP(B236,'Model allocations'!$A$1:$L$316,5,FALSE)</f>
        <v>212115.95461857293</v>
      </c>
      <c r="E236" s="31">
        <f>VLOOKUP(B236,'Initial adjusted formula count'!$A$1:$P$316,12,FALSE)</f>
        <v>0.130539499036609</v>
      </c>
      <c r="F236">
        <f>VLOOKUP(B236,'Model allocations'!$A$1:$L$316,10,FALSE)</f>
        <v>230713.86521742711</v>
      </c>
      <c r="G236" s="30">
        <f t="shared" si="64"/>
        <v>0.85</v>
      </c>
      <c r="H236">
        <f t="shared" si="65"/>
        <v>180298.56142578699</v>
      </c>
      <c r="I236">
        <f t="shared" si="57"/>
        <v>0</v>
      </c>
      <c r="J236">
        <f t="shared" si="58"/>
        <v>230713.86521742711</v>
      </c>
      <c r="K236">
        <f t="shared" si="59"/>
        <v>230537.70083936921</v>
      </c>
      <c r="L236">
        <f t="shared" si="66"/>
        <v>230537.70083936921</v>
      </c>
      <c r="M236">
        <f t="shared" si="60"/>
        <v>0</v>
      </c>
      <c r="N236" s="29">
        <f t="shared" si="67"/>
        <v>230537.70083936921</v>
      </c>
      <c r="O236" s="29">
        <f t="shared" si="61"/>
        <v>230524.60662173995</v>
      </c>
      <c r="P236" s="29">
        <f t="shared" si="68"/>
        <v>230524.60662173995</v>
      </c>
      <c r="Q236">
        <f t="shared" si="69"/>
        <v>0</v>
      </c>
      <c r="R236" s="29">
        <f t="shared" si="70"/>
        <v>230524.60662173995</v>
      </c>
      <c r="S236" s="29">
        <f t="shared" si="62"/>
        <v>230524.52445530938</v>
      </c>
      <c r="T236" s="29">
        <f t="shared" si="71"/>
        <v>230524.52445530938</v>
      </c>
      <c r="U236">
        <f t="shared" si="72"/>
        <v>0</v>
      </c>
      <c r="V236" s="29">
        <f t="shared" si="73"/>
        <v>230524.52445530938</v>
      </c>
      <c r="W236" s="29">
        <f t="shared" si="63"/>
        <v>230524.52445530941</v>
      </c>
      <c r="X236" s="29">
        <f t="shared" si="74"/>
        <v>230524.52445530941</v>
      </c>
      <c r="Y236">
        <f t="shared" si="75"/>
        <v>0</v>
      </c>
    </row>
    <row r="237" spans="1:25" x14ac:dyDescent="0.25">
      <c r="A237" s="4" t="s">
        <v>1110</v>
      </c>
      <c r="B237" s="7" t="s">
        <v>575</v>
      </c>
      <c r="C237" s="2" t="s">
        <v>1111</v>
      </c>
      <c r="D237">
        <f>VLOOKUP(B237,'Model allocations'!$A$1:$L$316,5,FALSE)</f>
        <v>49065.019352522257</v>
      </c>
      <c r="E237" s="31">
        <f>VLOOKUP(B237,'Initial adjusted formula count'!$A$1:$P$316,12,FALSE)</f>
        <v>0.341614906832298</v>
      </c>
      <c r="F237">
        <f>VLOOKUP(B237,'Model allocations'!$A$1:$L$316,10,FALSE)</f>
        <v>82427.955658485866</v>
      </c>
      <c r="G237" s="30">
        <f t="shared" si="64"/>
        <v>0.95</v>
      </c>
      <c r="H237">
        <f t="shared" si="65"/>
        <v>46611.768384896139</v>
      </c>
      <c r="I237">
        <f t="shared" si="57"/>
        <v>0</v>
      </c>
      <c r="J237">
        <f t="shared" si="58"/>
        <v>82427.955658485866</v>
      </c>
      <c r="K237">
        <f t="shared" si="59"/>
        <v>82365.016790336434</v>
      </c>
      <c r="L237">
        <f t="shared" si="66"/>
        <v>82365.016790336434</v>
      </c>
      <c r="M237">
        <f t="shared" si="60"/>
        <v>0</v>
      </c>
      <c r="N237" s="29">
        <f t="shared" si="67"/>
        <v>82365.016790336434</v>
      </c>
      <c r="O237" s="29">
        <f t="shared" si="61"/>
        <v>82360.338573060202</v>
      </c>
      <c r="P237" s="29">
        <f t="shared" si="68"/>
        <v>82360.338573060202</v>
      </c>
      <c r="Q237">
        <f t="shared" si="69"/>
        <v>0</v>
      </c>
      <c r="R237" s="29">
        <f t="shared" si="70"/>
        <v>82360.338573060202</v>
      </c>
      <c r="S237" s="29">
        <f t="shared" si="62"/>
        <v>82360.309217169997</v>
      </c>
      <c r="T237" s="29">
        <f t="shared" si="71"/>
        <v>82360.309217169997</v>
      </c>
      <c r="U237">
        <f t="shared" si="72"/>
        <v>0</v>
      </c>
      <c r="V237" s="29">
        <f t="shared" si="73"/>
        <v>82360.309217169997</v>
      </c>
      <c r="W237" s="29">
        <f t="shared" si="63"/>
        <v>82360.309217170012</v>
      </c>
      <c r="X237" s="29">
        <f t="shared" si="74"/>
        <v>82360.309217170012</v>
      </c>
      <c r="Y237">
        <f t="shared" si="75"/>
        <v>0</v>
      </c>
    </row>
    <row r="238" spans="1:25" x14ac:dyDescent="0.25">
      <c r="A238" s="4" t="s">
        <v>1112</v>
      </c>
      <c r="B238" s="7" t="s">
        <v>577</v>
      </c>
      <c r="C238" s="2" t="s">
        <v>1113</v>
      </c>
      <c r="D238">
        <f>VLOOKUP(B238,'Model allocations'!$A$1:$L$316,5,FALSE)</f>
        <v>192832.68601688457</v>
      </c>
      <c r="E238" s="31">
        <f>VLOOKUP(B238,'Initial adjusted formula count'!$A$1:$P$316,12,FALSE)</f>
        <v>0.12733720180528699</v>
      </c>
      <c r="F238">
        <f>VLOOKUP(B238,'Model allocations'!$A$1:$L$316,10,FALSE)</f>
        <v>168140.17852561575</v>
      </c>
      <c r="G238" s="30">
        <f t="shared" si="64"/>
        <v>0.85</v>
      </c>
      <c r="H238">
        <f t="shared" si="65"/>
        <v>163907.78311435189</v>
      </c>
      <c r="I238">
        <f t="shared" si="57"/>
        <v>0</v>
      </c>
      <c r="J238">
        <f t="shared" si="58"/>
        <v>168140.17852561575</v>
      </c>
      <c r="K238">
        <f t="shared" si="59"/>
        <v>168011.79304714181</v>
      </c>
      <c r="L238">
        <f t="shared" si="66"/>
        <v>168011.79304714181</v>
      </c>
      <c r="M238">
        <f t="shared" si="60"/>
        <v>0</v>
      </c>
      <c r="N238" s="29">
        <f t="shared" si="67"/>
        <v>168011.79304714181</v>
      </c>
      <c r="O238" s="29">
        <f t="shared" si="61"/>
        <v>168002.2502132607</v>
      </c>
      <c r="P238" s="29">
        <f t="shared" si="68"/>
        <v>168002.2502132607</v>
      </c>
      <c r="Q238">
        <f t="shared" si="69"/>
        <v>0</v>
      </c>
      <c r="R238" s="29">
        <f t="shared" si="70"/>
        <v>168002.2502132607</v>
      </c>
      <c r="S238" s="29">
        <f t="shared" si="62"/>
        <v>168002.19033182145</v>
      </c>
      <c r="T238" s="29">
        <f t="shared" si="71"/>
        <v>168002.19033182145</v>
      </c>
      <c r="U238">
        <f t="shared" si="72"/>
        <v>0</v>
      </c>
      <c r="V238" s="29">
        <f t="shared" si="73"/>
        <v>168002.19033182145</v>
      </c>
      <c r="W238" s="29">
        <f t="shared" si="63"/>
        <v>168002.19033182148</v>
      </c>
      <c r="X238" s="29">
        <f t="shared" si="74"/>
        <v>168002.19033182148</v>
      </c>
      <c r="Y238">
        <f t="shared" si="75"/>
        <v>0</v>
      </c>
    </row>
    <row r="239" spans="1:25" x14ac:dyDescent="0.25">
      <c r="A239" s="4" t="s">
        <v>1114</v>
      </c>
      <c r="B239" s="7" t="s">
        <v>208</v>
      </c>
      <c r="C239" s="2" t="s">
        <v>1115</v>
      </c>
      <c r="D239">
        <f>VLOOKUP(B239,'Model allocations'!$A$1:$L$316,5,FALSE)</f>
        <v>0</v>
      </c>
      <c r="E239" s="31">
        <f>VLOOKUP(B239,'Initial adjusted formula count'!$A$1:$P$316,12,FALSE)</f>
        <v>9.0909090909090898E-2</v>
      </c>
      <c r="F239">
        <f>VLOOKUP(B239,'Model allocations'!$A$1:$L$316,10,FALSE)</f>
        <v>0</v>
      </c>
      <c r="G239" s="30">
        <f t="shared" si="64"/>
        <v>0.85</v>
      </c>
      <c r="H239">
        <f t="shared" si="65"/>
        <v>0</v>
      </c>
      <c r="I239">
        <f t="shared" si="57"/>
        <v>0</v>
      </c>
      <c r="J239">
        <f t="shared" si="58"/>
        <v>0</v>
      </c>
      <c r="K239">
        <f t="shared" si="59"/>
        <v>0</v>
      </c>
      <c r="L239">
        <f t="shared" si="66"/>
        <v>0</v>
      </c>
      <c r="M239">
        <f t="shared" si="60"/>
        <v>0</v>
      </c>
      <c r="N239" s="29">
        <f t="shared" si="67"/>
        <v>0</v>
      </c>
      <c r="O239" s="29">
        <f t="shared" si="61"/>
        <v>0</v>
      </c>
      <c r="P239" s="29">
        <f t="shared" si="68"/>
        <v>0</v>
      </c>
      <c r="Q239">
        <f t="shared" si="69"/>
        <v>0</v>
      </c>
      <c r="R239" s="29">
        <f t="shared" si="70"/>
        <v>0</v>
      </c>
      <c r="S239" s="29">
        <f t="shared" si="62"/>
        <v>0</v>
      </c>
      <c r="T239" s="29">
        <f t="shared" si="71"/>
        <v>0</v>
      </c>
      <c r="U239">
        <f t="shared" si="72"/>
        <v>0</v>
      </c>
      <c r="V239" s="29">
        <f t="shared" si="73"/>
        <v>0</v>
      </c>
      <c r="W239" s="29">
        <f t="shared" si="63"/>
        <v>0</v>
      </c>
      <c r="X239" s="29">
        <f t="shared" si="74"/>
        <v>0</v>
      </c>
      <c r="Y239">
        <f t="shared" si="75"/>
        <v>0</v>
      </c>
    </row>
    <row r="240" spans="1:25" x14ac:dyDescent="0.25">
      <c r="A240" s="4" t="s">
        <v>1116</v>
      </c>
      <c r="B240" s="7" t="s">
        <v>579</v>
      </c>
      <c r="C240" s="2" t="s">
        <v>1117</v>
      </c>
      <c r="D240">
        <f>VLOOKUP(B240,'Model allocations'!$A$1:$L$316,5,FALSE)</f>
        <v>350487.36624534952</v>
      </c>
      <c r="E240" s="31">
        <f>VLOOKUP(B240,'Initial adjusted formula count'!$A$1:$P$316,12,FALSE)</f>
        <v>0.211978307003065</v>
      </c>
      <c r="F240">
        <f>VLOOKUP(B240,'Model allocations'!$A$1:$L$316,10,FALSE)</f>
        <v>458741.38247118739</v>
      </c>
      <c r="G240" s="30">
        <f t="shared" si="64"/>
        <v>0.9</v>
      </c>
      <c r="H240">
        <f t="shared" si="65"/>
        <v>315438.62962081458</v>
      </c>
      <c r="I240">
        <f t="shared" si="57"/>
        <v>0</v>
      </c>
      <c r="J240">
        <f t="shared" si="58"/>
        <v>458741.38247118739</v>
      </c>
      <c r="K240">
        <f t="shared" si="59"/>
        <v>458391.10490873439</v>
      </c>
      <c r="L240">
        <f t="shared" si="66"/>
        <v>458391.10490873439</v>
      </c>
      <c r="M240">
        <f t="shared" si="60"/>
        <v>0</v>
      </c>
      <c r="N240" s="29">
        <f t="shared" si="67"/>
        <v>458391.10490873439</v>
      </c>
      <c r="O240" s="29">
        <f t="shared" si="61"/>
        <v>458365.06893776247</v>
      </c>
      <c r="P240" s="29">
        <f t="shared" si="68"/>
        <v>458365.06893776247</v>
      </c>
      <c r="Q240">
        <f t="shared" si="69"/>
        <v>0</v>
      </c>
      <c r="R240" s="29">
        <f t="shared" si="70"/>
        <v>458365.06893776247</v>
      </c>
      <c r="S240" s="29">
        <f t="shared" si="62"/>
        <v>458364.90556161723</v>
      </c>
      <c r="T240" s="29">
        <f t="shared" si="71"/>
        <v>458364.90556161723</v>
      </c>
      <c r="U240">
        <f t="shared" si="72"/>
        <v>0</v>
      </c>
      <c r="V240" s="29">
        <f t="shared" si="73"/>
        <v>458364.90556161723</v>
      </c>
      <c r="W240" s="29">
        <f t="shared" si="63"/>
        <v>458364.90556161728</v>
      </c>
      <c r="X240" s="29">
        <f t="shared" si="74"/>
        <v>458364.90556161728</v>
      </c>
      <c r="Y240">
        <f t="shared" si="75"/>
        <v>0</v>
      </c>
    </row>
    <row r="241" spans="1:25" x14ac:dyDescent="0.25">
      <c r="A241" s="4" t="s">
        <v>1118</v>
      </c>
      <c r="B241" s="7" t="s">
        <v>210</v>
      </c>
      <c r="C241" s="2" t="s">
        <v>1119</v>
      </c>
      <c r="D241">
        <f>VLOOKUP(B241,'Model allocations'!$A$1:$L$316,5,FALSE)</f>
        <v>282541.80516386998</v>
      </c>
      <c r="E241" s="31">
        <f>VLOOKUP(B241,'Initial adjusted formula count'!$A$1:$P$316,12,FALSE)</f>
        <v>6.5839694656488604E-2</v>
      </c>
      <c r="F241">
        <f>VLOOKUP(B241,'Model allocations'!$A$1:$L$316,10,FALSE)</f>
        <v>293713.22324727819</v>
      </c>
      <c r="G241" s="30">
        <f t="shared" si="64"/>
        <v>0.85</v>
      </c>
      <c r="H241">
        <f t="shared" si="65"/>
        <v>240160.53438928947</v>
      </c>
      <c r="I241">
        <f t="shared" si="57"/>
        <v>0</v>
      </c>
      <c r="J241">
        <f t="shared" si="58"/>
        <v>293713.22324727819</v>
      </c>
      <c r="K241">
        <f t="shared" si="59"/>
        <v>293488.95494310855</v>
      </c>
      <c r="L241">
        <f t="shared" si="66"/>
        <v>293488.95494310855</v>
      </c>
      <c r="M241">
        <f t="shared" si="60"/>
        <v>0</v>
      </c>
      <c r="N241" s="29">
        <f t="shared" si="67"/>
        <v>293488.95494310855</v>
      </c>
      <c r="O241" s="29">
        <f t="shared" si="61"/>
        <v>293472.28518265806</v>
      </c>
      <c r="P241" s="29">
        <f t="shared" si="68"/>
        <v>293472.28518265806</v>
      </c>
      <c r="Q241">
        <f t="shared" si="69"/>
        <v>0</v>
      </c>
      <c r="R241" s="29">
        <f t="shared" si="70"/>
        <v>293472.28518265806</v>
      </c>
      <c r="S241" s="29">
        <f t="shared" si="62"/>
        <v>293472.18057963758</v>
      </c>
      <c r="T241" s="29">
        <f t="shared" si="71"/>
        <v>293472.18057963758</v>
      </c>
      <c r="U241">
        <f t="shared" si="72"/>
        <v>0</v>
      </c>
      <c r="V241" s="29">
        <f t="shared" si="73"/>
        <v>293472.18057963758</v>
      </c>
      <c r="W241" s="29">
        <f t="shared" si="63"/>
        <v>293472.18057963764</v>
      </c>
      <c r="X241" s="29">
        <f t="shared" si="74"/>
        <v>293472.18057963764</v>
      </c>
      <c r="Y241">
        <f t="shared" si="75"/>
        <v>0</v>
      </c>
    </row>
    <row r="242" spans="1:25" x14ac:dyDescent="0.25">
      <c r="A242" s="4" t="s">
        <v>1120</v>
      </c>
      <c r="B242" s="7" t="s">
        <v>301</v>
      </c>
      <c r="C242" s="2" t="s">
        <v>1121</v>
      </c>
      <c r="D242">
        <f>VLOOKUP(B242,'Model allocations'!$A$1:$L$316,5,FALSE)</f>
        <v>6707.2238614568541</v>
      </c>
      <c r="E242" s="31">
        <f>VLOOKUP(B242,'Initial adjusted formula count'!$A$1:$P$316,12,FALSE)</f>
        <v>0.13934426229508201</v>
      </c>
      <c r="F242">
        <f>VLOOKUP(B242,'Model allocations'!$A$1:$L$316,10,FALSE)</f>
        <v>7236.4127466720674</v>
      </c>
      <c r="G242" s="30">
        <f t="shared" si="64"/>
        <v>0.85</v>
      </c>
      <c r="H242">
        <f t="shared" si="65"/>
        <v>5701.1402822383261</v>
      </c>
      <c r="I242">
        <f t="shared" si="57"/>
        <v>0</v>
      </c>
      <c r="J242">
        <f t="shared" si="58"/>
        <v>7236.4127466720674</v>
      </c>
      <c r="K242">
        <f t="shared" si="59"/>
        <v>7230.8872956997711</v>
      </c>
      <c r="L242">
        <f t="shared" si="66"/>
        <v>7230.8872956997711</v>
      </c>
      <c r="M242">
        <f t="shared" si="60"/>
        <v>0</v>
      </c>
      <c r="N242" s="29">
        <f t="shared" si="67"/>
        <v>7230.8872956997711</v>
      </c>
      <c r="O242" s="29">
        <f t="shared" si="61"/>
        <v>7230.476591456787</v>
      </c>
      <c r="P242" s="29">
        <f t="shared" si="68"/>
        <v>7230.476591456787</v>
      </c>
      <c r="Q242">
        <f t="shared" si="69"/>
        <v>0</v>
      </c>
      <c r="R242" s="29">
        <f t="shared" si="70"/>
        <v>7230.476591456787</v>
      </c>
      <c r="S242" s="29">
        <f t="shared" si="62"/>
        <v>7230.4740142809205</v>
      </c>
      <c r="T242" s="29">
        <f t="shared" si="71"/>
        <v>7230.4740142809205</v>
      </c>
      <c r="U242">
        <f t="shared" si="72"/>
        <v>0</v>
      </c>
      <c r="V242" s="29">
        <f t="shared" si="73"/>
        <v>7230.4740142809205</v>
      </c>
      <c r="W242" s="29">
        <f t="shared" si="63"/>
        <v>7230.4740142809214</v>
      </c>
      <c r="X242" s="29">
        <f t="shared" si="74"/>
        <v>7230.4740142809214</v>
      </c>
      <c r="Y242">
        <f t="shared" si="75"/>
        <v>0</v>
      </c>
    </row>
    <row r="243" spans="1:25" x14ac:dyDescent="0.25">
      <c r="A243" s="4" t="s">
        <v>1122</v>
      </c>
      <c r="B243" s="7" t="s">
        <v>212</v>
      </c>
      <c r="C243" s="2" t="s">
        <v>1123</v>
      </c>
      <c r="D243">
        <f>VLOOKUP(B243,'Model allocations'!$A$1:$L$316,5,FALSE)</f>
        <v>0</v>
      </c>
      <c r="E243" s="31">
        <f>VLOOKUP(B243,'Initial adjusted formula count'!$A$1:$P$316,12,FALSE)</f>
        <v>7.2463768115942004E-2</v>
      </c>
      <c r="F243">
        <f>VLOOKUP(B243,'Model allocations'!$A$1:$L$316,10,FALSE)</f>
        <v>0</v>
      </c>
      <c r="G243" s="30">
        <f t="shared" si="64"/>
        <v>0.85</v>
      </c>
      <c r="H243">
        <f t="shared" si="65"/>
        <v>0</v>
      </c>
      <c r="I243">
        <f t="shared" si="57"/>
        <v>0</v>
      </c>
      <c r="J243">
        <f t="shared" si="58"/>
        <v>0</v>
      </c>
      <c r="K243">
        <f t="shared" si="59"/>
        <v>0</v>
      </c>
      <c r="L243">
        <f t="shared" si="66"/>
        <v>0</v>
      </c>
      <c r="M243">
        <f t="shared" si="60"/>
        <v>0</v>
      </c>
      <c r="N243" s="29">
        <f t="shared" si="67"/>
        <v>0</v>
      </c>
      <c r="O243" s="29">
        <f t="shared" si="61"/>
        <v>0</v>
      </c>
      <c r="P243" s="29">
        <f t="shared" si="68"/>
        <v>0</v>
      </c>
      <c r="Q243">
        <f t="shared" si="69"/>
        <v>0</v>
      </c>
      <c r="R243" s="29">
        <f t="shared" si="70"/>
        <v>0</v>
      </c>
      <c r="S243" s="29">
        <f t="shared" si="62"/>
        <v>0</v>
      </c>
      <c r="T243" s="29">
        <f t="shared" si="71"/>
        <v>0</v>
      </c>
      <c r="U243">
        <f t="shared" si="72"/>
        <v>0</v>
      </c>
      <c r="V243" s="29">
        <f t="shared" si="73"/>
        <v>0</v>
      </c>
      <c r="W243" s="29">
        <f t="shared" si="63"/>
        <v>0</v>
      </c>
      <c r="X243" s="29">
        <f t="shared" si="74"/>
        <v>0</v>
      </c>
      <c r="Y243">
        <f t="shared" si="75"/>
        <v>0</v>
      </c>
    </row>
    <row r="244" spans="1:25" x14ac:dyDescent="0.25">
      <c r="A244" s="4" t="s">
        <v>1124</v>
      </c>
      <c r="B244" s="7" t="s">
        <v>214</v>
      </c>
      <c r="C244" s="2" t="s">
        <v>1125</v>
      </c>
      <c r="D244">
        <f>VLOOKUP(B244,'Model allocations'!$A$1:$L$316,5,FALSE)</f>
        <v>241460.05901244679</v>
      </c>
      <c r="E244" s="31">
        <f>VLOOKUP(B244,'Initial adjusted formula count'!$A$1:$P$316,12,FALSE)</f>
        <v>5.1329224542360399E-2</v>
      </c>
      <c r="F244">
        <f>VLOOKUP(B244,'Model allocations'!$A$1:$L$316,10,FALSE)</f>
        <v>237524.60662605963</v>
      </c>
      <c r="G244" s="30">
        <f t="shared" si="64"/>
        <v>0.85</v>
      </c>
      <c r="H244">
        <f t="shared" si="65"/>
        <v>205241.05016057976</v>
      </c>
      <c r="I244">
        <f t="shared" si="57"/>
        <v>0</v>
      </c>
      <c r="J244">
        <f t="shared" si="58"/>
        <v>237524.60662605963</v>
      </c>
      <c r="K244">
        <f t="shared" si="59"/>
        <v>237343.24182355718</v>
      </c>
      <c r="L244">
        <f t="shared" si="66"/>
        <v>237343.24182355718</v>
      </c>
      <c r="M244">
        <f t="shared" si="60"/>
        <v>0</v>
      </c>
      <c r="N244" s="29">
        <f t="shared" si="67"/>
        <v>237343.24182355718</v>
      </c>
      <c r="O244" s="29">
        <f t="shared" si="61"/>
        <v>237329.76106075803</v>
      </c>
      <c r="P244" s="29">
        <f t="shared" si="68"/>
        <v>237329.76106075803</v>
      </c>
      <c r="Q244">
        <f t="shared" si="69"/>
        <v>0</v>
      </c>
      <c r="R244" s="29">
        <f t="shared" si="70"/>
        <v>237329.76106075803</v>
      </c>
      <c r="S244" s="29">
        <f t="shared" si="62"/>
        <v>237329.67646875017</v>
      </c>
      <c r="T244" s="29">
        <f t="shared" si="71"/>
        <v>237329.67646875017</v>
      </c>
      <c r="U244">
        <f t="shared" si="72"/>
        <v>0</v>
      </c>
      <c r="V244" s="29">
        <f t="shared" si="73"/>
        <v>237329.67646875017</v>
      </c>
      <c r="W244" s="29">
        <f t="shared" si="63"/>
        <v>237329.6764687502</v>
      </c>
      <c r="X244" s="29">
        <f t="shared" si="74"/>
        <v>237329.6764687502</v>
      </c>
      <c r="Y244">
        <f t="shared" si="75"/>
        <v>0</v>
      </c>
    </row>
    <row r="245" spans="1:25" x14ac:dyDescent="0.25">
      <c r="A245" s="8" t="s">
        <v>1126</v>
      </c>
      <c r="B245" s="7" t="s">
        <v>216</v>
      </c>
      <c r="C245" s="2" t="s">
        <v>1127</v>
      </c>
      <c r="D245">
        <f>VLOOKUP(B245,'Model allocations'!$A$1:$L$316,5,FALSE)</f>
        <v>0</v>
      </c>
      <c r="E245" s="31">
        <f>VLOOKUP(B245,'Initial adjusted formula count'!$A$1:$P$316,12,FALSE)</f>
        <v>2.5588796944621298E-2</v>
      </c>
      <c r="F245">
        <f>VLOOKUP(B245,'Model allocations'!$A$1:$L$316,10,FALSE)</f>
        <v>0</v>
      </c>
      <c r="G245" s="30">
        <f t="shared" si="64"/>
        <v>0.85</v>
      </c>
      <c r="H245">
        <f t="shared" si="65"/>
        <v>0</v>
      </c>
      <c r="I245">
        <f t="shared" si="57"/>
        <v>0</v>
      </c>
      <c r="J245">
        <f t="shared" si="58"/>
        <v>0</v>
      </c>
      <c r="K245">
        <f t="shared" si="59"/>
        <v>0</v>
      </c>
      <c r="L245">
        <f t="shared" si="66"/>
        <v>0</v>
      </c>
      <c r="M245">
        <f t="shared" si="60"/>
        <v>0</v>
      </c>
      <c r="N245" s="29">
        <f t="shared" si="67"/>
        <v>0</v>
      </c>
      <c r="O245" s="29">
        <f t="shared" si="61"/>
        <v>0</v>
      </c>
      <c r="P245" s="29">
        <f t="shared" si="68"/>
        <v>0</v>
      </c>
      <c r="Q245">
        <f t="shared" si="69"/>
        <v>0</v>
      </c>
      <c r="R245" s="29">
        <f t="shared" si="70"/>
        <v>0</v>
      </c>
      <c r="S245" s="29">
        <f t="shared" si="62"/>
        <v>0</v>
      </c>
      <c r="T245" s="29">
        <f t="shared" si="71"/>
        <v>0</v>
      </c>
      <c r="U245">
        <f t="shared" si="72"/>
        <v>0</v>
      </c>
      <c r="V245" s="29">
        <f t="shared" si="73"/>
        <v>0</v>
      </c>
      <c r="W245" s="29">
        <f t="shared" si="63"/>
        <v>0</v>
      </c>
      <c r="X245" s="29">
        <f t="shared" si="74"/>
        <v>0</v>
      </c>
      <c r="Y245">
        <f t="shared" si="75"/>
        <v>0</v>
      </c>
    </row>
    <row r="246" spans="1:25" x14ac:dyDescent="0.25">
      <c r="A246" s="4" t="s">
        <v>1128</v>
      </c>
      <c r="B246" s="7" t="s">
        <v>581</v>
      </c>
      <c r="C246" s="2" t="s">
        <v>1129</v>
      </c>
      <c r="D246">
        <f>VLOOKUP(B246,'Model allocations'!$A$1:$L$316,5,FALSE)</f>
        <v>149167.08667320799</v>
      </c>
      <c r="E246" s="31">
        <f>VLOOKUP(B246,'Initial adjusted formula count'!$A$1:$P$316,12,FALSE)</f>
        <v>0.24711696869851699</v>
      </c>
      <c r="F246">
        <f>VLOOKUP(B246,'Model allocations'!$A$1:$L$316,10,FALSE)</f>
        <v>134343.59587828844</v>
      </c>
      <c r="G246" s="30">
        <f t="shared" si="64"/>
        <v>0.9</v>
      </c>
      <c r="H246">
        <f t="shared" si="65"/>
        <v>134250.37800588721</v>
      </c>
      <c r="I246">
        <f t="shared" si="57"/>
        <v>0</v>
      </c>
      <c r="J246">
        <f t="shared" si="58"/>
        <v>134343.59587828844</v>
      </c>
      <c r="K246">
        <f t="shared" si="59"/>
        <v>134241.0161915771</v>
      </c>
      <c r="L246">
        <f t="shared" si="66"/>
        <v>134241.0161915771</v>
      </c>
      <c r="M246">
        <f t="shared" si="60"/>
        <v>134250.37800588721</v>
      </c>
      <c r="N246" s="29">
        <f t="shared" si="67"/>
        <v>0</v>
      </c>
      <c r="O246" s="29">
        <f t="shared" si="61"/>
        <v>0</v>
      </c>
      <c r="P246" s="29">
        <f t="shared" si="68"/>
        <v>134250.37800588721</v>
      </c>
      <c r="Q246">
        <f t="shared" si="69"/>
        <v>0</v>
      </c>
      <c r="R246" s="29">
        <f t="shared" si="70"/>
        <v>0</v>
      </c>
      <c r="S246" s="29">
        <f t="shared" si="62"/>
        <v>0</v>
      </c>
      <c r="T246" s="29">
        <f t="shared" si="71"/>
        <v>134250.37800588721</v>
      </c>
      <c r="U246">
        <f t="shared" si="72"/>
        <v>0</v>
      </c>
      <c r="V246" s="29">
        <f t="shared" si="73"/>
        <v>0</v>
      </c>
      <c r="W246" s="29">
        <f t="shared" si="63"/>
        <v>0</v>
      </c>
      <c r="X246" s="29">
        <f t="shared" si="74"/>
        <v>134250.37800588721</v>
      </c>
      <c r="Y246">
        <f t="shared" si="75"/>
        <v>0</v>
      </c>
    </row>
    <row r="247" spans="1:25" x14ac:dyDescent="0.25">
      <c r="A247" s="4" t="s">
        <v>1130</v>
      </c>
      <c r="B247" s="7" t="s">
        <v>583</v>
      </c>
      <c r="C247" s="2" t="s">
        <v>1131</v>
      </c>
      <c r="D247">
        <f>VLOOKUP(B247,'Model allocations'!$A$1:$L$316,5,FALSE)</f>
        <v>44986.60796766854</v>
      </c>
      <c r="E247" s="31">
        <f>VLOOKUP(B247,'Initial adjusted formula count'!$A$1:$P$316,12,FALSE)</f>
        <v>0.17318435754189901</v>
      </c>
      <c r="F247">
        <f>VLOOKUP(B247,'Model allocations'!$A$1:$L$316,10,FALSE)</f>
        <v>40487.947170901687</v>
      </c>
      <c r="G247" s="30">
        <f t="shared" si="64"/>
        <v>0.9</v>
      </c>
      <c r="H247">
        <f t="shared" si="65"/>
        <v>40487.947170901687</v>
      </c>
      <c r="I247">
        <f t="shared" si="57"/>
        <v>0</v>
      </c>
      <c r="J247">
        <f t="shared" si="58"/>
        <v>40487.947170901687</v>
      </c>
      <c r="K247">
        <f t="shared" si="59"/>
        <v>40457.032106367173</v>
      </c>
      <c r="L247">
        <f t="shared" si="66"/>
        <v>40457.032106367173</v>
      </c>
      <c r="M247">
        <f t="shared" si="60"/>
        <v>40487.947170901687</v>
      </c>
      <c r="N247" s="29">
        <f t="shared" si="67"/>
        <v>0</v>
      </c>
      <c r="O247" s="29">
        <f t="shared" si="61"/>
        <v>0</v>
      </c>
      <c r="P247" s="29">
        <f t="shared" si="68"/>
        <v>40487.947170901687</v>
      </c>
      <c r="Q247">
        <f t="shared" si="69"/>
        <v>0</v>
      </c>
      <c r="R247" s="29">
        <f t="shared" si="70"/>
        <v>0</v>
      </c>
      <c r="S247" s="29">
        <f t="shared" si="62"/>
        <v>0</v>
      </c>
      <c r="T247" s="29">
        <f t="shared" si="71"/>
        <v>40487.947170901687</v>
      </c>
      <c r="U247">
        <f t="shared" si="72"/>
        <v>0</v>
      </c>
      <c r="V247" s="29">
        <f t="shared" si="73"/>
        <v>0</v>
      </c>
      <c r="W247" s="29">
        <f t="shared" si="63"/>
        <v>0</v>
      </c>
      <c r="X247" s="29">
        <f t="shared" si="74"/>
        <v>40487.947170901687</v>
      </c>
      <c r="Y247">
        <f t="shared" si="75"/>
        <v>0</v>
      </c>
    </row>
    <row r="248" spans="1:25" x14ac:dyDescent="0.25">
      <c r="A248" s="4" t="s">
        <v>1132</v>
      </c>
      <c r="B248" s="7" t="s">
        <v>218</v>
      </c>
      <c r="C248" s="2" t="s">
        <v>1133</v>
      </c>
      <c r="D248">
        <f>VLOOKUP(B248,'Model allocations'!$A$1:$L$316,5,FALSE)</f>
        <v>483109.76008647622</v>
      </c>
      <c r="E248" s="31">
        <f>VLOOKUP(B248,'Initial adjusted formula count'!$A$1:$P$316,12,FALSE)</f>
        <v>8.3006312915884603E-2</v>
      </c>
      <c r="F248">
        <f>VLOOKUP(B248,'Model allocations'!$A$1:$L$316,10,FALSE)</f>
        <v>474197.87057604012</v>
      </c>
      <c r="G248" s="30">
        <f t="shared" si="64"/>
        <v>0.85</v>
      </c>
      <c r="H248">
        <f t="shared" si="65"/>
        <v>410643.29607350478</v>
      </c>
      <c r="I248">
        <f t="shared" si="57"/>
        <v>0</v>
      </c>
      <c r="J248">
        <f t="shared" si="58"/>
        <v>474197.87057604012</v>
      </c>
      <c r="K248">
        <f t="shared" si="59"/>
        <v>473835.79102409078</v>
      </c>
      <c r="L248">
        <f t="shared" si="66"/>
        <v>473835.79102409078</v>
      </c>
      <c r="M248">
        <f t="shared" si="60"/>
        <v>0</v>
      </c>
      <c r="N248" s="29">
        <f t="shared" si="67"/>
        <v>473835.79102409078</v>
      </c>
      <c r="O248" s="29">
        <f t="shared" si="61"/>
        <v>473808.87781663879</v>
      </c>
      <c r="P248" s="29">
        <f t="shared" si="68"/>
        <v>473808.87781663879</v>
      </c>
      <c r="Q248">
        <f t="shared" si="69"/>
        <v>0</v>
      </c>
      <c r="R248" s="29">
        <f t="shared" si="70"/>
        <v>473808.87781663879</v>
      </c>
      <c r="S248" s="29">
        <f t="shared" si="62"/>
        <v>473808.70893582021</v>
      </c>
      <c r="T248" s="29">
        <f t="shared" si="71"/>
        <v>473808.70893582021</v>
      </c>
      <c r="U248">
        <f t="shared" si="72"/>
        <v>0</v>
      </c>
      <c r="V248" s="29">
        <f t="shared" si="73"/>
        <v>473808.70893582021</v>
      </c>
      <c r="W248" s="29">
        <f t="shared" si="63"/>
        <v>473808.70893582032</v>
      </c>
      <c r="X248" s="29">
        <f t="shared" si="74"/>
        <v>473808.70893582032</v>
      </c>
      <c r="Y248">
        <f t="shared" si="75"/>
        <v>0</v>
      </c>
    </row>
    <row r="249" spans="1:25" x14ac:dyDescent="0.25">
      <c r="A249" s="4" t="s">
        <v>1134</v>
      </c>
      <c r="B249" s="7" t="s">
        <v>220</v>
      </c>
      <c r="C249" s="2" t="s">
        <v>1135</v>
      </c>
      <c r="D249">
        <f>VLOOKUP(B249,'Model allocations'!$A$1:$L$316,5,FALSE)</f>
        <v>62880.223701158022</v>
      </c>
      <c r="E249" s="31">
        <f>VLOOKUP(B249,'Initial adjusted formula count'!$A$1:$P$316,12,FALSE)</f>
        <v>8.1468732071141706E-2</v>
      </c>
      <c r="F249">
        <f>VLOOKUP(B249,'Model allocations'!$A$1:$L$316,10,FALSE)</f>
        <v>60445.330001613744</v>
      </c>
      <c r="G249" s="30">
        <f t="shared" si="64"/>
        <v>0.85</v>
      </c>
      <c r="H249">
        <f t="shared" si="65"/>
        <v>53448.190145984314</v>
      </c>
      <c r="I249">
        <f t="shared" si="57"/>
        <v>0</v>
      </c>
      <c r="J249">
        <f t="shared" si="58"/>
        <v>60445.330001613744</v>
      </c>
      <c r="K249">
        <f t="shared" si="59"/>
        <v>60399.176234668681</v>
      </c>
      <c r="L249">
        <f t="shared" si="66"/>
        <v>60399.176234668681</v>
      </c>
      <c r="M249">
        <f t="shared" si="60"/>
        <v>0</v>
      </c>
      <c r="N249" s="29">
        <f t="shared" si="67"/>
        <v>60399.176234668681</v>
      </c>
      <c r="O249" s="29">
        <f t="shared" si="61"/>
        <v>60395.745646286108</v>
      </c>
      <c r="P249" s="29">
        <f t="shared" si="68"/>
        <v>60395.745646286108</v>
      </c>
      <c r="Q249">
        <f t="shared" si="69"/>
        <v>0</v>
      </c>
      <c r="R249" s="29">
        <f t="shared" si="70"/>
        <v>60395.745646286108</v>
      </c>
      <c r="S249" s="29">
        <f t="shared" si="62"/>
        <v>60395.72411928769</v>
      </c>
      <c r="T249" s="29">
        <f t="shared" si="71"/>
        <v>60395.72411928769</v>
      </c>
      <c r="U249">
        <f t="shared" si="72"/>
        <v>0</v>
      </c>
      <c r="V249" s="29">
        <f t="shared" si="73"/>
        <v>60395.72411928769</v>
      </c>
      <c r="W249" s="29">
        <f t="shared" si="63"/>
        <v>60395.72411928769</v>
      </c>
      <c r="X249" s="29">
        <f t="shared" si="74"/>
        <v>60395.72411928769</v>
      </c>
      <c r="Y249">
        <f t="shared" si="75"/>
        <v>0</v>
      </c>
    </row>
    <row r="250" spans="1:25" x14ac:dyDescent="0.25">
      <c r="A250" s="4" t="s">
        <v>1136</v>
      </c>
      <c r="B250" s="7" t="s">
        <v>585</v>
      </c>
      <c r="C250" s="2" t="s">
        <v>1137</v>
      </c>
      <c r="D250">
        <f>VLOOKUP(B250,'Model allocations'!$A$1:$L$316,5,FALSE)</f>
        <v>33131.401227469054</v>
      </c>
      <c r="E250" s="31">
        <f>VLOOKUP(B250,'Initial adjusted formula count'!$A$1:$P$316,12,FALSE)</f>
        <v>0.207182320441989</v>
      </c>
      <c r="F250">
        <f>VLOOKUP(B250,'Model allocations'!$A$1:$L$316,10,FALSE)</f>
        <v>37863.593220017916</v>
      </c>
      <c r="G250" s="30">
        <f t="shared" si="64"/>
        <v>0.9</v>
      </c>
      <c r="H250">
        <f t="shared" si="65"/>
        <v>29818.261104722151</v>
      </c>
      <c r="I250">
        <f t="shared" si="57"/>
        <v>0</v>
      </c>
      <c r="J250">
        <f t="shared" si="58"/>
        <v>37863.593220017916</v>
      </c>
      <c r="K250">
        <f t="shared" si="59"/>
        <v>37834.682012863741</v>
      </c>
      <c r="L250">
        <f t="shared" si="66"/>
        <v>37834.682012863741</v>
      </c>
      <c r="M250">
        <f t="shared" si="60"/>
        <v>0</v>
      </c>
      <c r="N250" s="29">
        <f t="shared" si="67"/>
        <v>37834.682012863741</v>
      </c>
      <c r="O250" s="29">
        <f t="shared" si="61"/>
        <v>37832.533056062282</v>
      </c>
      <c r="P250" s="29">
        <f t="shared" si="68"/>
        <v>37832.533056062282</v>
      </c>
      <c r="Q250">
        <f t="shared" si="69"/>
        <v>0</v>
      </c>
      <c r="R250" s="29">
        <f t="shared" si="70"/>
        <v>37832.533056062282</v>
      </c>
      <c r="S250" s="29">
        <f t="shared" si="62"/>
        <v>37832.519571323079</v>
      </c>
      <c r="T250" s="29">
        <f t="shared" si="71"/>
        <v>37832.519571323079</v>
      </c>
      <c r="U250">
        <f t="shared" si="72"/>
        <v>0</v>
      </c>
      <c r="V250" s="29">
        <f t="shared" si="73"/>
        <v>37832.519571323079</v>
      </c>
      <c r="W250" s="29">
        <f t="shared" si="63"/>
        <v>37832.519571323086</v>
      </c>
      <c r="X250" s="29">
        <f t="shared" si="74"/>
        <v>37832.519571323086</v>
      </c>
      <c r="Y250">
        <f t="shared" si="75"/>
        <v>0</v>
      </c>
    </row>
    <row r="251" spans="1:25" x14ac:dyDescent="0.25">
      <c r="A251" s="4" t="s">
        <v>32</v>
      </c>
      <c r="B251" s="7" t="s">
        <v>61</v>
      </c>
      <c r="C251" s="2" t="s">
        <v>1138</v>
      </c>
      <c r="D251">
        <f>VLOOKUP(B251,'Model allocations'!$A$1:$L$316,5,FALSE)</f>
        <v>3719677.172166246</v>
      </c>
      <c r="E251" s="31">
        <f>VLOOKUP(B251,'Initial adjusted formula count'!$A$1:$P$316,12,FALSE)</f>
        <v>0.116013323751325</v>
      </c>
      <c r="F251">
        <f>VLOOKUP(B251,'Model allocations'!$A$1:$L$316,10,FALSE)</f>
        <v>3150763.0651788535</v>
      </c>
      <c r="G251" s="30">
        <f t="shared" si="64"/>
        <v>0.85</v>
      </c>
      <c r="H251">
        <f t="shared" si="65"/>
        <v>3161725.5963413091</v>
      </c>
      <c r="I251">
        <f t="shared" si="57"/>
        <v>3161725.5963413091</v>
      </c>
      <c r="J251">
        <f t="shared" si="58"/>
        <v>0</v>
      </c>
      <c r="K251">
        <f t="shared" si="59"/>
        <v>0</v>
      </c>
      <c r="L251">
        <f t="shared" si="66"/>
        <v>3161725.5963413091</v>
      </c>
      <c r="M251">
        <f t="shared" si="60"/>
        <v>0</v>
      </c>
      <c r="N251" s="29">
        <f t="shared" si="67"/>
        <v>0</v>
      </c>
      <c r="O251" s="29">
        <f t="shared" si="61"/>
        <v>0</v>
      </c>
      <c r="P251" s="29">
        <f t="shared" si="68"/>
        <v>3161725.5963413091</v>
      </c>
      <c r="Q251">
        <f t="shared" si="69"/>
        <v>0</v>
      </c>
      <c r="R251" s="29">
        <f t="shared" si="70"/>
        <v>0</v>
      </c>
      <c r="S251" s="29">
        <f t="shared" si="62"/>
        <v>0</v>
      </c>
      <c r="T251" s="29">
        <f t="shared" si="71"/>
        <v>3161725.5963413091</v>
      </c>
      <c r="U251">
        <f t="shared" si="72"/>
        <v>0</v>
      </c>
      <c r="V251" s="29">
        <f t="shared" si="73"/>
        <v>0</v>
      </c>
      <c r="W251" s="29">
        <f t="shared" si="63"/>
        <v>0</v>
      </c>
      <c r="X251" s="29">
        <f t="shared" si="74"/>
        <v>3161725.5963413091</v>
      </c>
      <c r="Y251">
        <f t="shared" si="75"/>
        <v>0</v>
      </c>
    </row>
    <row r="252" spans="1:25" x14ac:dyDescent="0.25">
      <c r="A252" s="4" t="s">
        <v>35</v>
      </c>
      <c r="B252" s="7" t="s">
        <v>78</v>
      </c>
      <c r="C252" s="2" t="s">
        <v>1139</v>
      </c>
      <c r="D252">
        <f>VLOOKUP(B252,'Model allocations'!$A$1:$L$316,5,FALSE)</f>
        <v>73240.806865636594</v>
      </c>
      <c r="E252" s="31">
        <f>VLOOKUP(B252,'Initial adjusted formula count'!$A$1:$P$316,12,FALSE)</f>
        <v>0.100417652703664</v>
      </c>
      <c r="F252">
        <f>VLOOKUP(B252,'Model allocations'!$A$1:$L$316,10,FALSE)</f>
        <v>79954.564719351692</v>
      </c>
      <c r="G252" s="30">
        <f t="shared" si="64"/>
        <v>0.85</v>
      </c>
      <c r="H252">
        <f t="shared" si="65"/>
        <v>62254.685835791104</v>
      </c>
      <c r="I252">
        <f t="shared" si="57"/>
        <v>0</v>
      </c>
      <c r="J252">
        <f t="shared" si="58"/>
        <v>79954.564719351692</v>
      </c>
      <c r="K252">
        <f t="shared" si="59"/>
        <v>79893.514438938757</v>
      </c>
      <c r="L252">
        <f t="shared" si="66"/>
        <v>79893.514438938757</v>
      </c>
      <c r="M252">
        <f t="shared" si="60"/>
        <v>0</v>
      </c>
      <c r="N252" s="29">
        <f t="shared" si="67"/>
        <v>79893.514438938757</v>
      </c>
      <c r="O252" s="29">
        <f t="shared" si="61"/>
        <v>79888.976599524976</v>
      </c>
      <c r="P252" s="29">
        <f t="shared" si="68"/>
        <v>79888.976599524976</v>
      </c>
      <c r="Q252">
        <f t="shared" si="69"/>
        <v>0</v>
      </c>
      <c r="R252" s="29">
        <f t="shared" si="70"/>
        <v>79888.976599524976</v>
      </c>
      <c r="S252" s="29">
        <f t="shared" si="62"/>
        <v>79888.94812450817</v>
      </c>
      <c r="T252" s="29">
        <f t="shared" si="71"/>
        <v>79888.94812450817</v>
      </c>
      <c r="U252">
        <f t="shared" si="72"/>
        <v>0</v>
      </c>
      <c r="V252" s="29">
        <f t="shared" si="73"/>
        <v>79888.94812450817</v>
      </c>
      <c r="W252" s="29">
        <f t="shared" si="63"/>
        <v>79888.948124508184</v>
      </c>
      <c r="X252" s="29">
        <f t="shared" si="74"/>
        <v>79888.948124508184</v>
      </c>
      <c r="Y252">
        <f t="shared" si="75"/>
        <v>0</v>
      </c>
    </row>
    <row r="253" spans="1:25" x14ac:dyDescent="0.25">
      <c r="A253" s="4" t="s">
        <v>1140</v>
      </c>
      <c r="B253" s="7" t="s">
        <v>587</v>
      </c>
      <c r="C253" s="2" t="s">
        <v>1141</v>
      </c>
      <c r="D253">
        <f>VLOOKUP(B253,'Model allocations'!$A$1:$L$316,5,FALSE)</f>
        <v>8677.2147168561896</v>
      </c>
      <c r="E253" s="31">
        <f>VLOOKUP(B253,'Initial adjusted formula count'!$A$1:$P$316,12,FALSE)</f>
        <v>0.27906976744186002</v>
      </c>
      <c r="F253">
        <f>VLOOKUP(B253,'Model allocations'!$A$1:$L$316,10,FALSE)</f>
        <v>22788.283156596062</v>
      </c>
      <c r="G253" s="30">
        <f t="shared" si="64"/>
        <v>0.9</v>
      </c>
      <c r="H253">
        <f t="shared" si="65"/>
        <v>7809.4932451705708</v>
      </c>
      <c r="I253">
        <f t="shared" si="57"/>
        <v>0</v>
      </c>
      <c r="J253">
        <f t="shared" si="58"/>
        <v>22788.283156596062</v>
      </c>
      <c r="K253">
        <f t="shared" si="59"/>
        <v>22770.882885808234</v>
      </c>
      <c r="L253">
        <f t="shared" si="66"/>
        <v>22770.882885808234</v>
      </c>
      <c r="M253">
        <f t="shared" si="60"/>
        <v>0</v>
      </c>
      <c r="N253" s="29">
        <f t="shared" si="67"/>
        <v>22770.882885808234</v>
      </c>
      <c r="O253" s="29">
        <f t="shared" si="61"/>
        <v>22769.589531640861</v>
      </c>
      <c r="P253" s="29">
        <f t="shared" si="68"/>
        <v>22769.589531640861</v>
      </c>
      <c r="Q253">
        <f t="shared" si="69"/>
        <v>0</v>
      </c>
      <c r="R253" s="29">
        <f t="shared" si="70"/>
        <v>22769.589531640861</v>
      </c>
      <c r="S253" s="29">
        <f t="shared" si="62"/>
        <v>22769.581415822227</v>
      </c>
      <c r="T253" s="29">
        <f t="shared" si="71"/>
        <v>22769.581415822227</v>
      </c>
      <c r="U253">
        <f t="shared" si="72"/>
        <v>0</v>
      </c>
      <c r="V253" s="29">
        <f t="shared" si="73"/>
        <v>22769.581415822227</v>
      </c>
      <c r="W253" s="29">
        <f t="shared" si="63"/>
        <v>22769.581415822227</v>
      </c>
      <c r="X253" s="29">
        <f t="shared" si="74"/>
        <v>22769.581415822227</v>
      </c>
      <c r="Y253">
        <f t="shared" si="75"/>
        <v>0</v>
      </c>
    </row>
    <row r="254" spans="1:25" x14ac:dyDescent="0.25">
      <c r="A254" s="4" t="s">
        <v>1142</v>
      </c>
      <c r="B254" s="7" t="s">
        <v>589</v>
      </c>
      <c r="C254" s="2" t="s">
        <v>1143</v>
      </c>
      <c r="D254">
        <f>VLOOKUP(B254,'Model allocations'!$A$1:$L$316,5,FALSE)</f>
        <v>10060.835792185284</v>
      </c>
      <c r="E254" s="31">
        <f>VLOOKUP(B254,'Initial adjusted formula count'!$A$1:$P$316,12,FALSE)</f>
        <v>0.117283950617284</v>
      </c>
      <c r="F254">
        <f>VLOOKUP(B254,'Model allocations'!$A$1:$L$316,10,FALSE)</f>
        <v>8557.6483749885992</v>
      </c>
      <c r="G254" s="30">
        <f t="shared" si="64"/>
        <v>0.85</v>
      </c>
      <c r="H254">
        <f t="shared" si="65"/>
        <v>8551.7104233574919</v>
      </c>
      <c r="I254">
        <f t="shared" si="57"/>
        <v>0</v>
      </c>
      <c r="J254">
        <f t="shared" si="58"/>
        <v>8557.6483749885992</v>
      </c>
      <c r="K254">
        <f t="shared" si="59"/>
        <v>8551.1140784815489</v>
      </c>
      <c r="L254">
        <f t="shared" si="66"/>
        <v>8551.1140784815489</v>
      </c>
      <c r="M254">
        <f t="shared" si="60"/>
        <v>8551.7104233574919</v>
      </c>
      <c r="N254" s="29">
        <f t="shared" si="67"/>
        <v>0</v>
      </c>
      <c r="O254" s="29">
        <f t="shared" si="61"/>
        <v>0</v>
      </c>
      <c r="P254" s="29">
        <f t="shared" si="68"/>
        <v>8551.7104233574919</v>
      </c>
      <c r="Q254">
        <f t="shared" si="69"/>
        <v>0</v>
      </c>
      <c r="R254" s="29">
        <f t="shared" si="70"/>
        <v>0</v>
      </c>
      <c r="S254" s="29">
        <f t="shared" si="62"/>
        <v>0</v>
      </c>
      <c r="T254" s="29">
        <f t="shared" si="71"/>
        <v>8551.7104233574919</v>
      </c>
      <c r="U254">
        <f t="shared" si="72"/>
        <v>0</v>
      </c>
      <c r="V254" s="29">
        <f t="shared" si="73"/>
        <v>0</v>
      </c>
      <c r="W254" s="29">
        <f t="shared" si="63"/>
        <v>0</v>
      </c>
      <c r="X254" s="29">
        <f t="shared" si="74"/>
        <v>8551.7104233574919</v>
      </c>
      <c r="Y254">
        <f t="shared" si="75"/>
        <v>0</v>
      </c>
    </row>
    <row r="255" spans="1:25" x14ac:dyDescent="0.25">
      <c r="A255" s="4" t="s">
        <v>1144</v>
      </c>
      <c r="B255" s="7" t="s">
        <v>222</v>
      </c>
      <c r="C255" s="2" t="s">
        <v>1145</v>
      </c>
      <c r="D255">
        <f>VLOOKUP(B255,'Model allocations'!$A$1:$L$316,5,FALSE)</f>
        <v>179418.23829397091</v>
      </c>
      <c r="E255" s="31">
        <f>VLOOKUP(B255,'Initial adjusted formula count'!$A$1:$P$316,12,FALSE)</f>
        <v>7.4352854782449102E-2</v>
      </c>
      <c r="F255">
        <f>VLOOKUP(B255,'Model allocations'!$A$1:$L$316,10,FALSE)</f>
        <v>172396.89190601109</v>
      </c>
      <c r="G255" s="30">
        <f t="shared" si="64"/>
        <v>0.85</v>
      </c>
      <c r="H255">
        <f t="shared" si="65"/>
        <v>152505.50254987527</v>
      </c>
      <c r="I255">
        <f t="shared" si="57"/>
        <v>0</v>
      </c>
      <c r="J255">
        <f t="shared" si="58"/>
        <v>172396.89190601109</v>
      </c>
      <c r="K255">
        <f t="shared" si="59"/>
        <v>172265.25616225932</v>
      </c>
      <c r="L255">
        <f t="shared" si="66"/>
        <v>172265.25616225932</v>
      </c>
      <c r="M255">
        <f t="shared" si="60"/>
        <v>0</v>
      </c>
      <c r="N255" s="29">
        <f t="shared" si="67"/>
        <v>172265.25616225932</v>
      </c>
      <c r="O255" s="29">
        <f t="shared" si="61"/>
        <v>172255.47173764705</v>
      </c>
      <c r="P255" s="29">
        <f t="shared" si="68"/>
        <v>172255.47173764705</v>
      </c>
      <c r="Q255">
        <f t="shared" si="69"/>
        <v>0</v>
      </c>
      <c r="R255" s="29">
        <f t="shared" si="70"/>
        <v>172255.47173764705</v>
      </c>
      <c r="S255" s="29">
        <f t="shared" si="62"/>
        <v>172255.41034022198</v>
      </c>
      <c r="T255" s="29">
        <f t="shared" si="71"/>
        <v>172255.41034022198</v>
      </c>
      <c r="U255">
        <f t="shared" si="72"/>
        <v>0</v>
      </c>
      <c r="V255" s="29">
        <f t="shared" si="73"/>
        <v>172255.41034022198</v>
      </c>
      <c r="W255" s="29">
        <f t="shared" si="63"/>
        <v>172255.41034022201</v>
      </c>
      <c r="X255" s="29">
        <f t="shared" si="74"/>
        <v>172255.41034022201</v>
      </c>
      <c r="Y255">
        <f t="shared" si="75"/>
        <v>0</v>
      </c>
    </row>
    <row r="256" spans="1:25" x14ac:dyDescent="0.25">
      <c r="A256" s="4" t="s">
        <v>1146</v>
      </c>
      <c r="B256" s="7" t="s">
        <v>224</v>
      </c>
      <c r="C256" s="2" t="s">
        <v>1147</v>
      </c>
      <c r="D256">
        <f>VLOOKUP(B256,'Model allocations'!$A$1:$L$316,5,FALSE)</f>
        <v>0</v>
      </c>
      <c r="E256" s="31">
        <f>VLOOKUP(B256,'Initial adjusted formula count'!$A$1:$P$316,12,FALSE)</f>
        <v>0.08</v>
      </c>
      <c r="F256">
        <f>VLOOKUP(B256,'Model allocations'!$A$1:$L$316,10,FALSE)</f>
        <v>0</v>
      </c>
      <c r="G256" s="30">
        <f t="shared" si="64"/>
        <v>0.85</v>
      </c>
      <c r="H256">
        <f t="shared" si="65"/>
        <v>0</v>
      </c>
      <c r="I256">
        <f t="shared" si="57"/>
        <v>0</v>
      </c>
      <c r="J256">
        <f t="shared" si="58"/>
        <v>0</v>
      </c>
      <c r="K256">
        <f t="shared" si="59"/>
        <v>0</v>
      </c>
      <c r="L256">
        <f t="shared" si="66"/>
        <v>0</v>
      </c>
      <c r="M256">
        <f t="shared" si="60"/>
        <v>0</v>
      </c>
      <c r="N256" s="29">
        <f t="shared" si="67"/>
        <v>0</v>
      </c>
      <c r="O256" s="29">
        <f t="shared" si="61"/>
        <v>0</v>
      </c>
      <c r="P256" s="29">
        <f t="shared" si="68"/>
        <v>0</v>
      </c>
      <c r="Q256">
        <f t="shared" si="69"/>
        <v>0</v>
      </c>
      <c r="R256" s="29">
        <f t="shared" si="70"/>
        <v>0</v>
      </c>
      <c r="S256" s="29">
        <f t="shared" si="62"/>
        <v>0</v>
      </c>
      <c r="T256" s="29">
        <f t="shared" si="71"/>
        <v>0</v>
      </c>
      <c r="U256">
        <f t="shared" si="72"/>
        <v>0</v>
      </c>
      <c r="V256" s="29">
        <f t="shared" si="73"/>
        <v>0</v>
      </c>
      <c r="W256" s="29">
        <f t="shared" si="63"/>
        <v>0</v>
      </c>
      <c r="X256" s="29">
        <f t="shared" si="74"/>
        <v>0</v>
      </c>
      <c r="Y256">
        <f t="shared" si="75"/>
        <v>0</v>
      </c>
    </row>
    <row r="257" spans="1:25" x14ac:dyDescent="0.25">
      <c r="A257" s="4" t="s">
        <v>1148</v>
      </c>
      <c r="B257" s="7" t="s">
        <v>591</v>
      </c>
      <c r="C257" s="2" t="s">
        <v>1149</v>
      </c>
      <c r="D257">
        <f>VLOOKUP(B257,'Model allocations'!$A$1:$L$316,5,FALSE)</f>
        <v>0</v>
      </c>
      <c r="E257" s="31">
        <f>VLOOKUP(B257,'Initial adjusted formula count'!$A$1:$P$316,12,FALSE)</f>
        <v>0.3125</v>
      </c>
      <c r="F257">
        <f>VLOOKUP(B257,'Model allocations'!$A$1:$L$316,10,FALSE)</f>
        <v>0</v>
      </c>
      <c r="G257" s="30">
        <f t="shared" si="64"/>
        <v>0.95</v>
      </c>
      <c r="H257">
        <f t="shared" si="65"/>
        <v>0</v>
      </c>
      <c r="I257">
        <f t="shared" si="57"/>
        <v>0</v>
      </c>
      <c r="J257">
        <f t="shared" si="58"/>
        <v>0</v>
      </c>
      <c r="K257">
        <f t="shared" si="59"/>
        <v>0</v>
      </c>
      <c r="L257">
        <f t="shared" si="66"/>
        <v>0</v>
      </c>
      <c r="M257">
        <f t="shared" si="60"/>
        <v>0</v>
      </c>
      <c r="N257" s="29">
        <f t="shared" si="67"/>
        <v>0</v>
      </c>
      <c r="O257" s="29">
        <f t="shared" si="61"/>
        <v>0</v>
      </c>
      <c r="P257" s="29">
        <f t="shared" si="68"/>
        <v>0</v>
      </c>
      <c r="Q257">
        <f t="shared" si="69"/>
        <v>0</v>
      </c>
      <c r="R257" s="29">
        <f t="shared" si="70"/>
        <v>0</v>
      </c>
      <c r="S257" s="29">
        <f t="shared" si="62"/>
        <v>0</v>
      </c>
      <c r="T257" s="29">
        <f t="shared" si="71"/>
        <v>0</v>
      </c>
      <c r="U257">
        <f t="shared" si="72"/>
        <v>0</v>
      </c>
      <c r="V257" s="29">
        <f t="shared" si="73"/>
        <v>0</v>
      </c>
      <c r="W257" s="29">
        <f t="shared" si="63"/>
        <v>0</v>
      </c>
      <c r="X257" s="29">
        <f t="shared" si="74"/>
        <v>0</v>
      </c>
      <c r="Y257">
        <f t="shared" si="75"/>
        <v>0</v>
      </c>
    </row>
    <row r="258" spans="1:25" x14ac:dyDescent="0.25">
      <c r="A258" s="4" t="s">
        <v>1150</v>
      </c>
      <c r="B258" s="7" t="s">
        <v>226</v>
      </c>
      <c r="C258" s="2" t="s">
        <v>1151</v>
      </c>
      <c r="D258">
        <f>VLOOKUP(B258,'Model allocations'!$A$1:$L$316,5,FALSE)</f>
        <v>0</v>
      </c>
      <c r="E258" s="31">
        <f>VLOOKUP(B258,'Initial adjusted formula count'!$A$1:$P$316,12,FALSE)</f>
        <v>6.6666666666666693E-2</v>
      </c>
      <c r="F258">
        <f>VLOOKUP(B258,'Model allocations'!$A$1:$L$316,10,FALSE)</f>
        <v>0</v>
      </c>
      <c r="G258" s="30">
        <f t="shared" si="64"/>
        <v>0.85</v>
      </c>
      <c r="H258">
        <f t="shared" si="65"/>
        <v>0</v>
      </c>
      <c r="I258">
        <f t="shared" si="57"/>
        <v>0</v>
      </c>
      <c r="J258">
        <f t="shared" si="58"/>
        <v>0</v>
      </c>
      <c r="K258">
        <f t="shared" si="59"/>
        <v>0</v>
      </c>
      <c r="L258">
        <f t="shared" si="66"/>
        <v>0</v>
      </c>
      <c r="M258">
        <f t="shared" si="60"/>
        <v>0</v>
      </c>
      <c r="N258" s="29">
        <f t="shared" si="67"/>
        <v>0</v>
      </c>
      <c r="O258" s="29">
        <f t="shared" si="61"/>
        <v>0</v>
      </c>
      <c r="P258" s="29">
        <f t="shared" si="68"/>
        <v>0</v>
      </c>
      <c r="Q258">
        <f t="shared" si="69"/>
        <v>0</v>
      </c>
      <c r="R258" s="29">
        <f t="shared" si="70"/>
        <v>0</v>
      </c>
      <c r="S258" s="29">
        <f t="shared" si="62"/>
        <v>0</v>
      </c>
      <c r="T258" s="29">
        <f t="shared" si="71"/>
        <v>0</v>
      </c>
      <c r="U258">
        <f t="shared" si="72"/>
        <v>0</v>
      </c>
      <c r="V258" s="29">
        <f t="shared" si="73"/>
        <v>0</v>
      </c>
      <c r="W258" s="29">
        <f t="shared" si="63"/>
        <v>0</v>
      </c>
      <c r="X258" s="29">
        <f t="shared" si="74"/>
        <v>0</v>
      </c>
      <c r="Y258">
        <f t="shared" si="75"/>
        <v>0</v>
      </c>
    </row>
    <row r="259" spans="1:25" x14ac:dyDescent="0.25">
      <c r="A259" s="4" t="s">
        <v>1152</v>
      </c>
      <c r="B259" s="7" t="s">
        <v>228</v>
      </c>
      <c r="C259" s="2" t="s">
        <v>1153</v>
      </c>
      <c r="D259">
        <f>VLOOKUP(B259,'Model allocations'!$A$1:$L$316,5,FALSE)</f>
        <v>104800.37283526333</v>
      </c>
      <c r="E259" s="31">
        <f>VLOOKUP(B259,'Initial adjusted formula count'!$A$1:$P$316,12,FALSE)</f>
        <v>6.6716829696513699E-2</v>
      </c>
      <c r="F259">
        <f>VLOOKUP(B259,'Model allocations'!$A$1:$L$316,10,FALSE)</f>
        <v>113228.57591851587</v>
      </c>
      <c r="G259" s="30">
        <f t="shared" si="64"/>
        <v>0.85</v>
      </c>
      <c r="H259">
        <f t="shared" si="65"/>
        <v>89080.31690997383</v>
      </c>
      <c r="I259">
        <f t="shared" ref="I259:I315" si="76">IF(F259&lt;H259,H259,0)</f>
        <v>0</v>
      </c>
      <c r="J259">
        <f t="shared" ref="J259:J315" si="77">IF(I259=0,F259,0)</f>
        <v>113228.57591851587</v>
      </c>
      <c r="K259">
        <f t="shared" ref="K259:K315" si="78">(J259/$J$3)*($F$3-$I$3)</f>
        <v>113142.11886212582</v>
      </c>
      <c r="L259">
        <f t="shared" si="66"/>
        <v>113142.11886212582</v>
      </c>
      <c r="M259">
        <f t="shared" ref="M259:M315" si="79">IF(L259&lt;H259,H259,0)</f>
        <v>0</v>
      </c>
      <c r="N259" s="29">
        <f t="shared" si="67"/>
        <v>113142.11886212582</v>
      </c>
      <c r="O259" s="29">
        <f t="shared" ref="O259:O315" si="80">((N259/$N$3)*($F$3-$I$3-$M$3))</f>
        <v>113135.69254867677</v>
      </c>
      <c r="P259" s="29">
        <f t="shared" si="68"/>
        <v>113135.69254867677</v>
      </c>
      <c r="Q259">
        <f t="shared" si="69"/>
        <v>0</v>
      </c>
      <c r="R259" s="29">
        <f t="shared" si="70"/>
        <v>113135.69254867677</v>
      </c>
      <c r="S259" s="29">
        <f t="shared" ref="S259:S315" si="81">((R259/$R$3)*($F$3-$I$3-$M$3-$Q$3))</f>
        <v>113135.6522234544</v>
      </c>
      <c r="T259" s="29">
        <f t="shared" si="71"/>
        <v>113135.6522234544</v>
      </c>
      <c r="U259">
        <f t="shared" si="72"/>
        <v>0</v>
      </c>
      <c r="V259" s="29">
        <f t="shared" si="73"/>
        <v>113135.6522234544</v>
      </c>
      <c r="W259" s="29">
        <f t="shared" ref="W259:W315" si="82">((V259/$V$3)*($F$3-$I$3-$M$3-$Q$3-$U$3))</f>
        <v>113135.65222345441</v>
      </c>
      <c r="X259" s="29">
        <f t="shared" si="74"/>
        <v>113135.65222345441</v>
      </c>
      <c r="Y259">
        <f t="shared" si="75"/>
        <v>0</v>
      </c>
    </row>
    <row r="260" spans="1:25" x14ac:dyDescent="0.25">
      <c r="A260" s="4" t="s">
        <v>1154</v>
      </c>
      <c r="B260" s="7" t="s">
        <v>593</v>
      </c>
      <c r="C260" s="2" t="s">
        <v>1155</v>
      </c>
      <c r="D260">
        <f>VLOOKUP(B260,'Model allocations'!$A$1:$L$316,5,FALSE)</f>
        <v>0</v>
      </c>
      <c r="E260" s="31">
        <f>VLOOKUP(B260,'Initial adjusted formula count'!$A$1:$P$316,12,FALSE)</f>
        <v>1.88679245283019E-2</v>
      </c>
      <c r="F260">
        <f>VLOOKUP(B260,'Model allocations'!$A$1:$L$316,10,FALSE)</f>
        <v>0</v>
      </c>
      <c r="G260" s="30">
        <f t="shared" ref="G260:G315" si="83">IF(E260&lt;0.15,0.85,IF(AND(E260&gt;=0.15,E260&lt;0.3),0.9,0.95))</f>
        <v>0.85</v>
      </c>
      <c r="H260">
        <f t="shared" ref="H260:H315" si="84">IF(F260 = 0, 0, D260*G260)</f>
        <v>0</v>
      </c>
      <c r="I260">
        <f t="shared" si="76"/>
        <v>0</v>
      </c>
      <c r="J260">
        <f t="shared" si="77"/>
        <v>0</v>
      </c>
      <c r="K260">
        <f t="shared" si="78"/>
        <v>0</v>
      </c>
      <c r="L260">
        <f t="shared" ref="L260:L315" si="85">I260+K260</f>
        <v>0</v>
      </c>
      <c r="M260">
        <f t="shared" si="79"/>
        <v>0</v>
      </c>
      <c r="N260" s="29">
        <f t="shared" ref="N260:N315" si="86">IF($I260+$M260=0,L260,0)</f>
        <v>0</v>
      </c>
      <c r="O260" s="29">
        <f t="shared" si="80"/>
        <v>0</v>
      </c>
      <c r="P260" s="29">
        <f t="shared" ref="P260:P315" si="87">$I260+$M260+O260</f>
        <v>0</v>
      </c>
      <c r="Q260">
        <f t="shared" ref="Q260:Q315" si="88">IF(P260&lt;H260,H260,0)</f>
        <v>0</v>
      </c>
      <c r="R260" s="29">
        <f t="shared" ref="R260:R315" si="89">IF($I260+$M260+$Q260=0,P260,0)</f>
        <v>0</v>
      </c>
      <c r="S260" s="29">
        <f t="shared" si="81"/>
        <v>0</v>
      </c>
      <c r="T260" s="29">
        <f t="shared" ref="T260:T315" si="90">$I260+$M260+$Q260+S260</f>
        <v>0</v>
      </c>
      <c r="U260">
        <f t="shared" ref="U260:U315" si="91">IF(T260&lt;H260,H260,0)</f>
        <v>0</v>
      </c>
      <c r="V260" s="29">
        <f t="shared" ref="V260:V315" si="92">IF($I260+$M260+$Q260+U260=0,T260,0)</f>
        <v>0</v>
      </c>
      <c r="W260" s="29">
        <f t="shared" si="82"/>
        <v>0</v>
      </c>
      <c r="X260" s="29">
        <f t="shared" ref="X260:X315" si="93">$I260+$M260+$Q260+$U260+W260</f>
        <v>0</v>
      </c>
      <c r="Y260">
        <f t="shared" ref="Y260:Y315" si="94">IF(X260&lt;H260,H260,0)</f>
        <v>0</v>
      </c>
    </row>
    <row r="261" spans="1:25" x14ac:dyDescent="0.25">
      <c r="A261" s="4" t="s">
        <v>1156</v>
      </c>
      <c r="B261" s="7" t="s">
        <v>595</v>
      </c>
      <c r="C261" s="2" t="s">
        <v>1157</v>
      </c>
      <c r="D261">
        <f>VLOOKUP(B261,'Model allocations'!$A$1:$L$316,5,FALSE)</f>
        <v>59596.408818737858</v>
      </c>
      <c r="E261" s="31">
        <f>VLOOKUP(B261,'Initial adjusted formula count'!$A$1:$P$316,12,FALSE)</f>
        <v>0.133333333333333</v>
      </c>
      <c r="F261">
        <f>VLOOKUP(B261,'Model allocations'!$A$1:$L$316,10,FALSE)</f>
        <v>50692.121570950687</v>
      </c>
      <c r="G261" s="30">
        <f t="shared" si="83"/>
        <v>0.85</v>
      </c>
      <c r="H261">
        <f t="shared" si="84"/>
        <v>50656.947495927176</v>
      </c>
      <c r="I261">
        <f t="shared" si="76"/>
        <v>0</v>
      </c>
      <c r="J261">
        <f t="shared" si="77"/>
        <v>50692.121570950687</v>
      </c>
      <c r="K261">
        <f t="shared" si="78"/>
        <v>50653.414984935291</v>
      </c>
      <c r="L261">
        <f t="shared" si="85"/>
        <v>50653.414984935291</v>
      </c>
      <c r="M261">
        <f t="shared" si="79"/>
        <v>50656.947495927176</v>
      </c>
      <c r="N261" s="29">
        <f t="shared" si="86"/>
        <v>0</v>
      </c>
      <c r="O261" s="29">
        <f t="shared" si="80"/>
        <v>0</v>
      </c>
      <c r="P261" s="29">
        <f t="shared" si="87"/>
        <v>50656.947495927176</v>
      </c>
      <c r="Q261">
        <f t="shared" si="88"/>
        <v>0</v>
      </c>
      <c r="R261" s="29">
        <f t="shared" si="89"/>
        <v>0</v>
      </c>
      <c r="S261" s="29">
        <f t="shared" si="81"/>
        <v>0</v>
      </c>
      <c r="T261" s="29">
        <f t="shared" si="90"/>
        <v>50656.947495927176</v>
      </c>
      <c r="U261">
        <f t="shared" si="91"/>
        <v>0</v>
      </c>
      <c r="V261" s="29">
        <f t="shared" si="92"/>
        <v>0</v>
      </c>
      <c r="W261" s="29">
        <f t="shared" si="82"/>
        <v>0</v>
      </c>
      <c r="X261" s="29">
        <f t="shared" si="93"/>
        <v>50656.947495927176</v>
      </c>
      <c r="Y261">
        <f t="shared" si="94"/>
        <v>0</v>
      </c>
    </row>
    <row r="262" spans="1:25" x14ac:dyDescent="0.25">
      <c r="A262" s="4" t="s">
        <v>1158</v>
      </c>
      <c r="B262" s="7" t="s">
        <v>230</v>
      </c>
      <c r="C262" s="2" t="s">
        <v>1159</v>
      </c>
      <c r="D262">
        <f>VLOOKUP(B262,'Model allocations'!$A$1:$L$316,5,FALSE)</f>
        <v>90547.522129667603</v>
      </c>
      <c r="E262" s="31">
        <f>VLOOKUP(B262,'Initial adjusted formula count'!$A$1:$P$316,12,FALSE)</f>
        <v>8.1689029202841407E-2</v>
      </c>
      <c r="F262">
        <f>VLOOKUP(B262,'Model allocations'!$A$1:$L$316,10,FALSE)</f>
        <v>88113.966974183451</v>
      </c>
      <c r="G262" s="30">
        <f t="shared" si="83"/>
        <v>0.85</v>
      </c>
      <c r="H262">
        <f t="shared" si="84"/>
        <v>76965.393810217458</v>
      </c>
      <c r="I262">
        <f t="shared" si="76"/>
        <v>0</v>
      </c>
      <c r="J262">
        <f t="shared" si="77"/>
        <v>88113.966974183451</v>
      </c>
      <c r="K262">
        <f t="shared" si="78"/>
        <v>88046.68648293255</v>
      </c>
      <c r="L262">
        <f t="shared" si="85"/>
        <v>88046.68648293255</v>
      </c>
      <c r="M262">
        <f t="shared" si="79"/>
        <v>0</v>
      </c>
      <c r="N262" s="29">
        <f t="shared" si="86"/>
        <v>88046.68648293255</v>
      </c>
      <c r="O262" s="29">
        <f t="shared" si="80"/>
        <v>88041.685554797397</v>
      </c>
      <c r="P262" s="29">
        <f t="shared" si="87"/>
        <v>88041.685554797397</v>
      </c>
      <c r="Q262">
        <f t="shared" si="88"/>
        <v>0</v>
      </c>
      <c r="R262" s="29">
        <f t="shared" si="89"/>
        <v>88041.685554797397</v>
      </c>
      <c r="S262" s="29">
        <f t="shared" si="81"/>
        <v>88041.654173891264</v>
      </c>
      <c r="T262" s="29">
        <f t="shared" si="90"/>
        <v>88041.654173891264</v>
      </c>
      <c r="U262">
        <f t="shared" si="91"/>
        <v>0</v>
      </c>
      <c r="V262" s="29">
        <f t="shared" si="92"/>
        <v>88041.654173891264</v>
      </c>
      <c r="W262" s="29">
        <f t="shared" si="82"/>
        <v>88041.654173891278</v>
      </c>
      <c r="X262" s="29">
        <f t="shared" si="93"/>
        <v>88041.654173891278</v>
      </c>
      <c r="Y262">
        <f t="shared" si="94"/>
        <v>0</v>
      </c>
    </row>
    <row r="263" spans="1:25" x14ac:dyDescent="0.25">
      <c r="A263" s="4" t="s">
        <v>25</v>
      </c>
      <c r="B263" s="7" t="s">
        <v>72</v>
      </c>
      <c r="C263" s="2" t="s">
        <v>1160</v>
      </c>
      <c r="D263">
        <f>VLOOKUP(B263,'Model allocations'!$A$1:$L$316,5,FALSE)</f>
        <v>75416.93558621408</v>
      </c>
      <c r="E263" s="31">
        <f>VLOOKUP(B263,'Initial adjusted formula count'!$A$1:$P$316,12,FALSE)</f>
        <v>0.118556300717947</v>
      </c>
      <c r="F263">
        <f>VLOOKUP(B263,'Model allocations'!$A$1:$L$316,10,FALSE)</f>
        <v>75059.993051356898</v>
      </c>
      <c r="G263" s="30">
        <f t="shared" si="83"/>
        <v>0.85</v>
      </c>
      <c r="H263">
        <f t="shared" si="84"/>
        <v>64104.395248281966</v>
      </c>
      <c r="I263">
        <f t="shared" si="76"/>
        <v>0</v>
      </c>
      <c r="J263">
        <f t="shared" si="77"/>
        <v>75059.993051356898</v>
      </c>
      <c r="K263">
        <f t="shared" si="78"/>
        <v>75002.680080675811</v>
      </c>
      <c r="L263">
        <f t="shared" si="85"/>
        <v>75002.680080675811</v>
      </c>
      <c r="M263">
        <f t="shared" si="79"/>
        <v>0</v>
      </c>
      <c r="N263" s="29">
        <f t="shared" si="86"/>
        <v>75002.680080675811</v>
      </c>
      <c r="O263" s="29">
        <f t="shared" si="80"/>
        <v>74998.420033784656</v>
      </c>
      <c r="P263" s="29">
        <f t="shared" si="87"/>
        <v>74998.420033784656</v>
      </c>
      <c r="Q263">
        <f t="shared" si="88"/>
        <v>0</v>
      </c>
      <c r="R263" s="29">
        <f t="shared" si="89"/>
        <v>74998.420033784656</v>
      </c>
      <c r="S263" s="29">
        <f t="shared" si="81"/>
        <v>74998.393301920485</v>
      </c>
      <c r="T263" s="29">
        <f t="shared" si="90"/>
        <v>74998.393301920485</v>
      </c>
      <c r="U263">
        <f t="shared" si="91"/>
        <v>0</v>
      </c>
      <c r="V263" s="29">
        <f t="shared" si="92"/>
        <v>74998.393301920485</v>
      </c>
      <c r="W263" s="29">
        <f t="shared" si="82"/>
        <v>74998.393301920485</v>
      </c>
      <c r="X263" s="29">
        <f t="shared" si="93"/>
        <v>74998.393301920485</v>
      </c>
      <c r="Y263">
        <f t="shared" si="94"/>
        <v>0</v>
      </c>
    </row>
    <row r="264" spans="1:25" x14ac:dyDescent="0.25">
      <c r="A264" s="4" t="s">
        <v>27</v>
      </c>
      <c r="B264" s="7" t="s">
        <v>73</v>
      </c>
      <c r="C264" s="2" t="s">
        <v>1161</v>
      </c>
      <c r="D264">
        <f>VLOOKUP(B264,'Model allocations'!$A$1:$L$316,5,FALSE)</f>
        <v>26599.334127917802</v>
      </c>
      <c r="E264" s="31">
        <f>VLOOKUP(B264,'Initial adjusted formula count'!$A$1:$P$316,12,FALSE)</f>
        <v>0.110844701876119</v>
      </c>
      <c r="F264">
        <f>VLOOKUP(B264,'Model allocations'!$A$1:$L$316,10,FALSE)</f>
        <v>19036.954759402091</v>
      </c>
      <c r="G264" s="30">
        <f t="shared" si="83"/>
        <v>0.85</v>
      </c>
      <c r="H264">
        <f t="shared" si="84"/>
        <v>22609.434008730132</v>
      </c>
      <c r="I264">
        <f t="shared" si="76"/>
        <v>22609.434008730132</v>
      </c>
      <c r="J264">
        <f t="shared" si="77"/>
        <v>0</v>
      </c>
      <c r="K264">
        <f t="shared" si="78"/>
        <v>0</v>
      </c>
      <c r="L264">
        <f t="shared" si="85"/>
        <v>22609.434008730132</v>
      </c>
      <c r="M264">
        <f t="shared" si="79"/>
        <v>0</v>
      </c>
      <c r="N264" s="29">
        <f t="shared" si="86"/>
        <v>0</v>
      </c>
      <c r="O264" s="29">
        <f t="shared" si="80"/>
        <v>0</v>
      </c>
      <c r="P264" s="29">
        <f t="shared" si="87"/>
        <v>22609.434008730132</v>
      </c>
      <c r="Q264">
        <f t="shared" si="88"/>
        <v>0</v>
      </c>
      <c r="R264" s="29">
        <f t="shared" si="89"/>
        <v>0</v>
      </c>
      <c r="S264" s="29">
        <f t="shared" si="81"/>
        <v>0</v>
      </c>
      <c r="T264" s="29">
        <f t="shared" si="90"/>
        <v>22609.434008730132</v>
      </c>
      <c r="U264">
        <f t="shared" si="91"/>
        <v>0</v>
      </c>
      <c r="V264" s="29">
        <f t="shared" si="92"/>
        <v>0</v>
      </c>
      <c r="W264" s="29">
        <f t="shared" si="82"/>
        <v>0</v>
      </c>
      <c r="X264" s="29">
        <f t="shared" si="93"/>
        <v>22609.434008730132</v>
      </c>
      <c r="Y264">
        <f t="shared" si="94"/>
        <v>0</v>
      </c>
    </row>
    <row r="265" spans="1:25" x14ac:dyDescent="0.25">
      <c r="A265" s="4" t="s">
        <v>1162</v>
      </c>
      <c r="B265" s="7" t="s">
        <v>597</v>
      </c>
      <c r="C265" s="2" t="s">
        <v>1163</v>
      </c>
      <c r="D265">
        <f>VLOOKUP(B265,'Model allocations'!$A$1:$L$316,5,FALSE)</f>
        <v>13739.349838777591</v>
      </c>
      <c r="E265" s="31">
        <f>VLOOKUP(B265,'Initial adjusted formula count'!$A$1:$P$316,12,FALSE)</f>
        <v>0.23008849557522101</v>
      </c>
      <c r="F265">
        <f>VLOOKUP(B265,'Model allocations'!$A$1:$L$316,10,FALSE)</f>
        <v>14071.726033292931</v>
      </c>
      <c r="G265" s="30">
        <f t="shared" si="83"/>
        <v>0.9</v>
      </c>
      <c r="H265">
        <f t="shared" si="84"/>
        <v>12365.414854899833</v>
      </c>
      <c r="I265">
        <f t="shared" si="76"/>
        <v>0</v>
      </c>
      <c r="J265">
        <f t="shared" si="77"/>
        <v>14071.726033292931</v>
      </c>
      <c r="K265">
        <f t="shared" si="78"/>
        <v>14060.981395719804</v>
      </c>
      <c r="L265">
        <f t="shared" si="85"/>
        <v>14060.981395719804</v>
      </c>
      <c r="M265">
        <f t="shared" si="79"/>
        <v>0</v>
      </c>
      <c r="N265" s="29">
        <f t="shared" si="86"/>
        <v>14060.981395719804</v>
      </c>
      <c r="O265" s="29">
        <f t="shared" si="80"/>
        <v>14060.182751724456</v>
      </c>
      <c r="P265" s="29">
        <f t="shared" si="87"/>
        <v>14060.182751724456</v>
      </c>
      <c r="Q265">
        <f t="shared" si="88"/>
        <v>0</v>
      </c>
      <c r="R265" s="29">
        <f t="shared" si="89"/>
        <v>14060.182751724456</v>
      </c>
      <c r="S265" s="29">
        <f t="shared" si="81"/>
        <v>14060.177740220275</v>
      </c>
      <c r="T265" s="29">
        <f t="shared" si="90"/>
        <v>14060.177740220275</v>
      </c>
      <c r="U265">
        <f t="shared" si="91"/>
        <v>0</v>
      </c>
      <c r="V265" s="29">
        <f t="shared" si="92"/>
        <v>14060.177740220275</v>
      </c>
      <c r="W265" s="29">
        <f t="shared" si="82"/>
        <v>14060.177740220277</v>
      </c>
      <c r="X265" s="29">
        <f t="shared" si="93"/>
        <v>14060.177740220277</v>
      </c>
      <c r="Y265">
        <f t="shared" si="94"/>
        <v>0</v>
      </c>
    </row>
    <row r="266" spans="1:25" x14ac:dyDescent="0.25">
      <c r="A266" s="4" t="s">
        <v>1164</v>
      </c>
      <c r="B266" s="7" t="s">
        <v>232</v>
      </c>
      <c r="C266" s="2" t="s">
        <v>1165</v>
      </c>
      <c r="D266">
        <f>VLOOKUP(B266,'Model allocations'!$A$1:$L$316,5,FALSE)</f>
        <v>234752.83515098982</v>
      </c>
      <c r="E266" s="31">
        <f>VLOOKUP(B266,'Initial adjusted formula count'!$A$1:$P$316,12,FALSE)</f>
        <v>6.0631539611360197E-2</v>
      </c>
      <c r="F266">
        <f>VLOOKUP(B266,'Model allocations'!$A$1:$L$316,10,FALSE)</f>
        <v>276260.69838765712</v>
      </c>
      <c r="G266" s="30">
        <f t="shared" si="83"/>
        <v>0.85</v>
      </c>
      <c r="H266">
        <f t="shared" si="84"/>
        <v>199539.90987834134</v>
      </c>
      <c r="I266">
        <f t="shared" si="76"/>
        <v>0</v>
      </c>
      <c r="J266">
        <f t="shared" si="77"/>
        <v>276260.69838765712</v>
      </c>
      <c r="K266">
        <f t="shared" si="78"/>
        <v>276049.7561711265</v>
      </c>
      <c r="L266">
        <f t="shared" si="85"/>
        <v>276049.7561711265</v>
      </c>
      <c r="M266">
        <f t="shared" si="79"/>
        <v>0</v>
      </c>
      <c r="N266" s="29">
        <f t="shared" si="86"/>
        <v>276049.7561711265</v>
      </c>
      <c r="O266" s="29">
        <f t="shared" si="80"/>
        <v>276034.07693267375</v>
      </c>
      <c r="P266" s="29">
        <f t="shared" si="87"/>
        <v>276034.07693267375</v>
      </c>
      <c r="Q266">
        <f t="shared" si="88"/>
        <v>0</v>
      </c>
      <c r="R266" s="29">
        <f t="shared" si="89"/>
        <v>276034.07693267375</v>
      </c>
      <c r="S266" s="29">
        <f t="shared" si="81"/>
        <v>276033.97854519507</v>
      </c>
      <c r="T266" s="29">
        <f t="shared" si="90"/>
        <v>276033.97854519507</v>
      </c>
      <c r="U266">
        <f t="shared" si="91"/>
        <v>0</v>
      </c>
      <c r="V266" s="29">
        <f t="shared" si="92"/>
        <v>276033.97854519507</v>
      </c>
      <c r="W266" s="29">
        <f t="shared" si="82"/>
        <v>276033.97854519513</v>
      </c>
      <c r="X266" s="29">
        <f t="shared" si="93"/>
        <v>276033.97854519513</v>
      </c>
      <c r="Y266">
        <f t="shared" si="94"/>
        <v>0</v>
      </c>
    </row>
    <row r="267" spans="1:25" x14ac:dyDescent="0.25">
      <c r="A267" s="4" t="s">
        <v>1166</v>
      </c>
      <c r="B267" s="7" t="s">
        <v>599</v>
      </c>
      <c r="C267" s="2" t="s">
        <v>1167</v>
      </c>
      <c r="D267">
        <f>VLOOKUP(B267,'Model allocations'!$A$1:$L$316,5,FALSE)</f>
        <v>680154.41970085911</v>
      </c>
      <c r="E267" s="31">
        <f>VLOOKUP(B267,'Initial adjusted formula count'!$A$1:$P$316,12,FALSE)</f>
        <v>0.22602628589972401</v>
      </c>
      <c r="F267">
        <f>VLOOKUP(B267,'Model allocations'!$A$1:$L$316,10,FALSE)</f>
        <v>742370.81354094623</v>
      </c>
      <c r="G267" s="30">
        <f t="shared" si="83"/>
        <v>0.9</v>
      </c>
      <c r="H267">
        <f t="shared" si="84"/>
        <v>612138.97773077327</v>
      </c>
      <c r="I267">
        <f t="shared" si="76"/>
        <v>0</v>
      </c>
      <c r="J267">
        <f t="shared" si="77"/>
        <v>742370.81354094623</v>
      </c>
      <c r="K267">
        <f t="shared" si="78"/>
        <v>741803.96727649414</v>
      </c>
      <c r="L267">
        <f t="shared" si="85"/>
        <v>741803.96727649414</v>
      </c>
      <c r="M267">
        <f t="shared" si="79"/>
        <v>0</v>
      </c>
      <c r="N267" s="29">
        <f t="shared" si="86"/>
        <v>741803.96727649414</v>
      </c>
      <c r="O267" s="29">
        <f t="shared" si="80"/>
        <v>741761.83385297854</v>
      </c>
      <c r="P267" s="29">
        <f t="shared" si="87"/>
        <v>741761.83385297854</v>
      </c>
      <c r="Q267">
        <f t="shared" si="88"/>
        <v>0</v>
      </c>
      <c r="R267" s="29">
        <f t="shared" si="89"/>
        <v>741761.83385297854</v>
      </c>
      <c r="S267" s="29">
        <f t="shared" si="81"/>
        <v>741761.56946505432</v>
      </c>
      <c r="T267" s="29">
        <f t="shared" si="90"/>
        <v>741761.56946505432</v>
      </c>
      <c r="U267">
        <f t="shared" si="91"/>
        <v>0</v>
      </c>
      <c r="V267" s="29">
        <f t="shared" si="92"/>
        <v>741761.56946505432</v>
      </c>
      <c r="W267" s="29">
        <f t="shared" si="82"/>
        <v>741761.56946505443</v>
      </c>
      <c r="X267" s="29">
        <f t="shared" si="93"/>
        <v>741761.56946505443</v>
      </c>
      <c r="Y267">
        <f t="shared" si="94"/>
        <v>0</v>
      </c>
    </row>
    <row r="268" spans="1:25" x14ac:dyDescent="0.25">
      <c r="A268" s="4" t="s">
        <v>11</v>
      </c>
      <c r="B268" s="7" t="s">
        <v>67</v>
      </c>
      <c r="C268" s="2" t="s">
        <v>1168</v>
      </c>
      <c r="D268">
        <f>VLOOKUP(B268,'Model allocations'!$A$1:$L$316,5,FALSE)</f>
        <v>8242.751003376763</v>
      </c>
      <c r="E268" s="31">
        <f>VLOOKUP(B268,'Initial adjusted formula count'!$A$1:$P$316,12,FALSE)</f>
        <v>0.20287569859097099</v>
      </c>
      <c r="F268">
        <f>VLOOKUP(B268,'Model allocations'!$A$1:$L$316,10,FALSE)</f>
        <v>8817.8379163319114</v>
      </c>
      <c r="G268" s="30">
        <f t="shared" si="83"/>
        <v>0.9</v>
      </c>
      <c r="H268">
        <f t="shared" si="84"/>
        <v>7418.4759030390869</v>
      </c>
      <c r="I268">
        <f t="shared" si="76"/>
        <v>0</v>
      </c>
      <c r="J268">
        <f t="shared" si="77"/>
        <v>8817.8379163319114</v>
      </c>
      <c r="K268">
        <f t="shared" si="78"/>
        <v>8811.104948935772</v>
      </c>
      <c r="L268">
        <f t="shared" si="85"/>
        <v>8811.104948935772</v>
      </c>
      <c r="M268">
        <f t="shared" si="79"/>
        <v>0</v>
      </c>
      <c r="N268" s="29">
        <f t="shared" si="86"/>
        <v>8811.104948935772</v>
      </c>
      <c r="O268" s="29">
        <f t="shared" si="80"/>
        <v>8810.60449054942</v>
      </c>
      <c r="P268" s="29">
        <f t="shared" si="87"/>
        <v>8810.60449054942</v>
      </c>
      <c r="Q268">
        <f t="shared" si="88"/>
        <v>0</v>
      </c>
      <c r="R268" s="29">
        <f t="shared" si="89"/>
        <v>8810.60449054942</v>
      </c>
      <c r="S268" s="29">
        <f t="shared" si="81"/>
        <v>8810.6013501648304</v>
      </c>
      <c r="T268" s="29">
        <f t="shared" si="90"/>
        <v>8810.6013501648304</v>
      </c>
      <c r="U268">
        <f t="shared" si="91"/>
        <v>0</v>
      </c>
      <c r="V268" s="29">
        <f t="shared" si="92"/>
        <v>8810.6013501648304</v>
      </c>
      <c r="W268" s="29">
        <f t="shared" si="82"/>
        <v>8810.6013501648304</v>
      </c>
      <c r="X268" s="29">
        <f t="shared" si="93"/>
        <v>8810.6013501648304</v>
      </c>
      <c r="Y268">
        <f t="shared" si="94"/>
        <v>0</v>
      </c>
    </row>
    <row r="269" spans="1:25" x14ac:dyDescent="0.25">
      <c r="A269" s="4" t="s">
        <v>39</v>
      </c>
      <c r="B269" s="7" t="s">
        <v>62</v>
      </c>
      <c r="C269" s="2" t="s">
        <v>1169</v>
      </c>
      <c r="D269">
        <f>VLOOKUP(B269,'Model allocations'!$A$1:$L$316,5,FALSE)</f>
        <v>3078005.6871964685</v>
      </c>
      <c r="E269" s="31">
        <f>VLOOKUP(B269,'Initial adjusted formula count'!$A$1:$P$316,12,FALSE)</f>
        <v>0.14818460413962301</v>
      </c>
      <c r="F269">
        <f>VLOOKUP(B269,'Model allocations'!$A$1:$L$316,10,FALSE)</f>
        <v>3553640.7697421736</v>
      </c>
      <c r="G269" s="30">
        <f t="shared" si="83"/>
        <v>0.85</v>
      </c>
      <c r="H269">
        <f t="shared" si="84"/>
        <v>2616304.8341169981</v>
      </c>
      <c r="I269">
        <f t="shared" si="76"/>
        <v>0</v>
      </c>
      <c r="J269">
        <f t="shared" si="77"/>
        <v>3553640.7697421736</v>
      </c>
      <c r="K269">
        <f t="shared" si="78"/>
        <v>3550927.3441079883</v>
      </c>
      <c r="L269">
        <f t="shared" si="85"/>
        <v>3550927.3441079883</v>
      </c>
      <c r="M269">
        <f t="shared" si="79"/>
        <v>0</v>
      </c>
      <c r="N269" s="29">
        <f t="shared" si="86"/>
        <v>3550927.3441079883</v>
      </c>
      <c r="O269" s="29">
        <f t="shared" si="80"/>
        <v>3550725.6564219389</v>
      </c>
      <c r="P269" s="29">
        <f t="shared" si="87"/>
        <v>3550725.6564219389</v>
      </c>
      <c r="Q269">
        <f t="shared" si="88"/>
        <v>0</v>
      </c>
      <c r="R269" s="29">
        <f t="shared" si="89"/>
        <v>3550725.6564219389</v>
      </c>
      <c r="S269" s="29">
        <f t="shared" si="81"/>
        <v>3550724.3908283981</v>
      </c>
      <c r="T269" s="29">
        <f t="shared" si="90"/>
        <v>3550724.3908283981</v>
      </c>
      <c r="U269">
        <f t="shared" si="91"/>
        <v>0</v>
      </c>
      <c r="V269" s="29">
        <f t="shared" si="92"/>
        <v>3550724.3908283981</v>
      </c>
      <c r="W269" s="29">
        <f t="shared" si="82"/>
        <v>3550724.3908283985</v>
      </c>
      <c r="X269" s="29">
        <f t="shared" si="93"/>
        <v>3550724.3908283985</v>
      </c>
      <c r="Y269">
        <f t="shared" si="94"/>
        <v>0</v>
      </c>
    </row>
    <row r="270" spans="1:25" x14ac:dyDescent="0.25">
      <c r="A270" s="4" t="s">
        <v>1170</v>
      </c>
      <c r="B270" s="7" t="s">
        <v>601</v>
      </c>
      <c r="C270" s="2" t="s">
        <v>1171</v>
      </c>
      <c r="D270">
        <f>VLOOKUP(B270,'Model allocations'!$A$1:$L$316,5,FALSE)</f>
        <v>44335.308021352357</v>
      </c>
      <c r="E270" s="31">
        <f>VLOOKUP(B270,'Initial adjusted formula count'!$A$1:$P$316,12,FALSE)</f>
        <v>0.134110787172012</v>
      </c>
      <c r="F270">
        <f>VLOOKUP(B270,'Model allocations'!$A$1:$L$316,10,FALSE)</f>
        <v>37685.011818149505</v>
      </c>
      <c r="G270" s="30">
        <f t="shared" si="83"/>
        <v>0.85</v>
      </c>
      <c r="H270">
        <f t="shared" si="84"/>
        <v>37685.011818149505</v>
      </c>
      <c r="I270">
        <f t="shared" si="76"/>
        <v>0</v>
      </c>
      <c r="J270">
        <f t="shared" si="77"/>
        <v>37685.011818149505</v>
      </c>
      <c r="K270">
        <f t="shared" si="78"/>
        <v>37656.236968996884</v>
      </c>
      <c r="L270">
        <f t="shared" si="85"/>
        <v>37656.236968996884</v>
      </c>
      <c r="M270">
        <f t="shared" si="79"/>
        <v>37685.011818149505</v>
      </c>
      <c r="N270" s="29">
        <f t="shared" si="86"/>
        <v>0</v>
      </c>
      <c r="O270" s="29">
        <f t="shared" si="80"/>
        <v>0</v>
      </c>
      <c r="P270" s="29">
        <f t="shared" si="87"/>
        <v>37685.011818149505</v>
      </c>
      <c r="Q270">
        <f t="shared" si="88"/>
        <v>0</v>
      </c>
      <c r="R270" s="29">
        <f t="shared" si="89"/>
        <v>0</v>
      </c>
      <c r="S270" s="29">
        <f t="shared" si="81"/>
        <v>0</v>
      </c>
      <c r="T270" s="29">
        <f t="shared" si="90"/>
        <v>37685.011818149505</v>
      </c>
      <c r="U270">
        <f t="shared" si="91"/>
        <v>0</v>
      </c>
      <c r="V270" s="29">
        <f t="shared" si="92"/>
        <v>0</v>
      </c>
      <c r="W270" s="29">
        <f t="shared" si="82"/>
        <v>0</v>
      </c>
      <c r="X270" s="29">
        <f t="shared" si="93"/>
        <v>37685.011818149505</v>
      </c>
      <c r="Y270">
        <f t="shared" si="94"/>
        <v>0</v>
      </c>
    </row>
    <row r="271" spans="1:25" x14ac:dyDescent="0.25">
      <c r="A271" s="4" t="s">
        <v>1172</v>
      </c>
      <c r="B271" s="7" t="s">
        <v>234</v>
      </c>
      <c r="C271" s="2" t="s">
        <v>1173</v>
      </c>
      <c r="D271">
        <f>VLOOKUP(B271,'Model allocations'!$A$1:$L$316,5,FALSE)</f>
        <v>0</v>
      </c>
      <c r="E271" s="31">
        <f>VLOOKUP(B271,'Initial adjusted formula count'!$A$1:$P$316,12,FALSE)</f>
        <v>4.37099054039361E-2</v>
      </c>
      <c r="F271">
        <f>VLOOKUP(B271,'Model allocations'!$A$1:$L$316,10,FALSE)</f>
        <v>0</v>
      </c>
      <c r="G271" s="30">
        <f t="shared" si="83"/>
        <v>0.85</v>
      </c>
      <c r="H271">
        <f t="shared" si="84"/>
        <v>0</v>
      </c>
      <c r="I271">
        <f t="shared" si="76"/>
        <v>0</v>
      </c>
      <c r="J271">
        <f t="shared" si="77"/>
        <v>0</v>
      </c>
      <c r="K271">
        <f t="shared" si="78"/>
        <v>0</v>
      </c>
      <c r="L271">
        <f t="shared" si="85"/>
        <v>0</v>
      </c>
      <c r="M271">
        <f t="shared" si="79"/>
        <v>0</v>
      </c>
      <c r="N271" s="29">
        <f t="shared" si="86"/>
        <v>0</v>
      </c>
      <c r="O271" s="29">
        <f t="shared" si="80"/>
        <v>0</v>
      </c>
      <c r="P271" s="29">
        <f t="shared" si="87"/>
        <v>0</v>
      </c>
      <c r="Q271">
        <f t="shared" si="88"/>
        <v>0</v>
      </c>
      <c r="R271" s="29">
        <f t="shared" si="89"/>
        <v>0</v>
      </c>
      <c r="S271" s="29">
        <f t="shared" si="81"/>
        <v>0</v>
      </c>
      <c r="T271" s="29">
        <f t="shared" si="90"/>
        <v>0</v>
      </c>
      <c r="U271">
        <f t="shared" si="91"/>
        <v>0</v>
      </c>
      <c r="V271" s="29">
        <f t="shared" si="92"/>
        <v>0</v>
      </c>
      <c r="W271" s="29">
        <f t="shared" si="82"/>
        <v>0</v>
      </c>
      <c r="X271" s="29">
        <f t="shared" si="93"/>
        <v>0</v>
      </c>
      <c r="Y271">
        <f t="shared" si="94"/>
        <v>0</v>
      </c>
    </row>
    <row r="272" spans="1:25" x14ac:dyDescent="0.25">
      <c r="A272" s="4" t="s">
        <v>1174</v>
      </c>
      <c r="B272" s="7" t="s">
        <v>236</v>
      </c>
      <c r="C272" s="2" t="s">
        <v>1175</v>
      </c>
      <c r="D272">
        <f>VLOOKUP(B272,'Model allocations'!$A$1:$L$316,5,FALSE)</f>
        <v>10478.496772818438</v>
      </c>
      <c r="E272" s="31">
        <f>VLOOKUP(B272,'Initial adjusted formula count'!$A$1:$P$316,12,FALSE)</f>
        <v>0.100591715976331</v>
      </c>
      <c r="F272">
        <f>VLOOKUP(B272,'Model allocations'!$A$1:$L$316,10,FALSE)</f>
        <v>8906.7222568956731</v>
      </c>
      <c r="G272" s="30">
        <f t="shared" si="83"/>
        <v>0.85</v>
      </c>
      <c r="H272">
        <f t="shared" si="84"/>
        <v>8906.7222568956731</v>
      </c>
      <c r="I272">
        <f t="shared" si="76"/>
        <v>0</v>
      </c>
      <c r="J272">
        <f t="shared" si="77"/>
        <v>8906.7222568956731</v>
      </c>
      <c r="K272">
        <f t="shared" si="78"/>
        <v>8899.9214207801579</v>
      </c>
      <c r="L272">
        <f t="shared" si="85"/>
        <v>8899.9214207801579</v>
      </c>
      <c r="M272">
        <f t="shared" si="79"/>
        <v>8906.7222568956731</v>
      </c>
      <c r="N272" s="29">
        <f t="shared" si="86"/>
        <v>0</v>
      </c>
      <c r="O272" s="29">
        <f t="shared" si="80"/>
        <v>0</v>
      </c>
      <c r="P272" s="29">
        <f t="shared" si="87"/>
        <v>8906.7222568956731</v>
      </c>
      <c r="Q272">
        <f t="shared" si="88"/>
        <v>0</v>
      </c>
      <c r="R272" s="29">
        <f t="shared" si="89"/>
        <v>0</v>
      </c>
      <c r="S272" s="29">
        <f t="shared" si="81"/>
        <v>0</v>
      </c>
      <c r="T272" s="29">
        <f t="shared" si="90"/>
        <v>8906.7222568956731</v>
      </c>
      <c r="U272">
        <f t="shared" si="91"/>
        <v>0</v>
      </c>
      <c r="V272" s="29">
        <f t="shared" si="92"/>
        <v>0</v>
      </c>
      <c r="W272" s="29">
        <f t="shared" si="82"/>
        <v>0</v>
      </c>
      <c r="X272" s="29">
        <f t="shared" si="93"/>
        <v>8906.7222568956731</v>
      </c>
      <c r="Y272">
        <f t="shared" si="94"/>
        <v>0</v>
      </c>
    </row>
    <row r="273" spans="1:25" x14ac:dyDescent="0.25">
      <c r="A273" s="4" t="s">
        <v>1176</v>
      </c>
      <c r="B273" s="7" t="s">
        <v>303</v>
      </c>
      <c r="C273" s="2" t="s">
        <v>1177</v>
      </c>
      <c r="D273">
        <f>VLOOKUP(B273,'Model allocations'!$A$1:$L$316,5,FALSE)</f>
        <v>68216.077637120121</v>
      </c>
      <c r="E273" s="31">
        <f>VLOOKUP(B273,'Initial adjusted formula count'!$A$1:$P$316,12,FALSE)</f>
        <v>9.03693931398417E-2</v>
      </c>
      <c r="F273">
        <f>VLOOKUP(B273,'Model allocations'!$A$1:$L$316,10,FALSE)</f>
        <v>58316.973311416063</v>
      </c>
      <c r="G273" s="30">
        <f t="shared" si="83"/>
        <v>0.85</v>
      </c>
      <c r="H273">
        <f t="shared" si="84"/>
        <v>57983.665991552101</v>
      </c>
      <c r="I273">
        <f t="shared" si="76"/>
        <v>0</v>
      </c>
      <c r="J273">
        <f t="shared" si="77"/>
        <v>58316.973311416063</v>
      </c>
      <c r="K273">
        <f t="shared" si="78"/>
        <v>58272.44467710991</v>
      </c>
      <c r="L273">
        <f t="shared" si="85"/>
        <v>58272.44467710991</v>
      </c>
      <c r="M273">
        <f t="shared" si="79"/>
        <v>0</v>
      </c>
      <c r="N273" s="29">
        <f t="shared" si="86"/>
        <v>58272.44467710991</v>
      </c>
      <c r="O273" s="29">
        <f t="shared" si="80"/>
        <v>58269.13488409292</v>
      </c>
      <c r="P273" s="29">
        <f t="shared" si="87"/>
        <v>58269.13488409292</v>
      </c>
      <c r="Q273">
        <f t="shared" si="88"/>
        <v>0</v>
      </c>
      <c r="R273" s="29">
        <f t="shared" si="89"/>
        <v>58269.13488409292</v>
      </c>
      <c r="S273" s="29">
        <f t="shared" si="81"/>
        <v>58269.11411508741</v>
      </c>
      <c r="T273" s="29">
        <f t="shared" si="90"/>
        <v>58269.11411508741</v>
      </c>
      <c r="U273">
        <f t="shared" si="91"/>
        <v>0</v>
      </c>
      <c r="V273" s="29">
        <f t="shared" si="92"/>
        <v>58269.11411508741</v>
      </c>
      <c r="W273" s="29">
        <f t="shared" si="82"/>
        <v>58269.11411508741</v>
      </c>
      <c r="X273" s="29">
        <f t="shared" si="93"/>
        <v>58269.11411508741</v>
      </c>
      <c r="Y273">
        <f t="shared" si="94"/>
        <v>0</v>
      </c>
    </row>
    <row r="274" spans="1:25" x14ac:dyDescent="0.25">
      <c r="A274" s="4" t="s">
        <v>1178</v>
      </c>
      <c r="B274" s="7" t="s">
        <v>238</v>
      </c>
      <c r="C274" s="2" t="s">
        <v>1179</v>
      </c>
      <c r="D274">
        <f>VLOOKUP(B274,'Model allocations'!$A$1:$L$316,5,FALSE)</f>
        <v>12995.246231572653</v>
      </c>
      <c r="E274" s="31">
        <f>VLOOKUP(B274,'Initial adjusted formula count'!$A$1:$P$316,12,FALSE)</f>
        <v>0.137440758293839</v>
      </c>
      <c r="F274">
        <f>VLOOKUP(B274,'Model allocations'!$A$1:$L$316,10,FALSE)</f>
        <v>12344.46880314647</v>
      </c>
      <c r="G274" s="30">
        <f t="shared" si="83"/>
        <v>0.85</v>
      </c>
      <c r="H274">
        <f t="shared" si="84"/>
        <v>11045.959296836754</v>
      </c>
      <c r="I274">
        <f t="shared" si="76"/>
        <v>0</v>
      </c>
      <c r="J274">
        <f t="shared" si="77"/>
        <v>12344.46880314647</v>
      </c>
      <c r="K274">
        <f t="shared" si="78"/>
        <v>12335.043033840788</v>
      </c>
      <c r="L274">
        <f t="shared" si="85"/>
        <v>12335.043033840788</v>
      </c>
      <c r="M274">
        <f t="shared" si="79"/>
        <v>0</v>
      </c>
      <c r="N274" s="29">
        <f t="shared" si="86"/>
        <v>12335.043033840788</v>
      </c>
      <c r="O274" s="29">
        <f t="shared" si="80"/>
        <v>12334.342420720403</v>
      </c>
      <c r="P274" s="29">
        <f t="shared" si="87"/>
        <v>12334.342420720403</v>
      </c>
      <c r="Q274">
        <f t="shared" si="88"/>
        <v>0</v>
      </c>
      <c r="R274" s="29">
        <f t="shared" si="89"/>
        <v>12334.342420720403</v>
      </c>
      <c r="S274" s="29">
        <f t="shared" si="81"/>
        <v>12334.33802436157</v>
      </c>
      <c r="T274" s="29">
        <f t="shared" si="90"/>
        <v>12334.33802436157</v>
      </c>
      <c r="U274">
        <f t="shared" si="91"/>
        <v>0</v>
      </c>
      <c r="V274" s="29">
        <f t="shared" si="92"/>
        <v>12334.33802436157</v>
      </c>
      <c r="W274" s="29">
        <f t="shared" si="82"/>
        <v>12334.338024361572</v>
      </c>
      <c r="X274" s="29">
        <f t="shared" si="93"/>
        <v>12334.338024361572</v>
      </c>
      <c r="Y274">
        <f t="shared" si="94"/>
        <v>0</v>
      </c>
    </row>
    <row r="275" spans="1:25" x14ac:dyDescent="0.25">
      <c r="A275" s="4" t="s">
        <v>1180</v>
      </c>
      <c r="B275" s="7" t="s">
        <v>240</v>
      </c>
      <c r="C275" s="2" t="s">
        <v>1181</v>
      </c>
      <c r="D275">
        <f>VLOOKUP(B275,'Model allocations'!$A$1:$L$316,5,FALSE)</f>
        <v>31859.313341920057</v>
      </c>
      <c r="E275" s="31">
        <f>VLOOKUP(B275,'Initial adjusted formula count'!$A$1:$P$316,12,FALSE)</f>
        <v>8.3428571428571394E-2</v>
      </c>
      <c r="F275">
        <f>VLOOKUP(B275,'Model allocations'!$A$1:$L$316,10,FALSE)</f>
        <v>31074.007676885944</v>
      </c>
      <c r="G275" s="30">
        <f t="shared" si="83"/>
        <v>0.85</v>
      </c>
      <c r="H275">
        <f t="shared" si="84"/>
        <v>27080.416340632048</v>
      </c>
      <c r="I275">
        <f t="shared" si="76"/>
        <v>0</v>
      </c>
      <c r="J275">
        <f t="shared" si="77"/>
        <v>31074.007676885944</v>
      </c>
      <c r="K275">
        <f t="shared" si="78"/>
        <v>31050.280740357848</v>
      </c>
      <c r="L275">
        <f t="shared" si="85"/>
        <v>31050.280740357848</v>
      </c>
      <c r="M275">
        <f t="shared" si="79"/>
        <v>0</v>
      </c>
      <c r="N275" s="29">
        <f t="shared" si="86"/>
        <v>31050.280740357848</v>
      </c>
      <c r="O275" s="29">
        <f t="shared" si="80"/>
        <v>31048.517128020329</v>
      </c>
      <c r="P275" s="29">
        <f t="shared" si="87"/>
        <v>31048.517128020329</v>
      </c>
      <c r="Q275">
        <f t="shared" si="88"/>
        <v>0</v>
      </c>
      <c r="R275" s="29">
        <f t="shared" si="89"/>
        <v>31048.517128020329</v>
      </c>
      <c r="S275" s="29">
        <f t="shared" si="81"/>
        <v>31048.506061323962</v>
      </c>
      <c r="T275" s="29">
        <f t="shared" si="90"/>
        <v>31048.506061323962</v>
      </c>
      <c r="U275">
        <f t="shared" si="91"/>
        <v>0</v>
      </c>
      <c r="V275" s="29">
        <f t="shared" si="92"/>
        <v>31048.506061323962</v>
      </c>
      <c r="W275" s="29">
        <f t="shared" si="82"/>
        <v>31048.506061323966</v>
      </c>
      <c r="X275" s="29">
        <f t="shared" si="93"/>
        <v>31048.506061323966</v>
      </c>
      <c r="Y275">
        <f t="shared" si="94"/>
        <v>0</v>
      </c>
    </row>
    <row r="276" spans="1:25" x14ac:dyDescent="0.25">
      <c r="A276" s="8" t="s">
        <v>1182</v>
      </c>
      <c r="B276" s="7" t="s">
        <v>603</v>
      </c>
      <c r="C276" s="2" t="s">
        <v>1183</v>
      </c>
      <c r="D276">
        <f>VLOOKUP(B276,'Model allocations'!$A$1:$L$316,5,FALSE)</f>
        <v>171591.55535728298</v>
      </c>
      <c r="E276" s="31">
        <f>VLOOKUP(B276,'Initial adjusted formula count'!$A$1:$P$316,12,FALSE)</f>
        <v>0.25296803652967997</v>
      </c>
      <c r="F276">
        <f>VLOOKUP(B276,'Model allocations'!$A$1:$L$316,10,FALSE)</f>
        <v>163019.72479142086</v>
      </c>
      <c r="G276" s="30">
        <f t="shared" si="83"/>
        <v>0.9</v>
      </c>
      <c r="H276">
        <f t="shared" si="84"/>
        <v>154432.39982155469</v>
      </c>
      <c r="I276">
        <f t="shared" si="76"/>
        <v>0</v>
      </c>
      <c r="J276">
        <f t="shared" si="77"/>
        <v>163019.72479142086</v>
      </c>
      <c r="K276">
        <f t="shared" si="78"/>
        <v>162895.24909767791</v>
      </c>
      <c r="L276">
        <f t="shared" si="85"/>
        <v>162895.24909767791</v>
      </c>
      <c r="M276">
        <f t="shared" si="79"/>
        <v>0</v>
      </c>
      <c r="N276" s="29">
        <f t="shared" si="86"/>
        <v>162895.24909767791</v>
      </c>
      <c r="O276" s="29">
        <f t="shared" si="80"/>
        <v>162885.99687630721</v>
      </c>
      <c r="P276" s="29">
        <f t="shared" si="87"/>
        <v>162885.99687630721</v>
      </c>
      <c r="Q276">
        <f t="shared" si="88"/>
        <v>0</v>
      </c>
      <c r="R276" s="29">
        <f t="shared" si="89"/>
        <v>162885.99687630721</v>
      </c>
      <c r="S276" s="29">
        <f t="shared" si="81"/>
        <v>162885.93881846624</v>
      </c>
      <c r="T276" s="29">
        <f t="shared" si="90"/>
        <v>162885.93881846624</v>
      </c>
      <c r="U276">
        <f t="shared" si="91"/>
        <v>0</v>
      </c>
      <c r="V276" s="29">
        <f t="shared" si="92"/>
        <v>162885.93881846624</v>
      </c>
      <c r="W276" s="29">
        <f t="shared" si="82"/>
        <v>162885.93881846627</v>
      </c>
      <c r="X276" s="29">
        <f t="shared" si="93"/>
        <v>162885.93881846627</v>
      </c>
      <c r="Y276">
        <f t="shared" si="94"/>
        <v>0</v>
      </c>
    </row>
    <row r="277" spans="1:25" x14ac:dyDescent="0.25">
      <c r="A277" s="4" t="s">
        <v>1184</v>
      </c>
      <c r="B277" s="7" t="s">
        <v>605</v>
      </c>
      <c r="C277" s="2" t="s">
        <v>1185</v>
      </c>
      <c r="D277">
        <f>VLOOKUP(B277,'Model allocations'!$A$1:$L$316,5,FALSE)</f>
        <v>324376.77255493478</v>
      </c>
      <c r="E277" s="31">
        <f>VLOOKUP(B277,'Initial adjusted formula count'!$A$1:$P$316,12,FALSE)</f>
        <v>0.20956521739130399</v>
      </c>
      <c r="F277">
        <f>VLOOKUP(B277,'Model allocations'!$A$1:$L$316,10,FALSE)</f>
        <v>366978.70977229741</v>
      </c>
      <c r="G277" s="30">
        <f t="shared" si="83"/>
        <v>0.9</v>
      </c>
      <c r="H277">
        <f t="shared" si="84"/>
        <v>291939.09529944131</v>
      </c>
      <c r="I277">
        <f t="shared" si="76"/>
        <v>0</v>
      </c>
      <c r="J277">
        <f t="shared" si="77"/>
        <v>366978.70977229741</v>
      </c>
      <c r="K277">
        <f t="shared" si="78"/>
        <v>366698.49871473218</v>
      </c>
      <c r="L277">
        <f t="shared" si="85"/>
        <v>366698.49871473218</v>
      </c>
      <c r="M277">
        <f t="shared" si="79"/>
        <v>0</v>
      </c>
      <c r="N277" s="29">
        <f t="shared" si="86"/>
        <v>366698.49871473218</v>
      </c>
      <c r="O277" s="29">
        <f t="shared" si="80"/>
        <v>366677.67075501446</v>
      </c>
      <c r="P277" s="29">
        <f t="shared" si="87"/>
        <v>366677.67075501446</v>
      </c>
      <c r="Q277">
        <f t="shared" si="88"/>
        <v>0</v>
      </c>
      <c r="R277" s="29">
        <f t="shared" si="89"/>
        <v>366677.67075501446</v>
      </c>
      <c r="S277" s="29">
        <f t="shared" si="81"/>
        <v>366677.54005922534</v>
      </c>
      <c r="T277" s="29">
        <f t="shared" si="90"/>
        <v>366677.54005922534</v>
      </c>
      <c r="U277">
        <f t="shared" si="91"/>
        <v>0</v>
      </c>
      <c r="V277" s="29">
        <f t="shared" si="92"/>
        <v>366677.54005922534</v>
      </c>
      <c r="W277" s="29">
        <f t="shared" si="82"/>
        <v>366677.5400592254</v>
      </c>
      <c r="X277" s="29">
        <f t="shared" si="93"/>
        <v>366677.5400592254</v>
      </c>
      <c r="Y277">
        <f t="shared" si="94"/>
        <v>0</v>
      </c>
    </row>
    <row r="278" spans="1:25" x14ac:dyDescent="0.25">
      <c r="A278" s="4" t="s">
        <v>1186</v>
      </c>
      <c r="B278" s="7" t="s">
        <v>242</v>
      </c>
      <c r="C278" s="2" t="s">
        <v>1187</v>
      </c>
      <c r="D278">
        <f>VLOOKUP(B278,'Model allocations'!$A$1:$L$316,5,FALSE)</f>
        <v>10060.835792185284</v>
      </c>
      <c r="E278" s="31">
        <f>VLOOKUP(B278,'Initial adjusted formula count'!$A$1:$P$316,12,FALSE)</f>
        <v>9.6330275229357804E-2</v>
      </c>
      <c r="F278">
        <f>VLOOKUP(B278,'Model allocations'!$A$1:$L$316,10,FALSE)</f>
        <v>8939.0980988301999</v>
      </c>
      <c r="G278" s="30">
        <f t="shared" si="83"/>
        <v>0.85</v>
      </c>
      <c r="H278">
        <f t="shared" si="84"/>
        <v>8551.7104233574919</v>
      </c>
      <c r="I278">
        <f t="shared" si="76"/>
        <v>0</v>
      </c>
      <c r="J278">
        <f t="shared" si="77"/>
        <v>8939.0980988301999</v>
      </c>
      <c r="K278">
        <f t="shared" si="78"/>
        <v>8932.2725417467736</v>
      </c>
      <c r="L278">
        <f t="shared" si="85"/>
        <v>8932.2725417467736</v>
      </c>
      <c r="M278">
        <f t="shared" si="79"/>
        <v>0</v>
      </c>
      <c r="N278" s="29">
        <f t="shared" si="86"/>
        <v>8932.2725417467736</v>
      </c>
      <c r="O278" s="29">
        <f t="shared" si="80"/>
        <v>8931.7652012113231</v>
      </c>
      <c r="P278" s="29">
        <f t="shared" si="87"/>
        <v>8931.7652012113231</v>
      </c>
      <c r="Q278">
        <f t="shared" si="88"/>
        <v>0</v>
      </c>
      <c r="R278" s="29">
        <f t="shared" si="89"/>
        <v>8931.7652012113231</v>
      </c>
      <c r="S278" s="29">
        <f t="shared" si="81"/>
        <v>8931.7620176411347</v>
      </c>
      <c r="T278" s="29">
        <f t="shared" si="90"/>
        <v>8931.7620176411347</v>
      </c>
      <c r="U278">
        <f t="shared" si="91"/>
        <v>0</v>
      </c>
      <c r="V278" s="29">
        <f t="shared" si="92"/>
        <v>8931.7620176411347</v>
      </c>
      <c r="W278" s="29">
        <f t="shared" si="82"/>
        <v>8931.7620176411365</v>
      </c>
      <c r="X278" s="29">
        <f t="shared" si="93"/>
        <v>8931.7620176411365</v>
      </c>
      <c r="Y278">
        <f t="shared" si="94"/>
        <v>0</v>
      </c>
    </row>
    <row r="279" spans="1:25" x14ac:dyDescent="0.25">
      <c r="A279" s="4" t="s">
        <v>1188</v>
      </c>
      <c r="B279" s="7" t="s">
        <v>244</v>
      </c>
      <c r="C279" s="2" t="s">
        <v>1189</v>
      </c>
      <c r="D279">
        <f>VLOOKUP(B279,'Model allocations'!$A$1:$L$316,5,FALSE)</f>
        <v>30601.708867896894</v>
      </c>
      <c r="E279" s="31">
        <f>VLOOKUP(B279,'Initial adjusted formula count'!$A$1:$P$316,12,FALSE)</f>
        <v>0.102564102564103</v>
      </c>
      <c r="F279">
        <f>VLOOKUP(B279,'Model allocations'!$A$1:$L$316,10,FALSE)</f>
        <v>34053.707043162671</v>
      </c>
      <c r="G279" s="30">
        <f t="shared" si="83"/>
        <v>0.85</v>
      </c>
      <c r="H279">
        <f t="shared" si="84"/>
        <v>26011.452537712361</v>
      </c>
      <c r="I279">
        <f t="shared" si="76"/>
        <v>0</v>
      </c>
      <c r="J279">
        <f t="shared" si="77"/>
        <v>34053.707043162671</v>
      </c>
      <c r="K279">
        <f t="shared" si="78"/>
        <v>34027.704920940094</v>
      </c>
      <c r="L279">
        <f t="shared" si="85"/>
        <v>34027.704920940094</v>
      </c>
      <c r="M279">
        <f t="shared" si="79"/>
        <v>0</v>
      </c>
      <c r="N279" s="29">
        <f t="shared" si="86"/>
        <v>34027.704920940094</v>
      </c>
      <c r="O279" s="29">
        <f t="shared" si="80"/>
        <v>34025.772195090758</v>
      </c>
      <c r="P279" s="29">
        <f t="shared" si="87"/>
        <v>34025.772195090758</v>
      </c>
      <c r="Q279">
        <f t="shared" si="88"/>
        <v>0</v>
      </c>
      <c r="R279" s="29">
        <f t="shared" si="89"/>
        <v>34025.772195090758</v>
      </c>
      <c r="S279" s="29">
        <f t="shared" si="81"/>
        <v>34025.760067204326</v>
      </c>
      <c r="T279" s="29">
        <f t="shared" si="90"/>
        <v>34025.760067204326</v>
      </c>
      <c r="U279">
        <f t="shared" si="91"/>
        <v>0</v>
      </c>
      <c r="V279" s="29">
        <f t="shared" si="92"/>
        <v>34025.760067204326</v>
      </c>
      <c r="W279" s="29">
        <f t="shared" si="82"/>
        <v>34025.760067204326</v>
      </c>
      <c r="X279" s="29">
        <f t="shared" si="93"/>
        <v>34025.760067204326</v>
      </c>
      <c r="Y279">
        <f t="shared" si="94"/>
        <v>0</v>
      </c>
    </row>
    <row r="280" spans="1:25" x14ac:dyDescent="0.25">
      <c r="A280" s="4" t="s">
        <v>1190</v>
      </c>
      <c r="B280" s="7" t="s">
        <v>607</v>
      </c>
      <c r="C280" s="2" t="s">
        <v>1191</v>
      </c>
      <c r="D280">
        <f>VLOOKUP(B280,'Model allocations'!$A$1:$L$316,5,FALSE)</f>
        <v>23223.615899772383</v>
      </c>
      <c r="E280" s="31">
        <f>VLOOKUP(B280,'Initial adjusted formula count'!$A$1:$P$316,12,FALSE)</f>
        <v>0.173267326732673</v>
      </c>
      <c r="F280">
        <f>VLOOKUP(B280,'Model allocations'!$A$1:$L$316,10,FALSE)</f>
        <v>20915.767270475168</v>
      </c>
      <c r="G280" s="30">
        <f t="shared" si="83"/>
        <v>0.9</v>
      </c>
      <c r="H280">
        <f t="shared" si="84"/>
        <v>20901.254309795146</v>
      </c>
      <c r="I280">
        <f t="shared" si="76"/>
        <v>0</v>
      </c>
      <c r="J280">
        <f t="shared" si="77"/>
        <v>20915.767270475168</v>
      </c>
      <c r="K280">
        <f t="shared" si="78"/>
        <v>20899.796781968398</v>
      </c>
      <c r="L280">
        <f t="shared" si="85"/>
        <v>20899.796781968398</v>
      </c>
      <c r="M280">
        <f t="shared" si="79"/>
        <v>20901.254309795146</v>
      </c>
      <c r="N280" s="29">
        <f t="shared" si="86"/>
        <v>0</v>
      </c>
      <c r="O280" s="29">
        <f t="shared" si="80"/>
        <v>0</v>
      </c>
      <c r="P280" s="29">
        <f t="shared" si="87"/>
        <v>20901.254309795146</v>
      </c>
      <c r="Q280">
        <f t="shared" si="88"/>
        <v>0</v>
      </c>
      <c r="R280" s="29">
        <f t="shared" si="89"/>
        <v>0</v>
      </c>
      <c r="S280" s="29">
        <f t="shared" si="81"/>
        <v>0</v>
      </c>
      <c r="T280" s="29">
        <f t="shared" si="90"/>
        <v>20901.254309795146</v>
      </c>
      <c r="U280">
        <f t="shared" si="91"/>
        <v>0</v>
      </c>
      <c r="V280" s="29">
        <f t="shared" si="92"/>
        <v>0</v>
      </c>
      <c r="W280" s="29">
        <f t="shared" si="82"/>
        <v>0</v>
      </c>
      <c r="X280" s="29">
        <f t="shared" si="93"/>
        <v>20901.254309795146</v>
      </c>
      <c r="Y280">
        <f t="shared" si="94"/>
        <v>0</v>
      </c>
    </row>
    <row r="281" spans="1:25" x14ac:dyDescent="0.25">
      <c r="A281" s="4" t="s">
        <v>43</v>
      </c>
      <c r="B281" s="7" t="s">
        <v>60</v>
      </c>
      <c r="C281" s="2" t="s">
        <v>1192</v>
      </c>
      <c r="D281">
        <f>VLOOKUP(B281,'Model allocations'!$A$1:$L$316,5,FALSE)</f>
        <v>256324.90930906625</v>
      </c>
      <c r="E281" s="31">
        <f>VLOOKUP(B281,'Initial adjusted formula count'!$A$1:$P$316,12,FALSE)</f>
        <v>0.210333702778842</v>
      </c>
      <c r="F281">
        <f>VLOOKUP(B281,'Model allocations'!$A$1:$L$316,10,FALSE)</f>
        <v>235083.46877053581</v>
      </c>
      <c r="G281" s="30">
        <f t="shared" si="83"/>
        <v>0.9</v>
      </c>
      <c r="H281">
        <f t="shared" si="84"/>
        <v>230692.41837815964</v>
      </c>
      <c r="I281">
        <f t="shared" si="76"/>
        <v>0</v>
      </c>
      <c r="J281">
        <f t="shared" si="77"/>
        <v>235083.46877053581</v>
      </c>
      <c r="K281">
        <f t="shared" si="78"/>
        <v>234903.96792853554</v>
      </c>
      <c r="L281">
        <f t="shared" si="85"/>
        <v>234903.96792853554</v>
      </c>
      <c r="M281">
        <f t="shared" si="79"/>
        <v>0</v>
      </c>
      <c r="N281" s="29">
        <f t="shared" si="86"/>
        <v>234903.96792853554</v>
      </c>
      <c r="O281" s="29">
        <f t="shared" si="80"/>
        <v>234890.62571306783</v>
      </c>
      <c r="P281" s="29">
        <f t="shared" si="87"/>
        <v>234890.62571306783</v>
      </c>
      <c r="Q281">
        <f t="shared" si="88"/>
        <v>0</v>
      </c>
      <c r="R281" s="29">
        <f t="shared" si="89"/>
        <v>234890.62571306783</v>
      </c>
      <c r="S281" s="29">
        <f t="shared" si="81"/>
        <v>234890.54199044674</v>
      </c>
      <c r="T281" s="29">
        <f t="shared" si="90"/>
        <v>234890.54199044674</v>
      </c>
      <c r="U281">
        <f t="shared" si="91"/>
        <v>0</v>
      </c>
      <c r="V281" s="29">
        <f t="shared" si="92"/>
        <v>234890.54199044674</v>
      </c>
      <c r="W281" s="29">
        <f t="shared" si="82"/>
        <v>234890.54199044674</v>
      </c>
      <c r="X281" s="29">
        <f t="shared" si="93"/>
        <v>234890.54199044674</v>
      </c>
      <c r="Y281">
        <f t="shared" si="94"/>
        <v>0</v>
      </c>
    </row>
    <row r="282" spans="1:25" x14ac:dyDescent="0.25">
      <c r="A282" s="4" t="s">
        <v>1193</v>
      </c>
      <c r="B282" s="7" t="s">
        <v>246</v>
      </c>
      <c r="C282" s="2" t="s">
        <v>1194</v>
      </c>
      <c r="D282">
        <f>VLOOKUP(B282,'Model allocations'!$A$1:$L$316,5,FALSE)</f>
        <v>268288.9544582743</v>
      </c>
      <c r="E282" s="31">
        <f>VLOOKUP(B282,'Initial adjusted formula count'!$A$1:$P$316,12,FALSE)</f>
        <v>7.9849558802256596E-2</v>
      </c>
      <c r="F282">
        <f>VLOOKUP(B282,'Model allocations'!$A$1:$L$316,10,FALSE)</f>
        <v>234970.57859782243</v>
      </c>
      <c r="G282" s="30">
        <f t="shared" si="83"/>
        <v>0.85</v>
      </c>
      <c r="H282">
        <f t="shared" si="84"/>
        <v>228045.61128953315</v>
      </c>
      <c r="I282">
        <f t="shared" si="76"/>
        <v>0</v>
      </c>
      <c r="J282">
        <f t="shared" si="77"/>
        <v>234970.57859782243</v>
      </c>
      <c r="K282">
        <f t="shared" si="78"/>
        <v>234791.16395448669</v>
      </c>
      <c r="L282">
        <f t="shared" si="85"/>
        <v>234791.16395448669</v>
      </c>
      <c r="M282">
        <f t="shared" si="79"/>
        <v>0</v>
      </c>
      <c r="N282" s="29">
        <f t="shared" si="86"/>
        <v>234791.16395448669</v>
      </c>
      <c r="O282" s="29">
        <f t="shared" si="80"/>
        <v>234777.82814612627</v>
      </c>
      <c r="P282" s="29">
        <f t="shared" si="87"/>
        <v>234777.82814612627</v>
      </c>
      <c r="Q282">
        <f t="shared" si="88"/>
        <v>0</v>
      </c>
      <c r="R282" s="29">
        <f t="shared" si="89"/>
        <v>234777.82814612627</v>
      </c>
      <c r="S282" s="29">
        <f t="shared" si="81"/>
        <v>234777.74446370991</v>
      </c>
      <c r="T282" s="29">
        <f t="shared" si="90"/>
        <v>234777.74446370991</v>
      </c>
      <c r="U282">
        <f t="shared" si="91"/>
        <v>0</v>
      </c>
      <c r="V282" s="29">
        <f t="shared" si="92"/>
        <v>234777.74446370991</v>
      </c>
      <c r="W282" s="29">
        <f t="shared" si="82"/>
        <v>234777.74446370997</v>
      </c>
      <c r="X282" s="29">
        <f t="shared" si="93"/>
        <v>234777.74446370997</v>
      </c>
      <c r="Y282">
        <f t="shared" si="94"/>
        <v>0</v>
      </c>
    </row>
    <row r="283" spans="1:25" x14ac:dyDescent="0.25">
      <c r="A283" s="4" t="s">
        <v>1195</v>
      </c>
      <c r="B283" s="7" t="s">
        <v>609</v>
      </c>
      <c r="C283" s="2" t="s">
        <v>1196</v>
      </c>
      <c r="D283">
        <f>VLOOKUP(B283,'Model allocations'!$A$1:$L$316,5,FALSE)</f>
        <v>173260.69238803495</v>
      </c>
      <c r="E283" s="31">
        <f>VLOOKUP(B283,'Initial adjusted formula count'!$A$1:$P$316,12,FALSE)</f>
        <v>0.314285714285714</v>
      </c>
      <c r="F283">
        <f>VLOOKUP(B283,'Model allocations'!$A$1:$L$316,10,FALSE)</f>
        <v>175634.38847638795</v>
      </c>
      <c r="G283" s="30">
        <f t="shared" si="83"/>
        <v>0.95</v>
      </c>
      <c r="H283">
        <f t="shared" si="84"/>
        <v>164597.65776863319</v>
      </c>
      <c r="I283">
        <f t="shared" si="76"/>
        <v>0</v>
      </c>
      <c r="J283">
        <f t="shared" si="77"/>
        <v>175634.38847638795</v>
      </c>
      <c r="K283">
        <f t="shared" si="78"/>
        <v>175500.28070275081</v>
      </c>
      <c r="L283">
        <f t="shared" si="85"/>
        <v>175500.28070275081</v>
      </c>
      <c r="M283">
        <f t="shared" si="79"/>
        <v>0</v>
      </c>
      <c r="N283" s="29">
        <f t="shared" si="86"/>
        <v>175500.28070275081</v>
      </c>
      <c r="O283" s="29">
        <f t="shared" si="80"/>
        <v>175490.31253328806</v>
      </c>
      <c r="P283" s="29">
        <f t="shared" si="87"/>
        <v>175490.31253328806</v>
      </c>
      <c r="Q283">
        <f t="shared" si="88"/>
        <v>0</v>
      </c>
      <c r="R283" s="29">
        <f t="shared" si="89"/>
        <v>175490.31253328806</v>
      </c>
      <c r="S283" s="29">
        <f t="shared" si="81"/>
        <v>175490.24998286105</v>
      </c>
      <c r="T283" s="29">
        <f t="shared" si="90"/>
        <v>175490.24998286105</v>
      </c>
      <c r="U283">
        <f t="shared" si="91"/>
        <v>0</v>
      </c>
      <c r="V283" s="29">
        <f t="shared" si="92"/>
        <v>175490.24998286105</v>
      </c>
      <c r="W283" s="29">
        <f t="shared" si="82"/>
        <v>175490.24998286105</v>
      </c>
      <c r="X283" s="29">
        <f t="shared" si="93"/>
        <v>175490.24998286105</v>
      </c>
      <c r="Y283">
        <f t="shared" si="94"/>
        <v>0</v>
      </c>
    </row>
    <row r="284" spans="1:25" x14ac:dyDescent="0.25">
      <c r="A284" s="4" t="s">
        <v>1197</v>
      </c>
      <c r="B284" s="7" t="s">
        <v>248</v>
      </c>
      <c r="C284" s="2" t="s">
        <v>1198</v>
      </c>
      <c r="D284">
        <f>VLOOKUP(B284,'Model allocations'!$A$1:$L$316,5,FALSE)</f>
        <v>199120.7083870004</v>
      </c>
      <c r="E284" s="31">
        <f>VLOOKUP(B284,'Initial adjusted formula count'!$A$1:$P$316,12,FALSE)</f>
        <v>9.6267875828391997E-2</v>
      </c>
      <c r="F284">
        <f>VLOOKUP(B284,'Model allocations'!$A$1:$L$316,10,FALSE)</f>
        <v>234970.57859782243</v>
      </c>
      <c r="G284" s="30">
        <f t="shared" si="83"/>
        <v>0.85</v>
      </c>
      <c r="H284">
        <f t="shared" si="84"/>
        <v>169252.60212895033</v>
      </c>
      <c r="I284">
        <f t="shared" si="76"/>
        <v>0</v>
      </c>
      <c r="J284">
        <f t="shared" si="77"/>
        <v>234970.57859782243</v>
      </c>
      <c r="K284">
        <f t="shared" si="78"/>
        <v>234791.16395448669</v>
      </c>
      <c r="L284">
        <f t="shared" si="85"/>
        <v>234791.16395448669</v>
      </c>
      <c r="M284">
        <f t="shared" si="79"/>
        <v>0</v>
      </c>
      <c r="N284" s="29">
        <f t="shared" si="86"/>
        <v>234791.16395448669</v>
      </c>
      <c r="O284" s="29">
        <f t="shared" si="80"/>
        <v>234777.82814612627</v>
      </c>
      <c r="P284" s="29">
        <f t="shared" si="87"/>
        <v>234777.82814612627</v>
      </c>
      <c r="Q284">
        <f t="shared" si="88"/>
        <v>0</v>
      </c>
      <c r="R284" s="29">
        <f t="shared" si="89"/>
        <v>234777.82814612627</v>
      </c>
      <c r="S284" s="29">
        <f t="shared" si="81"/>
        <v>234777.74446370991</v>
      </c>
      <c r="T284" s="29">
        <f t="shared" si="90"/>
        <v>234777.74446370991</v>
      </c>
      <c r="U284">
        <f t="shared" si="91"/>
        <v>0</v>
      </c>
      <c r="V284" s="29">
        <f t="shared" si="92"/>
        <v>234777.74446370991</v>
      </c>
      <c r="W284" s="29">
        <f t="shared" si="82"/>
        <v>234777.74446370997</v>
      </c>
      <c r="X284" s="29">
        <f t="shared" si="93"/>
        <v>234777.74446370997</v>
      </c>
      <c r="Y284">
        <f t="shared" si="94"/>
        <v>0</v>
      </c>
    </row>
    <row r="285" spans="1:25" x14ac:dyDescent="0.25">
      <c r="A285" s="4" t="s">
        <v>1199</v>
      </c>
      <c r="B285" s="7" t="s">
        <v>611</v>
      </c>
      <c r="C285" s="2" t="s">
        <v>1200</v>
      </c>
      <c r="D285">
        <f>VLOOKUP(B285,'Model allocations'!$A$1:$L$316,5,FALSE)</f>
        <v>46331.930429351429</v>
      </c>
      <c r="E285" s="31">
        <f>VLOOKUP(B285,'Initial adjusted formula count'!$A$1:$P$316,12,FALSE)</f>
        <v>0.243055555555556</v>
      </c>
      <c r="F285">
        <f>VLOOKUP(B285,'Model allocations'!$A$1:$L$316,10,FALSE)</f>
        <v>41727.691253352954</v>
      </c>
      <c r="G285" s="30">
        <f t="shared" si="83"/>
        <v>0.9</v>
      </c>
      <c r="H285">
        <f t="shared" si="84"/>
        <v>41698.737386416287</v>
      </c>
      <c r="I285">
        <f t="shared" si="76"/>
        <v>0</v>
      </c>
      <c r="J285">
        <f t="shared" si="77"/>
        <v>41727.691253352954</v>
      </c>
      <c r="K285">
        <f t="shared" si="78"/>
        <v>41695.829567144741</v>
      </c>
      <c r="L285">
        <f t="shared" si="85"/>
        <v>41695.829567144741</v>
      </c>
      <c r="M285">
        <f t="shared" si="79"/>
        <v>41698.737386416287</v>
      </c>
      <c r="N285" s="29">
        <f t="shared" si="86"/>
        <v>0</v>
      </c>
      <c r="O285" s="29">
        <f t="shared" si="80"/>
        <v>0</v>
      </c>
      <c r="P285" s="29">
        <f t="shared" si="87"/>
        <v>41698.737386416287</v>
      </c>
      <c r="Q285">
        <f t="shared" si="88"/>
        <v>0</v>
      </c>
      <c r="R285" s="29">
        <f t="shared" si="89"/>
        <v>0</v>
      </c>
      <c r="S285" s="29">
        <f t="shared" si="81"/>
        <v>0</v>
      </c>
      <c r="T285" s="29">
        <f t="shared" si="90"/>
        <v>41698.737386416287</v>
      </c>
      <c r="U285">
        <f t="shared" si="91"/>
        <v>0</v>
      </c>
      <c r="V285" s="29">
        <f t="shared" si="92"/>
        <v>0</v>
      </c>
      <c r="W285" s="29">
        <f t="shared" si="82"/>
        <v>0</v>
      </c>
      <c r="X285" s="29">
        <f t="shared" si="93"/>
        <v>41698.737386416287</v>
      </c>
      <c r="Y285">
        <f t="shared" si="94"/>
        <v>0</v>
      </c>
    </row>
    <row r="286" spans="1:25" x14ac:dyDescent="0.25">
      <c r="A286" s="4" t="s">
        <v>49</v>
      </c>
      <c r="B286" s="7" t="s">
        <v>63</v>
      </c>
      <c r="C286" s="2" t="s">
        <v>1201</v>
      </c>
      <c r="D286">
        <f>VLOOKUP(B286,'Model allocations'!$A$1:$L$316,5,FALSE)</f>
        <v>1672089.2740748546</v>
      </c>
      <c r="E286" s="31">
        <f>VLOOKUP(B286,'Initial adjusted formula count'!$A$1:$P$316,12,FALSE)</f>
        <v>0.11281099129941199</v>
      </c>
      <c r="F286">
        <f>VLOOKUP(B286,'Model allocations'!$A$1:$L$316,10,FALSE)</f>
        <v>1729494.5715278531</v>
      </c>
      <c r="G286" s="30">
        <f t="shared" si="83"/>
        <v>0.85</v>
      </c>
      <c r="H286">
        <f t="shared" si="84"/>
        <v>1421275.8829636264</v>
      </c>
      <c r="I286">
        <f t="shared" si="76"/>
        <v>0</v>
      </c>
      <c r="J286">
        <f t="shared" si="77"/>
        <v>1729494.5715278531</v>
      </c>
      <c r="K286">
        <f t="shared" si="78"/>
        <v>1728173.9949111829</v>
      </c>
      <c r="L286">
        <f t="shared" si="85"/>
        <v>1728173.9949111829</v>
      </c>
      <c r="M286">
        <f t="shared" si="79"/>
        <v>0</v>
      </c>
      <c r="N286" s="29">
        <f t="shared" si="86"/>
        <v>1728173.9949111829</v>
      </c>
      <c r="O286" s="29">
        <f t="shared" si="80"/>
        <v>1728075.837055404</v>
      </c>
      <c r="P286" s="29">
        <f t="shared" si="87"/>
        <v>1728075.837055404</v>
      </c>
      <c r="Q286">
        <f t="shared" si="88"/>
        <v>0</v>
      </c>
      <c r="R286" s="29">
        <f t="shared" si="89"/>
        <v>1728075.837055404</v>
      </c>
      <c r="S286" s="29">
        <f t="shared" si="81"/>
        <v>1728075.2211132476</v>
      </c>
      <c r="T286" s="29">
        <f t="shared" si="90"/>
        <v>1728075.2211132476</v>
      </c>
      <c r="U286">
        <f t="shared" si="91"/>
        <v>0</v>
      </c>
      <c r="V286" s="29">
        <f t="shared" si="92"/>
        <v>1728075.2211132476</v>
      </c>
      <c r="W286" s="29">
        <f t="shared" si="82"/>
        <v>1728075.2211132478</v>
      </c>
      <c r="X286" s="29">
        <f t="shared" si="93"/>
        <v>1728075.2211132478</v>
      </c>
      <c r="Y286">
        <f t="shared" si="94"/>
        <v>0</v>
      </c>
    </row>
    <row r="287" spans="1:25" x14ac:dyDescent="0.25">
      <c r="A287" s="4" t="s">
        <v>1202</v>
      </c>
      <c r="B287" s="7" t="s">
        <v>250</v>
      </c>
      <c r="C287" s="2" t="s">
        <v>1203</v>
      </c>
      <c r="D287">
        <f>VLOOKUP(B287,'Model allocations'!$A$1:$L$316,5,FALSE)</f>
        <v>47788.970012880083</v>
      </c>
      <c r="E287" s="31">
        <f>VLOOKUP(B287,'Initial adjusted formula count'!$A$1:$P$316,12,FALSE)</f>
        <v>7.9608938547486005E-2</v>
      </c>
      <c r="F287">
        <f>VLOOKUP(B287,'Model allocations'!$A$1:$L$316,10,FALSE)</f>
        <v>48526.53253650682</v>
      </c>
      <c r="G287" s="30">
        <f t="shared" si="83"/>
        <v>0.85</v>
      </c>
      <c r="H287">
        <f t="shared" si="84"/>
        <v>40620.624510948073</v>
      </c>
      <c r="I287">
        <f t="shared" si="76"/>
        <v>0</v>
      </c>
      <c r="J287">
        <f t="shared" si="77"/>
        <v>48526.53253650682</v>
      </c>
      <c r="K287">
        <f t="shared" si="78"/>
        <v>48489.479512339654</v>
      </c>
      <c r="L287">
        <f t="shared" si="85"/>
        <v>48489.479512339654</v>
      </c>
      <c r="M287">
        <f t="shared" si="79"/>
        <v>0</v>
      </c>
      <c r="N287" s="29">
        <f t="shared" si="86"/>
        <v>48489.479512339654</v>
      </c>
      <c r="O287" s="29">
        <f t="shared" si="80"/>
        <v>48486.725378004354</v>
      </c>
      <c r="P287" s="29">
        <f t="shared" si="87"/>
        <v>48486.725378004354</v>
      </c>
      <c r="Q287">
        <f t="shared" si="88"/>
        <v>0</v>
      </c>
      <c r="R287" s="29">
        <f t="shared" si="89"/>
        <v>48486.725378004354</v>
      </c>
      <c r="S287" s="29">
        <f t="shared" si="81"/>
        <v>48486.708095766189</v>
      </c>
      <c r="T287" s="29">
        <f t="shared" si="90"/>
        <v>48486.708095766189</v>
      </c>
      <c r="U287">
        <f t="shared" si="91"/>
        <v>0</v>
      </c>
      <c r="V287" s="29">
        <f t="shared" si="92"/>
        <v>48486.708095766189</v>
      </c>
      <c r="W287" s="29">
        <f t="shared" si="82"/>
        <v>48486.708095766196</v>
      </c>
      <c r="X287" s="29">
        <f t="shared" si="93"/>
        <v>48486.708095766196</v>
      </c>
      <c r="Y287">
        <f t="shared" si="94"/>
        <v>0</v>
      </c>
    </row>
    <row r="288" spans="1:25" x14ac:dyDescent="0.25">
      <c r="A288" s="4" t="s">
        <v>1204</v>
      </c>
      <c r="B288" s="7" t="s">
        <v>613</v>
      </c>
      <c r="C288" s="2" t="s">
        <v>1205</v>
      </c>
      <c r="D288">
        <f>VLOOKUP(B288,'Model allocations'!$A$1:$L$316,5,FALSE)</f>
        <v>50032.650004897354</v>
      </c>
      <c r="E288" s="31">
        <f>VLOOKUP(B288,'Initial adjusted formula count'!$A$1:$P$316,12,FALSE)</f>
        <v>0.158</v>
      </c>
      <c r="F288">
        <f>VLOOKUP(B288,'Model allocations'!$A$1:$L$316,10,FALSE)</f>
        <v>45029.385004407617</v>
      </c>
      <c r="G288" s="30">
        <f t="shared" si="83"/>
        <v>0.9</v>
      </c>
      <c r="H288">
        <f t="shared" si="84"/>
        <v>45029.385004407617</v>
      </c>
      <c r="I288">
        <f t="shared" si="76"/>
        <v>0</v>
      </c>
      <c r="J288">
        <f t="shared" si="77"/>
        <v>45029.385004407617</v>
      </c>
      <c r="K288">
        <f t="shared" si="78"/>
        <v>44995.002269775883</v>
      </c>
      <c r="L288">
        <f t="shared" si="85"/>
        <v>44995.002269775883</v>
      </c>
      <c r="M288">
        <f t="shared" si="79"/>
        <v>45029.385004407617</v>
      </c>
      <c r="N288" s="29">
        <f t="shared" si="86"/>
        <v>0</v>
      </c>
      <c r="O288" s="29">
        <f t="shared" si="80"/>
        <v>0</v>
      </c>
      <c r="P288" s="29">
        <f t="shared" si="87"/>
        <v>45029.385004407617</v>
      </c>
      <c r="Q288">
        <f t="shared" si="88"/>
        <v>0</v>
      </c>
      <c r="R288" s="29">
        <f t="shared" si="89"/>
        <v>0</v>
      </c>
      <c r="S288" s="29">
        <f t="shared" si="81"/>
        <v>0</v>
      </c>
      <c r="T288" s="29">
        <f t="shared" si="90"/>
        <v>45029.385004407617</v>
      </c>
      <c r="U288">
        <f t="shared" si="91"/>
        <v>0</v>
      </c>
      <c r="V288" s="29">
        <f t="shared" si="92"/>
        <v>0</v>
      </c>
      <c r="W288" s="29">
        <f t="shared" si="82"/>
        <v>0</v>
      </c>
      <c r="X288" s="29">
        <f t="shared" si="93"/>
        <v>45029.385004407617</v>
      </c>
      <c r="Y288">
        <f t="shared" si="94"/>
        <v>0</v>
      </c>
    </row>
    <row r="289" spans="1:25" x14ac:dyDescent="0.25">
      <c r="A289" s="4" t="s">
        <v>1206</v>
      </c>
      <c r="B289" s="7" t="s">
        <v>615</v>
      </c>
      <c r="C289" s="2" t="s">
        <v>1207</v>
      </c>
      <c r="D289">
        <f>VLOOKUP(B289,'Model allocations'!$A$1:$L$316,5,FALSE)</f>
        <v>140437.87743390026</v>
      </c>
      <c r="E289" s="31">
        <f>VLOOKUP(B289,'Initial adjusted formula count'!$A$1:$P$316,12,FALSE)</f>
        <v>0.176558603491272</v>
      </c>
      <c r="F289">
        <f>VLOOKUP(B289,'Model allocations'!$A$1:$L$316,10,FALSE)</f>
        <v>163975.30373640236</v>
      </c>
      <c r="G289" s="30">
        <f t="shared" si="83"/>
        <v>0.9</v>
      </c>
      <c r="H289">
        <f t="shared" si="84"/>
        <v>126394.08969051023</v>
      </c>
      <c r="I289">
        <f t="shared" si="76"/>
        <v>0</v>
      </c>
      <c r="J289">
        <f t="shared" si="77"/>
        <v>163975.30373640236</v>
      </c>
      <c r="K289">
        <f t="shared" si="78"/>
        <v>163850.09839873287</v>
      </c>
      <c r="L289">
        <f t="shared" si="85"/>
        <v>163850.09839873287</v>
      </c>
      <c r="M289">
        <f t="shared" si="79"/>
        <v>0</v>
      </c>
      <c r="N289" s="29">
        <f t="shared" si="86"/>
        <v>163850.09839873287</v>
      </c>
      <c r="O289" s="29">
        <f t="shared" si="80"/>
        <v>163840.79194326291</v>
      </c>
      <c r="P289" s="29">
        <f t="shared" si="87"/>
        <v>163840.79194326291</v>
      </c>
      <c r="Q289">
        <f t="shared" si="88"/>
        <v>0</v>
      </c>
      <c r="R289" s="29">
        <f t="shared" si="89"/>
        <v>163840.79194326291</v>
      </c>
      <c r="S289" s="29">
        <f t="shared" si="81"/>
        <v>163840.73354510206</v>
      </c>
      <c r="T289" s="29">
        <f t="shared" si="90"/>
        <v>163840.73354510206</v>
      </c>
      <c r="U289">
        <f t="shared" si="91"/>
        <v>0</v>
      </c>
      <c r="V289" s="29">
        <f t="shared" si="92"/>
        <v>163840.73354510206</v>
      </c>
      <c r="W289" s="29">
        <f t="shared" si="82"/>
        <v>163840.73354510206</v>
      </c>
      <c r="X289" s="29">
        <f t="shared" si="93"/>
        <v>163840.73354510206</v>
      </c>
      <c r="Y289">
        <f t="shared" si="94"/>
        <v>0</v>
      </c>
    </row>
    <row r="290" spans="1:25" x14ac:dyDescent="0.25">
      <c r="A290" s="4" t="s">
        <v>1208</v>
      </c>
      <c r="B290" s="7" t="s">
        <v>617</v>
      </c>
      <c r="C290" s="2" t="s">
        <v>1209</v>
      </c>
      <c r="D290">
        <f>VLOOKUP(B290,'Model allocations'!$A$1:$L$316,5,FALSE)</f>
        <v>15510.455179618972</v>
      </c>
      <c r="E290" s="31">
        <f>VLOOKUP(B290,'Initial adjusted formula count'!$A$1:$P$316,12,FALSE)</f>
        <v>5.4945054945054903E-2</v>
      </c>
      <c r="F290">
        <f>VLOOKUP(B290,'Model allocations'!$A$1:$L$316,10,FALSE)</f>
        <v>13193.041244774087</v>
      </c>
      <c r="G290" s="30">
        <f t="shared" si="83"/>
        <v>0.85</v>
      </c>
      <c r="H290">
        <f t="shared" si="84"/>
        <v>13183.886902676126</v>
      </c>
      <c r="I290">
        <f t="shared" si="76"/>
        <v>0</v>
      </c>
      <c r="J290">
        <f t="shared" si="77"/>
        <v>13193.041244774087</v>
      </c>
      <c r="K290">
        <f t="shared" si="78"/>
        <v>13182.967537659051</v>
      </c>
      <c r="L290">
        <f t="shared" si="85"/>
        <v>13182.967537659051</v>
      </c>
      <c r="M290">
        <f t="shared" si="79"/>
        <v>13183.886902676126</v>
      </c>
      <c r="N290" s="29">
        <f t="shared" si="86"/>
        <v>0</v>
      </c>
      <c r="O290" s="29">
        <f t="shared" si="80"/>
        <v>0</v>
      </c>
      <c r="P290" s="29">
        <f t="shared" si="87"/>
        <v>13183.886902676126</v>
      </c>
      <c r="Q290">
        <f t="shared" si="88"/>
        <v>0</v>
      </c>
      <c r="R290" s="29">
        <f t="shared" si="89"/>
        <v>0</v>
      </c>
      <c r="S290" s="29">
        <f t="shared" si="81"/>
        <v>0</v>
      </c>
      <c r="T290" s="29">
        <f t="shared" si="90"/>
        <v>13183.886902676126</v>
      </c>
      <c r="U290">
        <f t="shared" si="91"/>
        <v>0</v>
      </c>
      <c r="V290" s="29">
        <f t="shared" si="92"/>
        <v>0</v>
      </c>
      <c r="W290" s="29">
        <f t="shared" si="82"/>
        <v>0</v>
      </c>
      <c r="X290" s="29">
        <f t="shared" si="93"/>
        <v>13183.886902676126</v>
      </c>
      <c r="Y290">
        <f t="shared" si="94"/>
        <v>0</v>
      </c>
    </row>
    <row r="291" spans="1:25" x14ac:dyDescent="0.25">
      <c r="A291" s="4" t="s">
        <v>1210</v>
      </c>
      <c r="B291" s="7" t="s">
        <v>619</v>
      </c>
      <c r="C291" s="2" t="s">
        <v>1211</v>
      </c>
      <c r="D291">
        <f>VLOOKUP(B291,'Model allocations'!$A$1:$L$316,5,FALSE)</f>
        <v>524211.46492198692</v>
      </c>
      <c r="E291" s="31">
        <f>VLOOKUP(B291,'Initial adjusted formula count'!$A$1:$P$316,12,FALSE)</f>
        <v>0.134801016088061</v>
      </c>
      <c r="F291">
        <f>VLOOKUP(B291,'Model allocations'!$A$1:$L$316,10,FALSE)</f>
        <v>445889.1372051349</v>
      </c>
      <c r="G291" s="30">
        <f t="shared" si="83"/>
        <v>0.85</v>
      </c>
      <c r="H291">
        <f t="shared" si="84"/>
        <v>445579.74518368888</v>
      </c>
      <c r="I291">
        <f t="shared" si="76"/>
        <v>0</v>
      </c>
      <c r="J291">
        <f t="shared" si="77"/>
        <v>445889.1372051349</v>
      </c>
      <c r="K291">
        <f t="shared" si="78"/>
        <v>445548.67313088215</v>
      </c>
      <c r="L291">
        <f t="shared" si="85"/>
        <v>445548.67313088215</v>
      </c>
      <c r="M291">
        <f t="shared" si="79"/>
        <v>445579.74518368888</v>
      </c>
      <c r="N291" s="29">
        <f t="shared" si="86"/>
        <v>0</v>
      </c>
      <c r="O291" s="29">
        <f t="shared" si="80"/>
        <v>0</v>
      </c>
      <c r="P291" s="29">
        <f t="shared" si="87"/>
        <v>445579.74518368888</v>
      </c>
      <c r="Q291">
        <f t="shared" si="88"/>
        <v>0</v>
      </c>
      <c r="R291" s="29">
        <f t="shared" si="89"/>
        <v>0</v>
      </c>
      <c r="S291" s="29">
        <f t="shared" si="81"/>
        <v>0</v>
      </c>
      <c r="T291" s="29">
        <f t="shared" si="90"/>
        <v>445579.74518368888</v>
      </c>
      <c r="U291">
        <f t="shared" si="91"/>
        <v>0</v>
      </c>
      <c r="V291" s="29">
        <f t="shared" si="92"/>
        <v>0</v>
      </c>
      <c r="W291" s="29">
        <f t="shared" si="82"/>
        <v>0</v>
      </c>
      <c r="X291" s="29">
        <f t="shared" si="93"/>
        <v>445579.74518368888</v>
      </c>
      <c r="Y291">
        <f t="shared" si="94"/>
        <v>0</v>
      </c>
    </row>
    <row r="292" spans="1:25" x14ac:dyDescent="0.25">
      <c r="A292" s="4" t="s">
        <v>1212</v>
      </c>
      <c r="B292" s="7" t="s">
        <v>620</v>
      </c>
      <c r="C292" s="2" t="s">
        <v>1213</v>
      </c>
      <c r="D292">
        <f>VLOOKUP(B292,'Model allocations'!$A$1:$L$316,5,FALSE)</f>
        <v>425395.79968211905</v>
      </c>
      <c r="E292" s="31">
        <f>VLOOKUP(B292,'Initial adjusted formula count'!$A$1:$P$316,12,FALSE)</f>
        <v>0.25252234073219898</v>
      </c>
      <c r="F292">
        <f>VLOOKUP(B292,'Model allocations'!$A$1:$L$316,10,FALSE)</f>
        <v>514807.09713533038</v>
      </c>
      <c r="G292" s="30">
        <f t="shared" si="83"/>
        <v>0.9</v>
      </c>
      <c r="H292">
        <f t="shared" si="84"/>
        <v>382856.21971390716</v>
      </c>
      <c r="I292">
        <f t="shared" si="76"/>
        <v>0</v>
      </c>
      <c r="J292">
        <f t="shared" si="77"/>
        <v>514807.09713533038</v>
      </c>
      <c r="K292">
        <f t="shared" si="78"/>
        <v>514414.00991449435</v>
      </c>
      <c r="L292">
        <f t="shared" si="85"/>
        <v>514414.00991449435</v>
      </c>
      <c r="M292">
        <f t="shared" si="79"/>
        <v>0</v>
      </c>
      <c r="N292" s="29">
        <f t="shared" si="86"/>
        <v>514414.00991449435</v>
      </c>
      <c r="O292" s="29">
        <f t="shared" si="80"/>
        <v>514384.79192119942</v>
      </c>
      <c r="P292" s="29">
        <f t="shared" si="87"/>
        <v>514384.79192119942</v>
      </c>
      <c r="Q292">
        <f t="shared" si="88"/>
        <v>0</v>
      </c>
      <c r="R292" s="29">
        <f t="shared" si="89"/>
        <v>514384.79192119942</v>
      </c>
      <c r="S292" s="29">
        <f t="shared" si="81"/>
        <v>514384.60857781192</v>
      </c>
      <c r="T292" s="29">
        <f t="shared" si="90"/>
        <v>514384.60857781192</v>
      </c>
      <c r="U292">
        <f t="shared" si="91"/>
        <v>0</v>
      </c>
      <c r="V292" s="29">
        <f t="shared" si="92"/>
        <v>514384.60857781192</v>
      </c>
      <c r="W292" s="29">
        <f t="shared" si="82"/>
        <v>514384.60857781197</v>
      </c>
      <c r="X292" s="29">
        <f t="shared" si="93"/>
        <v>514384.60857781197</v>
      </c>
      <c r="Y292">
        <f t="shared" si="94"/>
        <v>0</v>
      </c>
    </row>
    <row r="293" spans="1:25" x14ac:dyDescent="0.25">
      <c r="A293" s="4" t="s">
        <v>1214</v>
      </c>
      <c r="B293" s="7" t="s">
        <v>622</v>
      </c>
      <c r="C293" s="2" t="s">
        <v>1215</v>
      </c>
      <c r="D293">
        <f>VLOOKUP(B293,'Model allocations'!$A$1:$L$316,5,FALSE)</f>
        <v>108959.17651052236</v>
      </c>
      <c r="E293" s="31">
        <f>VLOOKUP(B293,'Initial adjusted formula count'!$A$1:$P$316,12,FALSE)</f>
        <v>0.19351100811124</v>
      </c>
      <c r="F293">
        <f>VLOOKUP(B293,'Model allocations'!$A$1:$L$316,10,FALSE)</f>
        <v>98131.349903140901</v>
      </c>
      <c r="G293" s="30">
        <f t="shared" si="83"/>
        <v>0.9</v>
      </c>
      <c r="H293">
        <f t="shared" si="84"/>
        <v>98063.258859470123</v>
      </c>
      <c r="I293">
        <f t="shared" si="76"/>
        <v>0</v>
      </c>
      <c r="J293">
        <f t="shared" si="77"/>
        <v>98131.349903140901</v>
      </c>
      <c r="K293">
        <f t="shared" si="78"/>
        <v>98056.420517308885</v>
      </c>
      <c r="L293">
        <f t="shared" si="85"/>
        <v>98056.420517308885</v>
      </c>
      <c r="M293">
        <f t="shared" si="79"/>
        <v>98063.258859470123</v>
      </c>
      <c r="N293" s="29">
        <f t="shared" si="86"/>
        <v>0</v>
      </c>
      <c r="O293" s="29">
        <f t="shared" si="80"/>
        <v>0</v>
      </c>
      <c r="P293" s="29">
        <f t="shared" si="87"/>
        <v>98063.258859470123</v>
      </c>
      <c r="Q293">
        <f t="shared" si="88"/>
        <v>0</v>
      </c>
      <c r="R293" s="29">
        <f t="shared" si="89"/>
        <v>0</v>
      </c>
      <c r="S293" s="29">
        <f t="shared" si="81"/>
        <v>0</v>
      </c>
      <c r="T293" s="29">
        <f t="shared" si="90"/>
        <v>98063.258859470123</v>
      </c>
      <c r="U293">
        <f t="shared" si="91"/>
        <v>0</v>
      </c>
      <c r="V293" s="29">
        <f t="shared" si="92"/>
        <v>0</v>
      </c>
      <c r="W293" s="29">
        <f t="shared" si="82"/>
        <v>0</v>
      </c>
      <c r="X293" s="29">
        <f t="shared" si="93"/>
        <v>98063.258859470123</v>
      </c>
      <c r="Y293">
        <f t="shared" si="94"/>
        <v>0</v>
      </c>
    </row>
    <row r="294" spans="1:25" x14ac:dyDescent="0.25">
      <c r="A294" s="4" t="s">
        <v>1216</v>
      </c>
      <c r="B294" s="7" t="s">
        <v>252</v>
      </c>
      <c r="C294" s="2" t="s">
        <v>1217</v>
      </c>
      <c r="D294">
        <f>VLOOKUP(B294,'Model allocations'!$A$1:$L$316,5,FALSE)</f>
        <v>106896.38029196864</v>
      </c>
      <c r="E294" s="31">
        <f>VLOOKUP(B294,'Initial adjusted formula count'!$A$1:$P$316,12,FALSE)</f>
        <v>7.3478144274604404E-2</v>
      </c>
      <c r="F294">
        <f>VLOOKUP(B294,'Model allocations'!$A$1:$L$316,10,FALSE)</f>
        <v>116633.94662283213</v>
      </c>
      <c r="G294" s="30">
        <f t="shared" si="83"/>
        <v>0.85</v>
      </c>
      <c r="H294">
        <f t="shared" si="84"/>
        <v>90861.923248173349</v>
      </c>
      <c r="I294">
        <f t="shared" si="76"/>
        <v>0</v>
      </c>
      <c r="J294">
        <f t="shared" si="77"/>
        <v>116633.94662283213</v>
      </c>
      <c r="K294">
        <f t="shared" si="78"/>
        <v>116544.88935421982</v>
      </c>
      <c r="L294">
        <f t="shared" si="85"/>
        <v>116544.88935421982</v>
      </c>
      <c r="M294">
        <f t="shared" si="79"/>
        <v>0</v>
      </c>
      <c r="N294" s="29">
        <f t="shared" si="86"/>
        <v>116544.88935421982</v>
      </c>
      <c r="O294" s="29">
        <f t="shared" si="80"/>
        <v>116538.26976818584</v>
      </c>
      <c r="P294" s="29">
        <f t="shared" si="87"/>
        <v>116538.26976818584</v>
      </c>
      <c r="Q294">
        <f t="shared" si="88"/>
        <v>0</v>
      </c>
      <c r="R294" s="29">
        <f t="shared" si="89"/>
        <v>116538.26976818584</v>
      </c>
      <c r="S294" s="29">
        <f t="shared" si="81"/>
        <v>116538.22823017482</v>
      </c>
      <c r="T294" s="29">
        <f t="shared" si="90"/>
        <v>116538.22823017482</v>
      </c>
      <c r="U294">
        <f t="shared" si="91"/>
        <v>0</v>
      </c>
      <c r="V294" s="29">
        <f t="shared" si="92"/>
        <v>116538.22823017482</v>
      </c>
      <c r="W294" s="29">
        <f t="shared" si="82"/>
        <v>116538.22823017482</v>
      </c>
      <c r="X294" s="29">
        <f t="shared" si="93"/>
        <v>116538.22823017482</v>
      </c>
      <c r="Y294">
        <f t="shared" si="94"/>
        <v>0</v>
      </c>
    </row>
    <row r="295" spans="1:25" x14ac:dyDescent="0.25">
      <c r="A295" s="4" t="s">
        <v>1218</v>
      </c>
      <c r="B295" s="7" t="s">
        <v>624</v>
      </c>
      <c r="C295" s="2" t="s">
        <v>1219</v>
      </c>
      <c r="D295">
        <f>VLOOKUP(B295,'Model allocations'!$A$1:$L$316,5,FALSE)</f>
        <v>0</v>
      </c>
      <c r="E295" s="31">
        <f>VLOOKUP(B295,'Initial adjusted formula count'!$A$1:$P$316,12,FALSE)</f>
        <v>7.5757575757575801E-2</v>
      </c>
      <c r="F295">
        <f>VLOOKUP(B295,'Model allocations'!$A$1:$L$316,10,FALSE)</f>
        <v>0</v>
      </c>
      <c r="G295" s="30">
        <f t="shared" si="83"/>
        <v>0.85</v>
      </c>
      <c r="H295">
        <f t="shared" si="84"/>
        <v>0</v>
      </c>
      <c r="I295">
        <f t="shared" si="76"/>
        <v>0</v>
      </c>
      <c r="J295">
        <f t="shared" si="77"/>
        <v>0</v>
      </c>
      <c r="K295">
        <f t="shared" si="78"/>
        <v>0</v>
      </c>
      <c r="L295">
        <f t="shared" si="85"/>
        <v>0</v>
      </c>
      <c r="M295">
        <f t="shared" si="79"/>
        <v>0</v>
      </c>
      <c r="N295" s="29">
        <f t="shared" si="86"/>
        <v>0</v>
      </c>
      <c r="O295" s="29">
        <f t="shared" si="80"/>
        <v>0</v>
      </c>
      <c r="P295" s="29">
        <f t="shared" si="87"/>
        <v>0</v>
      </c>
      <c r="Q295">
        <f t="shared" si="88"/>
        <v>0</v>
      </c>
      <c r="R295" s="29">
        <f t="shared" si="89"/>
        <v>0</v>
      </c>
      <c r="S295" s="29">
        <f t="shared" si="81"/>
        <v>0</v>
      </c>
      <c r="T295" s="29">
        <f t="shared" si="90"/>
        <v>0</v>
      </c>
      <c r="U295">
        <f t="shared" si="91"/>
        <v>0</v>
      </c>
      <c r="V295" s="29">
        <f t="shared" si="92"/>
        <v>0</v>
      </c>
      <c r="W295" s="29">
        <f t="shared" si="82"/>
        <v>0</v>
      </c>
      <c r="X295" s="29">
        <f t="shared" si="93"/>
        <v>0</v>
      </c>
      <c r="Y295">
        <f t="shared" si="94"/>
        <v>0</v>
      </c>
    </row>
    <row r="296" spans="1:25" x14ac:dyDescent="0.25">
      <c r="A296" s="4" t="s">
        <v>1220</v>
      </c>
      <c r="B296" s="7" t="s">
        <v>626</v>
      </c>
      <c r="C296" s="2" t="s">
        <v>1221</v>
      </c>
      <c r="D296">
        <f>VLOOKUP(B296,'Model allocations'!$A$1:$L$316,5,FALSE)</f>
        <v>16348.85816230107</v>
      </c>
      <c r="E296" s="31">
        <f>VLOOKUP(B296,'Initial adjusted formula count'!$A$1:$P$316,12,FALSE)</f>
        <v>0.13803680981595101</v>
      </c>
      <c r="F296">
        <f>VLOOKUP(B296,'Model allocations'!$A$1:$L$316,10,FALSE)</f>
        <v>19155.210211778998</v>
      </c>
      <c r="G296" s="30">
        <f t="shared" si="83"/>
        <v>0.85</v>
      </c>
      <c r="H296">
        <f t="shared" si="84"/>
        <v>13896.529437955909</v>
      </c>
      <c r="I296">
        <f t="shared" si="76"/>
        <v>0</v>
      </c>
      <c r="J296">
        <f t="shared" si="77"/>
        <v>19155.210211778998</v>
      </c>
      <c r="K296">
        <f t="shared" si="78"/>
        <v>19140.5840180288</v>
      </c>
      <c r="L296">
        <f t="shared" si="85"/>
        <v>19140.5840180288</v>
      </c>
      <c r="M296">
        <f t="shared" si="79"/>
        <v>0</v>
      </c>
      <c r="N296" s="29">
        <f t="shared" si="86"/>
        <v>19140.5840180288</v>
      </c>
      <c r="O296" s="29">
        <f t="shared" si="80"/>
        <v>19139.496859738549</v>
      </c>
      <c r="P296" s="29">
        <f t="shared" si="87"/>
        <v>19139.496859738549</v>
      </c>
      <c r="Q296">
        <f t="shared" si="88"/>
        <v>0</v>
      </c>
      <c r="R296" s="29">
        <f t="shared" si="89"/>
        <v>19139.496859738549</v>
      </c>
      <c r="S296" s="29">
        <f t="shared" si="81"/>
        <v>19139.490037802432</v>
      </c>
      <c r="T296" s="29">
        <f t="shared" si="90"/>
        <v>19139.490037802432</v>
      </c>
      <c r="U296">
        <f t="shared" si="91"/>
        <v>0</v>
      </c>
      <c r="V296" s="29">
        <f t="shared" si="92"/>
        <v>19139.490037802432</v>
      </c>
      <c r="W296" s="29">
        <f t="shared" si="82"/>
        <v>19139.490037802432</v>
      </c>
      <c r="X296" s="29">
        <f t="shared" si="93"/>
        <v>19139.490037802432</v>
      </c>
      <c r="Y296">
        <f t="shared" si="94"/>
        <v>0</v>
      </c>
    </row>
    <row r="297" spans="1:25" x14ac:dyDescent="0.25">
      <c r="A297" s="4" t="s">
        <v>1222</v>
      </c>
      <c r="B297" s="7" t="s">
        <v>628</v>
      </c>
      <c r="C297" s="2" t="s">
        <v>1223</v>
      </c>
      <c r="D297">
        <f>VLOOKUP(B297,'Model allocations'!$A$1:$L$316,5,FALSE)</f>
        <v>50468.516425569396</v>
      </c>
      <c r="E297" s="31">
        <f>VLOOKUP(B297,'Initial adjusted formula count'!$A$1:$P$316,12,FALSE)</f>
        <v>0.22539682539682501</v>
      </c>
      <c r="F297">
        <f>VLOOKUP(B297,'Model allocations'!$A$1:$L$316,10,FALSE)</f>
        <v>45453.203695713397</v>
      </c>
      <c r="G297" s="30">
        <f t="shared" si="83"/>
        <v>0.9</v>
      </c>
      <c r="H297">
        <f t="shared" si="84"/>
        <v>45421.664783012457</v>
      </c>
      <c r="I297">
        <f t="shared" si="76"/>
        <v>0</v>
      </c>
      <c r="J297">
        <f t="shared" si="77"/>
        <v>45453.203695713397</v>
      </c>
      <c r="K297">
        <f t="shared" si="78"/>
        <v>45418.497349164827</v>
      </c>
      <c r="L297">
        <f t="shared" si="85"/>
        <v>45418.497349164827</v>
      </c>
      <c r="M297">
        <f t="shared" si="79"/>
        <v>45421.664783012457</v>
      </c>
      <c r="N297" s="29">
        <f t="shared" si="86"/>
        <v>0</v>
      </c>
      <c r="O297" s="29">
        <f t="shared" si="80"/>
        <v>0</v>
      </c>
      <c r="P297" s="29">
        <f t="shared" si="87"/>
        <v>45421.664783012457</v>
      </c>
      <c r="Q297">
        <f t="shared" si="88"/>
        <v>0</v>
      </c>
      <c r="R297" s="29">
        <f t="shared" si="89"/>
        <v>0</v>
      </c>
      <c r="S297" s="29">
        <f t="shared" si="81"/>
        <v>0</v>
      </c>
      <c r="T297" s="29">
        <f t="shared" si="90"/>
        <v>45421.664783012457</v>
      </c>
      <c r="U297">
        <f t="shared" si="91"/>
        <v>0</v>
      </c>
      <c r="V297" s="29">
        <f t="shared" si="92"/>
        <v>0</v>
      </c>
      <c r="W297" s="29">
        <f t="shared" si="82"/>
        <v>0</v>
      </c>
      <c r="X297" s="29">
        <f t="shared" si="93"/>
        <v>45421.664783012457</v>
      </c>
      <c r="Y297">
        <f t="shared" si="94"/>
        <v>0</v>
      </c>
    </row>
    <row r="298" spans="1:25" x14ac:dyDescent="0.25">
      <c r="A298" s="4" t="s">
        <v>53</v>
      </c>
      <c r="B298" s="7" t="s">
        <v>64</v>
      </c>
      <c r="C298" s="2" t="s">
        <v>1224</v>
      </c>
      <c r="D298">
        <f>VLOOKUP(B298,'Model allocations'!$A$1:$L$316,5,FALSE)</f>
        <v>530132.29505004059</v>
      </c>
      <c r="E298" s="31">
        <f>VLOOKUP(B298,'Initial adjusted formula count'!$A$1:$P$316,12,FALSE)</f>
        <v>0.123566627364634</v>
      </c>
      <c r="F298">
        <f>VLOOKUP(B298,'Model allocations'!$A$1:$L$316,10,FALSE)</f>
        <v>500034.61842561141</v>
      </c>
      <c r="G298" s="30">
        <f t="shared" si="83"/>
        <v>0.85</v>
      </c>
      <c r="H298">
        <f t="shared" si="84"/>
        <v>450612.45079253451</v>
      </c>
      <c r="I298">
        <f t="shared" si="76"/>
        <v>0</v>
      </c>
      <c r="J298">
        <f t="shared" si="77"/>
        <v>500034.61842561141</v>
      </c>
      <c r="K298">
        <f t="shared" si="78"/>
        <v>499652.81091057812</v>
      </c>
      <c r="L298">
        <f t="shared" si="85"/>
        <v>499652.81091057812</v>
      </c>
      <c r="M298">
        <f t="shared" si="79"/>
        <v>0</v>
      </c>
      <c r="N298" s="29">
        <f t="shared" si="86"/>
        <v>499652.81091057812</v>
      </c>
      <c r="O298" s="29">
        <f t="shared" si="80"/>
        <v>499624.43133265519</v>
      </c>
      <c r="P298" s="29">
        <f t="shared" si="87"/>
        <v>499624.43133265519</v>
      </c>
      <c r="Q298">
        <f t="shared" si="88"/>
        <v>0</v>
      </c>
      <c r="R298" s="29">
        <f t="shared" si="89"/>
        <v>499624.43133265519</v>
      </c>
      <c r="S298" s="29">
        <f t="shared" si="81"/>
        <v>499624.2532503379</v>
      </c>
      <c r="T298" s="29">
        <f t="shared" si="90"/>
        <v>499624.2532503379</v>
      </c>
      <c r="U298">
        <f t="shared" si="91"/>
        <v>0</v>
      </c>
      <c r="V298" s="29">
        <f t="shared" si="92"/>
        <v>499624.2532503379</v>
      </c>
      <c r="W298" s="29">
        <f t="shared" si="82"/>
        <v>499624.25325033802</v>
      </c>
      <c r="X298" s="29">
        <f t="shared" si="93"/>
        <v>499624.25325033802</v>
      </c>
      <c r="Y298">
        <f t="shared" si="94"/>
        <v>0</v>
      </c>
    </row>
    <row r="299" spans="1:25" x14ac:dyDescent="0.25">
      <c r="A299" s="4" t="s">
        <v>1225</v>
      </c>
      <c r="B299" s="7" t="s">
        <v>305</v>
      </c>
      <c r="C299" s="2" t="s">
        <v>1226</v>
      </c>
      <c r="D299">
        <f>VLOOKUP(B299,'Model allocations'!$A$1:$L$316,5,FALSE)</f>
        <v>152174.3270366526</v>
      </c>
      <c r="E299" s="31">
        <f>VLOOKUP(B299,'Initial adjusted formula count'!$A$1:$P$316,12,FALSE)</f>
        <v>8.4472049689440998E-2</v>
      </c>
      <c r="F299">
        <f>VLOOKUP(B299,'Model allocations'!$A$1:$L$316,10,FALSE)</f>
        <v>129634.85133619899</v>
      </c>
      <c r="G299" s="30">
        <f t="shared" si="83"/>
        <v>0.85</v>
      </c>
      <c r="H299">
        <f t="shared" si="84"/>
        <v>129348.1779811547</v>
      </c>
      <c r="I299">
        <f t="shared" si="76"/>
        <v>0</v>
      </c>
      <c r="J299">
        <f t="shared" si="77"/>
        <v>129634.85133619899</v>
      </c>
      <c r="K299">
        <f t="shared" si="78"/>
        <v>129535.86706865724</v>
      </c>
      <c r="L299">
        <f t="shared" si="85"/>
        <v>129535.86706865724</v>
      </c>
      <c r="M299">
        <f t="shared" si="79"/>
        <v>0</v>
      </c>
      <c r="N299" s="29">
        <f t="shared" si="86"/>
        <v>129535.86706865724</v>
      </c>
      <c r="O299" s="29">
        <f t="shared" si="80"/>
        <v>129528.50961333426</v>
      </c>
      <c r="P299" s="29">
        <f t="shared" si="87"/>
        <v>129528.50961333426</v>
      </c>
      <c r="Q299">
        <f t="shared" si="88"/>
        <v>0</v>
      </c>
      <c r="R299" s="29">
        <f t="shared" si="89"/>
        <v>129528.50961333426</v>
      </c>
      <c r="S299" s="29">
        <f t="shared" si="81"/>
        <v>129528.46344518133</v>
      </c>
      <c r="T299" s="29">
        <f t="shared" si="90"/>
        <v>129528.46344518133</v>
      </c>
      <c r="U299">
        <f t="shared" si="91"/>
        <v>0</v>
      </c>
      <c r="V299" s="29">
        <f t="shared" si="92"/>
        <v>129528.46344518133</v>
      </c>
      <c r="W299" s="29">
        <f t="shared" si="82"/>
        <v>129528.46344518135</v>
      </c>
      <c r="X299" s="29">
        <f t="shared" si="93"/>
        <v>129528.46344518135</v>
      </c>
      <c r="Y299">
        <f t="shared" si="94"/>
        <v>0</v>
      </c>
    </row>
    <row r="300" spans="1:25" x14ac:dyDescent="0.25">
      <c r="A300" s="4" t="s">
        <v>1227</v>
      </c>
      <c r="B300" s="7" t="s">
        <v>254</v>
      </c>
      <c r="C300" s="2" t="s">
        <v>1228</v>
      </c>
      <c r="D300">
        <f>VLOOKUP(B300,'Model allocations'!$A$1:$L$316,5,FALSE)</f>
        <v>316077.92447115429</v>
      </c>
      <c r="E300" s="31">
        <f>VLOOKUP(B300,'Initial adjusted formula count'!$A$1:$P$316,12,FALSE)</f>
        <v>0.12175999999999999</v>
      </c>
      <c r="F300">
        <f>VLOOKUP(B300,'Model allocations'!$A$1:$L$316,10,FALSE)</f>
        <v>338834.3850794686</v>
      </c>
      <c r="G300" s="30">
        <f t="shared" si="83"/>
        <v>0.85</v>
      </c>
      <c r="H300">
        <f t="shared" si="84"/>
        <v>268666.23580048111</v>
      </c>
      <c r="I300">
        <f t="shared" si="76"/>
        <v>0</v>
      </c>
      <c r="J300">
        <f t="shared" si="77"/>
        <v>338834.3850794686</v>
      </c>
      <c r="K300">
        <f t="shared" si="78"/>
        <v>338575.66396335402</v>
      </c>
      <c r="L300">
        <f t="shared" si="85"/>
        <v>338575.66396335402</v>
      </c>
      <c r="M300">
        <f t="shared" si="79"/>
        <v>0</v>
      </c>
      <c r="N300" s="29">
        <f t="shared" si="86"/>
        <v>338575.66396335402</v>
      </c>
      <c r="O300" s="29">
        <f t="shared" si="80"/>
        <v>338556.43334115308</v>
      </c>
      <c r="P300" s="29">
        <f t="shared" si="87"/>
        <v>338556.43334115308</v>
      </c>
      <c r="Q300">
        <f t="shared" si="88"/>
        <v>0</v>
      </c>
      <c r="R300" s="29">
        <f t="shared" si="89"/>
        <v>338556.43334115308</v>
      </c>
      <c r="S300" s="29">
        <f t="shared" si="81"/>
        <v>338556.31266868312</v>
      </c>
      <c r="T300" s="29">
        <f t="shared" si="90"/>
        <v>338556.31266868312</v>
      </c>
      <c r="U300">
        <f t="shared" si="91"/>
        <v>0</v>
      </c>
      <c r="V300" s="29">
        <f t="shared" si="92"/>
        <v>338556.31266868312</v>
      </c>
      <c r="W300" s="29">
        <f t="shared" si="82"/>
        <v>338556.31266868318</v>
      </c>
      <c r="X300" s="29">
        <f t="shared" si="93"/>
        <v>338556.31266868318</v>
      </c>
      <c r="Y300">
        <f t="shared" si="94"/>
        <v>0</v>
      </c>
    </row>
    <row r="301" spans="1:25" x14ac:dyDescent="0.25">
      <c r="A301" s="4" t="s">
        <v>13</v>
      </c>
      <c r="B301" s="7" t="s">
        <v>68</v>
      </c>
      <c r="C301" s="2" t="s">
        <v>1229</v>
      </c>
      <c r="D301">
        <f>VLOOKUP(B301,'Model allocations'!$A$1:$L$316,5,FALSE)</f>
        <v>0</v>
      </c>
      <c r="E301" s="31">
        <f>VLOOKUP(B301,'Initial adjusted formula count'!$A$1:$P$316,12,FALSE)</f>
        <v>6.5912500308918501E-2</v>
      </c>
      <c r="F301">
        <f>VLOOKUP(B301,'Model allocations'!$A$1:$L$316,10,FALSE)</f>
        <v>0</v>
      </c>
      <c r="G301" s="30">
        <f t="shared" si="83"/>
        <v>0.85</v>
      </c>
      <c r="H301">
        <f t="shared" si="84"/>
        <v>0</v>
      </c>
      <c r="I301">
        <f t="shared" si="76"/>
        <v>0</v>
      </c>
      <c r="J301">
        <f t="shared" si="77"/>
        <v>0</v>
      </c>
      <c r="K301">
        <f t="shared" si="78"/>
        <v>0</v>
      </c>
      <c r="L301">
        <f t="shared" si="85"/>
        <v>0</v>
      </c>
      <c r="M301">
        <f t="shared" si="79"/>
        <v>0</v>
      </c>
      <c r="N301" s="29">
        <f t="shared" si="86"/>
        <v>0</v>
      </c>
      <c r="O301" s="29">
        <f t="shared" si="80"/>
        <v>0</v>
      </c>
      <c r="P301" s="29">
        <f t="shared" si="87"/>
        <v>0</v>
      </c>
      <c r="Q301">
        <f t="shared" si="88"/>
        <v>0</v>
      </c>
      <c r="R301" s="29">
        <f t="shared" si="89"/>
        <v>0</v>
      </c>
      <c r="S301" s="29">
        <f t="shared" si="81"/>
        <v>0</v>
      </c>
      <c r="T301" s="29">
        <f t="shared" si="90"/>
        <v>0</v>
      </c>
      <c r="U301">
        <f t="shared" si="91"/>
        <v>0</v>
      </c>
      <c r="V301" s="29">
        <f t="shared" si="92"/>
        <v>0</v>
      </c>
      <c r="W301" s="29">
        <f t="shared" si="82"/>
        <v>0</v>
      </c>
      <c r="X301" s="29">
        <f t="shared" si="93"/>
        <v>0</v>
      </c>
      <c r="Y301">
        <f t="shared" si="94"/>
        <v>0</v>
      </c>
    </row>
    <row r="302" spans="1:25" x14ac:dyDescent="0.25">
      <c r="A302" s="4" t="s">
        <v>1230</v>
      </c>
      <c r="B302" s="7" t="s">
        <v>630</v>
      </c>
      <c r="C302" s="2" t="s">
        <v>1231</v>
      </c>
      <c r="D302">
        <f>VLOOKUP(B302,'Model allocations'!$A$1:$L$316,5,FALSE)</f>
        <v>47892.198380122827</v>
      </c>
      <c r="E302" s="31">
        <f>VLOOKUP(B302,'Initial adjusted formula count'!$A$1:$P$316,12,FALSE)</f>
        <v>0.166320166320166</v>
      </c>
      <c r="F302">
        <f>VLOOKUP(B302,'Model allocations'!$A$1:$L$316,10,FALSE)</f>
        <v>43132.90745563418</v>
      </c>
      <c r="G302" s="30">
        <f t="shared" si="83"/>
        <v>0.9</v>
      </c>
      <c r="H302">
        <f t="shared" si="84"/>
        <v>43102.978542110548</v>
      </c>
      <c r="I302">
        <f t="shared" si="76"/>
        <v>0</v>
      </c>
      <c r="J302">
        <f t="shared" si="77"/>
        <v>43132.90745563418</v>
      </c>
      <c r="K302">
        <f t="shared" si="78"/>
        <v>43099.97279950248</v>
      </c>
      <c r="L302">
        <f t="shared" si="85"/>
        <v>43099.97279950248</v>
      </c>
      <c r="M302">
        <f t="shared" si="79"/>
        <v>43102.978542110548</v>
      </c>
      <c r="N302" s="29">
        <f t="shared" si="86"/>
        <v>0</v>
      </c>
      <c r="O302" s="29">
        <f t="shared" si="80"/>
        <v>0</v>
      </c>
      <c r="P302" s="29">
        <f t="shared" si="87"/>
        <v>43102.978542110548</v>
      </c>
      <c r="Q302">
        <f t="shared" si="88"/>
        <v>0</v>
      </c>
      <c r="R302" s="29">
        <f t="shared" si="89"/>
        <v>0</v>
      </c>
      <c r="S302" s="29">
        <f t="shared" si="81"/>
        <v>0</v>
      </c>
      <c r="T302" s="29">
        <f t="shared" si="90"/>
        <v>43102.978542110548</v>
      </c>
      <c r="U302">
        <f t="shared" si="91"/>
        <v>0</v>
      </c>
      <c r="V302" s="29">
        <f t="shared" si="92"/>
        <v>0</v>
      </c>
      <c r="W302" s="29">
        <f t="shared" si="82"/>
        <v>0</v>
      </c>
      <c r="X302" s="29">
        <f t="shared" si="93"/>
        <v>43102.978542110548</v>
      </c>
      <c r="Y302">
        <f t="shared" si="94"/>
        <v>0</v>
      </c>
    </row>
    <row r="303" spans="1:25" x14ac:dyDescent="0.25">
      <c r="A303" s="4" t="s">
        <v>1232</v>
      </c>
      <c r="B303" s="7" t="s">
        <v>255</v>
      </c>
      <c r="C303" s="2" t="s">
        <v>1233</v>
      </c>
      <c r="D303">
        <f>VLOOKUP(B303,'Model allocations'!$A$1:$L$316,5,FALSE)</f>
        <v>0</v>
      </c>
      <c r="E303" s="31">
        <f>VLOOKUP(B303,'Initial adjusted formula count'!$A$1:$P$316,12,FALSE)</f>
        <v>5.1731418918918901E-2</v>
      </c>
      <c r="F303">
        <f>VLOOKUP(B303,'Model allocations'!$A$1:$L$316,10,FALSE)</f>
        <v>104289.47781968568</v>
      </c>
      <c r="G303" s="30">
        <f t="shared" si="83"/>
        <v>0.85</v>
      </c>
      <c r="H303">
        <f t="shared" si="84"/>
        <v>0</v>
      </c>
      <c r="I303">
        <f t="shared" si="76"/>
        <v>0</v>
      </c>
      <c r="J303">
        <f t="shared" si="77"/>
        <v>104289.47781968568</v>
      </c>
      <c r="K303">
        <f t="shared" si="78"/>
        <v>104209.84632037905</v>
      </c>
      <c r="L303">
        <f t="shared" si="85"/>
        <v>104209.84632037905</v>
      </c>
      <c r="M303">
        <f t="shared" si="79"/>
        <v>0</v>
      </c>
      <c r="N303" s="29">
        <f t="shared" si="86"/>
        <v>104209.84632037905</v>
      </c>
      <c r="O303" s="29">
        <f t="shared" si="80"/>
        <v>104203.92734746545</v>
      </c>
      <c r="P303" s="29">
        <f t="shared" si="87"/>
        <v>104203.92734746545</v>
      </c>
      <c r="Q303">
        <f t="shared" si="88"/>
        <v>0</v>
      </c>
      <c r="R303" s="29">
        <f t="shared" si="89"/>
        <v>104203.92734746545</v>
      </c>
      <c r="S303" s="29">
        <f t="shared" si="81"/>
        <v>104203.89020581325</v>
      </c>
      <c r="T303" s="29">
        <f t="shared" si="90"/>
        <v>104203.89020581325</v>
      </c>
      <c r="U303">
        <f t="shared" si="91"/>
        <v>0</v>
      </c>
      <c r="V303" s="29">
        <f t="shared" si="92"/>
        <v>104203.89020581325</v>
      </c>
      <c r="W303" s="29">
        <f t="shared" si="82"/>
        <v>104203.89020581327</v>
      </c>
      <c r="X303" s="29">
        <f t="shared" si="93"/>
        <v>104203.89020581327</v>
      </c>
      <c r="Y303">
        <f t="shared" si="94"/>
        <v>0</v>
      </c>
    </row>
    <row r="304" spans="1:25" x14ac:dyDescent="0.25">
      <c r="A304" s="4" t="s">
        <v>1234</v>
      </c>
      <c r="B304" s="7" t="s">
        <v>306</v>
      </c>
      <c r="C304" s="2" t="s">
        <v>1235</v>
      </c>
      <c r="D304">
        <f>VLOOKUP(B304,'Model allocations'!$A$1:$L$316,5,FALSE)</f>
        <v>63299.42519249906</v>
      </c>
      <c r="E304" s="31">
        <f>VLOOKUP(B304,'Initial adjusted formula count'!$A$1:$P$316,12,FALSE)</f>
        <v>0.113821138211382</v>
      </c>
      <c r="F304">
        <f>VLOOKUP(B304,'Model allocations'!$A$1:$L$316,10,FALSE)</f>
        <v>59593.987325534668</v>
      </c>
      <c r="G304" s="30">
        <f t="shared" si="83"/>
        <v>0.85</v>
      </c>
      <c r="H304">
        <f t="shared" si="84"/>
        <v>53804.511413624197</v>
      </c>
      <c r="I304">
        <f t="shared" si="76"/>
        <v>0</v>
      </c>
      <c r="J304">
        <f t="shared" si="77"/>
        <v>59593.987325534668</v>
      </c>
      <c r="K304">
        <f t="shared" si="78"/>
        <v>59548.483611645162</v>
      </c>
      <c r="L304">
        <f t="shared" si="85"/>
        <v>59548.483611645162</v>
      </c>
      <c r="M304">
        <f t="shared" si="79"/>
        <v>0</v>
      </c>
      <c r="N304" s="29">
        <f t="shared" si="86"/>
        <v>59548.483611645162</v>
      </c>
      <c r="O304" s="29">
        <f t="shared" si="80"/>
        <v>59545.101341408823</v>
      </c>
      <c r="P304" s="29">
        <f t="shared" si="87"/>
        <v>59545.101341408823</v>
      </c>
      <c r="Q304">
        <f t="shared" si="88"/>
        <v>0</v>
      </c>
      <c r="R304" s="29">
        <f t="shared" si="89"/>
        <v>59545.101341408823</v>
      </c>
      <c r="S304" s="29">
        <f t="shared" si="81"/>
        <v>59545.080117607562</v>
      </c>
      <c r="T304" s="29">
        <f t="shared" si="90"/>
        <v>59545.080117607562</v>
      </c>
      <c r="U304">
        <f t="shared" si="91"/>
        <v>0</v>
      </c>
      <c r="V304" s="29">
        <f t="shared" si="92"/>
        <v>59545.080117607562</v>
      </c>
      <c r="W304" s="29">
        <f t="shared" si="82"/>
        <v>59545.080117607562</v>
      </c>
      <c r="X304" s="29">
        <f t="shared" si="93"/>
        <v>59545.080117607562</v>
      </c>
      <c r="Y304">
        <f t="shared" si="94"/>
        <v>0</v>
      </c>
    </row>
    <row r="305" spans="1:25" x14ac:dyDescent="0.25">
      <c r="A305" s="4" t="s">
        <v>1237</v>
      </c>
      <c r="B305" s="7" t="s">
        <v>257</v>
      </c>
      <c r="C305" s="2" t="s">
        <v>1238</v>
      </c>
      <c r="D305">
        <f>VLOOKUP(B305,'Model allocations'!$A$1:$L$316,5,FALSE)</f>
        <v>12156.843248890547</v>
      </c>
      <c r="E305" s="31">
        <f>VLOOKUP(B305,'Initial adjusted formula count'!$A$1:$P$316,12,FALSE)</f>
        <v>0.172566371681416</v>
      </c>
      <c r="F305">
        <f>VLOOKUP(B305,'Model allocations'!$A$1:$L$316,10,FALSE)</f>
        <v>17810.897559116354</v>
      </c>
      <c r="G305" s="30">
        <f t="shared" si="83"/>
        <v>0.9</v>
      </c>
      <c r="H305">
        <f t="shared" si="84"/>
        <v>10941.158924001493</v>
      </c>
      <c r="I305">
        <f t="shared" si="76"/>
        <v>0</v>
      </c>
      <c r="J305">
        <f t="shared" si="77"/>
        <v>17810.897559116354</v>
      </c>
      <c r="K305">
        <f t="shared" si="78"/>
        <v>17797.297831643547</v>
      </c>
      <c r="L305">
        <f t="shared" si="85"/>
        <v>17797.297831643547</v>
      </c>
      <c r="M305">
        <f t="shared" si="79"/>
        <v>0</v>
      </c>
      <c r="N305" s="29">
        <f t="shared" si="86"/>
        <v>17797.297831643547</v>
      </c>
      <c r="O305" s="29">
        <f t="shared" si="80"/>
        <v>17796.286970122103</v>
      </c>
      <c r="P305" s="29">
        <f t="shared" si="87"/>
        <v>17796.286970122103</v>
      </c>
      <c r="Q305">
        <f t="shared" si="88"/>
        <v>0</v>
      </c>
      <c r="R305" s="29">
        <f t="shared" si="89"/>
        <v>17796.286970122103</v>
      </c>
      <c r="S305" s="29">
        <f t="shared" si="81"/>
        <v>17796.280626949461</v>
      </c>
      <c r="T305" s="29">
        <f t="shared" si="90"/>
        <v>17796.280626949461</v>
      </c>
      <c r="U305">
        <f t="shared" si="91"/>
        <v>0</v>
      </c>
      <c r="V305" s="29">
        <f t="shared" si="92"/>
        <v>17796.280626949461</v>
      </c>
      <c r="W305" s="29">
        <f t="shared" si="82"/>
        <v>17796.280626949461</v>
      </c>
      <c r="X305" s="29">
        <f t="shared" si="93"/>
        <v>17796.280626949461</v>
      </c>
      <c r="Y305">
        <f t="shared" si="94"/>
        <v>0</v>
      </c>
    </row>
    <row r="306" spans="1:25" x14ac:dyDescent="0.25">
      <c r="A306" s="4" t="s">
        <v>1239</v>
      </c>
      <c r="B306" s="7" t="s">
        <v>632</v>
      </c>
      <c r="C306" s="2" t="s">
        <v>1240</v>
      </c>
      <c r="D306">
        <f>VLOOKUP(B306,'Model allocations'!$A$1:$L$316,5,FALSE)</f>
        <v>19756.00479126177</v>
      </c>
      <c r="E306" s="31">
        <f>VLOOKUP(B306,'Initial adjusted formula count'!$A$1:$P$316,12,FALSE)</f>
        <v>0.124590163934426</v>
      </c>
      <c r="F306">
        <f>VLOOKUP(B306,'Model allocations'!$A$1:$L$316,10,FALSE)</f>
        <v>16792.604072572503</v>
      </c>
      <c r="G306" s="30">
        <f t="shared" si="83"/>
        <v>0.85</v>
      </c>
      <c r="H306">
        <f t="shared" si="84"/>
        <v>16792.604072572503</v>
      </c>
      <c r="I306">
        <f t="shared" si="76"/>
        <v>0</v>
      </c>
      <c r="J306">
        <f t="shared" si="77"/>
        <v>16792.604072572503</v>
      </c>
      <c r="K306">
        <f t="shared" si="78"/>
        <v>16779.781875477282</v>
      </c>
      <c r="L306">
        <f t="shared" si="85"/>
        <v>16779.781875477282</v>
      </c>
      <c r="M306">
        <f t="shared" si="79"/>
        <v>16792.604072572503</v>
      </c>
      <c r="N306" s="29">
        <f t="shared" si="86"/>
        <v>0</v>
      </c>
      <c r="O306" s="29">
        <f t="shared" si="80"/>
        <v>0</v>
      </c>
      <c r="P306" s="29">
        <f t="shared" si="87"/>
        <v>16792.604072572503</v>
      </c>
      <c r="Q306">
        <f t="shared" si="88"/>
        <v>0</v>
      </c>
      <c r="R306" s="29">
        <f t="shared" si="89"/>
        <v>0</v>
      </c>
      <c r="S306" s="29">
        <f t="shared" si="81"/>
        <v>0</v>
      </c>
      <c r="T306" s="29">
        <f t="shared" si="90"/>
        <v>16792.604072572503</v>
      </c>
      <c r="U306">
        <f t="shared" si="91"/>
        <v>0</v>
      </c>
      <c r="V306" s="29">
        <f t="shared" si="92"/>
        <v>0</v>
      </c>
      <c r="W306" s="29">
        <f t="shared" si="82"/>
        <v>0</v>
      </c>
      <c r="X306" s="29">
        <f t="shared" si="93"/>
        <v>16792.604072572503</v>
      </c>
      <c r="Y306">
        <f t="shared" si="94"/>
        <v>0</v>
      </c>
    </row>
    <row r="307" spans="1:25" x14ac:dyDescent="0.25">
      <c r="A307" s="4" t="s">
        <v>1241</v>
      </c>
      <c r="B307" s="7" t="s">
        <v>634</v>
      </c>
      <c r="C307" s="2" t="s">
        <v>1242</v>
      </c>
      <c r="D307">
        <f>VLOOKUP(B307,'Model allocations'!$A$1:$L$316,5,FALSE)</f>
        <v>6707.2238614568541</v>
      </c>
      <c r="E307" s="31">
        <f>VLOOKUP(B307,'Initial adjusted formula count'!$A$1:$P$316,12,FALSE)</f>
        <v>0.22522522522522501</v>
      </c>
      <c r="F307">
        <f>VLOOKUP(B307,'Model allocations'!$A$1:$L$316,10,FALSE)</f>
        <v>13248.20097915475</v>
      </c>
      <c r="G307" s="30">
        <f t="shared" si="83"/>
        <v>0.9</v>
      </c>
      <c r="H307">
        <f t="shared" si="84"/>
        <v>6036.5014753111691</v>
      </c>
      <c r="I307">
        <f t="shared" si="76"/>
        <v>0</v>
      </c>
      <c r="J307">
        <f t="shared" si="77"/>
        <v>13248.20097915475</v>
      </c>
      <c r="K307">
        <f t="shared" si="78"/>
        <v>13238.085154153598</v>
      </c>
      <c r="L307">
        <f t="shared" si="85"/>
        <v>13238.085154153598</v>
      </c>
      <c r="M307">
        <f t="shared" si="79"/>
        <v>0</v>
      </c>
      <c r="N307" s="29">
        <f t="shared" si="86"/>
        <v>13238.085154153598</v>
      </c>
      <c r="O307" s="29">
        <f t="shared" si="80"/>
        <v>13237.333249509056</v>
      </c>
      <c r="P307" s="29">
        <f t="shared" si="87"/>
        <v>13237.333249509056</v>
      </c>
      <c r="Q307">
        <f t="shared" si="88"/>
        <v>0</v>
      </c>
      <c r="R307" s="29">
        <f t="shared" si="89"/>
        <v>13237.333249509056</v>
      </c>
      <c r="S307" s="29">
        <f t="shared" si="81"/>
        <v>13237.328531295068</v>
      </c>
      <c r="T307" s="29">
        <f t="shared" si="90"/>
        <v>13237.328531295068</v>
      </c>
      <c r="U307">
        <f t="shared" si="91"/>
        <v>0</v>
      </c>
      <c r="V307" s="29">
        <f t="shared" si="92"/>
        <v>13237.328531295068</v>
      </c>
      <c r="W307" s="29">
        <f t="shared" si="82"/>
        <v>13237.32853129507</v>
      </c>
      <c r="X307" s="29">
        <f t="shared" si="93"/>
        <v>13237.32853129507</v>
      </c>
      <c r="Y307">
        <f t="shared" si="94"/>
        <v>0</v>
      </c>
    </row>
    <row r="308" spans="1:25" x14ac:dyDescent="0.25">
      <c r="A308" s="4" t="s">
        <v>1243</v>
      </c>
      <c r="B308" s="7" t="s">
        <v>636</v>
      </c>
      <c r="C308" s="2" t="s">
        <v>1244</v>
      </c>
      <c r="D308">
        <f>VLOOKUP(B308,'Model allocations'!$A$1:$L$316,5,FALSE)</f>
        <v>41920.149134105348</v>
      </c>
      <c r="E308" s="31">
        <f>VLOOKUP(B308,'Initial adjusted formula count'!$A$1:$P$316,12,FALSE)</f>
        <v>0.102040816326531</v>
      </c>
      <c r="F308">
        <f>VLOOKUP(B308,'Model allocations'!$A$1:$L$316,10,FALSE)</f>
        <v>36182.063733360337</v>
      </c>
      <c r="G308" s="30">
        <f t="shared" si="83"/>
        <v>0.85</v>
      </c>
      <c r="H308">
        <f t="shared" si="84"/>
        <v>35632.126763989545</v>
      </c>
      <c r="I308">
        <f t="shared" si="76"/>
        <v>0</v>
      </c>
      <c r="J308">
        <f t="shared" si="77"/>
        <v>36182.063733360337</v>
      </c>
      <c r="K308">
        <f t="shared" si="78"/>
        <v>36154.43647849885</v>
      </c>
      <c r="L308">
        <f t="shared" si="85"/>
        <v>36154.43647849885</v>
      </c>
      <c r="M308">
        <f t="shared" si="79"/>
        <v>0</v>
      </c>
      <c r="N308" s="29">
        <f t="shared" si="86"/>
        <v>36154.43647849885</v>
      </c>
      <c r="O308" s="29">
        <f t="shared" si="80"/>
        <v>36152.382957283931</v>
      </c>
      <c r="P308" s="29">
        <f t="shared" si="87"/>
        <v>36152.382957283931</v>
      </c>
      <c r="Q308">
        <f t="shared" si="88"/>
        <v>0</v>
      </c>
      <c r="R308" s="29">
        <f t="shared" si="89"/>
        <v>36152.382957283931</v>
      </c>
      <c r="S308" s="29">
        <f t="shared" si="81"/>
        <v>36152.370071404599</v>
      </c>
      <c r="T308" s="29">
        <f t="shared" si="90"/>
        <v>36152.370071404599</v>
      </c>
      <c r="U308">
        <f t="shared" si="91"/>
        <v>0</v>
      </c>
      <c r="V308" s="29">
        <f t="shared" si="92"/>
        <v>36152.370071404599</v>
      </c>
      <c r="W308" s="29">
        <f t="shared" si="82"/>
        <v>36152.370071404599</v>
      </c>
      <c r="X308" s="29">
        <f t="shared" si="93"/>
        <v>36152.370071404599</v>
      </c>
      <c r="Y308">
        <f t="shared" si="94"/>
        <v>0</v>
      </c>
    </row>
    <row r="309" spans="1:25" x14ac:dyDescent="0.25">
      <c r="A309" s="4" t="s">
        <v>1245</v>
      </c>
      <c r="B309" s="7" t="s">
        <v>638</v>
      </c>
      <c r="C309" s="2" t="s">
        <v>1246</v>
      </c>
      <c r="D309">
        <f>VLOOKUP(B309,'Model allocations'!$A$1:$L$316,5,FALSE)</f>
        <v>13340.270019020911</v>
      </c>
      <c r="E309" s="31">
        <f>VLOOKUP(B309,'Initial adjusted formula count'!$A$1:$P$316,12,FALSE)</f>
        <v>0.15862068965517201</v>
      </c>
      <c r="F309">
        <f>VLOOKUP(B309,'Model allocations'!$A$1:$L$316,10,FALSE)</f>
        <v>12014.579652338865</v>
      </c>
      <c r="G309" s="30">
        <f t="shared" si="83"/>
        <v>0.9</v>
      </c>
      <c r="H309">
        <f t="shared" si="84"/>
        <v>12006.243017118821</v>
      </c>
      <c r="I309">
        <f t="shared" si="76"/>
        <v>0</v>
      </c>
      <c r="J309">
        <f t="shared" si="77"/>
        <v>12014.579652338865</v>
      </c>
      <c r="K309">
        <f t="shared" si="78"/>
        <v>12005.405773906865</v>
      </c>
      <c r="L309">
        <f t="shared" si="85"/>
        <v>12005.405773906865</v>
      </c>
      <c r="M309">
        <f t="shared" si="79"/>
        <v>12006.243017118821</v>
      </c>
      <c r="N309" s="29">
        <f t="shared" si="86"/>
        <v>0</v>
      </c>
      <c r="O309" s="29">
        <f t="shared" si="80"/>
        <v>0</v>
      </c>
      <c r="P309" s="29">
        <f t="shared" si="87"/>
        <v>12006.243017118821</v>
      </c>
      <c r="Q309">
        <f t="shared" si="88"/>
        <v>0</v>
      </c>
      <c r="R309" s="29">
        <f t="shared" si="89"/>
        <v>0</v>
      </c>
      <c r="S309" s="29">
        <f t="shared" si="81"/>
        <v>0</v>
      </c>
      <c r="T309" s="29">
        <f t="shared" si="90"/>
        <v>12006.243017118821</v>
      </c>
      <c r="U309">
        <f t="shared" si="91"/>
        <v>0</v>
      </c>
      <c r="V309" s="29">
        <f t="shared" si="92"/>
        <v>0</v>
      </c>
      <c r="W309" s="29">
        <f t="shared" si="82"/>
        <v>0</v>
      </c>
      <c r="X309" s="29">
        <f t="shared" si="93"/>
        <v>12006.243017118821</v>
      </c>
      <c r="Y309">
        <f t="shared" si="94"/>
        <v>0</v>
      </c>
    </row>
    <row r="310" spans="1:25" x14ac:dyDescent="0.25">
      <c r="A310" s="4" t="s">
        <v>1247</v>
      </c>
      <c r="B310" s="7" t="s">
        <v>640</v>
      </c>
      <c r="C310" s="2" t="s">
        <v>1248</v>
      </c>
      <c r="D310">
        <f>VLOOKUP(B310,'Model allocations'!$A$1:$L$316,5,FALSE)</f>
        <v>37304.866474887727</v>
      </c>
      <c r="E310" s="31">
        <f>VLOOKUP(B310,'Initial adjusted formula count'!$A$1:$P$316,12,FALSE)</f>
        <v>0.47727272727272702</v>
      </c>
      <c r="F310">
        <f>VLOOKUP(B310,'Model allocations'!$A$1:$L$316,10,FALSE)</f>
        <v>35464.230949779914</v>
      </c>
      <c r="G310" s="30">
        <f t="shared" si="83"/>
        <v>0.95</v>
      </c>
      <c r="H310">
        <f t="shared" si="84"/>
        <v>35439.623151143336</v>
      </c>
      <c r="I310">
        <f t="shared" si="76"/>
        <v>0</v>
      </c>
      <c r="J310">
        <f t="shared" si="77"/>
        <v>35464.230949779914</v>
      </c>
      <c r="K310">
        <f t="shared" si="78"/>
        <v>35437.151804871639</v>
      </c>
      <c r="L310">
        <f t="shared" si="85"/>
        <v>35437.151804871639</v>
      </c>
      <c r="M310">
        <f t="shared" si="79"/>
        <v>35439.623151143336</v>
      </c>
      <c r="N310" s="29">
        <f t="shared" si="86"/>
        <v>0</v>
      </c>
      <c r="O310" s="29">
        <f t="shared" si="80"/>
        <v>0</v>
      </c>
      <c r="P310" s="29">
        <f t="shared" si="87"/>
        <v>35439.623151143336</v>
      </c>
      <c r="Q310">
        <f t="shared" si="88"/>
        <v>0</v>
      </c>
      <c r="R310" s="29">
        <f t="shared" si="89"/>
        <v>0</v>
      </c>
      <c r="S310" s="29">
        <f t="shared" si="81"/>
        <v>0</v>
      </c>
      <c r="T310" s="29">
        <f t="shared" si="90"/>
        <v>35439.623151143336</v>
      </c>
      <c r="U310">
        <f t="shared" si="91"/>
        <v>0</v>
      </c>
      <c r="V310" s="29">
        <f t="shared" si="92"/>
        <v>0</v>
      </c>
      <c r="W310" s="29">
        <f t="shared" si="82"/>
        <v>0</v>
      </c>
      <c r="X310" s="29">
        <f t="shared" si="93"/>
        <v>35439.623151143336</v>
      </c>
      <c r="Y310">
        <f t="shared" si="94"/>
        <v>0</v>
      </c>
    </row>
    <row r="311" spans="1:25" x14ac:dyDescent="0.25">
      <c r="A311" s="4" t="s">
        <v>1249</v>
      </c>
      <c r="B311" s="7" t="s">
        <v>642</v>
      </c>
      <c r="C311" s="2" t="s">
        <v>1250</v>
      </c>
      <c r="D311">
        <f>VLOOKUP(B311,'Model allocations'!$A$1:$L$316,5,FALSE)</f>
        <v>111926.79818806124</v>
      </c>
      <c r="E311" s="31">
        <f>VLOOKUP(B311,'Initial adjusted formula count'!$A$1:$P$316,12,FALSE)</f>
        <v>8.0506895266492698E-2</v>
      </c>
      <c r="F311">
        <f>VLOOKUP(B311,'Model allocations'!$A$1:$L$316,10,FALSE)</f>
        <v>95203.838171748153</v>
      </c>
      <c r="G311" s="30">
        <f t="shared" si="83"/>
        <v>0.85</v>
      </c>
      <c r="H311">
        <f t="shared" si="84"/>
        <v>95137.778459852052</v>
      </c>
      <c r="I311">
        <f t="shared" si="76"/>
        <v>0</v>
      </c>
      <c r="J311">
        <f t="shared" si="77"/>
        <v>95203.838171748153</v>
      </c>
      <c r="K311">
        <f t="shared" si="78"/>
        <v>95131.144123107224</v>
      </c>
      <c r="L311">
        <f t="shared" si="85"/>
        <v>95131.144123107224</v>
      </c>
      <c r="M311">
        <f t="shared" si="79"/>
        <v>95137.778459852052</v>
      </c>
      <c r="N311" s="29">
        <f t="shared" si="86"/>
        <v>0</v>
      </c>
      <c r="O311" s="29">
        <f t="shared" si="80"/>
        <v>0</v>
      </c>
      <c r="P311" s="29">
        <f t="shared" si="87"/>
        <v>95137.778459852052</v>
      </c>
      <c r="Q311">
        <f t="shared" si="88"/>
        <v>0</v>
      </c>
      <c r="R311" s="29">
        <f t="shared" si="89"/>
        <v>0</v>
      </c>
      <c r="S311" s="29">
        <f t="shared" si="81"/>
        <v>0</v>
      </c>
      <c r="T311" s="29">
        <f t="shared" si="90"/>
        <v>95137.778459852052</v>
      </c>
      <c r="U311">
        <f t="shared" si="91"/>
        <v>0</v>
      </c>
      <c r="V311" s="29">
        <f t="shared" si="92"/>
        <v>0</v>
      </c>
      <c r="W311" s="29">
        <f t="shared" si="82"/>
        <v>0</v>
      </c>
      <c r="X311" s="29">
        <f t="shared" si="93"/>
        <v>95137.778459852052</v>
      </c>
      <c r="Y311">
        <f t="shared" si="94"/>
        <v>0</v>
      </c>
    </row>
    <row r="312" spans="1:25" x14ac:dyDescent="0.25">
      <c r="A312" s="4" t="s">
        <v>1251</v>
      </c>
      <c r="B312" s="7" t="s">
        <v>644</v>
      </c>
      <c r="C312" s="2" t="s">
        <v>1252</v>
      </c>
      <c r="D312">
        <f>VLOOKUP(B312,'Model allocations'!$A$1:$L$316,5,FALSE)</f>
        <v>3112780.6739529921</v>
      </c>
      <c r="E312" s="31">
        <f>VLOOKUP(B312,'Initial adjusted formula count'!$A$1:$P$316,12,FALSE)</f>
        <v>0.28777635665996698</v>
      </c>
      <c r="F312">
        <f>VLOOKUP(B312,'Model allocations'!$A$1:$L$316,10,FALSE)</f>
        <v>3394090.413858219</v>
      </c>
      <c r="G312" s="30">
        <f t="shared" si="83"/>
        <v>0.9</v>
      </c>
      <c r="H312">
        <f t="shared" si="84"/>
        <v>2801502.6065576929</v>
      </c>
      <c r="I312">
        <f t="shared" si="76"/>
        <v>0</v>
      </c>
      <c r="J312">
        <f t="shared" si="77"/>
        <v>3394090.413858219</v>
      </c>
      <c r="K312">
        <f t="shared" si="78"/>
        <v>3391498.8148389477</v>
      </c>
      <c r="L312">
        <f t="shared" si="85"/>
        <v>3391498.8148389477</v>
      </c>
      <c r="M312">
        <f t="shared" si="79"/>
        <v>0</v>
      </c>
      <c r="N312" s="29">
        <f t="shared" si="86"/>
        <v>3391498.8148389477</v>
      </c>
      <c r="O312" s="29">
        <f t="shared" si="80"/>
        <v>3391306.1824694513</v>
      </c>
      <c r="P312" s="29">
        <f t="shared" si="87"/>
        <v>3391306.1824694513</v>
      </c>
      <c r="Q312">
        <f t="shared" si="88"/>
        <v>0</v>
      </c>
      <c r="R312" s="29">
        <f t="shared" si="89"/>
        <v>3391306.1824694513</v>
      </c>
      <c r="S312" s="29">
        <f t="shared" si="81"/>
        <v>3391304.9736981704</v>
      </c>
      <c r="T312" s="29">
        <f t="shared" si="90"/>
        <v>3391304.9736981704</v>
      </c>
      <c r="U312">
        <f t="shared" si="91"/>
        <v>0</v>
      </c>
      <c r="V312" s="29">
        <f t="shared" si="92"/>
        <v>3391304.9736981704</v>
      </c>
      <c r="W312" s="29">
        <f t="shared" si="82"/>
        <v>3391304.9736981709</v>
      </c>
      <c r="X312" s="29">
        <f t="shared" si="93"/>
        <v>3391304.9736981709</v>
      </c>
      <c r="Y312">
        <f t="shared" si="94"/>
        <v>0</v>
      </c>
    </row>
    <row r="313" spans="1:25" x14ac:dyDescent="0.25">
      <c r="A313" s="4" t="s">
        <v>1253</v>
      </c>
      <c r="B313" s="7" t="s">
        <v>646</v>
      </c>
      <c r="C313" s="2" t="s">
        <v>1254</v>
      </c>
      <c r="D313">
        <f>VLOOKUP(B313,'Model allocations'!$A$1:$L$316,5,FALSE)</f>
        <v>225949.60383282774</v>
      </c>
      <c r="E313" s="31">
        <f>VLOOKUP(B313,'Initial adjusted formula count'!$A$1:$P$316,12,FALSE)</f>
        <v>8.4590763603109298E-2</v>
      </c>
      <c r="F313">
        <f>VLOOKUP(B313,'Model allocations'!$A$1:$L$316,10,FALSE)</f>
        <v>236247.59261194113</v>
      </c>
      <c r="G313" s="30">
        <f t="shared" si="83"/>
        <v>0.85</v>
      </c>
      <c r="H313">
        <f t="shared" si="84"/>
        <v>192057.16325790356</v>
      </c>
      <c r="I313">
        <f t="shared" si="76"/>
        <v>0</v>
      </c>
      <c r="J313">
        <f t="shared" si="77"/>
        <v>236247.59261194113</v>
      </c>
      <c r="K313">
        <f t="shared" si="78"/>
        <v>236067.20288902204</v>
      </c>
      <c r="L313">
        <f t="shared" si="85"/>
        <v>236067.20288902204</v>
      </c>
      <c r="M313">
        <f t="shared" si="79"/>
        <v>0</v>
      </c>
      <c r="N313" s="29">
        <f t="shared" si="86"/>
        <v>236067.20288902204</v>
      </c>
      <c r="O313" s="29">
        <f t="shared" si="80"/>
        <v>236053.79460344225</v>
      </c>
      <c r="P313" s="29">
        <f t="shared" si="87"/>
        <v>236053.79460344225</v>
      </c>
      <c r="Q313">
        <f t="shared" si="88"/>
        <v>0</v>
      </c>
      <c r="R313" s="29">
        <f t="shared" si="89"/>
        <v>236053.79460344225</v>
      </c>
      <c r="S313" s="29">
        <f t="shared" si="81"/>
        <v>236053.71046623017</v>
      </c>
      <c r="T313" s="29">
        <f t="shared" si="90"/>
        <v>236053.71046623017</v>
      </c>
      <c r="U313">
        <f t="shared" si="91"/>
        <v>0</v>
      </c>
      <c r="V313" s="29">
        <f t="shared" si="92"/>
        <v>236053.71046623017</v>
      </c>
      <c r="W313" s="29">
        <f t="shared" si="82"/>
        <v>236053.7104662302</v>
      </c>
      <c r="X313" s="29">
        <f t="shared" si="93"/>
        <v>236053.7104662302</v>
      </c>
      <c r="Y313">
        <f t="shared" si="94"/>
        <v>0</v>
      </c>
    </row>
    <row r="314" spans="1:25" x14ac:dyDescent="0.25">
      <c r="A314" s="4" t="s">
        <v>1255</v>
      </c>
      <c r="B314" s="7" t="s">
        <v>648</v>
      </c>
      <c r="C314" s="2" t="s">
        <v>1256</v>
      </c>
      <c r="D314">
        <f>VLOOKUP(B314,'Model allocations'!$A$1:$L$316,5,FALSE)</f>
        <v>67072.238614568574</v>
      </c>
      <c r="E314" s="31">
        <f>VLOOKUP(B314,'Initial adjusted formula count'!$A$1:$P$316,12,FALSE)</f>
        <v>0.112876254180602</v>
      </c>
      <c r="F314">
        <f>VLOOKUP(B314,'Model allocations'!$A$1:$L$316,10,FALSE)</f>
        <v>57465.630635337002</v>
      </c>
      <c r="G314" s="30">
        <f t="shared" si="83"/>
        <v>0.85</v>
      </c>
      <c r="H314">
        <f t="shared" si="84"/>
        <v>57011.402822383287</v>
      </c>
      <c r="I314">
        <f t="shared" si="76"/>
        <v>0</v>
      </c>
      <c r="J314">
        <f t="shared" si="77"/>
        <v>57465.630635337002</v>
      </c>
      <c r="K314">
        <f t="shared" si="78"/>
        <v>57421.752054086406</v>
      </c>
      <c r="L314">
        <f t="shared" si="85"/>
        <v>57421.752054086406</v>
      </c>
      <c r="M314">
        <f t="shared" si="79"/>
        <v>0</v>
      </c>
      <c r="N314" s="29">
        <f t="shared" si="86"/>
        <v>57421.752054086406</v>
      </c>
      <c r="O314" s="29">
        <f t="shared" si="80"/>
        <v>57418.49057921565</v>
      </c>
      <c r="P314" s="29">
        <f t="shared" si="87"/>
        <v>57418.49057921565</v>
      </c>
      <c r="Q314">
        <f t="shared" si="88"/>
        <v>0</v>
      </c>
      <c r="R314" s="29">
        <f t="shared" si="89"/>
        <v>57418.49057921565</v>
      </c>
      <c r="S314" s="29">
        <f t="shared" si="81"/>
        <v>57418.470113407297</v>
      </c>
      <c r="T314" s="29">
        <f t="shared" si="90"/>
        <v>57418.470113407297</v>
      </c>
      <c r="U314">
        <f t="shared" si="91"/>
        <v>0</v>
      </c>
      <c r="V314" s="29">
        <f t="shared" si="92"/>
        <v>57418.470113407297</v>
      </c>
      <c r="W314" s="29">
        <f t="shared" si="82"/>
        <v>57418.470113407304</v>
      </c>
      <c r="X314" s="29">
        <f t="shared" si="93"/>
        <v>57418.470113407304</v>
      </c>
      <c r="Y314">
        <f t="shared" si="94"/>
        <v>0</v>
      </c>
    </row>
    <row r="315" spans="1:25" x14ac:dyDescent="0.25">
      <c r="A315" s="1"/>
      <c r="B315" s="7" t="s">
        <v>650</v>
      </c>
      <c r="C315" s="2" t="s">
        <v>651</v>
      </c>
      <c r="D315">
        <f>VLOOKUP(B315,'Model allocations'!$A$1:$L$316,5,FALSE)</f>
        <v>392116.44266631908</v>
      </c>
      <c r="E315" s="31">
        <f>VLOOKUP(B315,'Initial adjusted formula count'!$A$1:$P$316,12,FALSE)</f>
        <v>1</v>
      </c>
      <c r="F315">
        <f>VLOOKUP(B315,'Model allocations'!$A$1:$L$316,10,FALSE)</f>
        <v>372510.62053300312</v>
      </c>
      <c r="G315" s="30">
        <f t="shared" si="83"/>
        <v>0.95</v>
      </c>
      <c r="H315">
        <f t="shared" si="84"/>
        <v>372510.62053300312</v>
      </c>
      <c r="I315">
        <f t="shared" si="76"/>
        <v>0</v>
      </c>
      <c r="J315">
        <f t="shared" si="77"/>
        <v>372510.62053300312</v>
      </c>
      <c r="K315">
        <f t="shared" si="78"/>
        <v>372226.18551768962</v>
      </c>
      <c r="L315">
        <f t="shared" si="85"/>
        <v>372226.18551768962</v>
      </c>
      <c r="M315">
        <f t="shared" si="79"/>
        <v>372510.62053300312</v>
      </c>
      <c r="N315" s="29">
        <f t="shared" si="86"/>
        <v>0</v>
      </c>
      <c r="O315" s="29">
        <f t="shared" si="80"/>
        <v>0</v>
      </c>
      <c r="P315" s="29">
        <f t="shared" si="87"/>
        <v>372510.62053300312</v>
      </c>
      <c r="Q315">
        <f t="shared" si="88"/>
        <v>0</v>
      </c>
      <c r="R315" s="29">
        <f t="shared" si="89"/>
        <v>0</v>
      </c>
      <c r="S315" s="29">
        <f t="shared" si="81"/>
        <v>0</v>
      </c>
      <c r="T315" s="29">
        <f t="shared" si="90"/>
        <v>372510.62053300312</v>
      </c>
      <c r="U315">
        <f t="shared" si="91"/>
        <v>0</v>
      </c>
      <c r="V315" s="29">
        <f t="shared" si="92"/>
        <v>0</v>
      </c>
      <c r="W315" s="29">
        <f t="shared" si="82"/>
        <v>0</v>
      </c>
      <c r="X315" s="29">
        <f t="shared" si="93"/>
        <v>372510.62053300312</v>
      </c>
      <c r="Y315">
        <f t="shared" si="94"/>
        <v>0</v>
      </c>
    </row>
    <row r="316" spans="1:25" x14ac:dyDescent="0.25">
      <c r="A316" t="s">
        <v>1425</v>
      </c>
      <c r="B316" t="s">
        <v>1418</v>
      </c>
      <c r="C316" t="s">
        <v>1419</v>
      </c>
      <c r="D316">
        <f>VLOOKUP(B316,'Model allocations'!$A$1:$L$316,5,FALSE)</f>
        <v>42523.373101875077</v>
      </c>
      <c r="E316" s="31">
        <f>VLOOKUP(B316,'Initial adjusted formula count'!$A$1:$P$316,12,FALSE)</f>
        <v>0.16428460450292401</v>
      </c>
      <c r="F316">
        <f>VLOOKUP(B316,'Model allocations'!$A$1:$L$316,10,FALSE)</f>
        <v>42673.790348357194</v>
      </c>
      <c r="G316" s="30">
        <f t="shared" ref="G316:G317" si="95">IF(E316&lt;0.15,0.85,IF(AND(E316&gt;=0.15,E316&lt;0.3),0.9,0.95))</f>
        <v>0.9</v>
      </c>
      <c r="H316">
        <f t="shared" ref="H316:H317" si="96">IF(F316 = 0, 0, D316*G316)</f>
        <v>38271.035791687573</v>
      </c>
      <c r="I316">
        <f t="shared" ref="I316:I317" si="97">IF(F316&lt;H316,H316,0)</f>
        <v>0</v>
      </c>
      <c r="J316">
        <f t="shared" ref="J316:J317" si="98">IF(I316=0,F316,0)</f>
        <v>42673.790348357194</v>
      </c>
      <c r="K316">
        <f t="shared" ref="K316:K317" si="99">(J316/$J$3)*($F$3-$I$3)</f>
        <v>42641.206256677193</v>
      </c>
      <c r="L316">
        <f t="shared" ref="L316:L317" si="100">I316+K316</f>
        <v>42641.206256677193</v>
      </c>
      <c r="M316">
        <f t="shared" ref="M316:M317" si="101">IF(L316&lt;H316,H316,0)</f>
        <v>0</v>
      </c>
      <c r="N316" s="29">
        <f t="shared" ref="N316:N317" si="102">IF($I316+$M316=0,L316,0)</f>
        <v>42641.206256677193</v>
      </c>
      <c r="O316" s="29">
        <f t="shared" ref="O316:O317" si="103">((N316/$N$3)*($F$3-$I$3-$M$3))</f>
        <v>42638.784296049205</v>
      </c>
      <c r="P316" s="29">
        <f t="shared" ref="P316:P317" si="104">$I316+$M316+O316</f>
        <v>42638.784296049205</v>
      </c>
      <c r="Q316">
        <f t="shared" ref="Q316:Q317" si="105">IF(P316&lt;H316,H316,0)</f>
        <v>0</v>
      </c>
      <c r="R316" s="29">
        <f t="shared" ref="R316:R317" si="106">IF($I316+$M316+$Q316=0,P316,0)</f>
        <v>42638.784296049205</v>
      </c>
      <c r="S316" s="29">
        <f t="shared" ref="S316:S317" si="107">((R316/$R$3)*($F$3-$I$3-$M$3-$Q$3))</f>
        <v>42638.769098206503</v>
      </c>
      <c r="T316" s="29">
        <f t="shared" ref="T316:T317" si="108">$I316+$M316+$Q316+S316</f>
        <v>42638.769098206503</v>
      </c>
      <c r="U316">
        <f t="shared" ref="U316:U317" si="109">IF(T316&lt;H316,H316,0)</f>
        <v>0</v>
      </c>
      <c r="V316" s="29">
        <f t="shared" ref="V316:V317" si="110">IF($I316+$M316+$Q316+U316=0,T316,0)</f>
        <v>42638.769098206503</v>
      </c>
      <c r="W316" s="29">
        <f t="shared" ref="W316:W317" si="111">((V316/$V$3)*($F$3-$I$3-$M$3-$Q$3-$U$3))</f>
        <v>42638.769098206503</v>
      </c>
      <c r="X316" s="29">
        <f t="shared" ref="X316:X317" si="112">$I316+$M316+$Q316+$U316+W316</f>
        <v>42638.769098206503</v>
      </c>
      <c r="Y316">
        <f t="shared" ref="Y316:Y317" si="113">IF(X316&lt;H316,H316,0)</f>
        <v>0</v>
      </c>
    </row>
    <row r="317" spans="1:25" x14ac:dyDescent="0.25">
      <c r="A317" t="s">
        <v>1426</v>
      </c>
      <c r="B317" t="s">
        <v>1420</v>
      </c>
      <c r="C317" t="s">
        <v>1421</v>
      </c>
      <c r="D317">
        <f>VLOOKUP(B317,'Model allocations'!$A$1:$L$316,5,FALSE)</f>
        <v>0</v>
      </c>
      <c r="E317" s="31">
        <f>VLOOKUP(B317,'Initial adjusted formula count'!$A$1:$P$316,12,FALSE)</f>
        <v>0.10607705301687299</v>
      </c>
      <c r="F317">
        <f>VLOOKUP(B317,'Model allocations'!$A$1:$L$316,10,FALSE)</f>
        <v>7939.2925539221214</v>
      </c>
      <c r="G317" s="30">
        <f t="shared" si="95"/>
        <v>0.85</v>
      </c>
      <c r="H317">
        <f t="shared" si="96"/>
        <v>0</v>
      </c>
      <c r="I317">
        <f t="shared" si="97"/>
        <v>0</v>
      </c>
      <c r="J317">
        <f t="shared" si="98"/>
        <v>7939.2925539221214</v>
      </c>
      <c r="K317">
        <f t="shared" si="99"/>
        <v>7933.2304105235717</v>
      </c>
      <c r="L317">
        <f t="shared" si="100"/>
        <v>7933.2304105235717</v>
      </c>
      <c r="M317">
        <f t="shared" si="101"/>
        <v>0</v>
      </c>
      <c r="N317" s="29">
        <f t="shared" si="102"/>
        <v>7933.2304105235717</v>
      </c>
      <c r="O317" s="29">
        <f t="shared" si="103"/>
        <v>7932.7798141780713</v>
      </c>
      <c r="P317" s="29">
        <f t="shared" si="104"/>
        <v>7932.7798141780713</v>
      </c>
      <c r="Q317">
        <f t="shared" si="105"/>
        <v>0</v>
      </c>
      <c r="R317" s="29">
        <f t="shared" si="106"/>
        <v>7932.7798141780713</v>
      </c>
      <c r="S317" s="29">
        <f t="shared" si="107"/>
        <v>7932.7769866786057</v>
      </c>
      <c r="T317" s="29">
        <f t="shared" si="108"/>
        <v>7932.7769866786057</v>
      </c>
      <c r="U317">
        <f t="shared" si="109"/>
        <v>0</v>
      </c>
      <c r="V317" s="29">
        <f t="shared" si="110"/>
        <v>7932.7769866786057</v>
      </c>
      <c r="W317" s="29">
        <f t="shared" si="111"/>
        <v>7932.7769866786057</v>
      </c>
      <c r="X317" s="29">
        <f t="shared" si="112"/>
        <v>7932.7769866786057</v>
      </c>
      <c r="Y317">
        <f t="shared" si="113"/>
        <v>0</v>
      </c>
    </row>
    <row r="322" spans="7:7" x14ac:dyDescent="0.25">
      <c r="G322" s="30"/>
    </row>
    <row r="323" spans="7:7" x14ac:dyDescent="0.25">
      <c r="G323" s="30"/>
    </row>
    <row r="324" spans="7:7" x14ac:dyDescent="0.25">
      <c r="G324" s="30"/>
    </row>
    <row r="325" spans="7:7" x14ac:dyDescent="0.25">
      <c r="G325" s="30"/>
    </row>
  </sheetData>
  <sheetProtection algorithmName="SHA-512" hashValue="FZIlwm92b1lDMY7cwCBBkgSvKHf5iyUNRQYxL7KrMPtxmpDEHWsKAdoM6zd7lFai19tr8LmvlGeD6KjmSxHheA==" saltValue="bg5QroD13uYlNbyLH6Y1Cg==" spinCount="100000" sheet="1" objects="1" scenarios="1"/>
  <autoFilter ref="A3:Y315" xr:uid="{E4CCECE1-CFB0-4124-B246-34444E47CF8A}"/>
  <conditionalFormatting sqref="B1:B315">
    <cfRule type="duplicateValues" dxfId="1" priority="18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506B-0783-4864-A67B-A0D4F556461E}">
  <dimension ref="A1:Z317"/>
  <sheetViews>
    <sheetView topLeftCell="G1" workbookViewId="0">
      <selection activeCell="AA3" sqref="AA3"/>
    </sheetView>
    <sheetView workbookViewId="1"/>
  </sheetViews>
  <sheetFormatPr defaultRowHeight="15" x14ac:dyDescent="0.25"/>
  <cols>
    <col min="3" max="3" width="20.28515625" customWidth="1"/>
    <col min="4" max="4" width="19.28515625" customWidth="1"/>
    <col min="5" max="5" width="16.5703125" customWidth="1"/>
    <col min="6" max="6" width="22.42578125" customWidth="1"/>
    <col min="7" max="7" width="12.85546875" customWidth="1"/>
    <col min="8" max="8" width="13.5703125" bestFit="1" customWidth="1"/>
    <col min="9" max="9" width="12.7109375" customWidth="1"/>
    <col min="10" max="10" width="16.140625" customWidth="1"/>
    <col min="11" max="11" width="13.28515625" customWidth="1"/>
    <col min="12" max="12" width="16.42578125" customWidth="1"/>
    <col min="13" max="13" width="13.5703125" bestFit="1" customWidth="1"/>
    <col min="14" max="14" width="13.28515625" customWidth="1"/>
    <col min="15" max="15" width="16.42578125" customWidth="1"/>
    <col min="16" max="16" width="14.28515625" customWidth="1"/>
    <col min="18" max="18" width="11.140625" customWidth="1"/>
    <col min="19" max="19" width="13.5703125" bestFit="1" customWidth="1"/>
    <col min="20" max="20" width="12.7109375" customWidth="1"/>
    <col min="22" max="22" width="13.85546875" customWidth="1"/>
    <col min="23" max="23" width="11.85546875" customWidth="1"/>
    <col min="24" max="24" width="13.28515625" customWidth="1"/>
    <col min="25" max="25" width="7.85546875" customWidth="1"/>
    <col min="26" max="26" width="10.140625" customWidth="1"/>
  </cols>
  <sheetData>
    <row r="1" spans="1:26" x14ac:dyDescent="0.25">
      <c r="A1" s="1"/>
      <c r="B1" s="5"/>
      <c r="C1" s="4"/>
      <c r="F1" s="79" t="str">
        <f>IF($F$3=SUM(Model_allocations[EFIG Allocation]), "Good", "Check district list")</f>
        <v>Good</v>
      </c>
      <c r="Y1" t="str" cm="1">
        <f t="array" ref="Y1">Assumptions[EFIG GRANTS]</f>
        <v>100776567</v>
      </c>
      <c r="Z1" s="46">
        <f>X3-Y1</f>
        <v>-17306.492174088955</v>
      </c>
    </row>
    <row r="2" spans="1:26" ht="76.5" x14ac:dyDescent="0.25">
      <c r="A2" s="1" t="s">
        <v>0</v>
      </c>
      <c r="B2" s="5" t="s">
        <v>4</v>
      </c>
      <c r="C2" s="3" t="s">
        <v>1277</v>
      </c>
      <c r="D2" s="33" t="s">
        <v>1376</v>
      </c>
      <c r="E2" s="36" t="s">
        <v>1294</v>
      </c>
      <c r="F2" s="33" t="s">
        <v>1293</v>
      </c>
      <c r="G2" s="35" t="s">
        <v>653</v>
      </c>
      <c r="H2" s="34" t="s">
        <v>1292</v>
      </c>
      <c r="I2" s="34" t="s">
        <v>1366</v>
      </c>
      <c r="J2" s="34" t="s">
        <v>1367</v>
      </c>
      <c r="K2" s="34" t="s">
        <v>1368</v>
      </c>
      <c r="L2" s="34" t="s">
        <v>1369</v>
      </c>
      <c r="M2" s="32" t="s">
        <v>1291</v>
      </c>
      <c r="N2" s="34" t="s">
        <v>1367</v>
      </c>
      <c r="O2" s="32" t="s">
        <v>1368</v>
      </c>
      <c r="P2" s="32" t="s">
        <v>1369</v>
      </c>
      <c r="Q2" s="32" t="s">
        <v>1370</v>
      </c>
      <c r="R2" s="32" t="s">
        <v>1367</v>
      </c>
      <c r="S2" s="32" t="s">
        <v>1368</v>
      </c>
      <c r="T2" s="32" t="s">
        <v>1369</v>
      </c>
      <c r="U2" s="32" t="s">
        <v>1371</v>
      </c>
      <c r="V2" s="32" t="s">
        <v>1367</v>
      </c>
      <c r="W2" s="32" t="s">
        <v>1368</v>
      </c>
      <c r="X2" s="32" t="s">
        <v>1369</v>
      </c>
      <c r="Y2" s="32" t="s">
        <v>1372</v>
      </c>
      <c r="Z2" s="32"/>
    </row>
    <row r="3" spans="1:26" x14ac:dyDescent="0.25">
      <c r="A3" s="1"/>
      <c r="B3" s="5"/>
      <c r="C3" s="6"/>
      <c r="D3" s="33">
        <f>SUM(D4:D317)</f>
        <v>102291928.67081617</v>
      </c>
      <c r="E3" s="33"/>
      <c r="F3" s="78" cm="1">
        <f t="array" ref="F3">SUM(IF(ISERROR($F$4:$F$317),"",$F$4:$F$317))</f>
        <v>100759260.50782593</v>
      </c>
      <c r="G3" s="33"/>
      <c r="H3" s="33" cm="1">
        <f t="array" ref="H3">SUM(IF(ISERROR($H$4:$H$317),"",$H$4:$H$317))</f>
        <v>88591752.09181878</v>
      </c>
      <c r="I3" s="33" cm="1">
        <f t="array" ref="I3">SUM(IF(ISERROR($I$4:$I$317),"",$I$4:$I$317))</f>
        <v>8507107.0704117846</v>
      </c>
      <c r="J3" s="33" cm="1">
        <f t="array" ref="J3">SUM(IF(ISERROR($J$4:$J$317),"",$J$4:$J$317))</f>
        <v>92327710.276386514</v>
      </c>
      <c r="K3" s="33" cm="1">
        <f t="array" ref="K3">SUM(IF(ISERROR($K$4:$K$317),"",$K$4:$K$317))</f>
        <v>92252153.437414125</v>
      </c>
      <c r="L3" s="33" cm="1">
        <f t="array" ref="L3">SUM(IF(ISERROR($L$4:$L$317),0,$L$4:$L$317))</f>
        <v>100759260.5078259</v>
      </c>
      <c r="M3" s="33" cm="1">
        <f t="array" ref="M3">SUM(IF(ISERROR($M$4:$M$317),0,$M$4:$M$317))</f>
        <v>13134515.392622488</v>
      </c>
      <c r="N3" s="33" cm="1">
        <f t="array" ref="N3">SUM(IF(ISERROR($N$4:$N$317),0,$N$4:$N$317))</f>
        <v>79123090.194901928</v>
      </c>
      <c r="O3" s="33" cm="1">
        <f t="array" ref="O3">SUM(IF(ISERROR($O$4:$O$317),0,$O$4:$O$317))</f>
        <v>79117638.044791698</v>
      </c>
      <c r="P3" s="33" cm="1">
        <f t="array" ref="P3">SUM(IF(ISERROR($P$4:$P$317),0,$P$4:$P$317))</f>
        <v>100759260.50782596</v>
      </c>
      <c r="Q3" s="33" cm="1">
        <f t="array" ref="Q3">SUM(IF(ISERROR($Q$4:$Q$317),0,$Q$4:$Q$317))</f>
        <v>1423433.9519763663</v>
      </c>
      <c r="R3" s="33" cm="1">
        <f t="array" ref="R3">SUM(IF(ISERROR($R$4:$R$317),0,$R$4:$R$317))</f>
        <v>77694297.345681787</v>
      </c>
      <c r="S3" s="33" cm="1">
        <f t="array" ref="S3">SUM(IF(ISERROR($S$4:$S$317),0,$S$4:$S$317))</f>
        <v>77694204.09281528</v>
      </c>
      <c r="T3" s="33" cm="1">
        <f t="array" ref="T3">SUM(IF(ISERROR($T$4:$T$317),0,$T$4:$T$317))</f>
        <v>100759260.50782591</v>
      </c>
      <c r="U3" s="33" cm="1">
        <f t="array" ref="U3">SUM(IF(ISERROR($U$4:$U$317),0,$U$4:$U$317))</f>
        <v>0</v>
      </c>
      <c r="V3" s="33" cm="1">
        <f t="array" ref="V3">SUM(IF(ISERROR($V$4:$V$317),0,$V$4:$V$317))</f>
        <v>77694204.09281528</v>
      </c>
      <c r="W3" s="33" cm="1">
        <f t="array" ref="W3">SUM(IF(ISERROR($W$4:$W$317),0,$W$4:$W$317))</f>
        <v>77694204.09281528</v>
      </c>
      <c r="X3" s="33" cm="1">
        <f t="array" ref="X3">SUM(IF(ISERROR($X$4:$X$317),0,$X$4:$X$317))</f>
        <v>100759260.50782591</v>
      </c>
      <c r="Y3" s="33" cm="1">
        <f t="array" ref="Y3">SUM(IF(ISERROR($Y$4:$Y$317),0,$Y$4:$Y$317))</f>
        <v>0</v>
      </c>
      <c r="Z3" s="32"/>
    </row>
    <row r="4" spans="1:26" x14ac:dyDescent="0.25">
      <c r="A4" s="4" t="s">
        <v>660</v>
      </c>
      <c r="B4" s="7" t="s">
        <v>308</v>
      </c>
      <c r="C4" s="2" t="s">
        <v>661</v>
      </c>
      <c r="D4">
        <f>VLOOKUP(B4,'Model allocations'!$A$1:$L$316,6,FALSE)</f>
        <v>539711.39546573057</v>
      </c>
      <c r="E4" s="31">
        <f>VLOOKUP(B4,'Initial adjusted formula count'!$A$1:$P$316,12,FALSE)</f>
        <v>0.209235209235209</v>
      </c>
      <c r="F4">
        <f>VLOOKUP(B4,'Model allocations'!$A$1:$L$316,11,FALSE)</f>
        <v>487991.51299356774</v>
      </c>
      <c r="G4" s="30">
        <f>IF(E4&lt;0.15,0.85,IF(AND(E4&gt;=0.15,E4&lt;0.3),0.9,0.95))</f>
        <v>0.9</v>
      </c>
      <c r="H4">
        <f>IF(F4 = 0, 0, D4*G4)</f>
        <v>485740.25591915753</v>
      </c>
      <c r="I4">
        <f t="shared" ref="I4:I67" si="0">IF(F4&lt;H4,H4,0)</f>
        <v>0</v>
      </c>
      <c r="J4">
        <f t="shared" ref="J4:J67" si="1">IF(I4=0,F4,0)</f>
        <v>487991.51299356774</v>
      </c>
      <c r="K4">
        <f t="shared" ref="K4:K67" si="2">(J4/$J$3)*($F$3-$I$3)</f>
        <v>487592.16272205376</v>
      </c>
      <c r="L4">
        <f t="shared" ref="L4:L67" si="3">I4+K4</f>
        <v>487592.16272205376</v>
      </c>
      <c r="M4">
        <f t="shared" ref="M4:M67" si="4">IF(L4&lt;H4,H4,0)</f>
        <v>0</v>
      </c>
      <c r="N4" s="29">
        <f t="shared" ref="N4:N67" si="5">IF($I4+$M4=0,L4,0)</f>
        <v>487592.16272205376</v>
      </c>
      <c r="O4" s="29">
        <f t="shared" ref="O4:O67" si="6">((N4/$N$3)*($F$3-$I$3-$M$3))</f>
        <v>487558.56411440071</v>
      </c>
      <c r="P4" s="29">
        <f t="shared" ref="P4:P67" si="7">$I4+$M4+O4</f>
        <v>487558.56411440071</v>
      </c>
      <c r="Q4">
        <f t="shared" ref="Q4:Q67" si="8">IF(P4&lt;H4,H4,0)</f>
        <v>0</v>
      </c>
      <c r="R4" s="29">
        <f t="shared" ref="R4:R67" si="9">IF($I4+$M4+$Q4=0,P4,0)</f>
        <v>487558.56411440071</v>
      </c>
      <c r="S4" s="29">
        <f t="shared" ref="S4:S67" si="10">((R4/$R$3)*($F$3-$I$3-$M$3-$Q$3))</f>
        <v>487557.97892043862</v>
      </c>
      <c r="T4" s="29">
        <f t="shared" ref="T4:T67" si="11">$I4+$M4+$Q4+S4</f>
        <v>487557.97892043862</v>
      </c>
      <c r="U4">
        <f t="shared" ref="U4:U67" si="12">IF(T4&lt;H4,H4,0)</f>
        <v>0</v>
      </c>
      <c r="V4" s="29">
        <f t="shared" ref="V4:V67" si="13">IF($I4+$M4+$Q4+U4=0,T4,0)</f>
        <v>487557.97892043862</v>
      </c>
      <c r="W4" s="29">
        <f t="shared" ref="W4:W67" si="14">((V4/$V$3)*($F$3-$I$3-$M$3-$Q$3-$U$3))</f>
        <v>487557.97892043862</v>
      </c>
      <c r="X4" s="29">
        <f t="shared" ref="X4:X67" si="15">$I4+$M4+$Q4+$U4+W4</f>
        <v>487557.97892043862</v>
      </c>
      <c r="Y4">
        <f t="shared" ref="Y4:Y67" si="16">IF(X4&lt;H4,H4,0)</f>
        <v>0</v>
      </c>
    </row>
    <row r="5" spans="1:26" x14ac:dyDescent="0.25">
      <c r="A5" s="4" t="s">
        <v>662</v>
      </c>
      <c r="B5" s="7" t="s">
        <v>259</v>
      </c>
      <c r="C5" s="2" t="s">
        <v>663</v>
      </c>
      <c r="D5">
        <f>VLOOKUP(B5,'Model allocations'!$A$1:$L$316,6,FALSE)</f>
        <v>39235.770572803085</v>
      </c>
      <c r="E5" s="31">
        <f>VLOOKUP(B5,'Initial adjusted formula count'!$A$1:$P$316,12,FALSE)</f>
        <v>6.3324538258575203E-2</v>
      </c>
      <c r="F5">
        <f>VLOOKUP(B5,'Model allocations'!$A$1:$L$316,11,FALSE)</f>
        <v>33374.281264039921</v>
      </c>
      <c r="G5" s="30">
        <f t="shared" ref="G5:G68" si="17">IF(E5&lt;0.15,0.85,IF(AND(E5&gt;=0.15,E5&lt;0.3),0.9,0.95))</f>
        <v>0.85</v>
      </c>
      <c r="H5">
        <f t="shared" ref="H5:H68" si="18">IF(F5 = 0, 0, D5*G5)</f>
        <v>33350.404986882619</v>
      </c>
      <c r="I5">
        <f t="shared" si="0"/>
        <v>0</v>
      </c>
      <c r="J5">
        <f t="shared" si="1"/>
        <v>33374.281264039921</v>
      </c>
      <c r="K5">
        <f t="shared" si="2"/>
        <v>33346.969255676049</v>
      </c>
      <c r="L5">
        <f t="shared" si="3"/>
        <v>33346.969255676049</v>
      </c>
      <c r="M5">
        <f t="shared" si="4"/>
        <v>33350.404986882619</v>
      </c>
      <c r="N5" s="29">
        <f t="shared" si="5"/>
        <v>0</v>
      </c>
      <c r="O5" s="29">
        <f t="shared" si="6"/>
        <v>0</v>
      </c>
      <c r="P5" s="29">
        <f t="shared" si="7"/>
        <v>33350.404986882619</v>
      </c>
      <c r="Q5">
        <f t="shared" si="8"/>
        <v>0</v>
      </c>
      <c r="R5" s="29">
        <f t="shared" si="9"/>
        <v>0</v>
      </c>
      <c r="S5" s="29">
        <f t="shared" si="10"/>
        <v>0</v>
      </c>
      <c r="T5" s="29">
        <f t="shared" si="11"/>
        <v>33350.404986882619</v>
      </c>
      <c r="U5">
        <f t="shared" si="12"/>
        <v>0</v>
      </c>
      <c r="V5" s="29">
        <f t="shared" si="13"/>
        <v>0</v>
      </c>
      <c r="W5" s="29">
        <f t="shared" si="14"/>
        <v>0</v>
      </c>
      <c r="X5" s="29">
        <f t="shared" si="15"/>
        <v>33350.404986882619</v>
      </c>
      <c r="Y5">
        <f t="shared" si="16"/>
        <v>0</v>
      </c>
    </row>
    <row r="6" spans="1:26" x14ac:dyDescent="0.25">
      <c r="A6" s="4" t="s">
        <v>664</v>
      </c>
      <c r="B6" s="7" t="s">
        <v>261</v>
      </c>
      <c r="C6" s="2" t="s">
        <v>665</v>
      </c>
      <c r="D6">
        <f>VLOOKUP(B6,'Model allocations'!$A$1:$L$316,6,FALSE)</f>
        <v>11333.934691181523</v>
      </c>
      <c r="E6" s="31">
        <f>VLOOKUP(B6,'Initial adjusted formula count'!$A$1:$P$316,12,FALSE)</f>
        <v>0.11224489795918401</v>
      </c>
      <c r="F6">
        <f>VLOOKUP(B6,'Model allocations'!$A$1:$L$316,11,FALSE)</f>
        <v>9640.7415654007837</v>
      </c>
      <c r="G6" s="30">
        <f t="shared" si="17"/>
        <v>0.85</v>
      </c>
      <c r="H6">
        <f t="shared" si="18"/>
        <v>9633.8444875042933</v>
      </c>
      <c r="I6">
        <f t="shared" si="0"/>
        <v>0</v>
      </c>
      <c r="J6">
        <f t="shared" si="1"/>
        <v>9640.7415654007837</v>
      </c>
      <c r="K6">
        <f t="shared" si="2"/>
        <v>9632.8520167934294</v>
      </c>
      <c r="L6">
        <f t="shared" si="3"/>
        <v>9632.8520167934294</v>
      </c>
      <c r="M6">
        <f t="shared" si="4"/>
        <v>9633.8444875042933</v>
      </c>
      <c r="N6" s="29">
        <f t="shared" si="5"/>
        <v>0</v>
      </c>
      <c r="O6" s="29">
        <f t="shared" si="6"/>
        <v>0</v>
      </c>
      <c r="P6" s="29">
        <f t="shared" si="7"/>
        <v>9633.8444875042933</v>
      </c>
      <c r="Q6">
        <f t="shared" si="8"/>
        <v>0</v>
      </c>
      <c r="R6" s="29">
        <f t="shared" si="9"/>
        <v>0</v>
      </c>
      <c r="S6" s="29">
        <f t="shared" si="10"/>
        <v>0</v>
      </c>
      <c r="T6" s="29">
        <f t="shared" si="11"/>
        <v>9633.8444875042933</v>
      </c>
      <c r="U6">
        <f t="shared" si="12"/>
        <v>0</v>
      </c>
      <c r="V6" s="29">
        <f t="shared" si="13"/>
        <v>0</v>
      </c>
      <c r="W6" s="29">
        <f t="shared" si="14"/>
        <v>0</v>
      </c>
      <c r="X6" s="29">
        <f t="shared" si="15"/>
        <v>9633.8444875042933</v>
      </c>
      <c r="Y6">
        <f t="shared" si="16"/>
        <v>0</v>
      </c>
    </row>
    <row r="7" spans="1:26" x14ac:dyDescent="0.25">
      <c r="A7" s="4" t="s">
        <v>666</v>
      </c>
      <c r="B7" s="7" t="s">
        <v>88</v>
      </c>
      <c r="C7" s="2" t="s">
        <v>667</v>
      </c>
      <c r="D7">
        <f>VLOOKUP(B7,'Model allocations'!$A$1:$L$316,6,FALSE)</f>
        <v>132491.80497772634</v>
      </c>
      <c r="E7" s="31">
        <f>VLOOKUP(B7,'Initial adjusted formula count'!$A$1:$P$316,12,FALSE)</f>
        <v>7.3249551166965896E-2</v>
      </c>
      <c r="F7">
        <f>VLOOKUP(B7,'Model allocations'!$A$1:$L$316,11,FALSE)</f>
        <v>115238.25766786736</v>
      </c>
      <c r="G7" s="30">
        <f t="shared" si="17"/>
        <v>0.85</v>
      </c>
      <c r="H7">
        <f t="shared" si="18"/>
        <v>112618.03423106739</v>
      </c>
      <c r="I7">
        <f t="shared" si="0"/>
        <v>0</v>
      </c>
      <c r="J7">
        <f t="shared" si="1"/>
        <v>115238.25766786736</v>
      </c>
      <c r="K7">
        <f t="shared" si="2"/>
        <v>115143.95186896903</v>
      </c>
      <c r="L7">
        <f t="shared" si="3"/>
        <v>115143.95186896903</v>
      </c>
      <c r="M7">
        <f t="shared" si="4"/>
        <v>0</v>
      </c>
      <c r="N7" s="29">
        <f t="shared" si="5"/>
        <v>115143.95186896903</v>
      </c>
      <c r="O7" s="29">
        <f t="shared" si="6"/>
        <v>115136.01762236247</v>
      </c>
      <c r="P7" s="29">
        <f t="shared" si="7"/>
        <v>115136.01762236247</v>
      </c>
      <c r="Q7">
        <f t="shared" si="8"/>
        <v>0</v>
      </c>
      <c r="R7" s="29">
        <f t="shared" si="9"/>
        <v>115136.01762236247</v>
      </c>
      <c r="S7" s="29">
        <f t="shared" si="10"/>
        <v>115135.87942993331</v>
      </c>
      <c r="T7" s="29">
        <f t="shared" si="11"/>
        <v>115135.87942993331</v>
      </c>
      <c r="U7">
        <f t="shared" si="12"/>
        <v>0</v>
      </c>
      <c r="V7" s="29">
        <f t="shared" si="13"/>
        <v>115135.87942993331</v>
      </c>
      <c r="W7" s="29">
        <f t="shared" si="14"/>
        <v>115135.87942993331</v>
      </c>
      <c r="X7" s="29">
        <f t="shared" si="15"/>
        <v>115135.87942993331</v>
      </c>
      <c r="Y7">
        <f t="shared" si="16"/>
        <v>0</v>
      </c>
    </row>
    <row r="8" spans="1:26" x14ac:dyDescent="0.25">
      <c r="A8" s="4" t="s">
        <v>668</v>
      </c>
      <c r="B8" s="7" t="s">
        <v>90</v>
      </c>
      <c r="C8" s="2" t="s">
        <v>669</v>
      </c>
      <c r="D8">
        <f>VLOOKUP(B8,'Model allocations'!$A$1:$L$316,6,FALSE)</f>
        <v>308768.45537727629</v>
      </c>
      <c r="E8" s="31">
        <f>VLOOKUP(B8,'Initial adjusted formula count'!$A$1:$P$316,12,FALSE)</f>
        <v>8.9803398867044304E-2</v>
      </c>
      <c r="F8">
        <f>VLOOKUP(B8,'Model allocations'!$A$1:$L$316,11,FALSE)</f>
        <v>304477.55334794358</v>
      </c>
      <c r="G8" s="30">
        <f t="shared" si="17"/>
        <v>0.85</v>
      </c>
      <c r="H8">
        <f t="shared" si="18"/>
        <v>262453.18707068486</v>
      </c>
      <c r="I8">
        <f t="shared" si="0"/>
        <v>0</v>
      </c>
      <c r="J8">
        <f t="shared" si="1"/>
        <v>304477.55334794358</v>
      </c>
      <c r="K8">
        <f t="shared" si="2"/>
        <v>304228.3826341877</v>
      </c>
      <c r="L8">
        <f t="shared" si="3"/>
        <v>304228.3826341877</v>
      </c>
      <c r="M8">
        <f t="shared" si="4"/>
        <v>0</v>
      </c>
      <c r="N8" s="29">
        <f t="shared" si="5"/>
        <v>304228.3826341877</v>
      </c>
      <c r="O8" s="29">
        <f t="shared" si="6"/>
        <v>304207.41911006544</v>
      </c>
      <c r="P8" s="29">
        <f t="shared" si="7"/>
        <v>304207.41911006544</v>
      </c>
      <c r="Q8">
        <f t="shared" si="8"/>
        <v>0</v>
      </c>
      <c r="R8" s="29">
        <f t="shared" si="9"/>
        <v>304207.41911006544</v>
      </c>
      <c r="S8" s="29">
        <f t="shared" si="10"/>
        <v>304207.05398399034</v>
      </c>
      <c r="T8" s="29">
        <f t="shared" si="11"/>
        <v>304207.05398399034</v>
      </c>
      <c r="U8">
        <f t="shared" si="12"/>
        <v>0</v>
      </c>
      <c r="V8" s="29">
        <f t="shared" si="13"/>
        <v>304207.05398399034</v>
      </c>
      <c r="W8" s="29">
        <f t="shared" si="14"/>
        <v>304207.05398399034</v>
      </c>
      <c r="X8" s="29">
        <f t="shared" si="15"/>
        <v>304207.05398399034</v>
      </c>
      <c r="Y8">
        <f t="shared" si="16"/>
        <v>0</v>
      </c>
    </row>
    <row r="9" spans="1:26" x14ac:dyDescent="0.25">
      <c r="A9" s="4" t="s">
        <v>670</v>
      </c>
      <c r="B9" s="7" t="s">
        <v>309</v>
      </c>
      <c r="C9" s="2" t="s">
        <v>671</v>
      </c>
      <c r="D9">
        <f>VLOOKUP(B9,'Model allocations'!$A$1:$L$316,6,FALSE)</f>
        <v>25040.854196024917</v>
      </c>
      <c r="E9" s="31">
        <f>VLOOKUP(B9,'Initial adjusted formula count'!$A$1:$P$316,12,FALSE)</f>
        <v>6.18556701030928E-2</v>
      </c>
      <c r="F9">
        <f>VLOOKUP(B9,'Model allocations'!$A$1:$L$316,11,FALSE)</f>
        <v>21210.173611046324</v>
      </c>
      <c r="G9" s="30">
        <f t="shared" si="17"/>
        <v>0.85</v>
      </c>
      <c r="H9">
        <f t="shared" si="18"/>
        <v>21284.726066621177</v>
      </c>
      <c r="I9">
        <f t="shared" si="0"/>
        <v>21284.726066621177</v>
      </c>
      <c r="J9">
        <f t="shared" si="1"/>
        <v>0</v>
      </c>
      <c r="K9">
        <f t="shared" si="2"/>
        <v>0</v>
      </c>
      <c r="L9">
        <f t="shared" si="3"/>
        <v>21284.726066621177</v>
      </c>
      <c r="M9">
        <f t="shared" si="4"/>
        <v>0</v>
      </c>
      <c r="N9" s="29">
        <f t="shared" si="5"/>
        <v>0</v>
      </c>
      <c r="O9" s="29">
        <f t="shared" si="6"/>
        <v>0</v>
      </c>
      <c r="P9" s="29">
        <f t="shared" si="7"/>
        <v>21284.726066621177</v>
      </c>
      <c r="Q9">
        <f t="shared" si="8"/>
        <v>0</v>
      </c>
      <c r="R9" s="29">
        <f t="shared" si="9"/>
        <v>0</v>
      </c>
      <c r="S9" s="29">
        <f t="shared" si="10"/>
        <v>0</v>
      </c>
      <c r="T9" s="29">
        <f t="shared" si="11"/>
        <v>21284.726066621177</v>
      </c>
      <c r="U9">
        <f t="shared" si="12"/>
        <v>0</v>
      </c>
      <c r="V9" s="29">
        <f t="shared" si="13"/>
        <v>0</v>
      </c>
      <c r="W9" s="29">
        <f t="shared" si="14"/>
        <v>0</v>
      </c>
      <c r="X9" s="29">
        <f t="shared" si="15"/>
        <v>21284.726066621177</v>
      </c>
      <c r="Y9">
        <f t="shared" si="16"/>
        <v>0</v>
      </c>
    </row>
    <row r="10" spans="1:26" x14ac:dyDescent="0.25">
      <c r="A10" s="4" t="s">
        <v>672</v>
      </c>
      <c r="B10" s="7" t="s">
        <v>311</v>
      </c>
      <c r="C10" s="2" t="s">
        <v>673</v>
      </c>
      <c r="D10">
        <f>VLOOKUP(B10,'Model allocations'!$A$1:$L$316,6,FALSE)</f>
        <v>2356136.4546146314</v>
      </c>
      <c r="E10" s="31">
        <f>VLOOKUP(B10,'Initial adjusted formula count'!$A$1:$P$316,12,FALSE)</f>
        <v>0.16016150740242299</v>
      </c>
      <c r="F10">
        <f>VLOOKUP(B10,'Model allocations'!$A$1:$L$316,11,FALSE)</f>
        <v>2527050.7141039437</v>
      </c>
      <c r="G10" s="30">
        <f t="shared" si="17"/>
        <v>0.9</v>
      </c>
      <c r="H10">
        <f t="shared" si="18"/>
        <v>2120522.8091531685</v>
      </c>
      <c r="I10">
        <f t="shared" si="0"/>
        <v>0</v>
      </c>
      <c r="J10">
        <f t="shared" si="1"/>
        <v>2527050.7141039437</v>
      </c>
      <c r="K10">
        <f t="shared" si="2"/>
        <v>2524982.6896364354</v>
      </c>
      <c r="L10">
        <f t="shared" si="3"/>
        <v>2524982.6896364354</v>
      </c>
      <c r="M10">
        <f t="shared" si="4"/>
        <v>0</v>
      </c>
      <c r="N10" s="29">
        <f t="shared" si="5"/>
        <v>2524982.6896364354</v>
      </c>
      <c r="O10" s="29">
        <f t="shared" si="6"/>
        <v>2524808.7001648936</v>
      </c>
      <c r="P10" s="29">
        <f t="shared" si="7"/>
        <v>2524808.7001648936</v>
      </c>
      <c r="Q10">
        <f t="shared" si="8"/>
        <v>0</v>
      </c>
      <c r="R10" s="29">
        <f t="shared" si="9"/>
        <v>2524808.7001648936</v>
      </c>
      <c r="S10" s="29">
        <f t="shared" si="10"/>
        <v>2524805.6697539533</v>
      </c>
      <c r="T10" s="29">
        <f t="shared" si="11"/>
        <v>2524805.6697539533</v>
      </c>
      <c r="U10">
        <f t="shared" si="12"/>
        <v>0</v>
      </c>
      <c r="V10" s="29">
        <f t="shared" si="13"/>
        <v>2524805.6697539533</v>
      </c>
      <c r="W10" s="29">
        <f t="shared" si="14"/>
        <v>2524805.6697539533</v>
      </c>
      <c r="X10" s="29">
        <f t="shared" si="15"/>
        <v>2524805.6697539533</v>
      </c>
      <c r="Y10">
        <f t="shared" si="16"/>
        <v>0</v>
      </c>
    </row>
    <row r="11" spans="1:26" x14ac:dyDescent="0.25">
      <c r="A11" s="4" t="s">
        <v>674</v>
      </c>
      <c r="B11" s="7" t="s">
        <v>92</v>
      </c>
      <c r="C11" s="2" t="s">
        <v>675</v>
      </c>
      <c r="D11">
        <f>VLOOKUP(B11,'Model allocations'!$A$1:$L$316,6,FALSE)</f>
        <v>0</v>
      </c>
      <c r="E11" s="31">
        <f>VLOOKUP(B11,'Initial adjusted formula count'!$A$1:$P$316,12,FALSE)</f>
        <v>3.75469336670839E-2</v>
      </c>
      <c r="F11">
        <f>VLOOKUP(B11,'Model allocations'!$A$1:$L$316,11,FALSE)</f>
        <v>0</v>
      </c>
      <c r="G11" s="30">
        <f t="shared" si="17"/>
        <v>0.85</v>
      </c>
      <c r="H11">
        <f t="shared" si="18"/>
        <v>0</v>
      </c>
      <c r="I11">
        <f t="shared" si="0"/>
        <v>0</v>
      </c>
      <c r="J11">
        <f t="shared" si="1"/>
        <v>0</v>
      </c>
      <c r="K11">
        <f t="shared" si="2"/>
        <v>0</v>
      </c>
      <c r="L11">
        <f t="shared" si="3"/>
        <v>0</v>
      </c>
      <c r="M11">
        <f t="shared" si="4"/>
        <v>0</v>
      </c>
      <c r="N11" s="29">
        <f t="shared" si="5"/>
        <v>0</v>
      </c>
      <c r="O11" s="29">
        <f t="shared" si="6"/>
        <v>0</v>
      </c>
      <c r="P11" s="29">
        <f t="shared" si="7"/>
        <v>0</v>
      </c>
      <c r="Q11">
        <f t="shared" si="8"/>
        <v>0</v>
      </c>
      <c r="R11" s="29">
        <f t="shared" si="9"/>
        <v>0</v>
      </c>
      <c r="S11" s="29">
        <f t="shared" si="10"/>
        <v>0</v>
      </c>
      <c r="T11" s="29">
        <f t="shared" si="11"/>
        <v>0</v>
      </c>
      <c r="U11">
        <f t="shared" si="12"/>
        <v>0</v>
      </c>
      <c r="V11" s="29">
        <f t="shared" si="13"/>
        <v>0</v>
      </c>
      <c r="W11" s="29">
        <f t="shared" si="14"/>
        <v>0</v>
      </c>
      <c r="X11" s="29">
        <f t="shared" si="15"/>
        <v>0</v>
      </c>
      <c r="Y11">
        <f t="shared" si="16"/>
        <v>0</v>
      </c>
    </row>
    <row r="12" spans="1:26" x14ac:dyDescent="0.25">
      <c r="A12" s="4" t="s">
        <v>676</v>
      </c>
      <c r="B12" s="7" t="s">
        <v>94</v>
      </c>
      <c r="C12" s="2" t="s">
        <v>677</v>
      </c>
      <c r="D12">
        <f>VLOOKUP(B12,'Model allocations'!$A$1:$L$316,6,FALSE)</f>
        <v>571193.210730155</v>
      </c>
      <c r="E12" s="31">
        <f>VLOOKUP(B12,'Initial adjusted formula count'!$A$1:$P$316,12,FALSE)</f>
        <v>6.4799040948955805E-2</v>
      </c>
      <c r="F12">
        <f>VLOOKUP(B12,'Model allocations'!$A$1:$L$316,11,FALSE)</f>
        <v>675047.63682892884</v>
      </c>
      <c r="G12" s="30">
        <f t="shared" si="17"/>
        <v>0.85</v>
      </c>
      <c r="H12">
        <f t="shared" si="18"/>
        <v>485514.22912063176</v>
      </c>
      <c r="I12">
        <f t="shared" si="0"/>
        <v>0</v>
      </c>
      <c r="J12">
        <f t="shared" si="1"/>
        <v>675047.63682892884</v>
      </c>
      <c r="K12">
        <f t="shared" si="2"/>
        <v>674495.20825204893</v>
      </c>
      <c r="L12">
        <f t="shared" si="3"/>
        <v>674495.20825204893</v>
      </c>
      <c r="M12">
        <f t="shared" si="4"/>
        <v>0</v>
      </c>
      <c r="N12" s="29">
        <f t="shared" si="5"/>
        <v>674495.20825204893</v>
      </c>
      <c r="O12" s="29">
        <f t="shared" si="6"/>
        <v>674448.7306800154</v>
      </c>
      <c r="P12" s="29">
        <f t="shared" si="7"/>
        <v>674448.7306800154</v>
      </c>
      <c r="Q12">
        <f t="shared" si="8"/>
        <v>0</v>
      </c>
      <c r="R12" s="29">
        <f t="shared" si="9"/>
        <v>674448.7306800154</v>
      </c>
      <c r="S12" s="29">
        <f t="shared" si="10"/>
        <v>674447.92117044271</v>
      </c>
      <c r="T12" s="29">
        <f t="shared" si="11"/>
        <v>674447.92117044271</v>
      </c>
      <c r="U12">
        <f t="shared" si="12"/>
        <v>0</v>
      </c>
      <c r="V12" s="29">
        <f t="shared" si="13"/>
        <v>674447.92117044271</v>
      </c>
      <c r="W12" s="29">
        <f t="shared" si="14"/>
        <v>674447.92117044271</v>
      </c>
      <c r="X12" s="29">
        <f t="shared" si="15"/>
        <v>674447.92117044271</v>
      </c>
      <c r="Y12">
        <f t="shared" si="16"/>
        <v>0</v>
      </c>
    </row>
    <row r="13" spans="1:26" x14ac:dyDescent="0.25">
      <c r="A13" s="4" t="s">
        <v>678</v>
      </c>
      <c r="B13" s="7" t="s">
        <v>96</v>
      </c>
      <c r="C13" s="2" t="s">
        <v>679</v>
      </c>
      <c r="D13">
        <f>VLOOKUP(B13,'Model allocations'!$A$1:$L$316,6,FALSE)</f>
        <v>1052257.8760140883</v>
      </c>
      <c r="E13" s="31">
        <f>VLOOKUP(B13,'Initial adjusted formula count'!$A$1:$P$316,12,FALSE)</f>
        <v>6.2019251901015301E-2</v>
      </c>
      <c r="F13">
        <f>VLOOKUP(B13,'Model allocations'!$A$1:$L$316,11,FALSE)</f>
        <v>1000426.2467146718</v>
      </c>
      <c r="G13" s="30">
        <f t="shared" si="17"/>
        <v>0.85</v>
      </c>
      <c r="H13">
        <f t="shared" si="18"/>
        <v>894419.19461197499</v>
      </c>
      <c r="I13">
        <f t="shared" si="0"/>
        <v>0</v>
      </c>
      <c r="J13">
        <f t="shared" si="1"/>
        <v>1000426.2467146718</v>
      </c>
      <c r="K13">
        <f t="shared" si="2"/>
        <v>999607.54294090264</v>
      </c>
      <c r="L13">
        <f t="shared" si="3"/>
        <v>999607.54294090264</v>
      </c>
      <c r="M13">
        <f t="shared" si="4"/>
        <v>0</v>
      </c>
      <c r="N13" s="29">
        <f t="shared" si="5"/>
        <v>999607.54294090264</v>
      </c>
      <c r="O13" s="29">
        <f t="shared" si="6"/>
        <v>999538.66279021522</v>
      </c>
      <c r="P13" s="29">
        <f t="shared" si="7"/>
        <v>999538.66279021522</v>
      </c>
      <c r="Q13">
        <f t="shared" si="8"/>
        <v>0</v>
      </c>
      <c r="R13" s="29">
        <f t="shared" si="9"/>
        <v>999538.66279021522</v>
      </c>
      <c r="S13" s="29">
        <f t="shared" si="10"/>
        <v>999537.46309025434</v>
      </c>
      <c r="T13" s="29">
        <f t="shared" si="11"/>
        <v>999537.46309025434</v>
      </c>
      <c r="U13">
        <f t="shared" si="12"/>
        <v>0</v>
      </c>
      <c r="V13" s="29">
        <f t="shared" si="13"/>
        <v>999537.46309025434</v>
      </c>
      <c r="W13" s="29">
        <f t="shared" si="14"/>
        <v>999537.46309025434</v>
      </c>
      <c r="X13" s="29">
        <f t="shared" si="15"/>
        <v>999537.46309025434</v>
      </c>
      <c r="Y13">
        <f t="shared" si="16"/>
        <v>0</v>
      </c>
    </row>
    <row r="14" spans="1:26" x14ac:dyDescent="0.25">
      <c r="A14" s="4" t="s">
        <v>14</v>
      </c>
      <c r="B14" s="7" t="s">
        <v>56</v>
      </c>
      <c r="C14" s="2" t="s">
        <v>680</v>
      </c>
      <c r="D14">
        <f>VLOOKUP(B14,'Model allocations'!$A$1:$L$316,6,FALSE)</f>
        <v>946618.42608084786</v>
      </c>
      <c r="E14" s="31">
        <f>VLOOKUP(B14,'Initial adjusted formula count'!$A$1:$P$316,12,FALSE)</f>
        <v>7.70696540197192E-2</v>
      </c>
      <c r="F14">
        <f>VLOOKUP(B14,'Model allocations'!$A$1:$L$316,11,FALSE)</f>
        <v>803367.72515000845</v>
      </c>
      <c r="G14" s="30">
        <f t="shared" si="17"/>
        <v>0.85</v>
      </c>
      <c r="H14">
        <f t="shared" si="18"/>
        <v>804625.66216872062</v>
      </c>
      <c r="I14">
        <f t="shared" si="0"/>
        <v>804625.66216872062</v>
      </c>
      <c r="J14">
        <f t="shared" si="1"/>
        <v>0</v>
      </c>
      <c r="K14">
        <f t="shared" si="2"/>
        <v>0</v>
      </c>
      <c r="L14">
        <f t="shared" si="3"/>
        <v>804625.66216872062</v>
      </c>
      <c r="M14">
        <f t="shared" si="4"/>
        <v>0</v>
      </c>
      <c r="N14" s="29">
        <f t="shared" si="5"/>
        <v>0</v>
      </c>
      <c r="O14" s="29">
        <f t="shared" si="6"/>
        <v>0</v>
      </c>
      <c r="P14" s="29">
        <f t="shared" si="7"/>
        <v>804625.66216872062</v>
      </c>
      <c r="Q14">
        <f t="shared" si="8"/>
        <v>0</v>
      </c>
      <c r="R14" s="29">
        <f t="shared" si="9"/>
        <v>0</v>
      </c>
      <c r="S14" s="29">
        <f t="shared" si="10"/>
        <v>0</v>
      </c>
      <c r="T14" s="29">
        <f t="shared" si="11"/>
        <v>804625.66216872062</v>
      </c>
      <c r="U14">
        <f t="shared" si="12"/>
        <v>0</v>
      </c>
      <c r="V14" s="29">
        <f t="shared" si="13"/>
        <v>0</v>
      </c>
      <c r="W14" s="29">
        <f t="shared" si="14"/>
        <v>0</v>
      </c>
      <c r="X14" s="29">
        <f t="shared" si="15"/>
        <v>804625.66216872062</v>
      </c>
      <c r="Y14">
        <f t="shared" si="16"/>
        <v>0</v>
      </c>
    </row>
    <row r="15" spans="1:26" x14ac:dyDescent="0.25">
      <c r="A15" s="4" t="s">
        <v>681</v>
      </c>
      <c r="B15" s="7" t="s">
        <v>98</v>
      </c>
      <c r="C15" s="2" t="s">
        <v>682</v>
      </c>
      <c r="D15">
        <f>VLOOKUP(B15,'Model allocations'!$A$1:$L$316,6,FALSE)</f>
        <v>0</v>
      </c>
      <c r="E15" s="31">
        <f>VLOOKUP(B15,'Initial adjusted formula count'!$A$1:$P$316,12,FALSE)</f>
        <v>6.25E-2</v>
      </c>
      <c r="F15">
        <f>VLOOKUP(B15,'Model allocations'!$A$1:$L$316,11,FALSE)</f>
        <v>0</v>
      </c>
      <c r="G15" s="30">
        <f t="shared" si="17"/>
        <v>0.85</v>
      </c>
      <c r="H15">
        <f t="shared" si="18"/>
        <v>0</v>
      </c>
      <c r="I15">
        <f t="shared" si="0"/>
        <v>0</v>
      </c>
      <c r="J15">
        <f t="shared" si="1"/>
        <v>0</v>
      </c>
      <c r="K15">
        <f t="shared" si="2"/>
        <v>0</v>
      </c>
      <c r="L15">
        <f t="shared" si="3"/>
        <v>0</v>
      </c>
      <c r="M15">
        <f t="shared" si="4"/>
        <v>0</v>
      </c>
      <c r="N15" s="29">
        <f t="shared" si="5"/>
        <v>0</v>
      </c>
      <c r="O15" s="29">
        <f t="shared" si="6"/>
        <v>0</v>
      </c>
      <c r="P15" s="29">
        <f t="shared" si="7"/>
        <v>0</v>
      </c>
      <c r="Q15">
        <f t="shared" si="8"/>
        <v>0</v>
      </c>
      <c r="R15" s="29">
        <f t="shared" si="9"/>
        <v>0</v>
      </c>
      <c r="S15" s="29">
        <f t="shared" si="10"/>
        <v>0</v>
      </c>
      <c r="T15" s="29">
        <f t="shared" si="11"/>
        <v>0</v>
      </c>
      <c r="U15">
        <f t="shared" si="12"/>
        <v>0</v>
      </c>
      <c r="V15" s="29">
        <f t="shared" si="13"/>
        <v>0</v>
      </c>
      <c r="W15" s="29">
        <f t="shared" si="14"/>
        <v>0</v>
      </c>
      <c r="X15" s="29">
        <f t="shared" si="15"/>
        <v>0</v>
      </c>
      <c r="Y15">
        <f t="shared" si="16"/>
        <v>0</v>
      </c>
    </row>
    <row r="16" spans="1:26" x14ac:dyDescent="0.25">
      <c r="A16" s="4" t="s">
        <v>683</v>
      </c>
      <c r="B16" s="7" t="s">
        <v>263</v>
      </c>
      <c r="C16" s="2" t="s">
        <v>684</v>
      </c>
      <c r="D16">
        <f>VLOOKUP(B16,'Model allocations'!$A$1:$L$316,6,FALSE)</f>
        <v>2013818.5722258273</v>
      </c>
      <c r="E16" s="31">
        <f>VLOOKUP(B16,'Initial adjusted formula count'!$A$1:$P$316,12,FALSE)</f>
        <v>0.114406605595038</v>
      </c>
      <c r="F16">
        <f>VLOOKUP(B16,'Model allocations'!$A$1:$L$316,11,FALSE)</f>
        <v>2312391.2145265439</v>
      </c>
      <c r="G16" s="30">
        <f t="shared" si="17"/>
        <v>0.85</v>
      </c>
      <c r="H16">
        <f t="shared" si="18"/>
        <v>1711745.7863919532</v>
      </c>
      <c r="I16">
        <f t="shared" si="0"/>
        <v>0</v>
      </c>
      <c r="J16">
        <f t="shared" si="1"/>
        <v>2312391.2145265439</v>
      </c>
      <c r="K16">
        <f t="shared" si="2"/>
        <v>2310498.8577236501</v>
      </c>
      <c r="L16">
        <f t="shared" si="3"/>
        <v>2310498.8577236501</v>
      </c>
      <c r="M16">
        <f t="shared" si="4"/>
        <v>0</v>
      </c>
      <c r="N16" s="29">
        <f t="shared" si="5"/>
        <v>2310498.8577236501</v>
      </c>
      <c r="O16" s="29">
        <f t="shared" si="6"/>
        <v>2310339.6477310816</v>
      </c>
      <c r="P16" s="29">
        <f t="shared" si="7"/>
        <v>2310339.6477310816</v>
      </c>
      <c r="Q16">
        <f t="shared" si="8"/>
        <v>0</v>
      </c>
      <c r="R16" s="29">
        <f t="shared" si="9"/>
        <v>2310339.6477310816</v>
      </c>
      <c r="S16" s="29">
        <f t="shared" si="10"/>
        <v>2310336.8747374113</v>
      </c>
      <c r="T16" s="29">
        <f t="shared" si="11"/>
        <v>2310336.8747374113</v>
      </c>
      <c r="U16">
        <f t="shared" si="12"/>
        <v>0</v>
      </c>
      <c r="V16" s="29">
        <f t="shared" si="13"/>
        <v>2310336.8747374113</v>
      </c>
      <c r="W16" s="29">
        <f t="shared" si="14"/>
        <v>2310336.8747374113</v>
      </c>
      <c r="X16" s="29">
        <f t="shared" si="15"/>
        <v>2310336.8747374113</v>
      </c>
      <c r="Y16">
        <f t="shared" si="16"/>
        <v>0</v>
      </c>
    </row>
    <row r="17" spans="1:25" x14ac:dyDescent="0.25">
      <c r="A17" s="4" t="s">
        <v>685</v>
      </c>
      <c r="B17" s="7" t="s">
        <v>313</v>
      </c>
      <c r="C17" s="2" t="s">
        <v>686</v>
      </c>
      <c r="D17">
        <f>VLOOKUP(B17,'Model allocations'!$A$1:$L$316,6,FALSE)</f>
        <v>0</v>
      </c>
      <c r="E17" s="31">
        <f>VLOOKUP(B17,'Initial adjusted formula count'!$A$1:$P$316,12,FALSE)</f>
        <v>0.126582278481013</v>
      </c>
      <c r="F17">
        <f>VLOOKUP(B17,'Model allocations'!$A$1:$L$316,11,FALSE)</f>
        <v>5648.934199405262</v>
      </c>
      <c r="G17" s="30">
        <f t="shared" si="17"/>
        <v>0.85</v>
      </c>
      <c r="H17">
        <f t="shared" si="18"/>
        <v>0</v>
      </c>
      <c r="I17">
        <f t="shared" si="0"/>
        <v>0</v>
      </c>
      <c r="J17">
        <f t="shared" si="1"/>
        <v>5648.934199405262</v>
      </c>
      <c r="K17">
        <f t="shared" si="2"/>
        <v>5644.3113661259322</v>
      </c>
      <c r="L17">
        <f t="shared" si="3"/>
        <v>5644.3113661259322</v>
      </c>
      <c r="M17">
        <f t="shared" si="4"/>
        <v>0</v>
      </c>
      <c r="N17" s="29">
        <f t="shared" si="5"/>
        <v>5644.3113661259322</v>
      </c>
      <c r="O17" s="29">
        <f t="shared" si="6"/>
        <v>5643.9224324687475</v>
      </c>
      <c r="P17" s="29">
        <f t="shared" si="7"/>
        <v>5643.9224324687475</v>
      </c>
      <c r="Q17">
        <f t="shared" si="8"/>
        <v>0</v>
      </c>
      <c r="R17" s="29">
        <f t="shared" si="9"/>
        <v>5643.9224324687475</v>
      </c>
      <c r="S17" s="29">
        <f t="shared" si="10"/>
        <v>5643.9156583300637</v>
      </c>
      <c r="T17" s="29">
        <f t="shared" si="11"/>
        <v>5643.9156583300637</v>
      </c>
      <c r="U17">
        <f t="shared" si="12"/>
        <v>0</v>
      </c>
      <c r="V17" s="29">
        <f t="shared" si="13"/>
        <v>5643.9156583300637</v>
      </c>
      <c r="W17" s="29">
        <f t="shared" si="14"/>
        <v>5643.9156583300637</v>
      </c>
      <c r="X17" s="29">
        <f t="shared" si="15"/>
        <v>5643.9156583300637</v>
      </c>
      <c r="Y17">
        <f t="shared" si="16"/>
        <v>0</v>
      </c>
    </row>
    <row r="18" spans="1:25" x14ac:dyDescent="0.25">
      <c r="A18" s="4" t="s">
        <v>687</v>
      </c>
      <c r="B18" s="7" t="s">
        <v>315</v>
      </c>
      <c r="C18" s="2" t="s">
        <v>688</v>
      </c>
      <c r="D18">
        <f>VLOOKUP(B18,'Model allocations'!$A$1:$L$316,6,FALSE)</f>
        <v>174570.74733116728</v>
      </c>
      <c r="E18" s="31">
        <f>VLOOKUP(B18,'Initial adjusted formula count'!$A$1:$P$316,12,FALSE)</f>
        <v>8.6530612244897998E-2</v>
      </c>
      <c r="F18">
        <f>VLOOKUP(B18,'Model allocations'!$A$1:$L$316,11,FALSE)</f>
        <v>148610.31810264091</v>
      </c>
      <c r="G18" s="30">
        <f t="shared" si="17"/>
        <v>0.85</v>
      </c>
      <c r="H18">
        <f t="shared" si="18"/>
        <v>148385.1352314922</v>
      </c>
      <c r="I18">
        <f t="shared" si="0"/>
        <v>0</v>
      </c>
      <c r="J18">
        <f t="shared" si="1"/>
        <v>148610.31810264091</v>
      </c>
      <c r="K18">
        <f t="shared" si="2"/>
        <v>148488.70211280536</v>
      </c>
      <c r="L18">
        <f t="shared" si="3"/>
        <v>148488.70211280536</v>
      </c>
      <c r="M18">
        <f t="shared" si="4"/>
        <v>0</v>
      </c>
      <c r="N18" s="29">
        <f t="shared" si="5"/>
        <v>148488.70211280536</v>
      </c>
      <c r="O18" s="29">
        <f t="shared" si="6"/>
        <v>148478.47017303147</v>
      </c>
      <c r="P18" s="29">
        <f t="shared" si="7"/>
        <v>148478.47017303147</v>
      </c>
      <c r="Q18">
        <f t="shared" si="8"/>
        <v>0</v>
      </c>
      <c r="R18" s="29">
        <f t="shared" si="9"/>
        <v>148478.47017303147</v>
      </c>
      <c r="S18" s="29">
        <f t="shared" si="10"/>
        <v>148478.29196120086</v>
      </c>
      <c r="T18" s="29">
        <f t="shared" si="11"/>
        <v>148478.29196120086</v>
      </c>
      <c r="U18">
        <f t="shared" si="12"/>
        <v>0</v>
      </c>
      <c r="V18" s="29">
        <f t="shared" si="13"/>
        <v>148478.29196120086</v>
      </c>
      <c r="W18" s="29">
        <f t="shared" si="14"/>
        <v>148478.29196120086</v>
      </c>
      <c r="X18" s="29">
        <f t="shared" si="15"/>
        <v>148478.29196120086</v>
      </c>
      <c r="Y18">
        <f t="shared" si="16"/>
        <v>0</v>
      </c>
    </row>
    <row r="19" spans="1:25" x14ac:dyDescent="0.25">
      <c r="A19" s="4" t="s">
        <v>689</v>
      </c>
      <c r="B19" s="7" t="s">
        <v>317</v>
      </c>
      <c r="C19" s="2" t="s">
        <v>690</v>
      </c>
      <c r="D19">
        <f>VLOOKUP(B19,'Model allocations'!$A$1:$L$316,6,FALSE)</f>
        <v>13647.224547061936</v>
      </c>
      <c r="E19" s="31">
        <f>VLOOKUP(B19,'Initial adjusted formula count'!$A$1:$P$316,12,FALSE)</f>
        <v>0.108597285067873</v>
      </c>
      <c r="F19">
        <f>VLOOKUP(B19,'Model allocations'!$A$1:$L$316,11,FALSE)</f>
        <v>13557.442078572629</v>
      </c>
      <c r="G19" s="30">
        <f t="shared" si="17"/>
        <v>0.85</v>
      </c>
      <c r="H19">
        <f t="shared" si="18"/>
        <v>11600.140865002646</v>
      </c>
      <c r="I19">
        <f t="shared" si="0"/>
        <v>0</v>
      </c>
      <c r="J19">
        <f t="shared" si="1"/>
        <v>13557.442078572629</v>
      </c>
      <c r="K19">
        <f t="shared" si="2"/>
        <v>13546.347278702237</v>
      </c>
      <c r="L19">
        <f t="shared" si="3"/>
        <v>13546.347278702237</v>
      </c>
      <c r="M19">
        <f t="shared" si="4"/>
        <v>0</v>
      </c>
      <c r="N19" s="29">
        <f t="shared" si="5"/>
        <v>13546.347278702237</v>
      </c>
      <c r="O19" s="29">
        <f t="shared" si="6"/>
        <v>13545.413837924994</v>
      </c>
      <c r="P19" s="29">
        <f t="shared" si="7"/>
        <v>13545.413837924994</v>
      </c>
      <c r="Q19">
        <f t="shared" si="8"/>
        <v>0</v>
      </c>
      <c r="R19" s="29">
        <f t="shared" si="9"/>
        <v>13545.413837924994</v>
      </c>
      <c r="S19" s="29">
        <f t="shared" si="10"/>
        <v>13545.397579992154</v>
      </c>
      <c r="T19" s="29">
        <f t="shared" si="11"/>
        <v>13545.397579992154</v>
      </c>
      <c r="U19">
        <f t="shared" si="12"/>
        <v>0</v>
      </c>
      <c r="V19" s="29">
        <f t="shared" si="13"/>
        <v>13545.397579992154</v>
      </c>
      <c r="W19" s="29">
        <f t="shared" si="14"/>
        <v>13545.397579992154</v>
      </c>
      <c r="X19" s="29">
        <f t="shared" si="15"/>
        <v>13545.397579992154</v>
      </c>
      <c r="Y19">
        <f t="shared" si="16"/>
        <v>0</v>
      </c>
    </row>
    <row r="20" spans="1:25" x14ac:dyDescent="0.25">
      <c r="A20" s="4" t="s">
        <v>10</v>
      </c>
      <c r="B20" s="7" t="s">
        <v>55</v>
      </c>
      <c r="C20" s="2" t="s">
        <v>691</v>
      </c>
      <c r="D20">
        <f>VLOOKUP(B20,'Model allocations'!$A$1:$L$316,6,FALSE)</f>
        <v>566679.8614407694</v>
      </c>
      <c r="E20" s="31">
        <f>VLOOKUP(B20,'Initial adjusted formula count'!$A$1:$P$316,12,FALSE)</f>
        <v>0.16819916138648799</v>
      </c>
      <c r="F20">
        <f>VLOOKUP(B20,'Model allocations'!$A$1:$L$316,11,FALSE)</f>
        <v>520777.88490289944</v>
      </c>
      <c r="G20" s="30">
        <f t="shared" si="17"/>
        <v>0.9</v>
      </c>
      <c r="H20">
        <f t="shared" si="18"/>
        <v>510011.87529669248</v>
      </c>
      <c r="I20">
        <f t="shared" si="0"/>
        <v>0</v>
      </c>
      <c r="J20">
        <f t="shared" si="1"/>
        <v>520777.88490289944</v>
      </c>
      <c r="K20">
        <f t="shared" si="2"/>
        <v>520351.70374155371</v>
      </c>
      <c r="L20">
        <f t="shared" si="3"/>
        <v>520351.70374155371</v>
      </c>
      <c r="M20">
        <f t="shared" si="4"/>
        <v>0</v>
      </c>
      <c r="N20" s="29">
        <f t="shared" si="5"/>
        <v>520351.70374155371</v>
      </c>
      <c r="O20" s="29">
        <f t="shared" si="6"/>
        <v>520315.84776585881</v>
      </c>
      <c r="P20" s="29">
        <f t="shared" si="7"/>
        <v>520315.84776585881</v>
      </c>
      <c r="Q20">
        <f t="shared" si="8"/>
        <v>0</v>
      </c>
      <c r="R20" s="29">
        <f t="shared" si="9"/>
        <v>520315.84776585881</v>
      </c>
      <c r="S20" s="29">
        <f t="shared" si="10"/>
        <v>520315.22325484641</v>
      </c>
      <c r="T20" s="29">
        <f t="shared" si="11"/>
        <v>520315.22325484641</v>
      </c>
      <c r="U20">
        <f t="shared" si="12"/>
        <v>0</v>
      </c>
      <c r="V20" s="29">
        <f t="shared" si="13"/>
        <v>520315.22325484641</v>
      </c>
      <c r="W20" s="29">
        <f t="shared" si="14"/>
        <v>520315.22325484641</v>
      </c>
      <c r="X20" s="29">
        <f t="shared" si="15"/>
        <v>520315.22325484641</v>
      </c>
      <c r="Y20">
        <f t="shared" si="16"/>
        <v>0</v>
      </c>
    </row>
    <row r="21" spans="1:25" x14ac:dyDescent="0.25">
      <c r="A21" s="4" t="s">
        <v>692</v>
      </c>
      <c r="B21" s="7" t="s">
        <v>319</v>
      </c>
      <c r="C21" s="2" t="s">
        <v>693</v>
      </c>
      <c r="D21">
        <f>VLOOKUP(B21,'Model allocations'!$A$1:$L$316,6,FALSE)</f>
        <v>191482.74338635895</v>
      </c>
      <c r="E21" s="31">
        <f>VLOOKUP(B21,'Initial adjusted formula count'!$A$1:$P$316,12,FALSE)</f>
        <v>0.227176220806794</v>
      </c>
      <c r="F21">
        <f>VLOOKUP(B21,'Model allocations'!$A$1:$L$316,11,FALSE)</f>
        <v>172457.84702614218</v>
      </c>
      <c r="G21" s="30">
        <f t="shared" si="17"/>
        <v>0.9</v>
      </c>
      <c r="H21">
        <f t="shared" si="18"/>
        <v>172334.46904772308</v>
      </c>
      <c r="I21">
        <f t="shared" si="0"/>
        <v>0</v>
      </c>
      <c r="J21">
        <f t="shared" si="1"/>
        <v>172457.84702614218</v>
      </c>
      <c r="K21">
        <f t="shared" si="2"/>
        <v>172316.71529290339</v>
      </c>
      <c r="L21">
        <f t="shared" si="3"/>
        <v>172316.71529290339</v>
      </c>
      <c r="M21">
        <f t="shared" si="4"/>
        <v>172334.46904772308</v>
      </c>
      <c r="N21" s="29">
        <f t="shared" si="5"/>
        <v>0</v>
      </c>
      <c r="O21" s="29">
        <f t="shared" si="6"/>
        <v>0</v>
      </c>
      <c r="P21" s="29">
        <f t="shared" si="7"/>
        <v>172334.46904772308</v>
      </c>
      <c r="Q21">
        <f t="shared" si="8"/>
        <v>0</v>
      </c>
      <c r="R21" s="29">
        <f t="shared" si="9"/>
        <v>0</v>
      </c>
      <c r="S21" s="29">
        <f t="shared" si="10"/>
        <v>0</v>
      </c>
      <c r="T21" s="29">
        <f t="shared" si="11"/>
        <v>172334.46904772308</v>
      </c>
      <c r="U21">
        <f t="shared" si="12"/>
        <v>0</v>
      </c>
      <c r="V21" s="29">
        <f t="shared" si="13"/>
        <v>0</v>
      </c>
      <c r="W21" s="29">
        <f t="shared" si="14"/>
        <v>0</v>
      </c>
      <c r="X21" s="29">
        <f t="shared" si="15"/>
        <v>172334.46904772308</v>
      </c>
      <c r="Y21">
        <f t="shared" si="16"/>
        <v>0</v>
      </c>
    </row>
    <row r="22" spans="1:25" x14ac:dyDescent="0.25">
      <c r="A22" s="4" t="s">
        <v>694</v>
      </c>
      <c r="B22" s="7" t="s">
        <v>321</v>
      </c>
      <c r="C22" s="2" t="s">
        <v>695</v>
      </c>
      <c r="D22">
        <f>VLOOKUP(B22,'Model allocations'!$A$1:$L$316,6,FALSE)</f>
        <v>136914.16017812517</v>
      </c>
      <c r="E22" s="31">
        <f>VLOOKUP(B22,'Initial adjusted formula count'!$A$1:$P$316,12,FALSE)</f>
        <v>0.12184249628528999</v>
      </c>
      <c r="F22">
        <f>VLOOKUP(B22,'Model allocations'!$A$1:$L$316,11,FALSE)</f>
        <v>116377.03615140638</v>
      </c>
      <c r="G22" s="30">
        <f t="shared" si="17"/>
        <v>0.85</v>
      </c>
      <c r="H22">
        <f t="shared" si="18"/>
        <v>116377.03615140638</v>
      </c>
      <c r="I22">
        <f t="shared" si="0"/>
        <v>0</v>
      </c>
      <c r="J22">
        <f t="shared" si="1"/>
        <v>116377.03615140638</v>
      </c>
      <c r="K22">
        <f t="shared" si="2"/>
        <v>116281.79842749608</v>
      </c>
      <c r="L22">
        <f t="shared" si="3"/>
        <v>116281.79842749608</v>
      </c>
      <c r="M22">
        <f t="shared" si="4"/>
        <v>116377.03615140638</v>
      </c>
      <c r="N22" s="29">
        <f t="shared" si="5"/>
        <v>0</v>
      </c>
      <c r="O22" s="29">
        <f t="shared" si="6"/>
        <v>0</v>
      </c>
      <c r="P22" s="29">
        <f t="shared" si="7"/>
        <v>116377.03615140638</v>
      </c>
      <c r="Q22">
        <f t="shared" si="8"/>
        <v>0</v>
      </c>
      <c r="R22" s="29">
        <f t="shared" si="9"/>
        <v>0</v>
      </c>
      <c r="S22" s="29">
        <f t="shared" si="10"/>
        <v>0</v>
      </c>
      <c r="T22" s="29">
        <f t="shared" si="11"/>
        <v>116377.03615140638</v>
      </c>
      <c r="U22">
        <f t="shared" si="12"/>
        <v>0</v>
      </c>
      <c r="V22" s="29">
        <f t="shared" si="13"/>
        <v>0</v>
      </c>
      <c r="W22" s="29">
        <f t="shared" si="14"/>
        <v>0</v>
      </c>
      <c r="X22" s="29">
        <f t="shared" si="15"/>
        <v>116377.03615140638</v>
      </c>
      <c r="Y22">
        <f t="shared" si="16"/>
        <v>0</v>
      </c>
    </row>
    <row r="23" spans="1:25" x14ac:dyDescent="0.25">
      <c r="A23" s="4" t="s">
        <v>696</v>
      </c>
      <c r="B23" s="7" t="s">
        <v>323</v>
      </c>
      <c r="C23" s="2" t="s">
        <v>697</v>
      </c>
      <c r="D23">
        <f>VLOOKUP(B23,'Model allocations'!$A$1:$L$316,6,FALSE)</f>
        <v>20460.459290849209</v>
      </c>
      <c r="E23" s="31">
        <f>VLOOKUP(B23,'Initial adjusted formula count'!$A$1:$P$316,12,FALSE)</f>
        <v>0.11504424778761101</v>
      </c>
      <c r="F23">
        <f>VLOOKUP(B23,'Model allocations'!$A$1:$L$316,11,FALSE)</f>
        <v>17391.390397221829</v>
      </c>
      <c r="G23" s="30">
        <f t="shared" si="17"/>
        <v>0.85</v>
      </c>
      <c r="H23">
        <f t="shared" si="18"/>
        <v>17391.390397221829</v>
      </c>
      <c r="I23">
        <f t="shared" si="0"/>
        <v>0</v>
      </c>
      <c r="J23">
        <f t="shared" si="1"/>
        <v>17391.390397221829</v>
      </c>
      <c r="K23">
        <f t="shared" si="2"/>
        <v>17377.15806675663</v>
      </c>
      <c r="L23">
        <f t="shared" si="3"/>
        <v>17377.15806675663</v>
      </c>
      <c r="M23">
        <f t="shared" si="4"/>
        <v>17391.390397221829</v>
      </c>
      <c r="N23" s="29">
        <f t="shared" si="5"/>
        <v>0</v>
      </c>
      <c r="O23" s="29">
        <f t="shared" si="6"/>
        <v>0</v>
      </c>
      <c r="P23" s="29">
        <f t="shared" si="7"/>
        <v>17391.390397221829</v>
      </c>
      <c r="Q23">
        <f t="shared" si="8"/>
        <v>0</v>
      </c>
      <c r="R23" s="29">
        <f t="shared" si="9"/>
        <v>0</v>
      </c>
      <c r="S23" s="29">
        <f t="shared" si="10"/>
        <v>0</v>
      </c>
      <c r="T23" s="29">
        <f t="shared" si="11"/>
        <v>17391.390397221829</v>
      </c>
      <c r="U23">
        <f t="shared" si="12"/>
        <v>0</v>
      </c>
      <c r="V23" s="29">
        <f t="shared" si="13"/>
        <v>0</v>
      </c>
      <c r="W23" s="29">
        <f t="shared" si="14"/>
        <v>0</v>
      </c>
      <c r="X23" s="29">
        <f t="shared" si="15"/>
        <v>17391.390397221829</v>
      </c>
      <c r="Y23">
        <f t="shared" si="16"/>
        <v>0</v>
      </c>
    </row>
    <row r="24" spans="1:25" x14ac:dyDescent="0.25">
      <c r="A24" s="4" t="s">
        <v>698</v>
      </c>
      <c r="B24" s="7" t="s">
        <v>325</v>
      </c>
      <c r="C24" s="2" t="s">
        <v>699</v>
      </c>
      <c r="D24">
        <f>VLOOKUP(B24,'Model allocations'!$A$1:$L$316,6,FALSE)</f>
        <v>228022.37680715989</v>
      </c>
      <c r="E24" s="31">
        <f>VLOOKUP(B24,'Initial adjusted formula count'!$A$1:$P$316,12,FALSE)</f>
        <v>9.8526200873362405E-2</v>
      </c>
      <c r="F24">
        <f>VLOOKUP(B24,'Model allocations'!$A$1:$L$316,11,FALSE)</f>
        <v>203926.52459852997</v>
      </c>
      <c r="G24" s="30">
        <f t="shared" si="17"/>
        <v>0.85</v>
      </c>
      <c r="H24">
        <f t="shared" si="18"/>
        <v>193819.0202860859</v>
      </c>
      <c r="I24">
        <f t="shared" si="0"/>
        <v>0</v>
      </c>
      <c r="J24">
        <f t="shared" si="1"/>
        <v>203926.52459852997</v>
      </c>
      <c r="K24">
        <f t="shared" si="2"/>
        <v>203759.64031714617</v>
      </c>
      <c r="L24">
        <f t="shared" si="3"/>
        <v>203759.64031714617</v>
      </c>
      <c r="M24">
        <f t="shared" si="4"/>
        <v>0</v>
      </c>
      <c r="N24" s="29">
        <f t="shared" si="5"/>
        <v>203759.64031714617</v>
      </c>
      <c r="O24" s="29">
        <f t="shared" si="6"/>
        <v>203745.59981212183</v>
      </c>
      <c r="P24" s="29">
        <f t="shared" si="7"/>
        <v>203745.59981212183</v>
      </c>
      <c r="Q24">
        <f t="shared" si="8"/>
        <v>0</v>
      </c>
      <c r="R24" s="29">
        <f t="shared" si="9"/>
        <v>203745.59981212183</v>
      </c>
      <c r="S24" s="29">
        <f t="shared" si="10"/>
        <v>203745.35526571533</v>
      </c>
      <c r="T24" s="29">
        <f t="shared" si="11"/>
        <v>203745.35526571533</v>
      </c>
      <c r="U24">
        <f t="shared" si="12"/>
        <v>0</v>
      </c>
      <c r="V24" s="29">
        <f t="shared" si="13"/>
        <v>203745.35526571533</v>
      </c>
      <c r="W24" s="29">
        <f t="shared" si="14"/>
        <v>203745.35526571533</v>
      </c>
      <c r="X24" s="29">
        <f t="shared" si="15"/>
        <v>203745.35526571533</v>
      </c>
      <c r="Y24">
        <f t="shared" si="16"/>
        <v>0</v>
      </c>
    </row>
    <row r="25" spans="1:25" x14ac:dyDescent="0.25">
      <c r="A25" s="4" t="s">
        <v>700</v>
      </c>
      <c r="B25" s="7" t="s">
        <v>100</v>
      </c>
      <c r="C25" s="2" t="s">
        <v>701</v>
      </c>
      <c r="D25">
        <f>VLOOKUP(B25,'Model allocations'!$A$1:$L$316,6,FALSE)</f>
        <v>0</v>
      </c>
      <c r="E25" s="31">
        <f>VLOOKUP(B25,'Initial adjusted formula count'!$A$1:$P$316,12,FALSE)</f>
        <v>3.8010513546300001E-2</v>
      </c>
      <c r="F25">
        <f>VLOOKUP(B25,'Model allocations'!$A$1:$L$316,11,FALSE)</f>
        <v>0</v>
      </c>
      <c r="G25" s="30">
        <f t="shared" si="17"/>
        <v>0.85</v>
      </c>
      <c r="H25">
        <f t="shared" si="18"/>
        <v>0</v>
      </c>
      <c r="I25">
        <f t="shared" si="0"/>
        <v>0</v>
      </c>
      <c r="J25">
        <f t="shared" si="1"/>
        <v>0</v>
      </c>
      <c r="K25">
        <f t="shared" si="2"/>
        <v>0</v>
      </c>
      <c r="L25">
        <f t="shared" si="3"/>
        <v>0</v>
      </c>
      <c r="M25">
        <f t="shared" si="4"/>
        <v>0</v>
      </c>
      <c r="N25" s="29">
        <f t="shared" si="5"/>
        <v>0</v>
      </c>
      <c r="O25" s="29">
        <f t="shared" si="6"/>
        <v>0</v>
      </c>
      <c r="P25" s="29">
        <f t="shared" si="7"/>
        <v>0</v>
      </c>
      <c r="Q25">
        <f t="shared" si="8"/>
        <v>0</v>
      </c>
      <c r="R25" s="29">
        <f t="shared" si="9"/>
        <v>0</v>
      </c>
      <c r="S25" s="29">
        <f t="shared" si="10"/>
        <v>0</v>
      </c>
      <c r="T25" s="29">
        <f t="shared" si="11"/>
        <v>0</v>
      </c>
      <c r="U25">
        <f t="shared" si="12"/>
        <v>0</v>
      </c>
      <c r="V25" s="29">
        <f t="shared" si="13"/>
        <v>0</v>
      </c>
      <c r="W25" s="29">
        <f t="shared" si="14"/>
        <v>0</v>
      </c>
      <c r="X25" s="29">
        <f t="shared" si="15"/>
        <v>0</v>
      </c>
      <c r="Y25">
        <f t="shared" si="16"/>
        <v>0</v>
      </c>
    </row>
    <row r="26" spans="1:25" x14ac:dyDescent="0.25">
      <c r="A26" s="4" t="s">
        <v>702</v>
      </c>
      <c r="B26" s="7" t="s">
        <v>327</v>
      </c>
      <c r="C26" s="2" t="s">
        <v>703</v>
      </c>
      <c r="D26">
        <f>VLOOKUP(B26,'Model allocations'!$A$1:$L$316,6,FALSE)</f>
        <v>74200.816137153233</v>
      </c>
      <c r="E26" s="31">
        <f>VLOOKUP(B26,'Initial adjusted formula count'!$A$1:$P$316,12,FALSE)</f>
        <v>0.149722735674677</v>
      </c>
      <c r="F26">
        <f>VLOOKUP(B26,'Model allocations'!$A$1:$L$316,11,FALSE)</f>
        <v>63070.693716580245</v>
      </c>
      <c r="G26" s="30">
        <f t="shared" si="17"/>
        <v>0.85</v>
      </c>
      <c r="H26">
        <f t="shared" si="18"/>
        <v>63070.693716580245</v>
      </c>
      <c r="I26">
        <f t="shared" si="0"/>
        <v>0</v>
      </c>
      <c r="J26">
        <f t="shared" si="1"/>
        <v>63070.693716580245</v>
      </c>
      <c r="K26">
        <f t="shared" si="2"/>
        <v>63019.079502009627</v>
      </c>
      <c r="L26">
        <f t="shared" si="3"/>
        <v>63019.079502009627</v>
      </c>
      <c r="M26">
        <f t="shared" si="4"/>
        <v>63070.693716580245</v>
      </c>
      <c r="N26" s="29">
        <f t="shared" si="5"/>
        <v>0</v>
      </c>
      <c r="O26" s="29">
        <f t="shared" si="6"/>
        <v>0</v>
      </c>
      <c r="P26" s="29">
        <f t="shared" si="7"/>
        <v>63070.693716580245</v>
      </c>
      <c r="Q26">
        <f t="shared" si="8"/>
        <v>0</v>
      </c>
      <c r="R26" s="29">
        <f t="shared" si="9"/>
        <v>0</v>
      </c>
      <c r="S26" s="29">
        <f t="shared" si="10"/>
        <v>0</v>
      </c>
      <c r="T26" s="29">
        <f t="shared" si="11"/>
        <v>63070.693716580245</v>
      </c>
      <c r="U26">
        <f t="shared" si="12"/>
        <v>0</v>
      </c>
      <c r="V26" s="29">
        <f t="shared" si="13"/>
        <v>0</v>
      </c>
      <c r="W26" s="29">
        <f t="shared" si="14"/>
        <v>0</v>
      </c>
      <c r="X26" s="29">
        <f t="shared" si="15"/>
        <v>63070.693716580245</v>
      </c>
      <c r="Y26">
        <f t="shared" si="16"/>
        <v>0</v>
      </c>
    </row>
    <row r="27" spans="1:25" x14ac:dyDescent="0.25">
      <c r="A27" s="4" t="s">
        <v>704</v>
      </c>
      <c r="B27" s="7" t="s">
        <v>102</v>
      </c>
      <c r="C27" s="2" t="s">
        <v>705</v>
      </c>
      <c r="D27">
        <f>VLOOKUP(B27,'Model allocations'!$A$1:$L$316,6,FALSE)</f>
        <v>0</v>
      </c>
      <c r="E27" s="31">
        <f>VLOOKUP(B27,'Initial adjusted formula count'!$A$1:$P$316,12,FALSE)</f>
        <v>1.9047619047619001E-2</v>
      </c>
      <c r="F27">
        <f>VLOOKUP(B27,'Model allocations'!$A$1:$L$316,11,FALSE)</f>
        <v>0</v>
      </c>
      <c r="G27" s="30">
        <f t="shared" si="17"/>
        <v>0.85</v>
      </c>
      <c r="H27">
        <f t="shared" si="18"/>
        <v>0</v>
      </c>
      <c r="I27">
        <f t="shared" si="0"/>
        <v>0</v>
      </c>
      <c r="J27">
        <f t="shared" si="1"/>
        <v>0</v>
      </c>
      <c r="K27">
        <f t="shared" si="2"/>
        <v>0</v>
      </c>
      <c r="L27">
        <f t="shared" si="3"/>
        <v>0</v>
      </c>
      <c r="M27">
        <f t="shared" si="4"/>
        <v>0</v>
      </c>
      <c r="N27" s="29">
        <f t="shared" si="5"/>
        <v>0</v>
      </c>
      <c r="O27" s="29">
        <f t="shared" si="6"/>
        <v>0</v>
      </c>
      <c r="P27" s="29">
        <f t="shared" si="7"/>
        <v>0</v>
      </c>
      <c r="Q27">
        <f t="shared" si="8"/>
        <v>0</v>
      </c>
      <c r="R27" s="29">
        <f t="shared" si="9"/>
        <v>0</v>
      </c>
      <c r="S27" s="29">
        <f t="shared" si="10"/>
        <v>0</v>
      </c>
      <c r="T27" s="29">
        <f t="shared" si="11"/>
        <v>0</v>
      </c>
      <c r="U27">
        <f t="shared" si="12"/>
        <v>0</v>
      </c>
      <c r="V27" s="29">
        <f t="shared" si="13"/>
        <v>0</v>
      </c>
      <c r="W27" s="29">
        <f t="shared" si="14"/>
        <v>0</v>
      </c>
      <c r="X27" s="29">
        <f t="shared" si="15"/>
        <v>0</v>
      </c>
      <c r="Y27">
        <f t="shared" si="16"/>
        <v>0</v>
      </c>
    </row>
    <row r="28" spans="1:25" x14ac:dyDescent="0.25">
      <c r="A28" s="4" t="s">
        <v>706</v>
      </c>
      <c r="B28" s="7" t="s">
        <v>329</v>
      </c>
      <c r="C28" s="2" t="s">
        <v>707</v>
      </c>
      <c r="D28">
        <f>VLOOKUP(B28,'Model allocations'!$A$1:$L$316,6,FALSE)</f>
        <v>87569.690843647462</v>
      </c>
      <c r="E28" s="31">
        <f>VLOOKUP(B28,'Initial adjusted formula count'!$A$1:$P$316,12,FALSE)</f>
        <v>7.7067669172932299E-2</v>
      </c>
      <c r="F28">
        <f>VLOOKUP(B28,'Model allocations'!$A$1:$L$316,11,FALSE)</f>
        <v>74487.526299451405</v>
      </c>
      <c r="G28" s="30">
        <f t="shared" si="17"/>
        <v>0.85</v>
      </c>
      <c r="H28">
        <f t="shared" si="18"/>
        <v>74434.237217100337</v>
      </c>
      <c r="I28">
        <f t="shared" si="0"/>
        <v>0</v>
      </c>
      <c r="J28">
        <f t="shared" si="1"/>
        <v>74487.526299451405</v>
      </c>
      <c r="K28">
        <f t="shared" si="2"/>
        <v>74426.569063392919</v>
      </c>
      <c r="L28">
        <f t="shared" si="3"/>
        <v>74426.569063392919</v>
      </c>
      <c r="M28">
        <f t="shared" si="4"/>
        <v>74434.237217100337</v>
      </c>
      <c r="N28" s="29">
        <f t="shared" si="5"/>
        <v>0</v>
      </c>
      <c r="O28" s="29">
        <f t="shared" si="6"/>
        <v>0</v>
      </c>
      <c r="P28" s="29">
        <f t="shared" si="7"/>
        <v>74434.237217100337</v>
      </c>
      <c r="Q28">
        <f t="shared" si="8"/>
        <v>0</v>
      </c>
      <c r="R28" s="29">
        <f t="shared" si="9"/>
        <v>0</v>
      </c>
      <c r="S28" s="29">
        <f t="shared" si="10"/>
        <v>0</v>
      </c>
      <c r="T28" s="29">
        <f t="shared" si="11"/>
        <v>74434.237217100337</v>
      </c>
      <c r="U28">
        <f t="shared" si="12"/>
        <v>0</v>
      </c>
      <c r="V28" s="29">
        <f t="shared" si="13"/>
        <v>0</v>
      </c>
      <c r="W28" s="29">
        <f t="shared" si="14"/>
        <v>0</v>
      </c>
      <c r="X28" s="29">
        <f t="shared" si="15"/>
        <v>74434.237217100337</v>
      </c>
      <c r="Y28">
        <f t="shared" si="16"/>
        <v>0</v>
      </c>
    </row>
    <row r="29" spans="1:25" x14ac:dyDescent="0.25">
      <c r="A29" s="4" t="s">
        <v>708</v>
      </c>
      <c r="B29" s="7" t="s">
        <v>331</v>
      </c>
      <c r="C29" s="2" t="s">
        <v>709</v>
      </c>
      <c r="D29">
        <f>VLOOKUP(B29,'Model allocations'!$A$1:$L$316,6,FALSE)</f>
        <v>94393.303117178395</v>
      </c>
      <c r="E29" s="31">
        <f>VLOOKUP(B29,'Initial adjusted formula count'!$A$1:$P$316,12,FALSE)</f>
        <v>8.7890625E-2</v>
      </c>
      <c r="F29">
        <f>VLOOKUP(B29,'Model allocations'!$A$1:$L$316,11,FALSE)</f>
        <v>80291.749127980074</v>
      </c>
      <c r="G29" s="30">
        <f t="shared" si="17"/>
        <v>0.85</v>
      </c>
      <c r="H29">
        <f t="shared" si="18"/>
        <v>80234.307649601629</v>
      </c>
      <c r="I29">
        <f t="shared" si="0"/>
        <v>0</v>
      </c>
      <c r="J29">
        <f t="shared" si="1"/>
        <v>80291.749127980074</v>
      </c>
      <c r="K29">
        <f t="shared" si="2"/>
        <v>80226.04197742352</v>
      </c>
      <c r="L29">
        <f t="shared" si="3"/>
        <v>80226.04197742352</v>
      </c>
      <c r="M29">
        <f t="shared" si="4"/>
        <v>80234.307649601629</v>
      </c>
      <c r="N29" s="29">
        <f t="shared" si="5"/>
        <v>0</v>
      </c>
      <c r="O29" s="29">
        <f t="shared" si="6"/>
        <v>0</v>
      </c>
      <c r="P29" s="29">
        <f t="shared" si="7"/>
        <v>80234.307649601629</v>
      </c>
      <c r="Q29">
        <f t="shared" si="8"/>
        <v>0</v>
      </c>
      <c r="R29" s="29">
        <f t="shared" si="9"/>
        <v>0</v>
      </c>
      <c r="S29" s="29">
        <f t="shared" si="10"/>
        <v>0</v>
      </c>
      <c r="T29" s="29">
        <f t="shared" si="11"/>
        <v>80234.307649601629</v>
      </c>
      <c r="U29">
        <f t="shared" si="12"/>
        <v>0</v>
      </c>
      <c r="V29" s="29">
        <f t="shared" si="13"/>
        <v>0</v>
      </c>
      <c r="W29" s="29">
        <f t="shared" si="14"/>
        <v>0</v>
      </c>
      <c r="X29" s="29">
        <f t="shared" si="15"/>
        <v>80234.307649601629</v>
      </c>
      <c r="Y29">
        <f t="shared" si="16"/>
        <v>0</v>
      </c>
    </row>
    <row r="30" spans="1:25" x14ac:dyDescent="0.25">
      <c r="A30" s="4" t="s">
        <v>710</v>
      </c>
      <c r="B30" s="7" t="s">
        <v>104</v>
      </c>
      <c r="C30" s="2" t="s">
        <v>711</v>
      </c>
      <c r="D30">
        <f>VLOOKUP(B30,'Model allocations'!$A$1:$L$316,6,FALSE)</f>
        <v>110315.06508875065</v>
      </c>
      <c r="E30" s="31">
        <f>VLOOKUP(B30,'Initial adjusted formula count'!$A$1:$P$316,12,FALSE)</f>
        <v>9.8074608904933802E-2</v>
      </c>
      <c r="F30">
        <f>VLOOKUP(B30,'Model allocations'!$A$1:$L$316,11,FALSE)</f>
        <v>93834.935727880322</v>
      </c>
      <c r="G30" s="30">
        <f t="shared" si="17"/>
        <v>0.85</v>
      </c>
      <c r="H30">
        <f t="shared" si="18"/>
        <v>93767.80532543805</v>
      </c>
      <c r="I30">
        <f t="shared" si="0"/>
        <v>0</v>
      </c>
      <c r="J30">
        <f t="shared" si="1"/>
        <v>93834.935727880322</v>
      </c>
      <c r="K30">
        <f t="shared" si="2"/>
        <v>93758.145443494941</v>
      </c>
      <c r="L30">
        <f t="shared" si="3"/>
        <v>93758.145443494941</v>
      </c>
      <c r="M30">
        <f t="shared" si="4"/>
        <v>93767.80532543805</v>
      </c>
      <c r="N30" s="29">
        <f t="shared" si="5"/>
        <v>0</v>
      </c>
      <c r="O30" s="29">
        <f t="shared" si="6"/>
        <v>0</v>
      </c>
      <c r="P30" s="29">
        <f t="shared" si="7"/>
        <v>93767.80532543805</v>
      </c>
      <c r="Q30">
        <f t="shared" si="8"/>
        <v>0</v>
      </c>
      <c r="R30" s="29">
        <f t="shared" si="9"/>
        <v>0</v>
      </c>
      <c r="S30" s="29">
        <f t="shared" si="10"/>
        <v>0</v>
      </c>
      <c r="T30" s="29">
        <f t="shared" si="11"/>
        <v>93767.80532543805</v>
      </c>
      <c r="U30">
        <f t="shared" si="12"/>
        <v>0</v>
      </c>
      <c r="V30" s="29">
        <f t="shared" si="13"/>
        <v>0</v>
      </c>
      <c r="W30" s="29">
        <f t="shared" si="14"/>
        <v>0</v>
      </c>
      <c r="X30" s="29">
        <f t="shared" si="15"/>
        <v>93767.80532543805</v>
      </c>
      <c r="Y30">
        <f t="shared" si="16"/>
        <v>0</v>
      </c>
    </row>
    <row r="31" spans="1:25" x14ac:dyDescent="0.25">
      <c r="A31" s="4" t="s">
        <v>8</v>
      </c>
      <c r="B31" s="7" t="s">
        <v>66</v>
      </c>
      <c r="C31" s="2" t="s">
        <v>712</v>
      </c>
      <c r="D31">
        <f>VLOOKUP(B31,'Model allocations'!$A$1:$L$316,6,FALSE)</f>
        <v>55947.849526081147</v>
      </c>
      <c r="E31" s="31">
        <f>VLOOKUP(B31,'Initial adjusted formula count'!$A$1:$P$316,12,FALSE)</f>
        <v>0.12580234706885199</v>
      </c>
      <c r="F31">
        <f>VLOOKUP(B31,'Model allocations'!$A$1:$L$316,11,FALSE)</f>
        <v>49360.495928625358</v>
      </c>
      <c r="G31" s="30">
        <f t="shared" si="17"/>
        <v>0.85</v>
      </c>
      <c r="H31">
        <f t="shared" si="18"/>
        <v>47555.672097168972</v>
      </c>
      <c r="I31">
        <f t="shared" si="0"/>
        <v>0</v>
      </c>
      <c r="J31">
        <f t="shared" si="1"/>
        <v>49360.495928625358</v>
      </c>
      <c r="K31">
        <f t="shared" si="2"/>
        <v>49320.10152231645</v>
      </c>
      <c r="L31">
        <f t="shared" si="3"/>
        <v>49320.10152231645</v>
      </c>
      <c r="M31">
        <f t="shared" si="4"/>
        <v>0</v>
      </c>
      <c r="N31" s="29">
        <f t="shared" si="5"/>
        <v>49320.10152231645</v>
      </c>
      <c r="O31" s="29">
        <f t="shared" si="6"/>
        <v>49316.703012522514</v>
      </c>
      <c r="P31" s="29">
        <f t="shared" si="7"/>
        <v>49316.703012522514</v>
      </c>
      <c r="Q31">
        <f t="shared" si="8"/>
        <v>0</v>
      </c>
      <c r="R31" s="29">
        <f t="shared" si="9"/>
        <v>49316.703012522514</v>
      </c>
      <c r="S31" s="29">
        <f t="shared" si="10"/>
        <v>49316.643819968114</v>
      </c>
      <c r="T31" s="29">
        <f t="shared" si="11"/>
        <v>49316.643819968114</v>
      </c>
      <c r="U31">
        <f t="shared" si="12"/>
        <v>0</v>
      </c>
      <c r="V31" s="29">
        <f t="shared" si="13"/>
        <v>49316.643819968114</v>
      </c>
      <c r="W31" s="29">
        <f t="shared" si="14"/>
        <v>49316.643819968114</v>
      </c>
      <c r="X31" s="29">
        <f t="shared" si="15"/>
        <v>49316.643819968114</v>
      </c>
      <c r="Y31">
        <f t="shared" si="16"/>
        <v>0</v>
      </c>
    </row>
    <row r="32" spans="1:25" x14ac:dyDescent="0.25">
      <c r="A32" s="4" t="s">
        <v>713</v>
      </c>
      <c r="B32" s="7" t="s">
        <v>333</v>
      </c>
      <c r="C32" s="2" t="s">
        <v>714</v>
      </c>
      <c r="D32">
        <f>VLOOKUP(B32,'Model allocations'!$A$1:$L$316,6,FALSE)</f>
        <v>20981.748981521883</v>
      </c>
      <c r="E32" s="31">
        <f>VLOOKUP(B32,'Initial adjusted formula count'!$A$1:$P$316,12,FALSE)</f>
        <v>0.38297872340425498</v>
      </c>
      <c r="F32">
        <f>VLOOKUP(B32,'Model allocations'!$A$1:$L$316,11,FALSE)</f>
        <v>39094.324711785041</v>
      </c>
      <c r="G32" s="30">
        <f t="shared" si="17"/>
        <v>0.95</v>
      </c>
      <c r="H32">
        <f t="shared" si="18"/>
        <v>19932.661532445789</v>
      </c>
      <c r="I32">
        <f t="shared" si="0"/>
        <v>0</v>
      </c>
      <c r="J32">
        <f t="shared" si="1"/>
        <v>39094.324711785041</v>
      </c>
      <c r="K32">
        <f t="shared" si="2"/>
        <v>39062.331677536284</v>
      </c>
      <c r="L32">
        <f t="shared" si="3"/>
        <v>39062.331677536284</v>
      </c>
      <c r="M32">
        <f t="shared" si="4"/>
        <v>0</v>
      </c>
      <c r="N32" s="29">
        <f t="shared" si="5"/>
        <v>39062.331677536284</v>
      </c>
      <c r="O32" s="29">
        <f t="shared" si="6"/>
        <v>39059.640001877022</v>
      </c>
      <c r="P32" s="29">
        <f t="shared" si="7"/>
        <v>39059.640001877022</v>
      </c>
      <c r="Q32">
        <f t="shared" si="8"/>
        <v>0</v>
      </c>
      <c r="R32" s="29">
        <f t="shared" si="9"/>
        <v>39059.640001877022</v>
      </c>
      <c r="S32" s="29">
        <f t="shared" si="10"/>
        <v>39059.59312040027</v>
      </c>
      <c r="T32" s="29">
        <f t="shared" si="11"/>
        <v>39059.59312040027</v>
      </c>
      <c r="U32">
        <f t="shared" si="12"/>
        <v>0</v>
      </c>
      <c r="V32" s="29">
        <f t="shared" si="13"/>
        <v>39059.59312040027</v>
      </c>
      <c r="W32" s="29">
        <f t="shared" si="14"/>
        <v>39059.59312040027</v>
      </c>
      <c r="X32" s="29">
        <f t="shared" si="15"/>
        <v>39059.59312040027</v>
      </c>
      <c r="Y32">
        <f t="shared" si="16"/>
        <v>0</v>
      </c>
    </row>
    <row r="33" spans="1:25" x14ac:dyDescent="0.25">
      <c r="A33" s="4" t="s">
        <v>715</v>
      </c>
      <c r="B33" s="7" t="s">
        <v>106</v>
      </c>
      <c r="C33" s="2" t="s">
        <v>716</v>
      </c>
      <c r="D33">
        <f>VLOOKUP(B33,'Model allocations'!$A$1:$L$316,6,FALSE)</f>
        <v>474809.68736652989</v>
      </c>
      <c r="E33" s="31">
        <f>VLOOKUP(B33,'Initial adjusted formula count'!$A$1:$P$316,12,FALSE)</f>
        <v>7.3902177793645094E-2</v>
      </c>
      <c r="F33">
        <f>VLOOKUP(B33,'Model allocations'!$A$1:$L$316,11,FALSE)</f>
        <v>506426.95097668166</v>
      </c>
      <c r="G33" s="30">
        <f t="shared" si="17"/>
        <v>0.85</v>
      </c>
      <c r="H33">
        <f t="shared" si="18"/>
        <v>403588.23426155042</v>
      </c>
      <c r="I33">
        <f t="shared" si="0"/>
        <v>0</v>
      </c>
      <c r="J33">
        <f t="shared" si="1"/>
        <v>506426.95097668166</v>
      </c>
      <c r="K33">
        <f t="shared" si="2"/>
        <v>506012.51397318975</v>
      </c>
      <c r="L33">
        <f t="shared" si="3"/>
        <v>506012.51397318975</v>
      </c>
      <c r="M33">
        <f t="shared" si="4"/>
        <v>0</v>
      </c>
      <c r="N33" s="29">
        <f t="shared" si="5"/>
        <v>506012.51397318975</v>
      </c>
      <c r="O33" s="29">
        <f t="shared" si="6"/>
        <v>505977.64607082313</v>
      </c>
      <c r="P33" s="29">
        <f t="shared" si="7"/>
        <v>505977.64607082313</v>
      </c>
      <c r="Q33">
        <f t="shared" si="8"/>
        <v>0</v>
      </c>
      <c r="R33" s="29">
        <f t="shared" si="9"/>
        <v>505977.64607082313</v>
      </c>
      <c r="S33" s="29">
        <f t="shared" si="10"/>
        <v>505977.03876929008</v>
      </c>
      <c r="T33" s="29">
        <f t="shared" si="11"/>
        <v>505977.03876929008</v>
      </c>
      <c r="U33">
        <f t="shared" si="12"/>
        <v>0</v>
      </c>
      <c r="V33" s="29">
        <f t="shared" si="13"/>
        <v>505977.03876929008</v>
      </c>
      <c r="W33" s="29">
        <f t="shared" si="14"/>
        <v>505977.03876929008</v>
      </c>
      <c r="X33" s="29">
        <f t="shared" si="15"/>
        <v>505977.03876929008</v>
      </c>
      <c r="Y33">
        <f t="shared" si="16"/>
        <v>0</v>
      </c>
    </row>
    <row r="34" spans="1:25" x14ac:dyDescent="0.25">
      <c r="A34" s="4" t="s">
        <v>717</v>
      </c>
      <c r="B34" s="7" t="s">
        <v>265</v>
      </c>
      <c r="C34" s="2" t="s">
        <v>718</v>
      </c>
      <c r="D34">
        <f>VLOOKUP(B34,'Model allocations'!$A$1:$L$316,6,FALSE)</f>
        <v>1170369.9246415028</v>
      </c>
      <c r="E34" s="31">
        <f>VLOOKUP(B34,'Initial adjusted formula count'!$A$1:$P$316,12,FALSE)</f>
        <v>7.6382791922739196E-2</v>
      </c>
      <c r="F34">
        <f>VLOOKUP(B34,'Model allocations'!$A$1:$L$316,11,FALSE)</f>
        <v>994675.04762582306</v>
      </c>
      <c r="G34" s="30">
        <f t="shared" si="17"/>
        <v>0.85</v>
      </c>
      <c r="H34">
        <f t="shared" si="18"/>
        <v>994814.43594527734</v>
      </c>
      <c r="I34">
        <f t="shared" si="0"/>
        <v>994814.43594527734</v>
      </c>
      <c r="J34">
        <f t="shared" si="1"/>
        <v>0</v>
      </c>
      <c r="K34">
        <f t="shared" si="2"/>
        <v>0</v>
      </c>
      <c r="L34">
        <f t="shared" si="3"/>
        <v>994814.43594527734</v>
      </c>
      <c r="M34">
        <f t="shared" si="4"/>
        <v>0</v>
      </c>
      <c r="N34" s="29">
        <f t="shared" si="5"/>
        <v>0</v>
      </c>
      <c r="O34" s="29">
        <f t="shared" si="6"/>
        <v>0</v>
      </c>
      <c r="P34" s="29">
        <f t="shared" si="7"/>
        <v>994814.43594527734</v>
      </c>
      <c r="Q34">
        <f t="shared" si="8"/>
        <v>0</v>
      </c>
      <c r="R34" s="29">
        <f t="shared" si="9"/>
        <v>0</v>
      </c>
      <c r="S34" s="29">
        <f t="shared" si="10"/>
        <v>0</v>
      </c>
      <c r="T34" s="29">
        <f t="shared" si="11"/>
        <v>994814.43594527734</v>
      </c>
      <c r="U34">
        <f t="shared" si="12"/>
        <v>0</v>
      </c>
      <c r="V34" s="29">
        <f t="shared" si="13"/>
        <v>0</v>
      </c>
      <c r="W34" s="29">
        <f t="shared" si="14"/>
        <v>0</v>
      </c>
      <c r="X34" s="29">
        <f t="shared" si="15"/>
        <v>994814.43594527734</v>
      </c>
      <c r="Y34">
        <f t="shared" si="16"/>
        <v>0</v>
      </c>
    </row>
    <row r="35" spans="1:25" x14ac:dyDescent="0.25">
      <c r="A35" s="4" t="s">
        <v>719</v>
      </c>
      <c r="B35" s="7" t="s">
        <v>335</v>
      </c>
      <c r="C35" s="2" t="s">
        <v>720</v>
      </c>
      <c r="D35">
        <f>VLOOKUP(B35,'Model allocations'!$A$1:$L$316,6,FALSE)</f>
        <v>566827.29300724296</v>
      </c>
      <c r="E35" s="31">
        <f>VLOOKUP(B35,'Initial adjusted formula count'!$A$1:$P$316,12,FALSE)</f>
        <v>0.178010471204188</v>
      </c>
      <c r="F35">
        <f>VLOOKUP(B35,'Model allocations'!$A$1:$L$316,11,FALSE)</f>
        <v>510969.39275413041</v>
      </c>
      <c r="G35" s="30">
        <f t="shared" si="17"/>
        <v>0.9</v>
      </c>
      <c r="H35">
        <f t="shared" si="18"/>
        <v>510144.56370651867</v>
      </c>
      <c r="I35">
        <f t="shared" si="0"/>
        <v>0</v>
      </c>
      <c r="J35">
        <f t="shared" si="1"/>
        <v>510969.39275413041</v>
      </c>
      <c r="K35">
        <f t="shared" si="2"/>
        <v>510551.2384209127</v>
      </c>
      <c r="L35">
        <f t="shared" si="3"/>
        <v>510551.2384209127</v>
      </c>
      <c r="M35">
        <f t="shared" si="4"/>
        <v>0</v>
      </c>
      <c r="N35" s="29">
        <f t="shared" si="5"/>
        <v>510551.2384209127</v>
      </c>
      <c r="O35" s="29">
        <f t="shared" si="6"/>
        <v>510516.05776778096</v>
      </c>
      <c r="P35" s="29">
        <f t="shared" si="7"/>
        <v>510516.05776778096</v>
      </c>
      <c r="Q35">
        <f t="shared" si="8"/>
        <v>0</v>
      </c>
      <c r="R35" s="29">
        <f t="shared" si="9"/>
        <v>510516.05776778096</v>
      </c>
      <c r="S35" s="29">
        <f t="shared" si="10"/>
        <v>510515.4450190026</v>
      </c>
      <c r="T35" s="29">
        <f t="shared" si="11"/>
        <v>510515.4450190026</v>
      </c>
      <c r="U35">
        <f t="shared" si="12"/>
        <v>0</v>
      </c>
      <c r="V35" s="29">
        <f t="shared" si="13"/>
        <v>510515.4450190026</v>
      </c>
      <c r="W35" s="29">
        <f t="shared" si="14"/>
        <v>510515.4450190026</v>
      </c>
      <c r="X35" s="29">
        <f t="shared" si="15"/>
        <v>510515.4450190026</v>
      </c>
      <c r="Y35">
        <f t="shared" si="16"/>
        <v>0</v>
      </c>
    </row>
    <row r="36" spans="1:25" x14ac:dyDescent="0.25">
      <c r="A36" s="4" t="s">
        <v>721</v>
      </c>
      <c r="B36" s="7" t="s">
        <v>337</v>
      </c>
      <c r="C36" s="2" t="s">
        <v>722</v>
      </c>
      <c r="D36">
        <f>VLOOKUP(B36,'Model allocations'!$A$1:$L$316,6,FALSE)</f>
        <v>228022.37680715989</v>
      </c>
      <c r="E36" s="31">
        <f>VLOOKUP(B36,'Initial adjusted formula count'!$A$1:$P$316,12,FALSE)</f>
        <v>0.112919633774161</v>
      </c>
      <c r="F36">
        <f>VLOOKUP(B36,'Model allocations'!$A$1:$L$316,11,FALSE)</f>
        <v>193523.70765236858</v>
      </c>
      <c r="G36" s="30">
        <f t="shared" si="17"/>
        <v>0.85</v>
      </c>
      <c r="H36">
        <f t="shared" si="18"/>
        <v>193819.0202860859</v>
      </c>
      <c r="I36">
        <f t="shared" si="0"/>
        <v>193819.0202860859</v>
      </c>
      <c r="J36">
        <f t="shared" si="1"/>
        <v>0</v>
      </c>
      <c r="K36">
        <f t="shared" si="2"/>
        <v>0</v>
      </c>
      <c r="L36">
        <f t="shared" si="3"/>
        <v>193819.0202860859</v>
      </c>
      <c r="M36">
        <f t="shared" si="4"/>
        <v>0</v>
      </c>
      <c r="N36" s="29">
        <f t="shared" si="5"/>
        <v>0</v>
      </c>
      <c r="O36" s="29">
        <f t="shared" si="6"/>
        <v>0</v>
      </c>
      <c r="P36" s="29">
        <f t="shared" si="7"/>
        <v>193819.0202860859</v>
      </c>
      <c r="Q36">
        <f t="shared" si="8"/>
        <v>0</v>
      </c>
      <c r="R36" s="29">
        <f t="shared" si="9"/>
        <v>0</v>
      </c>
      <c r="S36" s="29">
        <f t="shared" si="10"/>
        <v>0</v>
      </c>
      <c r="T36" s="29">
        <f t="shared" si="11"/>
        <v>193819.0202860859</v>
      </c>
      <c r="U36">
        <f t="shared" si="12"/>
        <v>0</v>
      </c>
      <c r="V36" s="29">
        <f t="shared" si="13"/>
        <v>0</v>
      </c>
      <c r="W36" s="29">
        <f t="shared" si="14"/>
        <v>0</v>
      </c>
      <c r="X36" s="29">
        <f t="shared" si="15"/>
        <v>193819.0202860859</v>
      </c>
      <c r="Y36">
        <f t="shared" si="16"/>
        <v>0</v>
      </c>
    </row>
    <row r="37" spans="1:25" x14ac:dyDescent="0.25">
      <c r="A37" s="4" t="s">
        <v>723</v>
      </c>
      <c r="B37" s="7" t="s">
        <v>267</v>
      </c>
      <c r="C37" s="2" t="s">
        <v>724</v>
      </c>
      <c r="D37">
        <f>VLOOKUP(B37,'Model allocations'!$A$1:$L$316,6,FALSE)</f>
        <v>465695.67461598007</v>
      </c>
      <c r="E37" s="31">
        <f>VLOOKUP(B37,'Initial adjusted formula count'!$A$1:$P$316,12,FALSE)</f>
        <v>9.5435684647302899E-2</v>
      </c>
      <c r="F37">
        <f>VLOOKUP(B37,'Model allocations'!$A$1:$L$316,11,FALSE)</f>
        <v>395802.40484059427</v>
      </c>
      <c r="G37" s="30">
        <f t="shared" si="17"/>
        <v>0.85</v>
      </c>
      <c r="H37">
        <f t="shared" si="18"/>
        <v>395841.32342358306</v>
      </c>
      <c r="I37">
        <f t="shared" si="0"/>
        <v>395841.32342358306</v>
      </c>
      <c r="J37">
        <f t="shared" si="1"/>
        <v>0</v>
      </c>
      <c r="K37">
        <f t="shared" si="2"/>
        <v>0</v>
      </c>
      <c r="L37">
        <f t="shared" si="3"/>
        <v>395841.32342358306</v>
      </c>
      <c r="M37">
        <f t="shared" si="4"/>
        <v>0</v>
      </c>
      <c r="N37" s="29">
        <f t="shared" si="5"/>
        <v>0</v>
      </c>
      <c r="O37" s="29">
        <f t="shared" si="6"/>
        <v>0</v>
      </c>
      <c r="P37" s="29">
        <f t="shared" si="7"/>
        <v>395841.32342358306</v>
      </c>
      <c r="Q37">
        <f t="shared" si="8"/>
        <v>0</v>
      </c>
      <c r="R37" s="29">
        <f t="shared" si="9"/>
        <v>0</v>
      </c>
      <c r="S37" s="29">
        <f t="shared" si="10"/>
        <v>0</v>
      </c>
      <c r="T37" s="29">
        <f t="shared" si="11"/>
        <v>395841.32342358306</v>
      </c>
      <c r="U37">
        <f t="shared" si="12"/>
        <v>0</v>
      </c>
      <c r="V37" s="29">
        <f t="shared" si="13"/>
        <v>0</v>
      </c>
      <c r="W37" s="29">
        <f t="shared" si="14"/>
        <v>0</v>
      </c>
      <c r="X37" s="29">
        <f t="shared" si="15"/>
        <v>395841.32342358306</v>
      </c>
      <c r="Y37">
        <f t="shared" si="16"/>
        <v>0</v>
      </c>
    </row>
    <row r="38" spans="1:25" x14ac:dyDescent="0.25">
      <c r="A38" s="4" t="s">
        <v>725</v>
      </c>
      <c r="B38" s="7" t="s">
        <v>339</v>
      </c>
      <c r="C38" s="2" t="s">
        <v>726</v>
      </c>
      <c r="D38">
        <f>VLOOKUP(B38,'Model allocations'!$A$1:$L$316,6,FALSE)</f>
        <v>103703.32233418374</v>
      </c>
      <c r="E38" s="31">
        <f>VLOOKUP(B38,'Initial adjusted formula count'!$A$1:$P$316,12,FALSE)</f>
        <v>0.144076840981857</v>
      </c>
      <c r="F38">
        <f>VLOOKUP(B38,'Model allocations'!$A$1:$L$316,11,FALSE)</f>
        <v>88147.823984056173</v>
      </c>
      <c r="G38" s="30">
        <f t="shared" si="17"/>
        <v>0.85</v>
      </c>
      <c r="H38">
        <f t="shared" si="18"/>
        <v>88147.823984056173</v>
      </c>
      <c r="I38">
        <f t="shared" si="0"/>
        <v>0</v>
      </c>
      <c r="J38">
        <f t="shared" si="1"/>
        <v>88147.823984056173</v>
      </c>
      <c r="K38">
        <f t="shared" si="2"/>
        <v>88075.687775732673</v>
      </c>
      <c r="L38">
        <f t="shared" si="3"/>
        <v>88075.687775732673</v>
      </c>
      <c r="M38">
        <f t="shared" si="4"/>
        <v>88147.823984056173</v>
      </c>
      <c r="N38" s="29">
        <f t="shared" si="5"/>
        <v>0</v>
      </c>
      <c r="O38" s="29">
        <f t="shared" si="6"/>
        <v>0</v>
      </c>
      <c r="P38" s="29">
        <f t="shared" si="7"/>
        <v>88147.823984056173</v>
      </c>
      <c r="Q38">
        <f t="shared" si="8"/>
        <v>0</v>
      </c>
      <c r="R38" s="29">
        <f t="shared" si="9"/>
        <v>0</v>
      </c>
      <c r="S38" s="29">
        <f t="shared" si="10"/>
        <v>0</v>
      </c>
      <c r="T38" s="29">
        <f t="shared" si="11"/>
        <v>88147.823984056173</v>
      </c>
      <c r="U38">
        <f t="shared" si="12"/>
        <v>0</v>
      </c>
      <c r="V38" s="29">
        <f t="shared" si="13"/>
        <v>0</v>
      </c>
      <c r="W38" s="29">
        <f t="shared" si="14"/>
        <v>0</v>
      </c>
      <c r="X38" s="29">
        <f t="shared" si="15"/>
        <v>88147.823984056173</v>
      </c>
      <c r="Y38">
        <f t="shared" si="16"/>
        <v>0</v>
      </c>
    </row>
    <row r="39" spans="1:25" x14ac:dyDescent="0.25">
      <c r="A39" s="4" t="s">
        <v>727</v>
      </c>
      <c r="B39" s="7" t="s">
        <v>108</v>
      </c>
      <c r="C39" s="2" t="s">
        <v>728</v>
      </c>
      <c r="D39">
        <f>VLOOKUP(B39,'Model allocations'!$A$1:$L$316,6,FALSE)</f>
        <v>94400.475933401656</v>
      </c>
      <c r="E39" s="31">
        <f>VLOOKUP(B39,'Initial adjusted formula count'!$A$1:$P$316,12,FALSE)</f>
        <v>0.16459074733096099</v>
      </c>
      <c r="F39">
        <f>VLOOKUP(B39,'Model allocations'!$A$1:$L$316,11,FALSE)</f>
        <v>108691.48186680859</v>
      </c>
      <c r="G39" s="30">
        <f t="shared" si="17"/>
        <v>0.9</v>
      </c>
      <c r="H39">
        <f t="shared" si="18"/>
        <v>84960.428340061495</v>
      </c>
      <c r="I39">
        <f t="shared" si="0"/>
        <v>0</v>
      </c>
      <c r="J39">
        <f t="shared" si="1"/>
        <v>108691.48186680859</v>
      </c>
      <c r="K39">
        <f t="shared" si="2"/>
        <v>108602.53365431102</v>
      </c>
      <c r="L39">
        <f t="shared" si="3"/>
        <v>108602.53365431102</v>
      </c>
      <c r="M39">
        <f t="shared" si="4"/>
        <v>0</v>
      </c>
      <c r="N39" s="29">
        <f t="shared" si="5"/>
        <v>108602.53365431102</v>
      </c>
      <c r="O39" s="29">
        <f t="shared" si="6"/>
        <v>108595.05015847711</v>
      </c>
      <c r="P39" s="29">
        <f t="shared" si="7"/>
        <v>108595.05015847711</v>
      </c>
      <c r="Q39">
        <f t="shared" si="8"/>
        <v>0</v>
      </c>
      <c r="R39" s="29">
        <f t="shared" si="9"/>
        <v>108595.05015847711</v>
      </c>
      <c r="S39" s="29">
        <f t="shared" si="10"/>
        <v>108594.91981686825</v>
      </c>
      <c r="T39" s="29">
        <f t="shared" si="11"/>
        <v>108594.91981686825</v>
      </c>
      <c r="U39">
        <f t="shared" si="12"/>
        <v>0</v>
      </c>
      <c r="V39" s="29">
        <f t="shared" si="13"/>
        <v>108594.91981686825</v>
      </c>
      <c r="W39" s="29">
        <f t="shared" si="14"/>
        <v>108594.91981686825</v>
      </c>
      <c r="X39" s="29">
        <f t="shared" si="15"/>
        <v>108594.91981686825</v>
      </c>
      <c r="Y39">
        <f t="shared" si="16"/>
        <v>0</v>
      </c>
    </row>
    <row r="40" spans="1:25" x14ac:dyDescent="0.25">
      <c r="A40" s="4" t="s">
        <v>729</v>
      </c>
      <c r="B40" s="7" t="s">
        <v>341</v>
      </c>
      <c r="C40" s="2" t="s">
        <v>730</v>
      </c>
      <c r="D40">
        <f>VLOOKUP(B40,'Model allocations'!$A$1:$L$316,6,FALSE)</f>
        <v>373650.49813423608</v>
      </c>
      <c r="E40" s="31">
        <f>VLOOKUP(B40,'Initial adjusted formula count'!$A$1:$P$316,12,FALSE)</f>
        <v>0.182115594329335</v>
      </c>
      <c r="F40">
        <f>VLOOKUP(B40,'Model allocations'!$A$1:$L$316,11,FALSE)</f>
        <v>336369.02962048812</v>
      </c>
      <c r="G40" s="30">
        <f t="shared" si="17"/>
        <v>0.9</v>
      </c>
      <c r="H40">
        <f t="shared" si="18"/>
        <v>336285.44832081249</v>
      </c>
      <c r="I40">
        <f t="shared" si="0"/>
        <v>0</v>
      </c>
      <c r="J40">
        <f t="shared" si="1"/>
        <v>336369.02962048812</v>
      </c>
      <c r="K40">
        <f t="shared" si="2"/>
        <v>336093.76035917696</v>
      </c>
      <c r="L40">
        <f t="shared" si="3"/>
        <v>336093.76035917696</v>
      </c>
      <c r="M40">
        <f t="shared" si="4"/>
        <v>336285.44832081249</v>
      </c>
      <c r="N40" s="29">
        <f t="shared" si="5"/>
        <v>0</v>
      </c>
      <c r="O40" s="29">
        <f t="shared" si="6"/>
        <v>0</v>
      </c>
      <c r="P40" s="29">
        <f t="shared" si="7"/>
        <v>336285.44832081249</v>
      </c>
      <c r="Q40">
        <f t="shared" si="8"/>
        <v>0</v>
      </c>
      <c r="R40" s="29">
        <f t="shared" si="9"/>
        <v>0</v>
      </c>
      <c r="S40" s="29">
        <f t="shared" si="10"/>
        <v>0</v>
      </c>
      <c r="T40" s="29">
        <f t="shared" si="11"/>
        <v>336285.44832081249</v>
      </c>
      <c r="U40">
        <f t="shared" si="12"/>
        <v>0</v>
      </c>
      <c r="V40" s="29">
        <f t="shared" si="13"/>
        <v>0</v>
      </c>
      <c r="W40" s="29">
        <f t="shared" si="14"/>
        <v>0</v>
      </c>
      <c r="X40" s="29">
        <f t="shared" si="15"/>
        <v>336285.44832081249</v>
      </c>
      <c r="Y40">
        <f t="shared" si="16"/>
        <v>0</v>
      </c>
    </row>
    <row r="41" spans="1:25" x14ac:dyDescent="0.25">
      <c r="A41" s="4" t="s">
        <v>731</v>
      </c>
      <c r="B41" s="7" t="s">
        <v>343</v>
      </c>
      <c r="C41" s="2" t="s">
        <v>732</v>
      </c>
      <c r="D41">
        <f>VLOOKUP(B41,'Model allocations'!$A$1:$L$316,6,FALSE)</f>
        <v>89844.228268157764</v>
      </c>
      <c r="E41" s="31">
        <f>VLOOKUP(B41,'Initial adjusted formula count'!$A$1:$P$316,12,FALSE)</f>
        <v>0.117593436645397</v>
      </c>
      <c r="F41">
        <f>VLOOKUP(B41,'Model allocations'!$A$1:$L$316,11,FALSE)</f>
        <v>76422.267242294285</v>
      </c>
      <c r="G41" s="30">
        <f t="shared" si="17"/>
        <v>0.85</v>
      </c>
      <c r="H41">
        <f t="shared" si="18"/>
        <v>76367.594027934101</v>
      </c>
      <c r="I41">
        <f t="shared" si="0"/>
        <v>0</v>
      </c>
      <c r="J41">
        <f t="shared" si="1"/>
        <v>76422.267242294285</v>
      </c>
      <c r="K41">
        <f t="shared" si="2"/>
        <v>76359.726701403109</v>
      </c>
      <c r="L41">
        <f t="shared" si="3"/>
        <v>76359.726701403109</v>
      </c>
      <c r="M41">
        <f t="shared" si="4"/>
        <v>76367.594027934101</v>
      </c>
      <c r="N41" s="29">
        <f t="shared" si="5"/>
        <v>0</v>
      </c>
      <c r="O41" s="29">
        <f t="shared" si="6"/>
        <v>0</v>
      </c>
      <c r="P41" s="29">
        <f t="shared" si="7"/>
        <v>76367.594027934101</v>
      </c>
      <c r="Q41">
        <f t="shared" si="8"/>
        <v>0</v>
      </c>
      <c r="R41" s="29">
        <f t="shared" si="9"/>
        <v>0</v>
      </c>
      <c r="S41" s="29">
        <f t="shared" si="10"/>
        <v>0</v>
      </c>
      <c r="T41" s="29">
        <f t="shared" si="11"/>
        <v>76367.594027934101</v>
      </c>
      <c r="U41">
        <f t="shared" si="12"/>
        <v>0</v>
      </c>
      <c r="V41" s="29">
        <f t="shared" si="13"/>
        <v>0</v>
      </c>
      <c r="W41" s="29">
        <f t="shared" si="14"/>
        <v>0</v>
      </c>
      <c r="X41" s="29">
        <f t="shared" si="15"/>
        <v>76367.594027934101</v>
      </c>
      <c r="Y41">
        <f t="shared" si="16"/>
        <v>0</v>
      </c>
    </row>
    <row r="42" spans="1:25" x14ac:dyDescent="0.25">
      <c r="A42" s="4" t="s">
        <v>733</v>
      </c>
      <c r="B42" s="7" t="s">
        <v>345</v>
      </c>
      <c r="C42" s="2" t="s">
        <v>734</v>
      </c>
      <c r="D42">
        <f>VLOOKUP(B42,'Model allocations'!$A$1:$L$316,6,FALSE)</f>
        <v>1589617.3425546517</v>
      </c>
      <c r="E42" s="31">
        <f>VLOOKUP(B42,'Initial adjusted formula count'!$A$1:$P$316,12,FALSE)</f>
        <v>0.14892383506051199</v>
      </c>
      <c r="F42">
        <f>VLOOKUP(B42,'Model allocations'!$A$1:$L$316,11,FALSE)</f>
        <v>1546113.2903772199</v>
      </c>
      <c r="G42" s="30">
        <f t="shared" si="17"/>
        <v>0.85</v>
      </c>
      <c r="H42">
        <f t="shared" si="18"/>
        <v>1351174.7411714538</v>
      </c>
      <c r="I42">
        <f t="shared" si="0"/>
        <v>0</v>
      </c>
      <c r="J42">
        <f t="shared" si="1"/>
        <v>1546113.2903772199</v>
      </c>
      <c r="K42">
        <f t="shared" si="2"/>
        <v>1544848.0209086672</v>
      </c>
      <c r="L42">
        <f t="shared" si="3"/>
        <v>1544848.0209086672</v>
      </c>
      <c r="M42">
        <f t="shared" si="4"/>
        <v>0</v>
      </c>
      <c r="N42" s="29">
        <f t="shared" si="5"/>
        <v>1544848.0209086672</v>
      </c>
      <c r="O42" s="29">
        <f t="shared" si="6"/>
        <v>1544741.5697666958</v>
      </c>
      <c r="P42" s="29">
        <f t="shared" si="7"/>
        <v>1544741.5697666958</v>
      </c>
      <c r="Q42">
        <f t="shared" si="8"/>
        <v>0</v>
      </c>
      <c r="R42" s="29">
        <f t="shared" si="9"/>
        <v>1544741.5697666958</v>
      </c>
      <c r="S42" s="29">
        <f t="shared" si="10"/>
        <v>1544739.7156849382</v>
      </c>
      <c r="T42" s="29">
        <f t="shared" si="11"/>
        <v>1544739.7156849382</v>
      </c>
      <c r="U42">
        <f t="shared" si="12"/>
        <v>0</v>
      </c>
      <c r="V42" s="29">
        <f t="shared" si="13"/>
        <v>1544739.7156849382</v>
      </c>
      <c r="W42" s="29">
        <f t="shared" si="14"/>
        <v>1544739.7156849382</v>
      </c>
      <c r="X42" s="29">
        <f t="shared" si="15"/>
        <v>1544739.7156849382</v>
      </c>
      <c r="Y42">
        <f t="shared" si="16"/>
        <v>0</v>
      </c>
    </row>
    <row r="43" spans="1:25" x14ac:dyDescent="0.25">
      <c r="A43" s="4" t="s">
        <v>735</v>
      </c>
      <c r="B43" s="7" t="s">
        <v>269</v>
      </c>
      <c r="C43" s="2" t="s">
        <v>736</v>
      </c>
      <c r="D43">
        <f>VLOOKUP(B43,'Model allocations'!$A$1:$L$316,6,FALSE)</f>
        <v>34686.695723782432</v>
      </c>
      <c r="E43" s="31">
        <f>VLOOKUP(B43,'Initial adjusted formula count'!$A$1:$P$316,12,FALSE)</f>
        <v>0.10466988727858299</v>
      </c>
      <c r="F43">
        <f>VLOOKUP(B43,'Model allocations'!$A$1:$L$316,11,FALSE)</f>
        <v>36718.072296134203</v>
      </c>
      <c r="G43" s="30">
        <f t="shared" si="17"/>
        <v>0.85</v>
      </c>
      <c r="H43">
        <f t="shared" si="18"/>
        <v>29483.691365215065</v>
      </c>
      <c r="I43">
        <f t="shared" si="0"/>
        <v>0</v>
      </c>
      <c r="J43">
        <f t="shared" si="1"/>
        <v>36718.072296134203</v>
      </c>
      <c r="K43">
        <f t="shared" si="2"/>
        <v>36688.02387981856</v>
      </c>
      <c r="L43">
        <f t="shared" si="3"/>
        <v>36688.02387981856</v>
      </c>
      <c r="M43">
        <f t="shared" si="4"/>
        <v>0</v>
      </c>
      <c r="N43" s="29">
        <f t="shared" si="5"/>
        <v>36688.02387981856</v>
      </c>
      <c r="O43" s="29">
        <f t="shared" si="6"/>
        <v>36685.495811046858</v>
      </c>
      <c r="P43" s="29">
        <f t="shared" si="7"/>
        <v>36685.495811046858</v>
      </c>
      <c r="Q43">
        <f t="shared" si="8"/>
        <v>0</v>
      </c>
      <c r="R43" s="29">
        <f t="shared" si="9"/>
        <v>36685.495811046858</v>
      </c>
      <c r="S43" s="29">
        <f t="shared" si="10"/>
        <v>36685.451779145413</v>
      </c>
      <c r="T43" s="29">
        <f t="shared" si="11"/>
        <v>36685.451779145413</v>
      </c>
      <c r="U43">
        <f t="shared" si="12"/>
        <v>0</v>
      </c>
      <c r="V43" s="29">
        <f t="shared" si="13"/>
        <v>36685.451779145413</v>
      </c>
      <c r="W43" s="29">
        <f t="shared" si="14"/>
        <v>36685.451779145413</v>
      </c>
      <c r="X43" s="29">
        <f t="shared" si="15"/>
        <v>36685.451779145413</v>
      </c>
      <c r="Y43">
        <f t="shared" si="16"/>
        <v>0</v>
      </c>
    </row>
    <row r="44" spans="1:25" x14ac:dyDescent="0.25">
      <c r="A44" s="4" t="s">
        <v>737</v>
      </c>
      <c r="B44" s="7" t="s">
        <v>347</v>
      </c>
      <c r="C44" s="2" t="s">
        <v>738</v>
      </c>
      <c r="D44">
        <f>VLOOKUP(B44,'Model allocations'!$A$1:$L$316,6,FALSE)</f>
        <v>166041.2319892536</v>
      </c>
      <c r="E44" s="31">
        <f>VLOOKUP(B44,'Initial adjusted formula count'!$A$1:$P$316,12,FALSE)</f>
        <v>0.12376725838264301</v>
      </c>
      <c r="F44">
        <f>VLOOKUP(B44,'Model allocations'!$A$1:$L$316,11,FALSE)</f>
        <v>141788.24840507205</v>
      </c>
      <c r="G44" s="30">
        <f t="shared" si="17"/>
        <v>0.85</v>
      </c>
      <c r="H44">
        <f t="shared" si="18"/>
        <v>141135.04719086556</v>
      </c>
      <c r="I44">
        <f t="shared" si="0"/>
        <v>0</v>
      </c>
      <c r="J44">
        <f t="shared" si="1"/>
        <v>141788.24840507205</v>
      </c>
      <c r="K44">
        <f t="shared" si="2"/>
        <v>141672.21528976088</v>
      </c>
      <c r="L44">
        <f t="shared" si="3"/>
        <v>141672.21528976088</v>
      </c>
      <c r="M44">
        <f t="shared" si="4"/>
        <v>0</v>
      </c>
      <c r="N44" s="29">
        <f t="shared" si="5"/>
        <v>141672.21528976088</v>
      </c>
      <c r="O44" s="29">
        <f t="shared" si="6"/>
        <v>141662.45305496553</v>
      </c>
      <c r="P44" s="29">
        <f t="shared" si="7"/>
        <v>141662.45305496553</v>
      </c>
      <c r="Q44">
        <f t="shared" si="8"/>
        <v>0</v>
      </c>
      <c r="R44" s="29">
        <f t="shared" si="9"/>
        <v>141662.45305496553</v>
      </c>
      <c r="S44" s="29">
        <f t="shared" si="10"/>
        <v>141662.28302408458</v>
      </c>
      <c r="T44" s="29">
        <f t="shared" si="11"/>
        <v>141662.28302408458</v>
      </c>
      <c r="U44">
        <f t="shared" si="12"/>
        <v>0</v>
      </c>
      <c r="V44" s="29">
        <f t="shared" si="13"/>
        <v>141662.28302408458</v>
      </c>
      <c r="W44" s="29">
        <f t="shared" si="14"/>
        <v>141662.28302408458</v>
      </c>
      <c r="X44" s="29">
        <f t="shared" si="15"/>
        <v>141662.28302408458</v>
      </c>
      <c r="Y44">
        <f t="shared" si="16"/>
        <v>0</v>
      </c>
    </row>
    <row r="45" spans="1:25" x14ac:dyDescent="0.25">
      <c r="A45" s="4" t="s">
        <v>739</v>
      </c>
      <c r="B45" s="7" t="s">
        <v>349</v>
      </c>
      <c r="C45" s="2" t="s">
        <v>740</v>
      </c>
      <c r="D45">
        <f>VLOOKUP(B45,'Model allocations'!$A$1:$L$316,6,FALSE)</f>
        <v>0</v>
      </c>
      <c r="E45" s="31">
        <f>VLOOKUP(B45,'Initial adjusted formula count'!$A$1:$P$316,12,FALSE)</f>
        <v>6.4000000000000001E-2</v>
      </c>
      <c r="F45">
        <f>VLOOKUP(B45,'Model allocations'!$A$1:$L$316,11,FALSE)</f>
        <v>9038.2947190484192</v>
      </c>
      <c r="G45" s="30">
        <f t="shared" si="17"/>
        <v>0.85</v>
      </c>
      <c r="H45">
        <f t="shared" si="18"/>
        <v>0</v>
      </c>
      <c r="I45">
        <f t="shared" si="0"/>
        <v>0</v>
      </c>
      <c r="J45">
        <f t="shared" si="1"/>
        <v>9038.2947190484192</v>
      </c>
      <c r="K45">
        <f t="shared" si="2"/>
        <v>9030.8981858014904</v>
      </c>
      <c r="L45">
        <f t="shared" si="3"/>
        <v>9030.8981858014904</v>
      </c>
      <c r="M45">
        <f t="shared" si="4"/>
        <v>0</v>
      </c>
      <c r="N45" s="29">
        <f t="shared" si="5"/>
        <v>9030.8981858014904</v>
      </c>
      <c r="O45" s="29">
        <f t="shared" si="6"/>
        <v>9030.2758919499956</v>
      </c>
      <c r="P45" s="29">
        <f t="shared" si="7"/>
        <v>9030.2758919499956</v>
      </c>
      <c r="Q45">
        <f t="shared" si="8"/>
        <v>0</v>
      </c>
      <c r="R45" s="29">
        <f t="shared" si="9"/>
        <v>9030.2758919499956</v>
      </c>
      <c r="S45" s="29">
        <f t="shared" si="10"/>
        <v>9030.2650533281012</v>
      </c>
      <c r="T45" s="29">
        <f t="shared" si="11"/>
        <v>9030.2650533281012</v>
      </c>
      <c r="U45">
        <f t="shared" si="12"/>
        <v>0</v>
      </c>
      <c r="V45" s="29">
        <f t="shared" si="13"/>
        <v>9030.2650533281012</v>
      </c>
      <c r="W45" s="29">
        <f t="shared" si="14"/>
        <v>9030.2650533281012</v>
      </c>
      <c r="X45" s="29">
        <f t="shared" si="15"/>
        <v>9030.2650533281012</v>
      </c>
      <c r="Y45">
        <f t="shared" si="16"/>
        <v>0</v>
      </c>
    </row>
    <row r="46" spans="1:25" x14ac:dyDescent="0.25">
      <c r="A46" s="4" t="s">
        <v>741</v>
      </c>
      <c r="B46" s="7" t="s">
        <v>351</v>
      </c>
      <c r="C46" s="2" t="s">
        <v>742</v>
      </c>
      <c r="D46">
        <f>VLOOKUP(B46,'Model allocations'!$A$1:$L$316,6,FALSE)</f>
        <v>26116.053340295057</v>
      </c>
      <c r="E46" s="31">
        <f>VLOOKUP(B46,'Initial adjusted formula count'!$A$1:$P$316,12,FALSE)</f>
        <v>0.25365853658536602</v>
      </c>
      <c r="F46">
        <f>VLOOKUP(B46,'Model allocations'!$A$1:$L$316,11,FALSE)</f>
        <v>40701.488858522323</v>
      </c>
      <c r="G46" s="30">
        <f t="shared" si="17"/>
        <v>0.9</v>
      </c>
      <c r="H46">
        <f t="shared" si="18"/>
        <v>23504.448006265553</v>
      </c>
      <c r="I46">
        <f t="shared" si="0"/>
        <v>0</v>
      </c>
      <c r="J46">
        <f t="shared" si="1"/>
        <v>40701.488858522323</v>
      </c>
      <c r="K46">
        <f t="shared" si="2"/>
        <v>40668.180593534344</v>
      </c>
      <c r="L46">
        <f t="shared" si="3"/>
        <v>40668.180593534344</v>
      </c>
      <c r="M46">
        <f t="shared" si="4"/>
        <v>0</v>
      </c>
      <c r="N46" s="29">
        <f t="shared" si="5"/>
        <v>40668.180593534344</v>
      </c>
      <c r="O46" s="29">
        <f t="shared" si="6"/>
        <v>40665.378263332612</v>
      </c>
      <c r="P46" s="29">
        <f t="shared" si="7"/>
        <v>40665.378263332612</v>
      </c>
      <c r="Q46">
        <f t="shared" si="8"/>
        <v>0</v>
      </c>
      <c r="R46" s="29">
        <f t="shared" si="9"/>
        <v>40665.378263332612</v>
      </c>
      <c r="S46" s="29">
        <f t="shared" si="10"/>
        <v>40665.32945456259</v>
      </c>
      <c r="T46" s="29">
        <f t="shared" si="11"/>
        <v>40665.32945456259</v>
      </c>
      <c r="U46">
        <f t="shared" si="12"/>
        <v>0</v>
      </c>
      <c r="V46" s="29">
        <f t="shared" si="13"/>
        <v>40665.32945456259</v>
      </c>
      <c r="W46" s="29">
        <f t="shared" si="14"/>
        <v>40665.32945456259</v>
      </c>
      <c r="X46" s="29">
        <f t="shared" si="15"/>
        <v>40665.32945456259</v>
      </c>
      <c r="Y46">
        <f t="shared" si="16"/>
        <v>0</v>
      </c>
    </row>
    <row r="47" spans="1:25" x14ac:dyDescent="0.25">
      <c r="A47" s="4" t="s">
        <v>743</v>
      </c>
      <c r="B47" s="7" t="s">
        <v>352</v>
      </c>
      <c r="C47" s="2" t="s">
        <v>744</v>
      </c>
      <c r="D47">
        <f>VLOOKUP(B47,'Model allocations'!$A$1:$L$316,6,FALSE)</f>
        <v>59706.607393395978</v>
      </c>
      <c r="E47" s="31">
        <f>VLOOKUP(B47,'Initial adjusted formula count'!$A$1:$P$316,12,FALSE)</f>
        <v>0.116865869853918</v>
      </c>
      <c r="F47">
        <f>VLOOKUP(B47,'Model allocations'!$A$1:$L$316,11,FALSE)</f>
        <v>50786.949749625943</v>
      </c>
      <c r="G47" s="30">
        <f t="shared" si="17"/>
        <v>0.85</v>
      </c>
      <c r="H47">
        <f t="shared" si="18"/>
        <v>50750.616284386582</v>
      </c>
      <c r="I47">
        <f t="shared" si="0"/>
        <v>0</v>
      </c>
      <c r="J47">
        <f t="shared" si="1"/>
        <v>50786.949749625943</v>
      </c>
      <c r="K47">
        <f t="shared" si="2"/>
        <v>50745.387997767881</v>
      </c>
      <c r="L47">
        <f t="shared" si="3"/>
        <v>50745.387997767881</v>
      </c>
      <c r="M47">
        <f t="shared" si="4"/>
        <v>50750.616284386582</v>
      </c>
      <c r="N47" s="29">
        <f t="shared" si="5"/>
        <v>0</v>
      </c>
      <c r="O47" s="29">
        <f t="shared" si="6"/>
        <v>0</v>
      </c>
      <c r="P47" s="29">
        <f t="shared" si="7"/>
        <v>50750.616284386582</v>
      </c>
      <c r="Q47">
        <f t="shared" si="8"/>
        <v>0</v>
      </c>
      <c r="R47" s="29">
        <f t="shared" si="9"/>
        <v>0</v>
      </c>
      <c r="S47" s="29">
        <f t="shared" si="10"/>
        <v>0</v>
      </c>
      <c r="T47" s="29">
        <f t="shared" si="11"/>
        <v>50750.616284386582</v>
      </c>
      <c r="U47">
        <f t="shared" si="12"/>
        <v>0</v>
      </c>
      <c r="V47" s="29">
        <f t="shared" si="13"/>
        <v>0</v>
      </c>
      <c r="W47" s="29">
        <f t="shared" si="14"/>
        <v>0</v>
      </c>
      <c r="X47" s="29">
        <f t="shared" si="15"/>
        <v>50750.616284386582</v>
      </c>
      <c r="Y47">
        <f t="shared" si="16"/>
        <v>0</v>
      </c>
    </row>
    <row r="48" spans="1:25" x14ac:dyDescent="0.25">
      <c r="A48" s="4" t="s">
        <v>745</v>
      </c>
      <c r="B48" s="7" t="s">
        <v>353</v>
      </c>
      <c r="C48" s="2" t="s">
        <v>746</v>
      </c>
      <c r="D48">
        <f>VLOOKUP(B48,'Model allocations'!$A$1:$L$316,6,FALSE)</f>
        <v>215596.46513018876</v>
      </c>
      <c r="E48" s="31">
        <f>VLOOKUP(B48,'Initial adjusted formula count'!$A$1:$P$316,12,FALSE)</f>
        <v>0.19689378757515</v>
      </c>
      <c r="F48">
        <f>VLOOKUP(B48,'Model allocations'!$A$1:$L$316,11,FALSE)</f>
        <v>256753.88850847608</v>
      </c>
      <c r="G48" s="30">
        <f t="shared" si="17"/>
        <v>0.9</v>
      </c>
      <c r="H48">
        <f t="shared" si="18"/>
        <v>194036.81861716989</v>
      </c>
      <c r="I48">
        <f t="shared" si="0"/>
        <v>0</v>
      </c>
      <c r="J48">
        <f t="shared" si="1"/>
        <v>256753.88850847608</v>
      </c>
      <c r="K48">
        <f t="shared" si="2"/>
        <v>256543.77269220061</v>
      </c>
      <c r="L48">
        <f t="shared" si="3"/>
        <v>256543.77269220061</v>
      </c>
      <c r="M48">
        <f t="shared" si="4"/>
        <v>0</v>
      </c>
      <c r="N48" s="29">
        <f t="shared" si="5"/>
        <v>256543.77269220061</v>
      </c>
      <c r="O48" s="29">
        <f t="shared" si="6"/>
        <v>256526.09498073702</v>
      </c>
      <c r="P48" s="29">
        <f t="shared" si="7"/>
        <v>256526.09498073702</v>
      </c>
      <c r="Q48">
        <f t="shared" si="8"/>
        <v>0</v>
      </c>
      <c r="R48" s="29">
        <f t="shared" si="9"/>
        <v>256526.09498073702</v>
      </c>
      <c r="S48" s="29">
        <f t="shared" si="10"/>
        <v>256525.78708434684</v>
      </c>
      <c r="T48" s="29">
        <f t="shared" si="11"/>
        <v>256525.78708434684</v>
      </c>
      <c r="U48">
        <f t="shared" si="12"/>
        <v>0</v>
      </c>
      <c r="V48" s="29">
        <f t="shared" si="13"/>
        <v>256525.78708434684</v>
      </c>
      <c r="W48" s="29">
        <f t="shared" si="14"/>
        <v>256525.78708434684</v>
      </c>
      <c r="X48" s="29">
        <f t="shared" si="15"/>
        <v>256525.78708434684</v>
      </c>
      <c r="Y48">
        <f t="shared" si="16"/>
        <v>0</v>
      </c>
    </row>
    <row r="49" spans="1:25" x14ac:dyDescent="0.25">
      <c r="A49" s="4" t="s">
        <v>747</v>
      </c>
      <c r="B49" s="7" t="s">
        <v>355</v>
      </c>
      <c r="C49" s="2" t="s">
        <v>748</v>
      </c>
      <c r="D49">
        <f>VLOOKUP(B49,'Model allocations'!$A$1:$L$316,6,FALSE)</f>
        <v>78418.343183290577</v>
      </c>
      <c r="E49" s="31">
        <f>VLOOKUP(B49,'Initial adjusted formula count'!$A$1:$P$316,12,FALSE)</f>
        <v>0.11347517730496499</v>
      </c>
      <c r="F49">
        <f>VLOOKUP(B49,'Model allocations'!$A$1:$L$316,11,FALSE)</f>
        <v>66655.591705796993</v>
      </c>
      <c r="G49" s="30">
        <f t="shared" si="17"/>
        <v>0.85</v>
      </c>
      <c r="H49">
        <f t="shared" si="18"/>
        <v>66655.591705796993</v>
      </c>
      <c r="I49">
        <f t="shared" si="0"/>
        <v>0</v>
      </c>
      <c r="J49">
        <f t="shared" si="1"/>
        <v>66655.591705796993</v>
      </c>
      <c r="K49">
        <f t="shared" si="2"/>
        <v>66601.043772202116</v>
      </c>
      <c r="L49">
        <f t="shared" si="3"/>
        <v>66601.043772202116</v>
      </c>
      <c r="M49">
        <f t="shared" si="4"/>
        <v>66655.591705796993</v>
      </c>
      <c r="N49" s="29">
        <f t="shared" si="5"/>
        <v>0</v>
      </c>
      <c r="O49" s="29">
        <f t="shared" si="6"/>
        <v>0</v>
      </c>
      <c r="P49" s="29">
        <f t="shared" si="7"/>
        <v>66655.591705796993</v>
      </c>
      <c r="Q49">
        <f t="shared" si="8"/>
        <v>0</v>
      </c>
      <c r="R49" s="29">
        <f t="shared" si="9"/>
        <v>0</v>
      </c>
      <c r="S49" s="29">
        <f t="shared" si="10"/>
        <v>0</v>
      </c>
      <c r="T49" s="29">
        <f t="shared" si="11"/>
        <v>66655.591705796993</v>
      </c>
      <c r="U49">
        <f t="shared" si="12"/>
        <v>0</v>
      </c>
      <c r="V49" s="29">
        <f t="shared" si="13"/>
        <v>0</v>
      </c>
      <c r="W49" s="29">
        <f t="shared" si="14"/>
        <v>0</v>
      </c>
      <c r="X49" s="29">
        <f t="shared" si="15"/>
        <v>66655.591705796993</v>
      </c>
      <c r="Y49">
        <f t="shared" si="16"/>
        <v>0</v>
      </c>
    </row>
    <row r="50" spans="1:25" x14ac:dyDescent="0.25">
      <c r="A50" s="4" t="s">
        <v>749</v>
      </c>
      <c r="B50" s="7" t="s">
        <v>110</v>
      </c>
      <c r="C50" s="2" t="s">
        <v>750</v>
      </c>
      <c r="D50">
        <f>VLOOKUP(B50,'Model allocations'!$A$1:$L$316,6,FALSE)</f>
        <v>28369.690038557383</v>
      </c>
      <c r="E50" s="31">
        <f>VLOOKUP(B50,'Initial adjusted formula count'!$A$1:$P$316,12,FALSE)</f>
        <v>8.98876404494382E-2</v>
      </c>
      <c r="F50">
        <f>VLOOKUP(B50,'Model allocations'!$A$1:$L$316,11,FALSE)</f>
        <v>27114.884157145261</v>
      </c>
      <c r="G50" s="30">
        <f t="shared" si="17"/>
        <v>0.85</v>
      </c>
      <c r="H50">
        <f t="shared" si="18"/>
        <v>24114.236532773775</v>
      </c>
      <c r="I50">
        <f t="shared" si="0"/>
        <v>0</v>
      </c>
      <c r="J50">
        <f t="shared" si="1"/>
        <v>27114.884157145261</v>
      </c>
      <c r="K50">
        <f t="shared" si="2"/>
        <v>27092.694557404477</v>
      </c>
      <c r="L50">
        <f t="shared" si="3"/>
        <v>27092.694557404477</v>
      </c>
      <c r="M50">
        <f t="shared" si="4"/>
        <v>0</v>
      </c>
      <c r="N50" s="29">
        <f t="shared" si="5"/>
        <v>27092.694557404477</v>
      </c>
      <c r="O50" s="29">
        <f t="shared" si="6"/>
        <v>27090.827675849989</v>
      </c>
      <c r="P50" s="29">
        <f t="shared" si="7"/>
        <v>27090.827675849989</v>
      </c>
      <c r="Q50">
        <f t="shared" si="8"/>
        <v>0</v>
      </c>
      <c r="R50" s="29">
        <f t="shared" si="9"/>
        <v>27090.827675849989</v>
      </c>
      <c r="S50" s="29">
        <f t="shared" si="10"/>
        <v>27090.795159984307</v>
      </c>
      <c r="T50" s="29">
        <f t="shared" si="11"/>
        <v>27090.795159984307</v>
      </c>
      <c r="U50">
        <f t="shared" si="12"/>
        <v>0</v>
      </c>
      <c r="V50" s="29">
        <f t="shared" si="13"/>
        <v>27090.795159984307</v>
      </c>
      <c r="W50" s="29">
        <f t="shared" si="14"/>
        <v>27090.795159984307</v>
      </c>
      <c r="X50" s="29">
        <f t="shared" si="15"/>
        <v>27090.795159984307</v>
      </c>
      <c r="Y50">
        <f t="shared" si="16"/>
        <v>0</v>
      </c>
    </row>
    <row r="51" spans="1:25" x14ac:dyDescent="0.25">
      <c r="A51" s="4" t="s">
        <v>751</v>
      </c>
      <c r="B51" s="7" t="s">
        <v>112</v>
      </c>
      <c r="C51" s="2" t="s">
        <v>752</v>
      </c>
      <c r="D51">
        <f>VLOOKUP(B51,'Model allocations'!$A$1:$L$316,6,FALSE)</f>
        <v>23211.171070619268</v>
      </c>
      <c r="E51" s="31">
        <f>VLOOKUP(B51,'Initial adjusted formula count'!$A$1:$P$316,12,FALSE)</f>
        <v>9.3247588424437297E-2</v>
      </c>
      <c r="F51">
        <f>VLOOKUP(B51,'Model allocations'!$A$1:$L$316,11,FALSE)</f>
        <v>19810.821903877557</v>
      </c>
      <c r="G51" s="30">
        <f t="shared" si="17"/>
        <v>0.85</v>
      </c>
      <c r="H51">
        <f t="shared" si="18"/>
        <v>19729.495410026379</v>
      </c>
      <c r="I51">
        <f t="shared" si="0"/>
        <v>0</v>
      </c>
      <c r="J51">
        <f t="shared" si="1"/>
        <v>19810.821903877557</v>
      </c>
      <c r="K51">
        <f t="shared" si="2"/>
        <v>19794.609619656265</v>
      </c>
      <c r="L51">
        <f t="shared" si="3"/>
        <v>19794.609619656265</v>
      </c>
      <c r="M51">
        <f t="shared" si="4"/>
        <v>0</v>
      </c>
      <c r="N51" s="29">
        <f t="shared" si="5"/>
        <v>19794.609619656265</v>
      </c>
      <c r="O51" s="29">
        <f t="shared" si="6"/>
        <v>19793.245628654968</v>
      </c>
      <c r="P51" s="29">
        <f t="shared" si="7"/>
        <v>19793.245628654968</v>
      </c>
      <c r="Q51">
        <f t="shared" si="8"/>
        <v>0</v>
      </c>
      <c r="R51" s="29">
        <f t="shared" si="9"/>
        <v>19793.245628654968</v>
      </c>
      <c r="S51" s="29">
        <f t="shared" si="10"/>
        <v>19793.22187173901</v>
      </c>
      <c r="T51" s="29">
        <f t="shared" si="11"/>
        <v>19793.22187173901</v>
      </c>
      <c r="U51">
        <f t="shared" si="12"/>
        <v>0</v>
      </c>
      <c r="V51" s="29">
        <f t="shared" si="13"/>
        <v>19793.22187173901</v>
      </c>
      <c r="W51" s="29">
        <f t="shared" si="14"/>
        <v>19793.22187173901</v>
      </c>
      <c r="X51" s="29">
        <f t="shared" si="15"/>
        <v>19793.22187173901</v>
      </c>
      <c r="Y51">
        <f t="shared" si="16"/>
        <v>0</v>
      </c>
    </row>
    <row r="52" spans="1:25" x14ac:dyDescent="0.25">
      <c r="A52" s="4" t="s">
        <v>753</v>
      </c>
      <c r="B52" s="7" t="s">
        <v>357</v>
      </c>
      <c r="C52" s="2" t="s">
        <v>754</v>
      </c>
      <c r="D52">
        <f>VLOOKUP(B52,'Model allocations'!$A$1:$L$316,6,FALSE)</f>
        <v>32282.054758590108</v>
      </c>
      <c r="E52" s="31">
        <f>VLOOKUP(B52,'Initial adjusted formula count'!$A$1:$P$316,12,FALSE)</f>
        <v>0.16260162601625999</v>
      </c>
      <c r="F52">
        <f>VLOOKUP(B52,'Model allocations'!$A$1:$L$316,11,FALSE)</f>
        <v>29074.649562614773</v>
      </c>
      <c r="G52" s="30">
        <f t="shared" si="17"/>
        <v>0.9</v>
      </c>
      <c r="H52">
        <f t="shared" si="18"/>
        <v>29053.849282731098</v>
      </c>
      <c r="I52">
        <f t="shared" si="0"/>
        <v>0</v>
      </c>
      <c r="J52">
        <f t="shared" si="1"/>
        <v>29074.649562614773</v>
      </c>
      <c r="K52">
        <f t="shared" si="2"/>
        <v>29050.856179148373</v>
      </c>
      <c r="L52">
        <f t="shared" si="3"/>
        <v>29050.856179148373</v>
      </c>
      <c r="M52">
        <f t="shared" si="4"/>
        <v>29053.849282731098</v>
      </c>
      <c r="N52" s="29">
        <f t="shared" si="5"/>
        <v>0</v>
      </c>
      <c r="O52" s="29">
        <f t="shared" si="6"/>
        <v>0</v>
      </c>
      <c r="P52" s="29">
        <f t="shared" si="7"/>
        <v>29053.849282731098</v>
      </c>
      <c r="Q52">
        <f t="shared" si="8"/>
        <v>0</v>
      </c>
      <c r="R52" s="29">
        <f t="shared" si="9"/>
        <v>0</v>
      </c>
      <c r="S52" s="29">
        <f t="shared" si="10"/>
        <v>0</v>
      </c>
      <c r="T52" s="29">
        <f t="shared" si="11"/>
        <v>29053.849282731098</v>
      </c>
      <c r="U52">
        <f t="shared" si="12"/>
        <v>0</v>
      </c>
      <c r="V52" s="29">
        <f t="shared" si="13"/>
        <v>0</v>
      </c>
      <c r="W52" s="29">
        <f t="shared" si="14"/>
        <v>0</v>
      </c>
      <c r="X52" s="29">
        <f t="shared" si="15"/>
        <v>29053.849282731098</v>
      </c>
      <c r="Y52">
        <f t="shared" si="16"/>
        <v>0</v>
      </c>
    </row>
    <row r="53" spans="1:25" x14ac:dyDescent="0.25">
      <c r="A53" s="4" t="s">
        <v>755</v>
      </c>
      <c r="B53" s="7" t="s">
        <v>359</v>
      </c>
      <c r="C53" s="2" t="s">
        <v>756</v>
      </c>
      <c r="D53">
        <f>VLOOKUP(B53,'Model allocations'!$A$1:$L$316,6,FALSE)</f>
        <v>62549.779174033887</v>
      </c>
      <c r="E53" s="31">
        <f>VLOOKUP(B53,'Initial adjusted formula count'!$A$1:$P$316,12,FALSE)</f>
        <v>9.61182994454714E-2</v>
      </c>
      <c r="F53">
        <f>VLOOKUP(B53,'Model allocations'!$A$1:$L$316,11,FALSE)</f>
        <v>58748.915673814729</v>
      </c>
      <c r="G53" s="30">
        <f t="shared" si="17"/>
        <v>0.85</v>
      </c>
      <c r="H53">
        <f t="shared" si="18"/>
        <v>53167.312297928802</v>
      </c>
      <c r="I53">
        <f t="shared" si="0"/>
        <v>0</v>
      </c>
      <c r="J53">
        <f t="shared" si="1"/>
        <v>58748.915673814729</v>
      </c>
      <c r="K53">
        <f t="shared" si="2"/>
        <v>58700.838207709698</v>
      </c>
      <c r="L53">
        <f t="shared" si="3"/>
        <v>58700.838207709698</v>
      </c>
      <c r="M53">
        <f t="shared" si="4"/>
        <v>0</v>
      </c>
      <c r="N53" s="29">
        <f t="shared" si="5"/>
        <v>58700.838207709698</v>
      </c>
      <c r="O53" s="29">
        <f t="shared" si="6"/>
        <v>58696.79329767498</v>
      </c>
      <c r="P53" s="29">
        <f t="shared" si="7"/>
        <v>58696.79329767498</v>
      </c>
      <c r="Q53">
        <f t="shared" si="8"/>
        <v>0</v>
      </c>
      <c r="R53" s="29">
        <f t="shared" si="9"/>
        <v>58696.79329767498</v>
      </c>
      <c r="S53" s="29">
        <f t="shared" si="10"/>
        <v>58696.722846632663</v>
      </c>
      <c r="T53" s="29">
        <f t="shared" si="11"/>
        <v>58696.722846632663</v>
      </c>
      <c r="U53">
        <f t="shared" si="12"/>
        <v>0</v>
      </c>
      <c r="V53" s="29">
        <f t="shared" si="13"/>
        <v>58696.722846632663</v>
      </c>
      <c r="W53" s="29">
        <f t="shared" si="14"/>
        <v>58696.722846632663</v>
      </c>
      <c r="X53" s="29">
        <f t="shared" si="15"/>
        <v>58696.722846632663</v>
      </c>
      <c r="Y53">
        <f t="shared" si="16"/>
        <v>0</v>
      </c>
    </row>
    <row r="54" spans="1:25" x14ac:dyDescent="0.25">
      <c r="A54" s="4" t="s">
        <v>757</v>
      </c>
      <c r="B54" s="7" t="s">
        <v>361</v>
      </c>
      <c r="C54" s="2" t="s">
        <v>758</v>
      </c>
      <c r="D54">
        <f>VLOOKUP(B54,'Model allocations'!$A$1:$L$316,6,FALSE)</f>
        <v>39170.579762045498</v>
      </c>
      <c r="E54" s="31">
        <f>VLOOKUP(B54,'Initial adjusted formula count'!$A$1:$P$316,12,FALSE)</f>
        <v>0.1976401179941</v>
      </c>
      <c r="F54">
        <f>VLOOKUP(B54,'Model allocations'!$A$1:$L$316,11,FALSE)</f>
        <v>43857.11060332958</v>
      </c>
      <c r="G54" s="30">
        <f t="shared" si="17"/>
        <v>0.9</v>
      </c>
      <c r="H54">
        <f t="shared" si="18"/>
        <v>35253.521785840952</v>
      </c>
      <c r="I54">
        <f t="shared" si="0"/>
        <v>0</v>
      </c>
      <c r="J54">
        <f t="shared" si="1"/>
        <v>43857.11060332958</v>
      </c>
      <c r="K54">
        <f t="shared" si="2"/>
        <v>43821.219919658019</v>
      </c>
      <c r="L54">
        <f t="shared" si="3"/>
        <v>43821.219919658019</v>
      </c>
      <c r="M54">
        <f t="shared" si="4"/>
        <v>0</v>
      </c>
      <c r="N54" s="29">
        <f t="shared" si="5"/>
        <v>43821.219919658019</v>
      </c>
      <c r="O54" s="29">
        <f t="shared" si="6"/>
        <v>43818.200322364377</v>
      </c>
      <c r="P54" s="29">
        <f t="shared" si="7"/>
        <v>43818.200322364377</v>
      </c>
      <c r="Q54">
        <f t="shared" si="8"/>
        <v>0</v>
      </c>
      <c r="R54" s="29">
        <f t="shared" si="9"/>
        <v>43818.200322364377</v>
      </c>
      <c r="S54" s="29">
        <f t="shared" si="10"/>
        <v>43818.147729408076</v>
      </c>
      <c r="T54" s="29">
        <f t="shared" si="11"/>
        <v>43818.147729408076</v>
      </c>
      <c r="U54">
        <f t="shared" si="12"/>
        <v>0</v>
      </c>
      <c r="V54" s="29">
        <f t="shared" si="13"/>
        <v>43818.147729408076</v>
      </c>
      <c r="W54" s="29">
        <f t="shared" si="14"/>
        <v>43818.147729408076</v>
      </c>
      <c r="X54" s="29">
        <f t="shared" si="15"/>
        <v>43818.147729408076</v>
      </c>
      <c r="Y54">
        <f t="shared" si="16"/>
        <v>0</v>
      </c>
    </row>
    <row r="55" spans="1:25" x14ac:dyDescent="0.25">
      <c r="A55" s="8" t="s">
        <v>759</v>
      </c>
      <c r="B55" s="7" t="s">
        <v>363</v>
      </c>
      <c r="C55" s="2" t="s">
        <v>760</v>
      </c>
      <c r="D55">
        <f>VLOOKUP(B55,'Model allocations'!$A$1:$L$316,6,FALSE)</f>
        <v>9666.7840541688765</v>
      </c>
      <c r="E55" s="31">
        <f>VLOOKUP(B55,'Initial adjusted formula count'!$A$1:$P$316,12,FALSE)</f>
        <v>0.31578947368421001</v>
      </c>
      <c r="F55">
        <f>VLOOKUP(B55,'Model allocations'!$A$1:$L$316,11,FALSE)</f>
        <v>33322.074278806736</v>
      </c>
      <c r="G55" s="30">
        <f t="shared" si="17"/>
        <v>0.95</v>
      </c>
      <c r="H55">
        <f t="shared" si="18"/>
        <v>9183.4448514604319</v>
      </c>
      <c r="I55">
        <f t="shared" si="0"/>
        <v>0</v>
      </c>
      <c r="J55">
        <f t="shared" si="1"/>
        <v>33322.074278806736</v>
      </c>
      <c r="K55">
        <f t="shared" si="2"/>
        <v>33294.804994287791</v>
      </c>
      <c r="L55">
        <f t="shared" si="3"/>
        <v>33294.804994287791</v>
      </c>
      <c r="M55">
        <f t="shared" si="4"/>
        <v>0</v>
      </c>
      <c r="N55" s="29">
        <f t="shared" si="5"/>
        <v>33294.804994287791</v>
      </c>
      <c r="O55" s="29">
        <f t="shared" si="6"/>
        <v>33292.510742707447</v>
      </c>
      <c r="P55" s="29">
        <f t="shared" si="7"/>
        <v>33292.510742707447</v>
      </c>
      <c r="Q55">
        <f t="shared" si="8"/>
        <v>0</v>
      </c>
      <c r="R55" s="29">
        <f t="shared" si="9"/>
        <v>33292.510742707447</v>
      </c>
      <c r="S55" s="29">
        <f t="shared" si="10"/>
        <v>33292.470783248828</v>
      </c>
      <c r="T55" s="29">
        <f t="shared" si="11"/>
        <v>33292.470783248828</v>
      </c>
      <c r="U55">
        <f t="shared" si="12"/>
        <v>0</v>
      </c>
      <c r="V55" s="29">
        <f t="shared" si="13"/>
        <v>33292.470783248828</v>
      </c>
      <c r="W55" s="29">
        <f t="shared" si="14"/>
        <v>33292.470783248828</v>
      </c>
      <c r="X55" s="29">
        <f t="shared" si="15"/>
        <v>33292.470783248828</v>
      </c>
      <c r="Y55">
        <f t="shared" si="16"/>
        <v>0</v>
      </c>
    </row>
    <row r="56" spans="1:25" x14ac:dyDescent="0.25">
      <c r="A56" s="4" t="s">
        <v>761</v>
      </c>
      <c r="B56" s="7" t="s">
        <v>365</v>
      </c>
      <c r="C56" s="2" t="s">
        <v>762</v>
      </c>
      <c r="D56">
        <f>VLOOKUP(B56,'Model allocations'!$A$1:$L$316,6,FALSE)</f>
        <v>53898.362842025301</v>
      </c>
      <c r="E56" s="31">
        <f>VLOOKUP(B56,'Initial adjusted formula count'!$A$1:$P$316,12,FALSE)</f>
        <v>0.29090909090909101</v>
      </c>
      <c r="F56">
        <f>VLOOKUP(B56,'Model allocations'!$A$1:$L$316,11,FALSE)</f>
        <v>48543.254862472815</v>
      </c>
      <c r="G56" s="30">
        <f t="shared" si="17"/>
        <v>0.9</v>
      </c>
      <c r="H56">
        <f t="shared" si="18"/>
        <v>48508.52655782277</v>
      </c>
      <c r="I56">
        <f t="shared" si="0"/>
        <v>0</v>
      </c>
      <c r="J56">
        <f t="shared" si="1"/>
        <v>48543.254862472815</v>
      </c>
      <c r="K56">
        <f t="shared" si="2"/>
        <v>48503.52924943791</v>
      </c>
      <c r="L56">
        <f t="shared" si="3"/>
        <v>48503.52924943791</v>
      </c>
      <c r="M56">
        <f t="shared" si="4"/>
        <v>48508.52655782277</v>
      </c>
      <c r="N56" s="29">
        <f t="shared" si="5"/>
        <v>0</v>
      </c>
      <c r="O56" s="29">
        <f t="shared" si="6"/>
        <v>0</v>
      </c>
      <c r="P56" s="29">
        <f t="shared" si="7"/>
        <v>48508.52655782277</v>
      </c>
      <c r="Q56">
        <f t="shared" si="8"/>
        <v>0</v>
      </c>
      <c r="R56" s="29">
        <f t="shared" si="9"/>
        <v>0</v>
      </c>
      <c r="S56" s="29">
        <f t="shared" si="10"/>
        <v>0</v>
      </c>
      <c r="T56" s="29">
        <f t="shared" si="11"/>
        <v>48508.52655782277</v>
      </c>
      <c r="U56">
        <f t="shared" si="12"/>
        <v>0</v>
      </c>
      <c r="V56" s="29">
        <f t="shared" si="13"/>
        <v>0</v>
      </c>
      <c r="W56" s="29">
        <f t="shared" si="14"/>
        <v>0</v>
      </c>
      <c r="X56" s="29">
        <f t="shared" si="15"/>
        <v>48508.52655782277</v>
      </c>
      <c r="Y56">
        <f t="shared" si="16"/>
        <v>0</v>
      </c>
    </row>
    <row r="57" spans="1:25" x14ac:dyDescent="0.25">
      <c r="A57" s="4" t="s">
        <v>763</v>
      </c>
      <c r="B57" s="7" t="s">
        <v>367</v>
      </c>
      <c r="C57" s="2" t="s">
        <v>764</v>
      </c>
      <c r="D57">
        <f>VLOOKUP(B57,'Model allocations'!$A$1:$L$316,6,FALSE)</f>
        <v>67060.096023923572</v>
      </c>
      <c r="E57" s="31">
        <f>VLOOKUP(B57,'Initial adjusted formula count'!$A$1:$P$316,12,FALSE)</f>
        <v>0.23926380368098199</v>
      </c>
      <c r="F57">
        <f>VLOOKUP(B57,'Model allocations'!$A$1:$L$316,11,FALSE)</f>
        <v>60354.086421531218</v>
      </c>
      <c r="G57" s="30">
        <f t="shared" si="17"/>
        <v>0.9</v>
      </c>
      <c r="H57">
        <f t="shared" si="18"/>
        <v>60354.086421531218</v>
      </c>
      <c r="I57">
        <f t="shared" si="0"/>
        <v>0</v>
      </c>
      <c r="J57">
        <f t="shared" si="1"/>
        <v>60354.086421531218</v>
      </c>
      <c r="K57">
        <f t="shared" si="2"/>
        <v>60304.695355994932</v>
      </c>
      <c r="L57">
        <f t="shared" si="3"/>
        <v>60304.695355994932</v>
      </c>
      <c r="M57">
        <f t="shared" si="4"/>
        <v>60354.086421531218</v>
      </c>
      <c r="N57" s="29">
        <f t="shared" si="5"/>
        <v>0</v>
      </c>
      <c r="O57" s="29">
        <f t="shared" si="6"/>
        <v>0</v>
      </c>
      <c r="P57" s="29">
        <f t="shared" si="7"/>
        <v>60354.086421531218</v>
      </c>
      <c r="Q57">
        <f t="shared" si="8"/>
        <v>0</v>
      </c>
      <c r="R57" s="29">
        <f t="shared" si="9"/>
        <v>0</v>
      </c>
      <c r="S57" s="29">
        <f t="shared" si="10"/>
        <v>0</v>
      </c>
      <c r="T57" s="29">
        <f t="shared" si="11"/>
        <v>60354.086421531218</v>
      </c>
      <c r="U57">
        <f t="shared" si="12"/>
        <v>0</v>
      </c>
      <c r="V57" s="29">
        <f t="shared" si="13"/>
        <v>0</v>
      </c>
      <c r="W57" s="29">
        <f t="shared" si="14"/>
        <v>0</v>
      </c>
      <c r="X57" s="29">
        <f t="shared" si="15"/>
        <v>60354.086421531218</v>
      </c>
      <c r="Y57">
        <f t="shared" si="16"/>
        <v>0</v>
      </c>
    </row>
    <row r="58" spans="1:25" x14ac:dyDescent="0.25">
      <c r="A58" s="4" t="s">
        <v>765</v>
      </c>
      <c r="B58" s="7" t="s">
        <v>114</v>
      </c>
      <c r="C58" s="2" t="s">
        <v>766</v>
      </c>
      <c r="D58">
        <f>VLOOKUP(B58,'Model allocations'!$A$1:$L$316,6,FALSE)</f>
        <v>0</v>
      </c>
      <c r="E58" s="31">
        <f>VLOOKUP(B58,'Initial adjusted formula count'!$A$1:$P$316,12,FALSE)</f>
        <v>8.6956521739130405E-2</v>
      </c>
      <c r="F58">
        <f>VLOOKUP(B58,'Model allocations'!$A$1:$L$316,11,FALSE)</f>
        <v>5648.934199405262</v>
      </c>
      <c r="G58" s="30">
        <f t="shared" si="17"/>
        <v>0.85</v>
      </c>
      <c r="H58">
        <f t="shared" si="18"/>
        <v>0</v>
      </c>
      <c r="I58">
        <f t="shared" si="0"/>
        <v>0</v>
      </c>
      <c r="J58">
        <f t="shared" si="1"/>
        <v>5648.934199405262</v>
      </c>
      <c r="K58">
        <f t="shared" si="2"/>
        <v>5644.3113661259322</v>
      </c>
      <c r="L58">
        <f t="shared" si="3"/>
        <v>5644.3113661259322</v>
      </c>
      <c r="M58">
        <f t="shared" si="4"/>
        <v>0</v>
      </c>
      <c r="N58" s="29">
        <f t="shared" si="5"/>
        <v>5644.3113661259322</v>
      </c>
      <c r="O58" s="29">
        <f t="shared" si="6"/>
        <v>5643.9224324687475</v>
      </c>
      <c r="P58" s="29">
        <f t="shared" si="7"/>
        <v>5643.9224324687475</v>
      </c>
      <c r="Q58">
        <f t="shared" si="8"/>
        <v>0</v>
      </c>
      <c r="R58" s="29">
        <f t="shared" si="9"/>
        <v>5643.9224324687475</v>
      </c>
      <c r="S58" s="29">
        <f t="shared" si="10"/>
        <v>5643.9156583300637</v>
      </c>
      <c r="T58" s="29">
        <f t="shared" si="11"/>
        <v>5643.9156583300637</v>
      </c>
      <c r="U58">
        <f t="shared" si="12"/>
        <v>0</v>
      </c>
      <c r="V58" s="29">
        <f t="shared" si="13"/>
        <v>5643.9156583300637</v>
      </c>
      <c r="W58" s="29">
        <f t="shared" si="14"/>
        <v>5643.9156583300637</v>
      </c>
      <c r="X58" s="29">
        <f t="shared" si="15"/>
        <v>5643.9156583300637</v>
      </c>
      <c r="Y58">
        <f t="shared" si="16"/>
        <v>0</v>
      </c>
    </row>
    <row r="59" spans="1:25" x14ac:dyDescent="0.25">
      <c r="A59" s="4" t="s">
        <v>767</v>
      </c>
      <c r="B59" s="7" t="s">
        <v>271</v>
      </c>
      <c r="C59" s="2" t="s">
        <v>768</v>
      </c>
      <c r="D59">
        <f>VLOOKUP(B59,'Model allocations'!$A$1:$L$316,6,FALSE)</f>
        <v>33514.248866278242</v>
      </c>
      <c r="E59" s="31">
        <f>VLOOKUP(B59,'Initial adjusted formula count'!$A$1:$P$316,12,FALSE)</f>
        <v>8.8408644400785899E-2</v>
      </c>
      <c r="F59">
        <f>VLOOKUP(B59,'Model allocations'!$A$1:$L$316,11,FALSE)</f>
        <v>28487.111536336506</v>
      </c>
      <c r="G59" s="30">
        <f t="shared" si="17"/>
        <v>0.85</v>
      </c>
      <c r="H59">
        <f t="shared" si="18"/>
        <v>28487.111536336506</v>
      </c>
      <c r="I59">
        <f t="shared" si="0"/>
        <v>0</v>
      </c>
      <c r="J59">
        <f t="shared" si="1"/>
        <v>28487.111536336506</v>
      </c>
      <c r="K59">
        <f t="shared" si="2"/>
        <v>28463.798967523788</v>
      </c>
      <c r="L59">
        <f t="shared" si="3"/>
        <v>28463.798967523788</v>
      </c>
      <c r="M59">
        <f t="shared" si="4"/>
        <v>28487.111536336506</v>
      </c>
      <c r="N59" s="29">
        <f t="shared" si="5"/>
        <v>0</v>
      </c>
      <c r="O59" s="29">
        <f t="shared" si="6"/>
        <v>0</v>
      </c>
      <c r="P59" s="29">
        <f t="shared" si="7"/>
        <v>28487.111536336506</v>
      </c>
      <c r="Q59">
        <f t="shared" si="8"/>
        <v>0</v>
      </c>
      <c r="R59" s="29">
        <f t="shared" si="9"/>
        <v>0</v>
      </c>
      <c r="S59" s="29">
        <f t="shared" si="10"/>
        <v>0</v>
      </c>
      <c r="T59" s="29">
        <f t="shared" si="11"/>
        <v>28487.111536336506</v>
      </c>
      <c r="U59">
        <f t="shared" si="12"/>
        <v>0</v>
      </c>
      <c r="V59" s="29">
        <f t="shared" si="13"/>
        <v>0</v>
      </c>
      <c r="W59" s="29">
        <f t="shared" si="14"/>
        <v>0</v>
      </c>
      <c r="X59" s="29">
        <f t="shared" si="15"/>
        <v>28487.111536336506</v>
      </c>
      <c r="Y59">
        <f t="shared" si="16"/>
        <v>0</v>
      </c>
    </row>
    <row r="60" spans="1:25" x14ac:dyDescent="0.25">
      <c r="A60" s="4" t="s">
        <v>769</v>
      </c>
      <c r="B60" s="7" t="s">
        <v>369</v>
      </c>
      <c r="C60" s="2" t="s">
        <v>770</v>
      </c>
      <c r="D60">
        <f>VLOOKUP(B60,'Model allocations'!$A$1:$L$316,6,FALSE)</f>
        <v>46628.017202461626</v>
      </c>
      <c r="E60" s="31">
        <f>VLOOKUP(B60,'Initial adjusted formula count'!$A$1:$P$316,12,FALSE)</f>
        <v>0.19387755102040799</v>
      </c>
      <c r="F60">
        <f>VLOOKUP(B60,'Model allocations'!$A$1:$L$316,11,FALSE)</f>
        <v>73883.653159545269</v>
      </c>
      <c r="G60" s="30">
        <f t="shared" si="17"/>
        <v>0.9</v>
      </c>
      <c r="H60">
        <f t="shared" si="18"/>
        <v>41965.215482215463</v>
      </c>
      <c r="I60">
        <f t="shared" si="0"/>
        <v>0</v>
      </c>
      <c r="J60">
        <f t="shared" si="1"/>
        <v>73883.653159545269</v>
      </c>
      <c r="K60">
        <f t="shared" si="2"/>
        <v>73823.190106061593</v>
      </c>
      <c r="L60">
        <f t="shared" si="3"/>
        <v>73823.190106061593</v>
      </c>
      <c r="M60">
        <f t="shared" si="4"/>
        <v>0</v>
      </c>
      <c r="N60" s="29">
        <f t="shared" si="5"/>
        <v>73823.190106061593</v>
      </c>
      <c r="O60" s="29">
        <f t="shared" si="6"/>
        <v>73818.103157193866</v>
      </c>
      <c r="P60" s="29">
        <f t="shared" si="7"/>
        <v>73818.103157193866</v>
      </c>
      <c r="Q60">
        <f t="shared" si="8"/>
        <v>0</v>
      </c>
      <c r="R60" s="29">
        <f t="shared" si="9"/>
        <v>73818.103157193866</v>
      </c>
      <c r="S60" s="29">
        <f t="shared" si="10"/>
        <v>73818.014556743714</v>
      </c>
      <c r="T60" s="29">
        <f t="shared" si="11"/>
        <v>73818.014556743714</v>
      </c>
      <c r="U60">
        <f t="shared" si="12"/>
        <v>0</v>
      </c>
      <c r="V60" s="29">
        <f t="shared" si="13"/>
        <v>73818.014556743714</v>
      </c>
      <c r="W60" s="29">
        <f t="shared" si="14"/>
        <v>73818.014556743714</v>
      </c>
      <c r="X60" s="29">
        <f t="shared" si="15"/>
        <v>73818.014556743714</v>
      </c>
      <c r="Y60">
        <f t="shared" si="16"/>
        <v>0</v>
      </c>
    </row>
    <row r="61" spans="1:25" x14ac:dyDescent="0.25">
      <c r="A61" s="4" t="s">
        <v>771</v>
      </c>
      <c r="B61" s="7" t="s">
        <v>371</v>
      </c>
      <c r="C61" s="2" t="s">
        <v>772</v>
      </c>
      <c r="D61">
        <f>VLOOKUP(B61,'Model allocations'!$A$1:$L$316,6,FALSE)</f>
        <v>58193.21548628022</v>
      </c>
      <c r="E61" s="31">
        <f>VLOOKUP(B61,'Initial adjusted formula count'!$A$1:$P$316,12,FALSE)</f>
        <v>0.18093385214007801</v>
      </c>
      <c r="F61">
        <f>VLOOKUP(B61,'Model allocations'!$A$1:$L$316,11,FALSE)</f>
        <v>58008.396889614683</v>
      </c>
      <c r="G61" s="30">
        <f t="shared" si="17"/>
        <v>0.9</v>
      </c>
      <c r="H61">
        <f t="shared" si="18"/>
        <v>52373.893937652196</v>
      </c>
      <c r="I61">
        <f t="shared" si="0"/>
        <v>0</v>
      </c>
      <c r="J61">
        <f t="shared" si="1"/>
        <v>58008.396889614683</v>
      </c>
      <c r="K61">
        <f t="shared" si="2"/>
        <v>57960.925430724237</v>
      </c>
      <c r="L61">
        <f t="shared" si="3"/>
        <v>57960.925430724237</v>
      </c>
      <c r="M61">
        <f t="shared" si="4"/>
        <v>0</v>
      </c>
      <c r="N61" s="29">
        <f t="shared" si="5"/>
        <v>57960.925430724237</v>
      </c>
      <c r="O61" s="29">
        <f t="shared" si="6"/>
        <v>57956.931506002635</v>
      </c>
      <c r="P61" s="29">
        <f t="shared" si="7"/>
        <v>57956.931506002635</v>
      </c>
      <c r="Q61">
        <f t="shared" si="8"/>
        <v>0</v>
      </c>
      <c r="R61" s="29">
        <f t="shared" si="9"/>
        <v>57956.931506002635</v>
      </c>
      <c r="S61" s="29">
        <f t="shared" si="10"/>
        <v>57956.861942982163</v>
      </c>
      <c r="T61" s="29">
        <f t="shared" si="11"/>
        <v>57956.861942982163</v>
      </c>
      <c r="U61">
        <f t="shared" si="12"/>
        <v>0</v>
      </c>
      <c r="V61" s="29">
        <f t="shared" si="13"/>
        <v>57956.861942982163</v>
      </c>
      <c r="W61" s="29">
        <f t="shared" si="14"/>
        <v>57956.861942982163</v>
      </c>
      <c r="X61" s="29">
        <f t="shared" si="15"/>
        <v>57956.861942982163</v>
      </c>
      <c r="Y61">
        <f t="shared" si="16"/>
        <v>0</v>
      </c>
    </row>
    <row r="62" spans="1:25" x14ac:dyDescent="0.25">
      <c r="A62" s="4" t="s">
        <v>773</v>
      </c>
      <c r="B62" s="7" t="s">
        <v>373</v>
      </c>
      <c r="C62" s="2" t="s">
        <v>774</v>
      </c>
      <c r="D62">
        <f>VLOOKUP(B62,'Model allocations'!$A$1:$L$316,6,FALSE)</f>
        <v>162524.66496665069</v>
      </c>
      <c r="E62" s="31">
        <f>VLOOKUP(B62,'Initial adjusted formula count'!$A$1:$P$316,12,FALSE)</f>
        <v>0.10058922558922601</v>
      </c>
      <c r="F62">
        <f>VLOOKUP(B62,'Model allocations'!$A$1:$L$316,11,FALSE)</f>
        <v>138145.96522165308</v>
      </c>
      <c r="G62" s="30">
        <f t="shared" si="17"/>
        <v>0.85</v>
      </c>
      <c r="H62">
        <f t="shared" si="18"/>
        <v>138145.96522165308</v>
      </c>
      <c r="I62">
        <f t="shared" si="0"/>
        <v>0</v>
      </c>
      <c r="J62">
        <f t="shared" si="1"/>
        <v>138145.96522165308</v>
      </c>
      <c r="K62">
        <f t="shared" si="2"/>
        <v>138032.91278682405</v>
      </c>
      <c r="L62">
        <f t="shared" si="3"/>
        <v>138032.91278682405</v>
      </c>
      <c r="M62">
        <f t="shared" si="4"/>
        <v>138145.96522165308</v>
      </c>
      <c r="N62" s="29">
        <f t="shared" si="5"/>
        <v>0</v>
      </c>
      <c r="O62" s="29">
        <f t="shared" si="6"/>
        <v>0</v>
      </c>
      <c r="P62" s="29">
        <f t="shared" si="7"/>
        <v>138145.96522165308</v>
      </c>
      <c r="Q62">
        <f t="shared" si="8"/>
        <v>0</v>
      </c>
      <c r="R62" s="29">
        <f t="shared" si="9"/>
        <v>0</v>
      </c>
      <c r="S62" s="29">
        <f t="shared" si="10"/>
        <v>0</v>
      </c>
      <c r="T62" s="29">
        <f t="shared" si="11"/>
        <v>138145.96522165308</v>
      </c>
      <c r="U62">
        <f t="shared" si="12"/>
        <v>0</v>
      </c>
      <c r="V62" s="29">
        <f t="shared" si="13"/>
        <v>0</v>
      </c>
      <c r="W62" s="29">
        <f t="shared" si="14"/>
        <v>0</v>
      </c>
      <c r="X62" s="29">
        <f t="shared" si="15"/>
        <v>138145.96522165308</v>
      </c>
      <c r="Y62">
        <f t="shared" si="16"/>
        <v>0</v>
      </c>
    </row>
    <row r="63" spans="1:25" x14ac:dyDescent="0.25">
      <c r="A63" s="4" t="s">
        <v>775</v>
      </c>
      <c r="B63" s="7" t="s">
        <v>273</v>
      </c>
      <c r="C63" s="2" t="s">
        <v>776</v>
      </c>
      <c r="D63">
        <f>VLOOKUP(B63,'Model allocations'!$A$1:$L$316,6,FALSE)</f>
        <v>0</v>
      </c>
      <c r="E63" s="31">
        <f>VLOOKUP(B63,'Initial adjusted formula count'!$A$1:$P$316,12,FALSE)</f>
        <v>5.6184668989547E-2</v>
      </c>
      <c r="F63">
        <f>VLOOKUP(B63,'Model allocations'!$A$1:$L$316,11,FALSE)</f>
        <v>72871.251172327888</v>
      </c>
      <c r="G63" s="30">
        <f t="shared" si="17"/>
        <v>0.85</v>
      </c>
      <c r="H63">
        <f t="shared" si="18"/>
        <v>0</v>
      </c>
      <c r="I63">
        <f t="shared" si="0"/>
        <v>0</v>
      </c>
      <c r="J63">
        <f t="shared" si="1"/>
        <v>72871.251172327888</v>
      </c>
      <c r="K63">
        <f t="shared" si="2"/>
        <v>72811.616623024529</v>
      </c>
      <c r="L63">
        <f t="shared" si="3"/>
        <v>72811.616623024529</v>
      </c>
      <c r="M63">
        <f t="shared" si="4"/>
        <v>0</v>
      </c>
      <c r="N63" s="29">
        <f t="shared" si="5"/>
        <v>72811.616623024529</v>
      </c>
      <c r="O63" s="29">
        <f t="shared" si="6"/>
        <v>72806.599378846848</v>
      </c>
      <c r="P63" s="29">
        <f t="shared" si="7"/>
        <v>72806.599378846848</v>
      </c>
      <c r="Q63">
        <f t="shared" si="8"/>
        <v>0</v>
      </c>
      <c r="R63" s="29">
        <f t="shared" si="9"/>
        <v>72806.599378846848</v>
      </c>
      <c r="S63" s="29">
        <f t="shared" si="10"/>
        <v>72806.511992457832</v>
      </c>
      <c r="T63" s="29">
        <f t="shared" si="11"/>
        <v>72806.511992457832</v>
      </c>
      <c r="U63">
        <f t="shared" si="12"/>
        <v>0</v>
      </c>
      <c r="V63" s="29">
        <f t="shared" si="13"/>
        <v>72806.511992457832</v>
      </c>
      <c r="W63" s="29">
        <f t="shared" si="14"/>
        <v>72806.511992457832</v>
      </c>
      <c r="X63" s="29">
        <f t="shared" si="15"/>
        <v>72806.511992457832</v>
      </c>
      <c r="Y63">
        <f t="shared" si="16"/>
        <v>0</v>
      </c>
    </row>
    <row r="64" spans="1:25" x14ac:dyDescent="0.25">
      <c r="A64" s="4" t="s">
        <v>777</v>
      </c>
      <c r="B64" s="7" t="s">
        <v>375</v>
      </c>
      <c r="C64" s="2" t="s">
        <v>778</v>
      </c>
      <c r="D64">
        <f>VLOOKUP(B64,'Model allocations'!$A$1:$L$316,6,FALSE)</f>
        <v>0</v>
      </c>
      <c r="E64" s="31">
        <f>VLOOKUP(B64,'Initial adjusted formula count'!$A$1:$P$316,12,FALSE)</f>
        <v>1.35135135135135E-2</v>
      </c>
      <c r="F64">
        <f>VLOOKUP(B64,'Model allocations'!$A$1:$L$316,11,FALSE)</f>
        <v>0</v>
      </c>
      <c r="G64" s="30">
        <f t="shared" si="17"/>
        <v>0.85</v>
      </c>
      <c r="H64">
        <f t="shared" si="18"/>
        <v>0</v>
      </c>
      <c r="I64">
        <f t="shared" si="0"/>
        <v>0</v>
      </c>
      <c r="J64">
        <f t="shared" si="1"/>
        <v>0</v>
      </c>
      <c r="K64">
        <f t="shared" si="2"/>
        <v>0</v>
      </c>
      <c r="L64">
        <f t="shared" si="3"/>
        <v>0</v>
      </c>
      <c r="M64">
        <f t="shared" si="4"/>
        <v>0</v>
      </c>
      <c r="N64" s="29">
        <f t="shared" si="5"/>
        <v>0</v>
      </c>
      <c r="O64" s="29">
        <f t="shared" si="6"/>
        <v>0</v>
      </c>
      <c r="P64" s="29">
        <f t="shared" si="7"/>
        <v>0</v>
      </c>
      <c r="Q64">
        <f t="shared" si="8"/>
        <v>0</v>
      </c>
      <c r="R64" s="29">
        <f t="shared" si="9"/>
        <v>0</v>
      </c>
      <c r="S64" s="29">
        <f t="shared" si="10"/>
        <v>0</v>
      </c>
      <c r="T64" s="29">
        <f t="shared" si="11"/>
        <v>0</v>
      </c>
      <c r="U64">
        <f t="shared" si="12"/>
        <v>0</v>
      </c>
      <c r="V64" s="29">
        <f t="shared" si="13"/>
        <v>0</v>
      </c>
      <c r="W64" s="29">
        <f t="shared" si="14"/>
        <v>0</v>
      </c>
      <c r="X64" s="29">
        <f t="shared" si="15"/>
        <v>0</v>
      </c>
      <c r="Y64">
        <f t="shared" si="16"/>
        <v>0</v>
      </c>
    </row>
    <row r="65" spans="1:25" x14ac:dyDescent="0.25">
      <c r="A65" s="4" t="s">
        <v>779</v>
      </c>
      <c r="B65" s="7" t="s">
        <v>377</v>
      </c>
      <c r="C65" s="2" t="s">
        <v>780</v>
      </c>
      <c r="D65">
        <f>VLOOKUP(B65,'Model allocations'!$A$1:$L$316,6,FALSE)</f>
        <v>418697.60462424892</v>
      </c>
      <c r="E65" s="31">
        <f>VLOOKUP(B65,'Initial adjusted formula count'!$A$1:$P$316,12,FALSE)</f>
        <v>0.12114115392803899</v>
      </c>
      <c r="F65">
        <f>VLOOKUP(B65,'Model allocations'!$A$1:$L$316,11,FALSE)</f>
        <v>355740.90541152138</v>
      </c>
      <c r="G65" s="30">
        <f t="shared" si="17"/>
        <v>0.85</v>
      </c>
      <c r="H65">
        <f t="shared" si="18"/>
        <v>355892.96393061156</v>
      </c>
      <c r="I65">
        <f t="shared" si="0"/>
        <v>355892.96393061156</v>
      </c>
      <c r="J65">
        <f t="shared" si="1"/>
        <v>0</v>
      </c>
      <c r="K65">
        <f t="shared" si="2"/>
        <v>0</v>
      </c>
      <c r="L65">
        <f t="shared" si="3"/>
        <v>355892.96393061156</v>
      </c>
      <c r="M65">
        <f t="shared" si="4"/>
        <v>0</v>
      </c>
      <c r="N65" s="29">
        <f t="shared" si="5"/>
        <v>0</v>
      </c>
      <c r="O65" s="29">
        <f t="shared" si="6"/>
        <v>0</v>
      </c>
      <c r="P65" s="29">
        <f t="shared" si="7"/>
        <v>355892.96393061156</v>
      </c>
      <c r="Q65">
        <f t="shared" si="8"/>
        <v>0</v>
      </c>
      <c r="R65" s="29">
        <f t="shared" si="9"/>
        <v>0</v>
      </c>
      <c r="S65" s="29">
        <f t="shared" si="10"/>
        <v>0</v>
      </c>
      <c r="T65" s="29">
        <f t="shared" si="11"/>
        <v>355892.96393061156</v>
      </c>
      <c r="U65">
        <f t="shared" si="12"/>
        <v>0</v>
      </c>
      <c r="V65" s="29">
        <f t="shared" si="13"/>
        <v>0</v>
      </c>
      <c r="W65" s="29">
        <f t="shared" si="14"/>
        <v>0</v>
      </c>
      <c r="X65" s="29">
        <f t="shared" si="15"/>
        <v>355892.96393061156</v>
      </c>
      <c r="Y65">
        <f t="shared" si="16"/>
        <v>0</v>
      </c>
    </row>
    <row r="66" spans="1:25" x14ac:dyDescent="0.25">
      <c r="A66" s="4" t="s">
        <v>781</v>
      </c>
      <c r="B66" s="7" t="s">
        <v>379</v>
      </c>
      <c r="C66" s="2" t="s">
        <v>782</v>
      </c>
      <c r="D66">
        <f>VLOOKUP(B66,'Model allocations'!$A$1:$L$316,6,FALSE)</f>
        <v>278630.83450251451</v>
      </c>
      <c r="E66" s="31">
        <f>VLOOKUP(B66,'Initial adjusted formula count'!$A$1:$P$316,12,FALSE)</f>
        <v>0.148556876061121</v>
      </c>
      <c r="F66">
        <f>VLOOKUP(B66,'Model allocations'!$A$1:$L$316,11,FALSE)</f>
        <v>296569.0454687762</v>
      </c>
      <c r="G66" s="30">
        <f t="shared" si="17"/>
        <v>0.85</v>
      </c>
      <c r="H66">
        <f t="shared" si="18"/>
        <v>236836.20932713733</v>
      </c>
      <c r="I66">
        <f t="shared" si="0"/>
        <v>0</v>
      </c>
      <c r="J66">
        <f t="shared" si="1"/>
        <v>296569.0454687762</v>
      </c>
      <c r="K66">
        <f t="shared" si="2"/>
        <v>296326.34672161139</v>
      </c>
      <c r="L66">
        <f t="shared" si="3"/>
        <v>296326.34672161139</v>
      </c>
      <c r="M66">
        <f t="shared" si="4"/>
        <v>0</v>
      </c>
      <c r="N66" s="29">
        <f t="shared" si="5"/>
        <v>296326.34672161139</v>
      </c>
      <c r="O66" s="29">
        <f t="shared" si="6"/>
        <v>296305.92770460923</v>
      </c>
      <c r="P66" s="29">
        <f t="shared" si="7"/>
        <v>296305.92770460923</v>
      </c>
      <c r="Q66">
        <f t="shared" si="8"/>
        <v>0</v>
      </c>
      <c r="R66" s="29">
        <f t="shared" si="9"/>
        <v>296305.92770460923</v>
      </c>
      <c r="S66" s="29">
        <f t="shared" si="10"/>
        <v>296305.57206232828</v>
      </c>
      <c r="T66" s="29">
        <f t="shared" si="11"/>
        <v>296305.57206232828</v>
      </c>
      <c r="U66">
        <f t="shared" si="12"/>
        <v>0</v>
      </c>
      <c r="V66" s="29">
        <f t="shared" si="13"/>
        <v>296305.57206232828</v>
      </c>
      <c r="W66" s="29">
        <f t="shared" si="14"/>
        <v>296305.57206232828</v>
      </c>
      <c r="X66" s="29">
        <f t="shared" si="15"/>
        <v>296305.57206232828</v>
      </c>
      <c r="Y66">
        <f t="shared" si="16"/>
        <v>0</v>
      </c>
    </row>
    <row r="67" spans="1:25" x14ac:dyDescent="0.25">
      <c r="A67" s="4" t="s">
        <v>783</v>
      </c>
      <c r="B67" s="7" t="s">
        <v>381</v>
      </c>
      <c r="C67" s="2" t="s">
        <v>784</v>
      </c>
      <c r="D67">
        <f>VLOOKUP(B67,'Model allocations'!$A$1:$L$316,6,FALSE)</f>
        <v>559251.8892514758</v>
      </c>
      <c r="E67" s="31">
        <f>VLOOKUP(B67,'Initial adjusted formula count'!$A$1:$P$316,12,FALSE)</f>
        <v>0.13250714966634899</v>
      </c>
      <c r="F67">
        <f>VLOOKUP(B67,'Model allocations'!$A$1:$L$316,11,FALSE)</f>
        <v>511510.99175614642</v>
      </c>
      <c r="G67" s="30">
        <f t="shared" si="17"/>
        <v>0.85</v>
      </c>
      <c r="H67">
        <f t="shared" si="18"/>
        <v>475364.1058637544</v>
      </c>
      <c r="I67">
        <f t="shared" si="0"/>
        <v>0</v>
      </c>
      <c r="J67">
        <f t="shared" si="1"/>
        <v>511510.99175614642</v>
      </c>
      <c r="K67">
        <f t="shared" si="2"/>
        <v>511092.39420270314</v>
      </c>
      <c r="L67">
        <f t="shared" si="3"/>
        <v>511092.39420270314</v>
      </c>
      <c r="M67">
        <f t="shared" si="4"/>
        <v>0</v>
      </c>
      <c r="N67" s="29">
        <f t="shared" si="5"/>
        <v>511092.39420270314</v>
      </c>
      <c r="O67" s="29">
        <f t="shared" si="6"/>
        <v>511057.17626004509</v>
      </c>
      <c r="P67" s="29">
        <f t="shared" si="7"/>
        <v>511057.17626004509</v>
      </c>
      <c r="Q67">
        <f t="shared" si="8"/>
        <v>0</v>
      </c>
      <c r="R67" s="29">
        <f t="shared" si="9"/>
        <v>511057.17626004509</v>
      </c>
      <c r="S67" s="29">
        <f t="shared" si="10"/>
        <v>511056.56286178721</v>
      </c>
      <c r="T67" s="29">
        <f t="shared" si="11"/>
        <v>511056.56286178721</v>
      </c>
      <c r="U67">
        <f t="shared" si="12"/>
        <v>0</v>
      </c>
      <c r="V67" s="29">
        <f t="shared" si="13"/>
        <v>511056.56286178721</v>
      </c>
      <c r="W67" s="29">
        <f t="shared" si="14"/>
        <v>511056.56286178721</v>
      </c>
      <c r="X67" s="29">
        <f t="shared" si="15"/>
        <v>511056.56286178721</v>
      </c>
      <c r="Y67">
        <f t="shared" si="16"/>
        <v>0</v>
      </c>
    </row>
    <row r="68" spans="1:25" x14ac:dyDescent="0.25">
      <c r="A68" s="4" t="s">
        <v>785</v>
      </c>
      <c r="B68" s="7" t="s">
        <v>116</v>
      </c>
      <c r="C68" s="2" t="s">
        <v>786</v>
      </c>
      <c r="D68">
        <f>VLOOKUP(B68,'Model allocations'!$A$1:$L$316,6,FALSE)</f>
        <v>11941.321478679196</v>
      </c>
      <c r="E68" s="31">
        <f>VLOOKUP(B68,'Initial adjusted formula count'!$A$1:$P$316,12,FALSE)</f>
        <v>7.4999999999999997E-2</v>
      </c>
      <c r="F68">
        <f>VLOOKUP(B68,'Model allocations'!$A$1:$L$316,11,FALSE)</f>
        <v>10157.389949925189</v>
      </c>
      <c r="G68" s="30">
        <f t="shared" si="17"/>
        <v>0.85</v>
      </c>
      <c r="H68">
        <f t="shared" si="18"/>
        <v>10150.123256877316</v>
      </c>
      <c r="I68">
        <f t="shared" ref="I68:I131" si="19">IF(F68&lt;H68,H68,0)</f>
        <v>0</v>
      </c>
      <c r="J68">
        <f t="shared" ref="J68:J131" si="20">IF(I68=0,F68,0)</f>
        <v>10157.389949925189</v>
      </c>
      <c r="K68">
        <f t="shared" ref="K68:K131" si="21">(J68/$J$3)*($F$3-$I$3)</f>
        <v>10149.077599553577</v>
      </c>
      <c r="L68">
        <f t="shared" ref="L68:L131" si="22">I68+K68</f>
        <v>10149.077599553577</v>
      </c>
      <c r="M68">
        <f t="shared" ref="M68:M131" si="23">IF(L68&lt;H68,H68,0)</f>
        <v>10150.123256877316</v>
      </c>
      <c r="N68" s="29">
        <f t="shared" ref="N68:N131" si="24">IF($I68+$M68=0,L68,0)</f>
        <v>0</v>
      </c>
      <c r="O68" s="29">
        <f t="shared" ref="O68:O131" si="25">((N68/$N$3)*($F$3-$I$3-$M$3))</f>
        <v>0</v>
      </c>
      <c r="P68" s="29">
        <f t="shared" ref="P68:P131" si="26">$I68+$M68+O68</f>
        <v>10150.123256877316</v>
      </c>
      <c r="Q68">
        <f t="shared" ref="Q68:Q131" si="27">IF(P68&lt;H68,H68,0)</f>
        <v>0</v>
      </c>
      <c r="R68" s="29">
        <f t="shared" ref="R68:R131" si="28">IF($I68+$M68+$Q68=0,P68,0)</f>
        <v>0</v>
      </c>
      <c r="S68" s="29">
        <f t="shared" ref="S68:S131" si="29">((R68/$R$3)*($F$3-$I$3-$M$3-$Q$3))</f>
        <v>0</v>
      </c>
      <c r="T68" s="29">
        <f t="shared" ref="T68:T131" si="30">$I68+$M68+$Q68+S68</f>
        <v>10150.123256877316</v>
      </c>
      <c r="U68">
        <f t="shared" ref="U68:U131" si="31">IF(T68&lt;H68,H68,0)</f>
        <v>0</v>
      </c>
      <c r="V68" s="29">
        <f t="shared" ref="V68:V131" si="32">IF($I68+$M68+$Q68+U68=0,T68,0)</f>
        <v>0</v>
      </c>
      <c r="W68" s="29">
        <f t="shared" ref="W68:W131" si="33">((V68/$V$3)*($F$3-$I$3-$M$3-$Q$3-$U$3))</f>
        <v>0</v>
      </c>
      <c r="X68" s="29">
        <f t="shared" ref="X68:X131" si="34">$I68+$M68+$Q68+$U68+W68</f>
        <v>10150.123256877316</v>
      </c>
      <c r="Y68">
        <f t="shared" ref="Y68:Y131" si="35">IF(X68&lt;H68,H68,0)</f>
        <v>0</v>
      </c>
    </row>
    <row r="69" spans="1:25" x14ac:dyDescent="0.25">
      <c r="A69" s="4" t="s">
        <v>787</v>
      </c>
      <c r="B69" s="7" t="s">
        <v>118</v>
      </c>
      <c r="C69" s="2" t="s">
        <v>788</v>
      </c>
      <c r="D69">
        <f>VLOOKUP(B69,'Model allocations'!$A$1:$L$316,6,FALSE)</f>
        <v>91840.860972278955</v>
      </c>
      <c r="E69" s="31">
        <f>VLOOKUP(B69,'Initial adjusted formula count'!$A$1:$P$316,12,FALSE)</f>
        <v>8.2321187584345507E-2</v>
      </c>
      <c r="F69">
        <f>VLOOKUP(B69,'Model allocations'!$A$1:$L$316,11,FALSE)</f>
        <v>103375.4958491163</v>
      </c>
      <c r="G69" s="30">
        <f t="shared" ref="G69:G132" si="36">IF(E69&lt;0.15,0.85,IF(AND(E69&gt;=0.15,E69&lt;0.3),0.9,0.95))</f>
        <v>0.85</v>
      </c>
      <c r="H69">
        <f t="shared" ref="H69:H132" si="37">IF(F69 = 0, 0, D69*G69)</f>
        <v>78064.731826437113</v>
      </c>
      <c r="I69">
        <f t="shared" si="19"/>
        <v>0</v>
      </c>
      <c r="J69">
        <f t="shared" si="20"/>
        <v>103375.4958491163</v>
      </c>
      <c r="K69">
        <f t="shared" si="21"/>
        <v>103290.89800010456</v>
      </c>
      <c r="L69">
        <f t="shared" si="22"/>
        <v>103290.89800010456</v>
      </c>
      <c r="M69">
        <f t="shared" si="23"/>
        <v>0</v>
      </c>
      <c r="N69" s="29">
        <f t="shared" si="24"/>
        <v>103290.89800010456</v>
      </c>
      <c r="O69" s="29">
        <f t="shared" si="25"/>
        <v>103283.78051417807</v>
      </c>
      <c r="P69" s="29">
        <f t="shared" si="26"/>
        <v>103283.78051417807</v>
      </c>
      <c r="Q69">
        <f t="shared" si="27"/>
        <v>0</v>
      </c>
      <c r="R69" s="29">
        <f t="shared" si="28"/>
        <v>103283.78051417807</v>
      </c>
      <c r="S69" s="29">
        <f t="shared" si="29"/>
        <v>103283.65654744016</v>
      </c>
      <c r="T69" s="29">
        <f t="shared" si="30"/>
        <v>103283.65654744016</v>
      </c>
      <c r="U69">
        <f t="shared" si="31"/>
        <v>0</v>
      </c>
      <c r="V69" s="29">
        <f t="shared" si="32"/>
        <v>103283.65654744016</v>
      </c>
      <c r="W69" s="29">
        <f t="shared" si="33"/>
        <v>103283.65654744016</v>
      </c>
      <c r="X69" s="29">
        <f t="shared" si="34"/>
        <v>103283.65654744016</v>
      </c>
      <c r="Y69">
        <f t="shared" si="35"/>
        <v>0</v>
      </c>
    </row>
    <row r="70" spans="1:25" x14ac:dyDescent="0.25">
      <c r="A70" s="4" t="s">
        <v>789</v>
      </c>
      <c r="B70" s="7" t="s">
        <v>120</v>
      </c>
      <c r="C70" s="2" t="s">
        <v>790</v>
      </c>
      <c r="D70">
        <f>VLOOKUP(B70,'Model allocations'!$A$1:$L$316,6,FALSE)</f>
        <v>1840953.7279630427</v>
      </c>
      <c r="E70" s="31">
        <f>VLOOKUP(B70,'Initial adjusted formula count'!$A$1:$P$316,12,FALSE)</f>
        <v>9.3281307157663695E-2</v>
      </c>
      <c r="F70">
        <f>VLOOKUP(B70,'Model allocations'!$A$1:$L$316,11,FALSE)</f>
        <v>1758795.662984828</v>
      </c>
      <c r="G70" s="30">
        <f t="shared" si="36"/>
        <v>0.85</v>
      </c>
      <c r="H70">
        <f t="shared" si="37"/>
        <v>1564810.6687685861</v>
      </c>
      <c r="I70">
        <f t="shared" si="19"/>
        <v>0</v>
      </c>
      <c r="J70">
        <f t="shared" si="20"/>
        <v>1758795.662984828</v>
      </c>
      <c r="K70">
        <f t="shared" si="21"/>
        <v>1757356.3438433087</v>
      </c>
      <c r="L70">
        <f t="shared" si="22"/>
        <v>1757356.3438433087</v>
      </c>
      <c r="M70">
        <f t="shared" si="23"/>
        <v>0</v>
      </c>
      <c r="N70" s="29">
        <f t="shared" si="24"/>
        <v>1757356.3438433087</v>
      </c>
      <c r="O70" s="29">
        <f t="shared" si="25"/>
        <v>1757235.2493491443</v>
      </c>
      <c r="P70" s="29">
        <f t="shared" si="26"/>
        <v>1757235.2493491443</v>
      </c>
      <c r="Q70">
        <f t="shared" si="27"/>
        <v>0</v>
      </c>
      <c r="R70" s="29">
        <f t="shared" si="28"/>
        <v>1757235.2493491443</v>
      </c>
      <c r="S70" s="29">
        <f t="shared" si="29"/>
        <v>1757233.1402210649</v>
      </c>
      <c r="T70" s="29">
        <f t="shared" si="30"/>
        <v>1757233.1402210649</v>
      </c>
      <c r="U70">
        <f t="shared" si="31"/>
        <v>0</v>
      </c>
      <c r="V70" s="29">
        <f t="shared" si="32"/>
        <v>1757233.1402210649</v>
      </c>
      <c r="W70" s="29">
        <f t="shared" si="33"/>
        <v>1757233.1402210649</v>
      </c>
      <c r="X70" s="29">
        <f t="shared" si="34"/>
        <v>1757233.1402210649</v>
      </c>
      <c r="Y70">
        <f t="shared" si="35"/>
        <v>0</v>
      </c>
    </row>
    <row r="71" spans="1:25" x14ac:dyDescent="0.25">
      <c r="A71" s="4" t="s">
        <v>791</v>
      </c>
      <c r="B71" s="7" t="s">
        <v>383</v>
      </c>
      <c r="C71" s="2" t="s">
        <v>792</v>
      </c>
      <c r="D71">
        <f>VLOOKUP(B71,'Model allocations'!$A$1:$L$316,6,FALSE)</f>
        <v>253042.28847677345</v>
      </c>
      <c r="E71" s="31">
        <f>VLOOKUP(B71,'Initial adjusted formula count'!$A$1:$P$316,12,FALSE)</f>
        <v>0.118579234972678</v>
      </c>
      <c r="F71">
        <f>VLOOKUP(B71,'Model allocations'!$A$1:$L$316,11,FALSE)</f>
        <v>245163.74425418835</v>
      </c>
      <c r="G71" s="30">
        <f t="shared" si="36"/>
        <v>0.85</v>
      </c>
      <c r="H71">
        <f t="shared" si="37"/>
        <v>215085.94520525742</v>
      </c>
      <c r="I71">
        <f t="shared" si="19"/>
        <v>0</v>
      </c>
      <c r="J71">
        <f t="shared" si="20"/>
        <v>245163.74425418835</v>
      </c>
      <c r="K71">
        <f t="shared" si="21"/>
        <v>244963.11328986543</v>
      </c>
      <c r="L71">
        <f t="shared" si="22"/>
        <v>244963.11328986543</v>
      </c>
      <c r="M71">
        <f t="shared" si="23"/>
        <v>0</v>
      </c>
      <c r="N71" s="29">
        <f t="shared" si="24"/>
        <v>244963.11328986543</v>
      </c>
      <c r="O71" s="29">
        <f t="shared" si="25"/>
        <v>244946.2335691436</v>
      </c>
      <c r="P71" s="29">
        <f t="shared" si="26"/>
        <v>244946.2335691436</v>
      </c>
      <c r="Q71">
        <f t="shared" si="27"/>
        <v>0</v>
      </c>
      <c r="R71" s="29">
        <f t="shared" si="28"/>
        <v>244946.2335691436</v>
      </c>
      <c r="S71" s="29">
        <f t="shared" si="29"/>
        <v>244945.93957152474</v>
      </c>
      <c r="T71" s="29">
        <f t="shared" si="30"/>
        <v>244945.93957152474</v>
      </c>
      <c r="U71">
        <f t="shared" si="31"/>
        <v>0</v>
      </c>
      <c r="V71" s="29">
        <f t="shared" si="32"/>
        <v>244945.93957152474</v>
      </c>
      <c r="W71" s="29">
        <f t="shared" si="33"/>
        <v>244945.93957152474</v>
      </c>
      <c r="X71" s="29">
        <f t="shared" si="34"/>
        <v>244945.93957152474</v>
      </c>
      <c r="Y71">
        <f t="shared" si="35"/>
        <v>0</v>
      </c>
    </row>
    <row r="72" spans="1:25" x14ac:dyDescent="0.25">
      <c r="A72" s="4" t="s">
        <v>793</v>
      </c>
      <c r="B72" s="7" t="s">
        <v>385</v>
      </c>
      <c r="C72" s="2" t="s">
        <v>794</v>
      </c>
      <c r="D72">
        <f>VLOOKUP(B72,'Model allocations'!$A$1:$L$316,6,FALSE)</f>
        <v>197766.42733211923</v>
      </c>
      <c r="E72" s="31">
        <f>VLOOKUP(B72,'Initial adjusted formula count'!$A$1:$P$316,12,FALSE)</f>
        <v>0.16814720812182701</v>
      </c>
      <c r="F72">
        <f>VLOOKUP(B72,'Model allocations'!$A$1:$L$316,11,FALSE)</f>
        <v>177989.78459890731</v>
      </c>
      <c r="G72" s="30">
        <f t="shared" si="36"/>
        <v>0.9</v>
      </c>
      <c r="H72">
        <f t="shared" si="37"/>
        <v>177989.78459890731</v>
      </c>
      <c r="I72">
        <f t="shared" si="19"/>
        <v>0</v>
      </c>
      <c r="J72">
        <f t="shared" si="20"/>
        <v>177989.78459890731</v>
      </c>
      <c r="K72">
        <f t="shared" si="21"/>
        <v>177844.12577715801</v>
      </c>
      <c r="L72">
        <f t="shared" si="22"/>
        <v>177844.12577715801</v>
      </c>
      <c r="M72">
        <f t="shared" si="23"/>
        <v>177989.78459890731</v>
      </c>
      <c r="N72" s="29">
        <f t="shared" si="24"/>
        <v>0</v>
      </c>
      <c r="O72" s="29">
        <f t="shared" si="25"/>
        <v>0</v>
      </c>
      <c r="P72" s="29">
        <f t="shared" si="26"/>
        <v>177989.78459890731</v>
      </c>
      <c r="Q72">
        <f t="shared" si="27"/>
        <v>0</v>
      </c>
      <c r="R72" s="29">
        <f t="shared" si="28"/>
        <v>0</v>
      </c>
      <c r="S72" s="29">
        <f t="shared" si="29"/>
        <v>0</v>
      </c>
      <c r="T72" s="29">
        <f t="shared" si="30"/>
        <v>177989.78459890731</v>
      </c>
      <c r="U72">
        <f t="shared" si="31"/>
        <v>0</v>
      </c>
      <c r="V72" s="29">
        <f t="shared" si="32"/>
        <v>0</v>
      </c>
      <c r="W72" s="29">
        <f t="shared" si="33"/>
        <v>0</v>
      </c>
      <c r="X72" s="29">
        <f t="shared" si="34"/>
        <v>177989.78459890731</v>
      </c>
      <c r="Y72">
        <f t="shared" si="35"/>
        <v>0</v>
      </c>
    </row>
    <row r="73" spans="1:25" x14ac:dyDescent="0.25">
      <c r="A73" s="4" t="s">
        <v>795</v>
      </c>
      <c r="B73" s="7" t="s">
        <v>387</v>
      </c>
      <c r="C73" s="2" t="s">
        <v>796</v>
      </c>
      <c r="D73">
        <f>VLOOKUP(B73,'Model allocations'!$A$1:$L$316,6,FALSE)</f>
        <v>16808.405091364191</v>
      </c>
      <c r="E73" s="31">
        <f>VLOOKUP(B73,'Initial adjusted formula count'!$A$1:$P$316,12,FALSE)</f>
        <v>0.133333333333333</v>
      </c>
      <c r="F73">
        <f>VLOOKUP(B73,'Model allocations'!$A$1:$L$316,11,FALSE)</f>
        <v>14297.372803682199</v>
      </c>
      <c r="G73" s="30">
        <f t="shared" si="36"/>
        <v>0.85</v>
      </c>
      <c r="H73">
        <f t="shared" si="37"/>
        <v>14287.144327659562</v>
      </c>
      <c r="I73">
        <f t="shared" si="19"/>
        <v>0</v>
      </c>
      <c r="J73">
        <f t="shared" si="20"/>
        <v>14297.372803682199</v>
      </c>
      <c r="K73">
        <f t="shared" si="21"/>
        <v>14285.67247783829</v>
      </c>
      <c r="L73">
        <f t="shared" si="22"/>
        <v>14285.67247783829</v>
      </c>
      <c r="M73">
        <f t="shared" si="23"/>
        <v>14287.144327659562</v>
      </c>
      <c r="N73" s="29">
        <f t="shared" si="24"/>
        <v>0</v>
      </c>
      <c r="O73" s="29">
        <f t="shared" si="25"/>
        <v>0</v>
      </c>
      <c r="P73" s="29">
        <f t="shared" si="26"/>
        <v>14287.144327659562</v>
      </c>
      <c r="Q73">
        <f t="shared" si="27"/>
        <v>0</v>
      </c>
      <c r="R73" s="29">
        <f t="shared" si="28"/>
        <v>0</v>
      </c>
      <c r="S73" s="29">
        <f t="shared" si="29"/>
        <v>0</v>
      </c>
      <c r="T73" s="29">
        <f t="shared" si="30"/>
        <v>14287.144327659562</v>
      </c>
      <c r="U73">
        <f t="shared" si="31"/>
        <v>0</v>
      </c>
      <c r="V73" s="29">
        <f t="shared" si="32"/>
        <v>0</v>
      </c>
      <c r="W73" s="29">
        <f t="shared" si="33"/>
        <v>0</v>
      </c>
      <c r="X73" s="29">
        <f t="shared" si="34"/>
        <v>14287.144327659562</v>
      </c>
      <c r="Y73">
        <f t="shared" si="35"/>
        <v>0</v>
      </c>
    </row>
    <row r="74" spans="1:25" x14ac:dyDescent="0.25">
      <c r="A74" s="4" t="s">
        <v>797</v>
      </c>
      <c r="B74" s="7" t="s">
        <v>389</v>
      </c>
      <c r="C74" s="2" t="s">
        <v>798</v>
      </c>
      <c r="D74">
        <f>VLOOKUP(B74,'Model allocations'!$A$1:$L$316,6,FALSE)</f>
        <v>42481.734499603961</v>
      </c>
      <c r="E74" s="31">
        <f>VLOOKUP(B74,'Initial adjusted formula count'!$A$1:$P$316,12,FALSE)</f>
        <v>0.100719424460432</v>
      </c>
      <c r="F74">
        <f>VLOOKUP(B74,'Model allocations'!$A$1:$L$316,11,FALSE)</f>
        <v>36135.325879309225</v>
      </c>
      <c r="G74" s="30">
        <f t="shared" si="36"/>
        <v>0.85</v>
      </c>
      <c r="H74">
        <f t="shared" si="37"/>
        <v>36109.474324663366</v>
      </c>
      <c r="I74">
        <f t="shared" si="19"/>
        <v>0</v>
      </c>
      <c r="J74">
        <f t="shared" si="20"/>
        <v>36135.325879309225</v>
      </c>
      <c r="K74">
        <f t="shared" si="21"/>
        <v>36105.754356409932</v>
      </c>
      <c r="L74">
        <f t="shared" si="22"/>
        <v>36105.754356409932</v>
      </c>
      <c r="M74">
        <f t="shared" si="23"/>
        <v>36109.474324663366</v>
      </c>
      <c r="N74" s="29">
        <f t="shared" si="24"/>
        <v>0</v>
      </c>
      <c r="O74" s="29">
        <f t="shared" si="25"/>
        <v>0</v>
      </c>
      <c r="P74" s="29">
        <f t="shared" si="26"/>
        <v>36109.474324663366</v>
      </c>
      <c r="Q74">
        <f t="shared" si="27"/>
        <v>0</v>
      </c>
      <c r="R74" s="29">
        <f t="shared" si="28"/>
        <v>0</v>
      </c>
      <c r="S74" s="29">
        <f t="shared" si="29"/>
        <v>0</v>
      </c>
      <c r="T74" s="29">
        <f t="shared" si="30"/>
        <v>36109.474324663366</v>
      </c>
      <c r="U74">
        <f t="shared" si="31"/>
        <v>0</v>
      </c>
      <c r="V74" s="29">
        <f t="shared" si="32"/>
        <v>0</v>
      </c>
      <c r="W74" s="29">
        <f t="shared" si="33"/>
        <v>0</v>
      </c>
      <c r="X74" s="29">
        <f t="shared" si="34"/>
        <v>36109.474324663366</v>
      </c>
      <c r="Y74">
        <f t="shared" si="35"/>
        <v>0</v>
      </c>
    </row>
    <row r="75" spans="1:25" x14ac:dyDescent="0.25">
      <c r="A75" s="4" t="s">
        <v>799</v>
      </c>
      <c r="B75" s="7" t="s">
        <v>122</v>
      </c>
      <c r="C75" s="2" t="s">
        <v>800</v>
      </c>
      <c r="D75">
        <f>VLOOKUP(B75,'Model allocations'!$A$1:$L$316,6,FALSE)</f>
        <v>165472.59763312602</v>
      </c>
      <c r="E75" s="31">
        <f>VLOOKUP(B75,'Initial adjusted formula count'!$A$1:$P$316,12,FALSE)</f>
        <v>5.63766891891892E-2</v>
      </c>
      <c r="F75">
        <f>VLOOKUP(B75,'Model allocations'!$A$1:$L$316,11,FALSE)</f>
        <v>150826.54312412048</v>
      </c>
      <c r="G75" s="30">
        <f t="shared" si="36"/>
        <v>0.85</v>
      </c>
      <c r="H75">
        <f t="shared" si="37"/>
        <v>140651.70798815711</v>
      </c>
      <c r="I75">
        <f t="shared" si="19"/>
        <v>0</v>
      </c>
      <c r="J75">
        <f t="shared" si="20"/>
        <v>150826.54312412048</v>
      </c>
      <c r="K75">
        <f t="shared" si="21"/>
        <v>150703.11347556236</v>
      </c>
      <c r="L75">
        <f t="shared" si="22"/>
        <v>150703.11347556236</v>
      </c>
      <c r="M75">
        <f t="shared" si="23"/>
        <v>0</v>
      </c>
      <c r="N75" s="29">
        <f t="shared" si="24"/>
        <v>150703.11347556236</v>
      </c>
      <c r="O75" s="29">
        <f t="shared" si="25"/>
        <v>150692.72894691554</v>
      </c>
      <c r="P75" s="29">
        <f t="shared" si="26"/>
        <v>150692.72894691554</v>
      </c>
      <c r="Q75">
        <f t="shared" si="27"/>
        <v>0</v>
      </c>
      <c r="R75" s="29">
        <f t="shared" si="28"/>
        <v>150692.72894691554</v>
      </c>
      <c r="S75" s="29">
        <f t="shared" si="29"/>
        <v>150692.54807741268</v>
      </c>
      <c r="T75" s="29">
        <f t="shared" si="30"/>
        <v>150692.54807741268</v>
      </c>
      <c r="U75">
        <f t="shared" si="31"/>
        <v>0</v>
      </c>
      <c r="V75" s="29">
        <f t="shared" si="32"/>
        <v>150692.54807741268</v>
      </c>
      <c r="W75" s="29">
        <f t="shared" si="33"/>
        <v>150692.54807741268</v>
      </c>
      <c r="X75" s="29">
        <f t="shared" si="34"/>
        <v>150692.54807741268</v>
      </c>
      <c r="Y75">
        <f t="shared" si="35"/>
        <v>0</v>
      </c>
    </row>
    <row r="76" spans="1:25" x14ac:dyDescent="0.25">
      <c r="A76" s="4" t="s">
        <v>801</v>
      </c>
      <c r="B76" s="7" t="s">
        <v>391</v>
      </c>
      <c r="C76" s="2" t="s">
        <v>802</v>
      </c>
      <c r="D76">
        <f>VLOOKUP(B76,'Model allocations'!$A$1:$L$316,6,FALSE)</f>
        <v>244512.77313485972</v>
      </c>
      <c r="E76" s="31">
        <f>VLOOKUP(B76,'Initial adjusted formula count'!$A$1:$P$316,12,FALSE)</f>
        <v>0.17167530224524999</v>
      </c>
      <c r="F76">
        <f>VLOOKUP(B76,'Model allocations'!$A$1:$L$316,11,FALSE)</f>
        <v>300223.48222572665</v>
      </c>
      <c r="G76" s="30">
        <f t="shared" si="36"/>
        <v>0.9</v>
      </c>
      <c r="H76">
        <f t="shared" si="37"/>
        <v>220061.49582137374</v>
      </c>
      <c r="I76">
        <f t="shared" si="19"/>
        <v>0</v>
      </c>
      <c r="J76">
        <f t="shared" si="20"/>
        <v>300223.48222572665</v>
      </c>
      <c r="K76">
        <f t="shared" si="21"/>
        <v>299977.79285214259</v>
      </c>
      <c r="L76">
        <f t="shared" si="22"/>
        <v>299977.79285214259</v>
      </c>
      <c r="M76">
        <f t="shared" si="23"/>
        <v>0</v>
      </c>
      <c r="N76" s="29">
        <f t="shared" si="24"/>
        <v>299977.79285214259</v>
      </c>
      <c r="O76" s="29">
        <f t="shared" si="25"/>
        <v>299957.12222423422</v>
      </c>
      <c r="P76" s="29">
        <f t="shared" si="26"/>
        <v>299957.12222423422</v>
      </c>
      <c r="Q76">
        <f t="shared" si="27"/>
        <v>0</v>
      </c>
      <c r="R76" s="29">
        <f t="shared" si="28"/>
        <v>299957.12222423422</v>
      </c>
      <c r="S76" s="29">
        <f t="shared" si="29"/>
        <v>299956.76219959365</v>
      </c>
      <c r="T76" s="29">
        <f t="shared" si="30"/>
        <v>299956.76219959365</v>
      </c>
      <c r="U76">
        <f t="shared" si="31"/>
        <v>0</v>
      </c>
      <c r="V76" s="29">
        <f t="shared" si="32"/>
        <v>299956.76219959365</v>
      </c>
      <c r="W76" s="29">
        <f t="shared" si="33"/>
        <v>299956.76219959365</v>
      </c>
      <c r="X76" s="29">
        <f t="shared" si="34"/>
        <v>299956.76219959365</v>
      </c>
      <c r="Y76">
        <f t="shared" si="35"/>
        <v>0</v>
      </c>
    </row>
    <row r="77" spans="1:25" x14ac:dyDescent="0.25">
      <c r="A77" s="4" t="s">
        <v>803</v>
      </c>
      <c r="B77" s="7" t="s">
        <v>393</v>
      </c>
      <c r="C77" s="2" t="s">
        <v>804</v>
      </c>
      <c r="D77">
        <f>VLOOKUP(B77,'Model allocations'!$A$1:$L$316,6,FALSE)</f>
        <v>20645.483726925377</v>
      </c>
      <c r="E77" s="31">
        <f>VLOOKUP(B77,'Initial adjusted formula count'!$A$1:$P$316,12,FALSE)</f>
        <v>0.13636363636363599</v>
      </c>
      <c r="F77">
        <f>VLOOKUP(B77,'Model allocations'!$A$1:$L$316,11,FALSE)</f>
        <v>17548.66116788657</v>
      </c>
      <c r="G77" s="30">
        <f t="shared" si="36"/>
        <v>0.85</v>
      </c>
      <c r="H77">
        <f t="shared" si="37"/>
        <v>17548.66116788657</v>
      </c>
      <c r="I77">
        <f t="shared" si="19"/>
        <v>0</v>
      </c>
      <c r="J77">
        <f t="shared" si="20"/>
        <v>17548.66116788657</v>
      </c>
      <c r="K77">
        <f t="shared" si="21"/>
        <v>17534.300134107289</v>
      </c>
      <c r="L77">
        <f t="shared" si="22"/>
        <v>17534.300134107289</v>
      </c>
      <c r="M77">
        <f t="shared" si="23"/>
        <v>17548.66116788657</v>
      </c>
      <c r="N77" s="29">
        <f t="shared" si="24"/>
        <v>0</v>
      </c>
      <c r="O77" s="29">
        <f t="shared" si="25"/>
        <v>0</v>
      </c>
      <c r="P77" s="29">
        <f t="shared" si="26"/>
        <v>17548.66116788657</v>
      </c>
      <c r="Q77">
        <f t="shared" si="27"/>
        <v>0</v>
      </c>
      <c r="R77" s="29">
        <f t="shared" si="28"/>
        <v>0</v>
      </c>
      <c r="S77" s="29">
        <f t="shared" si="29"/>
        <v>0</v>
      </c>
      <c r="T77" s="29">
        <f t="shared" si="30"/>
        <v>17548.66116788657</v>
      </c>
      <c r="U77">
        <f t="shared" si="31"/>
        <v>0</v>
      </c>
      <c r="V77" s="29">
        <f t="shared" si="32"/>
        <v>0</v>
      </c>
      <c r="W77" s="29">
        <f t="shared" si="33"/>
        <v>0</v>
      </c>
      <c r="X77" s="29">
        <f t="shared" si="34"/>
        <v>17548.66116788657</v>
      </c>
      <c r="Y77">
        <f t="shared" si="35"/>
        <v>0</v>
      </c>
    </row>
    <row r="78" spans="1:25" x14ac:dyDescent="0.25">
      <c r="A78" s="4" t="s">
        <v>805</v>
      </c>
      <c r="B78" s="7" t="s">
        <v>124</v>
      </c>
      <c r="C78" s="2" t="s">
        <v>806</v>
      </c>
      <c r="D78">
        <f>VLOOKUP(B78,'Model allocations'!$A$1:$L$316,6,FALSE)</f>
        <v>1941033.3746414965</v>
      </c>
      <c r="E78" s="31">
        <f>VLOOKUP(B78,'Initial adjusted formula count'!$A$1:$P$316,12,FALSE)</f>
        <v>9.8040911646412696E-2</v>
      </c>
      <c r="F78">
        <f>VLOOKUP(B78,'Model allocations'!$A$1:$L$316,11,FALSE)</f>
        <v>1727161.6314681587</v>
      </c>
      <c r="G78" s="30">
        <f t="shared" si="36"/>
        <v>0.85</v>
      </c>
      <c r="H78">
        <f t="shared" si="37"/>
        <v>1649878.3684452719</v>
      </c>
      <c r="I78">
        <f t="shared" si="19"/>
        <v>0</v>
      </c>
      <c r="J78">
        <f t="shared" si="20"/>
        <v>1727161.6314681587</v>
      </c>
      <c r="K78">
        <f t="shared" si="21"/>
        <v>1725748.2001930035</v>
      </c>
      <c r="L78">
        <f t="shared" si="22"/>
        <v>1725748.2001930035</v>
      </c>
      <c r="M78">
        <f t="shared" si="23"/>
        <v>0</v>
      </c>
      <c r="N78" s="29">
        <f t="shared" si="24"/>
        <v>1725748.2001930035</v>
      </c>
      <c r="O78" s="29">
        <f t="shared" si="25"/>
        <v>1725629.2837273192</v>
      </c>
      <c r="P78" s="29">
        <f t="shared" si="26"/>
        <v>1725629.2837273192</v>
      </c>
      <c r="Q78">
        <f t="shared" si="27"/>
        <v>0</v>
      </c>
      <c r="R78" s="29">
        <f t="shared" si="28"/>
        <v>1725629.2837273192</v>
      </c>
      <c r="S78" s="29">
        <f t="shared" si="29"/>
        <v>1725627.2125344167</v>
      </c>
      <c r="T78" s="29">
        <f t="shared" si="30"/>
        <v>1725627.2125344167</v>
      </c>
      <c r="U78">
        <f t="shared" si="31"/>
        <v>0</v>
      </c>
      <c r="V78" s="29">
        <f t="shared" si="32"/>
        <v>1725627.2125344167</v>
      </c>
      <c r="W78" s="29">
        <f t="shared" si="33"/>
        <v>1725627.2125344167</v>
      </c>
      <c r="X78" s="29">
        <f t="shared" si="34"/>
        <v>1725627.2125344167</v>
      </c>
      <c r="Y78">
        <f t="shared" si="35"/>
        <v>0</v>
      </c>
    </row>
    <row r="79" spans="1:25" x14ac:dyDescent="0.25">
      <c r="A79" s="4" t="s">
        <v>807</v>
      </c>
      <c r="B79" s="7" t="s">
        <v>275</v>
      </c>
      <c r="C79" s="2" t="s">
        <v>808</v>
      </c>
      <c r="D79">
        <f>VLOOKUP(B79,'Model allocations'!$A$1:$L$316,6,FALSE)</f>
        <v>2168487.1170925293</v>
      </c>
      <c r="E79" s="31">
        <f>VLOOKUP(B79,'Initial adjusted formula count'!$A$1:$P$316,12,FALSE)</f>
        <v>0.10047201618341201</v>
      </c>
      <c r="F79">
        <f>VLOOKUP(B79,'Model allocations'!$A$1:$L$316,11,FALSE)</f>
        <v>2196023.1700187959</v>
      </c>
      <c r="G79" s="30">
        <f t="shared" si="36"/>
        <v>0.85</v>
      </c>
      <c r="H79">
        <f t="shared" si="37"/>
        <v>1843214.0495286498</v>
      </c>
      <c r="I79">
        <f t="shared" si="19"/>
        <v>0</v>
      </c>
      <c r="J79">
        <f t="shared" si="20"/>
        <v>2196023.1700187959</v>
      </c>
      <c r="K79">
        <f t="shared" si="21"/>
        <v>2194226.0435814564</v>
      </c>
      <c r="L79">
        <f t="shared" si="22"/>
        <v>2194226.0435814564</v>
      </c>
      <c r="M79">
        <f t="shared" si="23"/>
        <v>0</v>
      </c>
      <c r="N79" s="29">
        <f t="shared" si="24"/>
        <v>2194226.0435814564</v>
      </c>
      <c r="O79" s="29">
        <f t="shared" si="25"/>
        <v>2194074.8456222257</v>
      </c>
      <c r="P79" s="29">
        <f t="shared" si="26"/>
        <v>2194074.8456222257</v>
      </c>
      <c r="Q79">
        <f t="shared" si="27"/>
        <v>0</v>
      </c>
      <c r="R79" s="29">
        <f t="shared" si="28"/>
        <v>2194074.8456222257</v>
      </c>
      <c r="S79" s="29">
        <f t="shared" si="29"/>
        <v>2194072.2121758121</v>
      </c>
      <c r="T79" s="29">
        <f t="shared" si="30"/>
        <v>2194072.2121758121</v>
      </c>
      <c r="U79">
        <f t="shared" si="31"/>
        <v>0</v>
      </c>
      <c r="V79" s="29">
        <f t="shared" si="32"/>
        <v>2194072.2121758121</v>
      </c>
      <c r="W79" s="29">
        <f t="shared" si="33"/>
        <v>2194072.2121758121</v>
      </c>
      <c r="X79" s="29">
        <f t="shared" si="34"/>
        <v>2194072.2121758121</v>
      </c>
      <c r="Y79">
        <f t="shared" si="35"/>
        <v>0</v>
      </c>
    </row>
    <row r="80" spans="1:25" x14ac:dyDescent="0.25">
      <c r="A80" s="4" t="s">
        <v>809</v>
      </c>
      <c r="B80" s="7" t="s">
        <v>395</v>
      </c>
      <c r="C80" s="2" t="s">
        <v>810</v>
      </c>
      <c r="D80">
        <f>VLOOKUP(B80,'Model allocations'!$A$1:$L$316,6,FALSE)</f>
        <v>16771.372778921381</v>
      </c>
      <c r="E80" s="31">
        <f>VLOOKUP(B80,'Initial adjusted formula count'!$A$1:$P$316,12,FALSE)</f>
        <v>0.33928571428571402</v>
      </c>
      <c r="F80">
        <f>VLOOKUP(B80,'Model allocations'!$A$1:$L$316,11,FALSE)</f>
        <v>18784.400893282324</v>
      </c>
      <c r="G80" s="30">
        <f t="shared" si="36"/>
        <v>0.95</v>
      </c>
      <c r="H80">
        <f t="shared" si="37"/>
        <v>15932.804139975311</v>
      </c>
      <c r="I80">
        <f t="shared" si="19"/>
        <v>0</v>
      </c>
      <c r="J80">
        <f t="shared" si="20"/>
        <v>18784.400893282324</v>
      </c>
      <c r="K80">
        <f t="shared" si="21"/>
        <v>18769.028585778568</v>
      </c>
      <c r="L80">
        <f t="shared" si="22"/>
        <v>18769.028585778568</v>
      </c>
      <c r="M80">
        <f t="shared" si="23"/>
        <v>0</v>
      </c>
      <c r="N80" s="29">
        <f t="shared" si="24"/>
        <v>18769.028585778568</v>
      </c>
      <c r="O80" s="29">
        <f t="shared" si="25"/>
        <v>18767.735264688334</v>
      </c>
      <c r="P80" s="29">
        <f t="shared" si="26"/>
        <v>18767.735264688334</v>
      </c>
      <c r="Q80">
        <f t="shared" si="27"/>
        <v>0</v>
      </c>
      <c r="R80" s="29">
        <f t="shared" si="28"/>
        <v>18767.735264688334</v>
      </c>
      <c r="S80" s="29">
        <f t="shared" si="29"/>
        <v>18767.712738644968</v>
      </c>
      <c r="T80" s="29">
        <f t="shared" si="30"/>
        <v>18767.712738644968</v>
      </c>
      <c r="U80">
        <f t="shared" si="31"/>
        <v>0</v>
      </c>
      <c r="V80" s="29">
        <f t="shared" si="32"/>
        <v>18767.712738644968</v>
      </c>
      <c r="W80" s="29">
        <f t="shared" si="33"/>
        <v>18767.712738644968</v>
      </c>
      <c r="X80" s="29">
        <f t="shared" si="34"/>
        <v>18767.712738644968</v>
      </c>
      <c r="Y80">
        <f t="shared" si="35"/>
        <v>0</v>
      </c>
    </row>
    <row r="81" spans="1:25" x14ac:dyDescent="0.25">
      <c r="A81" s="4" t="s">
        <v>811</v>
      </c>
      <c r="B81" s="7" t="s">
        <v>397</v>
      </c>
      <c r="C81" s="2" t="s">
        <v>812</v>
      </c>
      <c r="D81">
        <f>VLOOKUP(B81,'Model allocations'!$A$1:$L$316,6,FALSE)</f>
        <v>3984705.2505640211</v>
      </c>
      <c r="E81" s="31">
        <f>VLOOKUP(B81,'Initial adjusted formula count'!$A$1:$P$316,12,FALSE)</f>
        <v>0.170695790894588</v>
      </c>
      <c r="F81">
        <f>VLOOKUP(B81,'Model allocations'!$A$1:$L$316,11,FALSE)</f>
        <v>3880535.348281445</v>
      </c>
      <c r="G81" s="30">
        <f t="shared" si="36"/>
        <v>0.9</v>
      </c>
      <c r="H81">
        <f t="shared" si="37"/>
        <v>3586234.7255076189</v>
      </c>
      <c r="I81">
        <f t="shared" si="19"/>
        <v>0</v>
      </c>
      <c r="J81">
        <f t="shared" si="20"/>
        <v>3880535.348281445</v>
      </c>
      <c r="K81">
        <f t="shared" si="21"/>
        <v>3877359.6929602092</v>
      </c>
      <c r="L81">
        <f t="shared" si="22"/>
        <v>3877359.6929602092</v>
      </c>
      <c r="M81">
        <f t="shared" si="23"/>
        <v>0</v>
      </c>
      <c r="N81" s="29">
        <f t="shared" si="24"/>
        <v>3877359.6929602092</v>
      </c>
      <c r="O81" s="29">
        <f t="shared" si="25"/>
        <v>3877092.5149844065</v>
      </c>
      <c r="P81" s="29">
        <f t="shared" si="26"/>
        <v>3877092.5149844065</v>
      </c>
      <c r="Q81">
        <f t="shared" si="27"/>
        <v>0</v>
      </c>
      <c r="R81" s="29">
        <f t="shared" si="28"/>
        <v>3877092.5149844065</v>
      </c>
      <c r="S81" s="29">
        <f t="shared" si="29"/>
        <v>3877087.8614898375</v>
      </c>
      <c r="T81" s="29">
        <f t="shared" si="30"/>
        <v>3877087.8614898375</v>
      </c>
      <c r="U81">
        <f t="shared" si="31"/>
        <v>0</v>
      </c>
      <c r="V81" s="29">
        <f t="shared" si="32"/>
        <v>3877087.8614898375</v>
      </c>
      <c r="W81" s="29">
        <f t="shared" si="33"/>
        <v>3877087.8614898375</v>
      </c>
      <c r="X81" s="29">
        <f t="shared" si="34"/>
        <v>3877087.8614898375</v>
      </c>
      <c r="Y81">
        <f t="shared" si="35"/>
        <v>0</v>
      </c>
    </row>
    <row r="82" spans="1:25" x14ac:dyDescent="0.25">
      <c r="A82" s="4" t="s">
        <v>813</v>
      </c>
      <c r="B82" s="7" t="s">
        <v>126</v>
      </c>
      <c r="C82" s="2" t="s">
        <v>814</v>
      </c>
      <c r="D82">
        <f>VLOOKUP(B82,'Model allocations'!$A$1:$L$316,6,FALSE)</f>
        <v>473103.78429814702</v>
      </c>
      <c r="E82" s="31">
        <f>VLOOKUP(B82,'Initial adjusted formula count'!$A$1:$P$316,12,FALSE)</f>
        <v>9.1623036649214604E-2</v>
      </c>
      <c r="F82">
        <f>VLOOKUP(B82,'Model allocations'!$A$1:$L$316,11,FALSE)</f>
        <v>402156.52902968629</v>
      </c>
      <c r="G82" s="30">
        <f t="shared" si="36"/>
        <v>0.85</v>
      </c>
      <c r="H82">
        <f t="shared" si="37"/>
        <v>402138.21665342496</v>
      </c>
      <c r="I82">
        <f t="shared" si="19"/>
        <v>0</v>
      </c>
      <c r="J82">
        <f t="shared" si="20"/>
        <v>402156.52902968629</v>
      </c>
      <c r="K82">
        <f t="shared" si="21"/>
        <v>401827.42224241054</v>
      </c>
      <c r="L82">
        <f t="shared" si="22"/>
        <v>401827.42224241054</v>
      </c>
      <c r="M82">
        <f t="shared" si="23"/>
        <v>402138.21665342496</v>
      </c>
      <c r="N82" s="29">
        <f t="shared" si="24"/>
        <v>0</v>
      </c>
      <c r="O82" s="29">
        <f t="shared" si="25"/>
        <v>0</v>
      </c>
      <c r="P82" s="29">
        <f t="shared" si="26"/>
        <v>402138.21665342496</v>
      </c>
      <c r="Q82">
        <f t="shared" si="27"/>
        <v>0</v>
      </c>
      <c r="R82" s="29">
        <f t="shared" si="28"/>
        <v>0</v>
      </c>
      <c r="S82" s="29">
        <f t="shared" si="29"/>
        <v>0</v>
      </c>
      <c r="T82" s="29">
        <f t="shared" si="30"/>
        <v>402138.21665342496</v>
      </c>
      <c r="U82">
        <f t="shared" si="31"/>
        <v>0</v>
      </c>
      <c r="V82" s="29">
        <f t="shared" si="32"/>
        <v>0</v>
      </c>
      <c r="W82" s="29">
        <f t="shared" si="33"/>
        <v>0</v>
      </c>
      <c r="X82" s="29">
        <f t="shared" si="34"/>
        <v>402138.21665342496</v>
      </c>
      <c r="Y82">
        <f t="shared" si="35"/>
        <v>0</v>
      </c>
    </row>
    <row r="83" spans="1:25" x14ac:dyDescent="0.25">
      <c r="A83" s="4" t="s">
        <v>815</v>
      </c>
      <c r="B83" s="7" t="s">
        <v>128</v>
      </c>
      <c r="C83" s="2" t="s">
        <v>816</v>
      </c>
      <c r="D83">
        <f>VLOOKUP(B83,'Model allocations'!$A$1:$L$316,6,FALSE)</f>
        <v>226316.4737387771</v>
      </c>
      <c r="E83" s="31">
        <f>VLOOKUP(B83,'Initial adjusted formula count'!$A$1:$P$316,12,FALSE)</f>
        <v>0.11544081831466101</v>
      </c>
      <c r="F83">
        <f>VLOOKUP(B83,'Model allocations'!$A$1:$L$316,11,FALSE)</f>
        <v>267759.48105180945</v>
      </c>
      <c r="G83" s="30">
        <f t="shared" si="36"/>
        <v>0.85</v>
      </c>
      <c r="H83">
        <f t="shared" si="37"/>
        <v>192369.00267796053</v>
      </c>
      <c r="I83">
        <f t="shared" si="19"/>
        <v>0</v>
      </c>
      <c r="J83">
        <f t="shared" si="20"/>
        <v>267759.48105180945</v>
      </c>
      <c r="K83">
        <f t="shared" si="21"/>
        <v>267540.35875436926</v>
      </c>
      <c r="L83">
        <f t="shared" si="22"/>
        <v>267540.35875436926</v>
      </c>
      <c r="M83">
        <f t="shared" si="23"/>
        <v>0</v>
      </c>
      <c r="N83" s="29">
        <f t="shared" si="24"/>
        <v>267540.35875436926</v>
      </c>
      <c r="O83" s="29">
        <f t="shared" si="25"/>
        <v>267521.9232990187</v>
      </c>
      <c r="P83" s="29">
        <f t="shared" si="26"/>
        <v>267521.9232990187</v>
      </c>
      <c r="Q83">
        <f t="shared" si="27"/>
        <v>0</v>
      </c>
      <c r="R83" s="29">
        <f t="shared" si="28"/>
        <v>267521.9232990187</v>
      </c>
      <c r="S83" s="29">
        <f t="shared" si="29"/>
        <v>267521.60220484505</v>
      </c>
      <c r="T83" s="29">
        <f t="shared" si="30"/>
        <v>267521.60220484505</v>
      </c>
      <c r="U83">
        <f t="shared" si="31"/>
        <v>0</v>
      </c>
      <c r="V83" s="29">
        <f t="shared" si="32"/>
        <v>267521.60220484505</v>
      </c>
      <c r="W83" s="29">
        <f t="shared" si="33"/>
        <v>267521.60220484505</v>
      </c>
      <c r="X83" s="29">
        <f t="shared" si="34"/>
        <v>267521.60220484505</v>
      </c>
      <c r="Y83">
        <f t="shared" si="35"/>
        <v>0</v>
      </c>
    </row>
    <row r="84" spans="1:25" x14ac:dyDescent="0.25">
      <c r="A84" s="4" t="s">
        <v>817</v>
      </c>
      <c r="B84" s="7" t="s">
        <v>399</v>
      </c>
      <c r="C84" s="2" t="s">
        <v>818</v>
      </c>
      <c r="D84">
        <f>VLOOKUP(B84,'Model allocations'!$A$1:$L$316,6,FALSE)</f>
        <v>69942.02580369245</v>
      </c>
      <c r="E84" s="31">
        <f>VLOOKUP(B84,'Initial adjusted formula count'!$A$1:$P$316,12,FALSE)</f>
        <v>0.106521739130435</v>
      </c>
      <c r="F84">
        <f>VLOOKUP(B84,'Model allocations'!$A$1:$L$316,11,FALSE)</f>
        <v>59493.28399241899</v>
      </c>
      <c r="G84" s="30">
        <f t="shared" si="36"/>
        <v>0.85</v>
      </c>
      <c r="H84">
        <f t="shared" si="37"/>
        <v>59450.721933138579</v>
      </c>
      <c r="I84">
        <f t="shared" si="19"/>
        <v>0</v>
      </c>
      <c r="J84">
        <f t="shared" si="20"/>
        <v>59493.28399241899</v>
      </c>
      <c r="K84">
        <f t="shared" si="21"/>
        <v>59444.597368813833</v>
      </c>
      <c r="L84">
        <f t="shared" si="22"/>
        <v>59444.597368813833</v>
      </c>
      <c r="M84">
        <f t="shared" si="23"/>
        <v>59450.721933138579</v>
      </c>
      <c r="N84" s="29">
        <f t="shared" si="24"/>
        <v>0</v>
      </c>
      <c r="O84" s="29">
        <f t="shared" si="25"/>
        <v>0</v>
      </c>
      <c r="P84" s="29">
        <f t="shared" si="26"/>
        <v>59450.721933138579</v>
      </c>
      <c r="Q84">
        <f t="shared" si="27"/>
        <v>0</v>
      </c>
      <c r="R84" s="29">
        <f t="shared" si="28"/>
        <v>0</v>
      </c>
      <c r="S84" s="29">
        <f t="shared" si="29"/>
        <v>0</v>
      </c>
      <c r="T84" s="29">
        <f t="shared" si="30"/>
        <v>59450.721933138579</v>
      </c>
      <c r="U84">
        <f t="shared" si="31"/>
        <v>0</v>
      </c>
      <c r="V84" s="29">
        <f t="shared" si="32"/>
        <v>0</v>
      </c>
      <c r="W84" s="29">
        <f t="shared" si="33"/>
        <v>0</v>
      </c>
      <c r="X84" s="29">
        <f t="shared" si="34"/>
        <v>59450.721933138579</v>
      </c>
      <c r="Y84">
        <f t="shared" si="35"/>
        <v>0</v>
      </c>
    </row>
    <row r="85" spans="1:25" x14ac:dyDescent="0.25">
      <c r="A85" s="4" t="s">
        <v>819</v>
      </c>
      <c r="B85" s="7" t="s">
        <v>401</v>
      </c>
      <c r="C85" s="2" t="s">
        <v>820</v>
      </c>
      <c r="D85">
        <f>VLOOKUP(B85,'Model allocations'!$A$1:$L$316,6,FALSE)</f>
        <v>1007904.396236137</v>
      </c>
      <c r="E85" s="31">
        <f>VLOOKUP(B85,'Initial adjusted formula count'!$A$1:$P$316,12,FALSE)</f>
        <v>0.16946613886808601</v>
      </c>
      <c r="F85">
        <f>VLOOKUP(B85,'Model allocations'!$A$1:$L$316,11,FALSE)</f>
        <v>1147016.0891892386</v>
      </c>
      <c r="G85" s="30">
        <f t="shared" si="36"/>
        <v>0.9</v>
      </c>
      <c r="H85">
        <f t="shared" si="37"/>
        <v>907113.9566125233</v>
      </c>
      <c r="I85">
        <f t="shared" si="19"/>
        <v>0</v>
      </c>
      <c r="J85">
        <f t="shared" si="20"/>
        <v>1147016.0891892386</v>
      </c>
      <c r="K85">
        <f t="shared" si="21"/>
        <v>1146077.4228918706</v>
      </c>
      <c r="L85">
        <f t="shared" si="22"/>
        <v>1146077.4228918706</v>
      </c>
      <c r="M85">
        <f t="shared" si="23"/>
        <v>0</v>
      </c>
      <c r="N85" s="29">
        <f t="shared" si="24"/>
        <v>1146077.4228918706</v>
      </c>
      <c r="O85" s="29">
        <f t="shared" si="25"/>
        <v>1145998.4499127793</v>
      </c>
      <c r="P85" s="29">
        <f t="shared" si="26"/>
        <v>1145998.4499127793</v>
      </c>
      <c r="Q85">
        <f t="shared" si="27"/>
        <v>0</v>
      </c>
      <c r="R85" s="29">
        <f t="shared" si="28"/>
        <v>1145998.4499127793</v>
      </c>
      <c r="S85" s="29">
        <f t="shared" si="29"/>
        <v>1145997.0744239194</v>
      </c>
      <c r="T85" s="29">
        <f t="shared" si="30"/>
        <v>1145997.0744239194</v>
      </c>
      <c r="U85">
        <f t="shared" si="31"/>
        <v>0</v>
      </c>
      <c r="V85" s="29">
        <f t="shared" si="32"/>
        <v>1145997.0744239194</v>
      </c>
      <c r="W85" s="29">
        <f t="shared" si="33"/>
        <v>1145997.0744239194</v>
      </c>
      <c r="X85" s="29">
        <f t="shared" si="34"/>
        <v>1145997.0744239194</v>
      </c>
      <c r="Y85">
        <f t="shared" si="35"/>
        <v>0</v>
      </c>
    </row>
    <row r="86" spans="1:25" x14ac:dyDescent="0.25">
      <c r="A86" s="4" t="s">
        <v>821</v>
      </c>
      <c r="B86" s="7" t="s">
        <v>130</v>
      </c>
      <c r="C86" s="2" t="s">
        <v>822</v>
      </c>
      <c r="D86">
        <f>VLOOKUP(B86,'Model allocations'!$A$1:$L$316,6,FALSE)</f>
        <v>0</v>
      </c>
      <c r="E86" s="31">
        <f>VLOOKUP(B86,'Initial adjusted formula count'!$A$1:$P$316,12,FALSE)</f>
        <v>3.0060120240480999E-2</v>
      </c>
      <c r="F86">
        <f>VLOOKUP(B86,'Model allocations'!$A$1:$L$316,11,FALSE)</f>
        <v>0</v>
      </c>
      <c r="G86" s="30">
        <f t="shared" si="36"/>
        <v>0.85</v>
      </c>
      <c r="H86">
        <f t="shared" si="37"/>
        <v>0</v>
      </c>
      <c r="I86">
        <f t="shared" si="19"/>
        <v>0</v>
      </c>
      <c r="J86">
        <f t="shared" si="20"/>
        <v>0</v>
      </c>
      <c r="K86">
        <f t="shared" si="21"/>
        <v>0</v>
      </c>
      <c r="L86">
        <f t="shared" si="22"/>
        <v>0</v>
      </c>
      <c r="M86">
        <f t="shared" si="23"/>
        <v>0</v>
      </c>
      <c r="N86" s="29">
        <f t="shared" si="24"/>
        <v>0</v>
      </c>
      <c r="O86" s="29">
        <f t="shared" si="25"/>
        <v>0</v>
      </c>
      <c r="P86" s="29">
        <f t="shared" si="26"/>
        <v>0</v>
      </c>
      <c r="Q86">
        <f t="shared" si="27"/>
        <v>0</v>
      </c>
      <c r="R86" s="29">
        <f t="shared" si="28"/>
        <v>0</v>
      </c>
      <c r="S86" s="29">
        <f t="shared" si="29"/>
        <v>0</v>
      </c>
      <c r="T86" s="29">
        <f t="shared" si="30"/>
        <v>0</v>
      </c>
      <c r="U86">
        <f t="shared" si="31"/>
        <v>0</v>
      </c>
      <c r="V86" s="29">
        <f t="shared" si="32"/>
        <v>0</v>
      </c>
      <c r="W86" s="29">
        <f t="shared" si="33"/>
        <v>0</v>
      </c>
      <c r="X86" s="29">
        <f t="shared" si="34"/>
        <v>0</v>
      </c>
      <c r="Y86">
        <f t="shared" si="35"/>
        <v>0</v>
      </c>
    </row>
    <row r="87" spans="1:25" x14ac:dyDescent="0.25">
      <c r="A87" s="4" t="s">
        <v>823</v>
      </c>
      <c r="B87" s="7" t="s">
        <v>403</v>
      </c>
      <c r="C87" s="2" t="s">
        <v>824</v>
      </c>
      <c r="D87">
        <f>VLOOKUP(B87,'Model allocations'!$A$1:$L$316,6,FALSE)</f>
        <v>26271.095252021722</v>
      </c>
      <c r="E87" s="31">
        <f>VLOOKUP(B87,'Initial adjusted formula count'!$A$1:$P$316,12,FALSE)</f>
        <v>0.21212121212121199</v>
      </c>
      <c r="F87">
        <f>VLOOKUP(B87,'Model allocations'!$A$1:$L$316,11,FALSE)</f>
        <v>23643.985726819548</v>
      </c>
      <c r="G87" s="30">
        <f t="shared" si="36"/>
        <v>0.9</v>
      </c>
      <c r="H87">
        <f t="shared" si="37"/>
        <v>23643.985726819548</v>
      </c>
      <c r="I87">
        <f t="shared" si="19"/>
        <v>0</v>
      </c>
      <c r="J87">
        <f t="shared" si="20"/>
        <v>23643.985726819548</v>
      </c>
      <c r="K87">
        <f t="shared" si="21"/>
        <v>23624.636553999397</v>
      </c>
      <c r="L87">
        <f t="shared" si="22"/>
        <v>23624.636553999397</v>
      </c>
      <c r="M87">
        <f t="shared" si="23"/>
        <v>23643.985726819548</v>
      </c>
      <c r="N87" s="29">
        <f t="shared" si="24"/>
        <v>0</v>
      </c>
      <c r="O87" s="29">
        <f t="shared" si="25"/>
        <v>0</v>
      </c>
      <c r="P87" s="29">
        <f t="shared" si="26"/>
        <v>23643.985726819548</v>
      </c>
      <c r="Q87">
        <f t="shared" si="27"/>
        <v>0</v>
      </c>
      <c r="R87" s="29">
        <f t="shared" si="28"/>
        <v>0</v>
      </c>
      <c r="S87" s="29">
        <f t="shared" si="29"/>
        <v>0</v>
      </c>
      <c r="T87" s="29">
        <f t="shared" si="30"/>
        <v>23643.985726819548</v>
      </c>
      <c r="U87">
        <f t="shared" si="31"/>
        <v>0</v>
      </c>
      <c r="V87" s="29">
        <f t="shared" si="32"/>
        <v>0</v>
      </c>
      <c r="W87" s="29">
        <f t="shared" si="33"/>
        <v>0</v>
      </c>
      <c r="X87" s="29">
        <f t="shared" si="34"/>
        <v>23643.985726819548</v>
      </c>
      <c r="Y87">
        <f t="shared" si="35"/>
        <v>0</v>
      </c>
    </row>
    <row r="88" spans="1:25" x14ac:dyDescent="0.25">
      <c r="A88" s="4" t="s">
        <v>825</v>
      </c>
      <c r="B88" s="7" t="s">
        <v>132</v>
      </c>
      <c r="C88" s="2" t="s">
        <v>826</v>
      </c>
      <c r="D88">
        <f>VLOOKUP(B88,'Model allocations'!$A$1:$L$316,6,FALSE)</f>
        <v>9858.245021560786</v>
      </c>
      <c r="E88" s="31">
        <f>VLOOKUP(B88,'Initial adjusted formula count'!$A$1:$P$316,12,FALSE)</f>
        <v>0.16129032258064499</v>
      </c>
      <c r="F88">
        <f>VLOOKUP(B88,'Model allocations'!$A$1:$L$316,11,FALSE)</f>
        <v>8872.4205194047081</v>
      </c>
      <c r="G88" s="30">
        <f t="shared" si="36"/>
        <v>0.9</v>
      </c>
      <c r="H88">
        <f t="shared" si="37"/>
        <v>8872.4205194047081</v>
      </c>
      <c r="I88">
        <f t="shared" si="19"/>
        <v>0</v>
      </c>
      <c r="J88">
        <f t="shared" si="20"/>
        <v>8872.4205194047081</v>
      </c>
      <c r="K88">
        <f t="shared" si="21"/>
        <v>8865.1597301305774</v>
      </c>
      <c r="L88">
        <f t="shared" si="22"/>
        <v>8865.1597301305774</v>
      </c>
      <c r="M88">
        <f t="shared" si="23"/>
        <v>8872.4205194047081</v>
      </c>
      <c r="N88" s="29">
        <f t="shared" si="24"/>
        <v>0</v>
      </c>
      <c r="O88" s="29">
        <f t="shared" si="25"/>
        <v>0</v>
      </c>
      <c r="P88" s="29">
        <f t="shared" si="26"/>
        <v>8872.4205194047081</v>
      </c>
      <c r="Q88">
        <f t="shared" si="27"/>
        <v>0</v>
      </c>
      <c r="R88" s="29">
        <f t="shared" si="28"/>
        <v>0</v>
      </c>
      <c r="S88" s="29">
        <f t="shared" si="29"/>
        <v>0</v>
      </c>
      <c r="T88" s="29">
        <f t="shared" si="30"/>
        <v>8872.4205194047081</v>
      </c>
      <c r="U88">
        <f t="shared" si="31"/>
        <v>0</v>
      </c>
      <c r="V88" s="29">
        <f t="shared" si="32"/>
        <v>0</v>
      </c>
      <c r="W88" s="29">
        <f t="shared" si="33"/>
        <v>0</v>
      </c>
      <c r="X88" s="29">
        <f t="shared" si="34"/>
        <v>8872.4205194047081</v>
      </c>
      <c r="Y88">
        <f t="shared" si="35"/>
        <v>0</v>
      </c>
    </row>
    <row r="89" spans="1:25" x14ac:dyDescent="0.25">
      <c r="A89" s="4" t="s">
        <v>827</v>
      </c>
      <c r="B89" s="7" t="s">
        <v>405</v>
      </c>
      <c r="C89" s="2" t="s">
        <v>828</v>
      </c>
      <c r="D89">
        <f>VLOOKUP(B89,'Model allocations'!$A$1:$L$316,6,FALSE)</f>
        <v>140612.63328413441</v>
      </c>
      <c r="E89" s="31">
        <f>VLOOKUP(B89,'Initial adjusted formula count'!$A$1:$P$316,12,FALSE)</f>
        <v>0.154275092936803</v>
      </c>
      <c r="F89">
        <f>VLOOKUP(B89,'Model allocations'!$A$1:$L$316,11,FALSE)</f>
        <v>126551.36995572098</v>
      </c>
      <c r="G89" s="30">
        <f t="shared" si="36"/>
        <v>0.9</v>
      </c>
      <c r="H89">
        <f t="shared" si="37"/>
        <v>126551.36995572098</v>
      </c>
      <c r="I89">
        <f t="shared" si="19"/>
        <v>0</v>
      </c>
      <c r="J89">
        <f t="shared" si="20"/>
        <v>126551.36995572098</v>
      </c>
      <c r="K89">
        <f t="shared" si="21"/>
        <v>126447.80601535189</v>
      </c>
      <c r="L89">
        <f t="shared" si="22"/>
        <v>126447.80601535189</v>
      </c>
      <c r="M89">
        <f t="shared" si="23"/>
        <v>126551.36995572098</v>
      </c>
      <c r="N89" s="29">
        <f t="shared" si="24"/>
        <v>0</v>
      </c>
      <c r="O89" s="29">
        <f t="shared" si="25"/>
        <v>0</v>
      </c>
      <c r="P89" s="29">
        <f t="shared" si="26"/>
        <v>126551.36995572098</v>
      </c>
      <c r="Q89">
        <f t="shared" si="27"/>
        <v>0</v>
      </c>
      <c r="R89" s="29">
        <f t="shared" si="28"/>
        <v>0</v>
      </c>
      <c r="S89" s="29">
        <f t="shared" si="29"/>
        <v>0</v>
      </c>
      <c r="T89" s="29">
        <f t="shared" si="30"/>
        <v>126551.36995572098</v>
      </c>
      <c r="U89">
        <f t="shared" si="31"/>
        <v>0</v>
      </c>
      <c r="V89" s="29">
        <f t="shared" si="32"/>
        <v>0</v>
      </c>
      <c r="W89" s="29">
        <f t="shared" si="33"/>
        <v>0</v>
      </c>
      <c r="X89" s="29">
        <f t="shared" si="34"/>
        <v>126551.36995572098</v>
      </c>
      <c r="Y89">
        <f t="shared" si="35"/>
        <v>0</v>
      </c>
    </row>
    <row r="90" spans="1:25" x14ac:dyDescent="0.25">
      <c r="A90" s="4" t="s">
        <v>829</v>
      </c>
      <c r="B90" s="7" t="s">
        <v>407</v>
      </c>
      <c r="C90" s="2" t="s">
        <v>830</v>
      </c>
      <c r="D90">
        <f>VLOOKUP(B90,'Model allocations'!$A$1:$L$316,6,FALSE)</f>
        <v>68791.564774375103</v>
      </c>
      <c r="E90" s="31">
        <f>VLOOKUP(B90,'Initial adjusted formula count'!$A$1:$P$316,12,FALSE)</f>
        <v>0.23432835820895501</v>
      </c>
      <c r="F90">
        <f>VLOOKUP(B90,'Model allocations'!$A$1:$L$316,11,FALSE)</f>
        <v>114734.23151392544</v>
      </c>
      <c r="G90" s="30">
        <f t="shared" si="36"/>
        <v>0.9</v>
      </c>
      <c r="H90">
        <f t="shared" si="37"/>
        <v>61912.408296937596</v>
      </c>
      <c r="I90">
        <f t="shared" si="19"/>
        <v>0</v>
      </c>
      <c r="J90">
        <f t="shared" si="20"/>
        <v>114734.23151392544</v>
      </c>
      <c r="K90">
        <f t="shared" si="21"/>
        <v>114640.33818732644</v>
      </c>
      <c r="L90">
        <f t="shared" si="22"/>
        <v>114640.33818732644</v>
      </c>
      <c r="M90">
        <f t="shared" si="23"/>
        <v>0</v>
      </c>
      <c r="N90" s="29">
        <f t="shared" si="24"/>
        <v>114640.33818732644</v>
      </c>
      <c r="O90" s="29">
        <f t="shared" si="25"/>
        <v>114632.43864332544</v>
      </c>
      <c r="P90" s="29">
        <f t="shared" si="26"/>
        <v>114632.43864332544</v>
      </c>
      <c r="Q90">
        <f t="shared" si="27"/>
        <v>0</v>
      </c>
      <c r="R90" s="29">
        <f t="shared" si="28"/>
        <v>114632.43864332544</v>
      </c>
      <c r="S90" s="29">
        <f t="shared" si="29"/>
        <v>114632.30105531881</v>
      </c>
      <c r="T90" s="29">
        <f t="shared" si="30"/>
        <v>114632.30105531881</v>
      </c>
      <c r="U90">
        <f t="shared" si="31"/>
        <v>0</v>
      </c>
      <c r="V90" s="29">
        <f t="shared" si="32"/>
        <v>114632.30105531881</v>
      </c>
      <c r="W90" s="29">
        <f t="shared" si="33"/>
        <v>114632.30105531881</v>
      </c>
      <c r="X90" s="29">
        <f t="shared" si="34"/>
        <v>114632.30105531881</v>
      </c>
      <c r="Y90">
        <f t="shared" si="35"/>
        <v>0</v>
      </c>
    </row>
    <row r="91" spans="1:25" x14ac:dyDescent="0.25">
      <c r="A91" s="4" t="s">
        <v>831</v>
      </c>
      <c r="B91" s="7" t="s">
        <v>409</v>
      </c>
      <c r="C91" s="2" t="s">
        <v>832</v>
      </c>
      <c r="D91">
        <f>VLOOKUP(B91,'Model allocations'!$A$1:$L$316,6,FALSE)</f>
        <v>568880.06303286355</v>
      </c>
      <c r="E91" s="31">
        <f>VLOOKUP(B91,'Initial adjusted formula count'!$A$1:$P$316,12,FALSE)</f>
        <v>0.22306034482758599</v>
      </c>
      <c r="F91">
        <f>VLOOKUP(B91,'Model allocations'!$A$1:$L$316,11,FALSE)</f>
        <v>576592.58862486249</v>
      </c>
      <c r="G91" s="30">
        <f t="shared" si="36"/>
        <v>0.9</v>
      </c>
      <c r="H91">
        <f t="shared" si="37"/>
        <v>511992.05672957719</v>
      </c>
      <c r="I91">
        <f t="shared" si="19"/>
        <v>0</v>
      </c>
      <c r="J91">
        <f t="shared" si="20"/>
        <v>576592.58862486249</v>
      </c>
      <c r="K91">
        <f t="shared" si="21"/>
        <v>576120.73122429464</v>
      </c>
      <c r="L91">
        <f t="shared" si="22"/>
        <v>576120.73122429464</v>
      </c>
      <c r="M91">
        <f t="shared" si="23"/>
        <v>0</v>
      </c>
      <c r="N91" s="29">
        <f t="shared" si="24"/>
        <v>576120.73122429464</v>
      </c>
      <c r="O91" s="29">
        <f t="shared" si="25"/>
        <v>576081.03236141475</v>
      </c>
      <c r="P91" s="29">
        <f t="shared" si="26"/>
        <v>576081.03236141475</v>
      </c>
      <c r="Q91">
        <f t="shared" si="27"/>
        <v>0</v>
      </c>
      <c r="R91" s="29">
        <f t="shared" si="28"/>
        <v>576081.03236141475</v>
      </c>
      <c r="S91" s="29">
        <f t="shared" si="29"/>
        <v>576080.3409180342</v>
      </c>
      <c r="T91" s="29">
        <f t="shared" si="30"/>
        <v>576080.3409180342</v>
      </c>
      <c r="U91">
        <f t="shared" si="31"/>
        <v>0</v>
      </c>
      <c r="V91" s="29">
        <f t="shared" si="32"/>
        <v>576080.3409180342</v>
      </c>
      <c r="W91" s="29">
        <f t="shared" si="33"/>
        <v>576080.3409180342</v>
      </c>
      <c r="X91" s="29">
        <f t="shared" si="34"/>
        <v>576080.3409180342</v>
      </c>
      <c r="Y91">
        <f t="shared" si="35"/>
        <v>0</v>
      </c>
    </row>
    <row r="92" spans="1:25" x14ac:dyDescent="0.25">
      <c r="A92" s="4" t="s">
        <v>833</v>
      </c>
      <c r="B92" s="7" t="s">
        <v>411</v>
      </c>
      <c r="C92" s="2" t="s">
        <v>834</v>
      </c>
      <c r="D92">
        <f>VLOOKUP(B92,'Model allocations'!$A$1:$L$316,6,FALSE)</f>
        <v>243818.27906383268</v>
      </c>
      <c r="E92" s="31">
        <f>VLOOKUP(B92,'Initial adjusted formula count'!$A$1:$P$316,12,FALSE)</f>
        <v>0.15852885225110999</v>
      </c>
      <c r="F92">
        <f>VLOOKUP(B92,'Model allocations'!$A$1:$L$316,11,FALSE)</f>
        <v>219436.45115744942</v>
      </c>
      <c r="G92" s="30">
        <f t="shared" si="36"/>
        <v>0.9</v>
      </c>
      <c r="H92">
        <f t="shared" si="37"/>
        <v>219436.45115744942</v>
      </c>
      <c r="I92">
        <f t="shared" si="19"/>
        <v>0</v>
      </c>
      <c r="J92">
        <f t="shared" si="20"/>
        <v>219436.45115744942</v>
      </c>
      <c r="K92">
        <f t="shared" si="21"/>
        <v>219256.87425085073</v>
      </c>
      <c r="L92">
        <f t="shared" si="22"/>
        <v>219256.87425085073</v>
      </c>
      <c r="M92">
        <f t="shared" si="23"/>
        <v>219436.45115744942</v>
      </c>
      <c r="N92" s="29">
        <f t="shared" si="24"/>
        <v>0</v>
      </c>
      <c r="O92" s="29">
        <f t="shared" si="25"/>
        <v>0</v>
      </c>
      <c r="P92" s="29">
        <f t="shared" si="26"/>
        <v>219436.45115744942</v>
      </c>
      <c r="Q92">
        <f t="shared" si="27"/>
        <v>0</v>
      </c>
      <c r="R92" s="29">
        <f t="shared" si="28"/>
        <v>0</v>
      </c>
      <c r="S92" s="29">
        <f t="shared" si="29"/>
        <v>0</v>
      </c>
      <c r="T92" s="29">
        <f t="shared" si="30"/>
        <v>219436.45115744942</v>
      </c>
      <c r="U92">
        <f t="shared" si="31"/>
        <v>0</v>
      </c>
      <c r="V92" s="29">
        <f t="shared" si="32"/>
        <v>0</v>
      </c>
      <c r="W92" s="29">
        <f t="shared" si="33"/>
        <v>0</v>
      </c>
      <c r="X92" s="29">
        <f t="shared" si="34"/>
        <v>219436.45115744942</v>
      </c>
      <c r="Y92">
        <f t="shared" si="35"/>
        <v>0</v>
      </c>
    </row>
    <row r="93" spans="1:25" x14ac:dyDescent="0.25">
      <c r="A93" s="4" t="s">
        <v>835</v>
      </c>
      <c r="B93" s="7" t="s">
        <v>134</v>
      </c>
      <c r="C93" s="2" t="s">
        <v>836</v>
      </c>
      <c r="D93">
        <f>VLOOKUP(B93,'Model allocations'!$A$1:$L$316,6,FALSE)</f>
        <v>104342.75827740594</v>
      </c>
      <c r="E93" s="31">
        <f>VLOOKUP(B93,'Initial adjusted formula count'!$A$1:$P$316,12,FALSE)</f>
        <v>6.6596194503171197E-2</v>
      </c>
      <c r="F93">
        <f>VLOOKUP(B93,'Model allocations'!$A$1:$L$316,11,FALSE)</f>
        <v>106764.85636875946</v>
      </c>
      <c r="G93" s="30">
        <f t="shared" si="36"/>
        <v>0.85</v>
      </c>
      <c r="H93">
        <f t="shared" si="37"/>
        <v>88691.34453579504</v>
      </c>
      <c r="I93">
        <f t="shared" si="19"/>
        <v>0</v>
      </c>
      <c r="J93">
        <f t="shared" si="20"/>
        <v>106764.85636875946</v>
      </c>
      <c r="K93">
        <f t="shared" si="21"/>
        <v>106677.48481978013</v>
      </c>
      <c r="L93">
        <f t="shared" si="22"/>
        <v>106677.48481978013</v>
      </c>
      <c r="M93">
        <f t="shared" si="23"/>
        <v>0</v>
      </c>
      <c r="N93" s="29">
        <f t="shared" si="24"/>
        <v>106677.48481978013</v>
      </c>
      <c r="O93" s="29">
        <f t="shared" si="25"/>
        <v>106670.13397365934</v>
      </c>
      <c r="P93" s="29">
        <f t="shared" si="26"/>
        <v>106670.13397365934</v>
      </c>
      <c r="Q93">
        <f t="shared" si="27"/>
        <v>0</v>
      </c>
      <c r="R93" s="29">
        <f t="shared" si="28"/>
        <v>106670.13397365934</v>
      </c>
      <c r="S93" s="29">
        <f t="shared" si="29"/>
        <v>106670.00594243821</v>
      </c>
      <c r="T93" s="29">
        <f t="shared" si="30"/>
        <v>106670.00594243821</v>
      </c>
      <c r="U93">
        <f t="shared" si="31"/>
        <v>0</v>
      </c>
      <c r="V93" s="29">
        <f t="shared" si="32"/>
        <v>106670.00594243821</v>
      </c>
      <c r="W93" s="29">
        <f t="shared" si="33"/>
        <v>106670.00594243821</v>
      </c>
      <c r="X93" s="29">
        <f t="shared" si="34"/>
        <v>106670.00594243821</v>
      </c>
      <c r="Y93">
        <f t="shared" si="35"/>
        <v>0</v>
      </c>
    </row>
    <row r="94" spans="1:25" x14ac:dyDescent="0.25">
      <c r="A94" s="4" t="s">
        <v>837</v>
      </c>
      <c r="B94" s="7" t="s">
        <v>413</v>
      </c>
      <c r="C94" s="2" t="s">
        <v>838</v>
      </c>
      <c r="D94">
        <f>VLOOKUP(B94,'Model allocations'!$A$1:$L$316,6,FALSE)</f>
        <v>19902.202464465328</v>
      </c>
      <c r="E94" s="31">
        <f>VLOOKUP(B94,'Initial adjusted formula count'!$A$1:$P$316,12,FALSE)</f>
        <v>0.100864553314121</v>
      </c>
      <c r="F94">
        <f>VLOOKUP(B94,'Model allocations'!$A$1:$L$316,11,FALSE)</f>
        <v>19771.269697918415</v>
      </c>
      <c r="G94" s="30">
        <f t="shared" si="36"/>
        <v>0.85</v>
      </c>
      <c r="H94">
        <f t="shared" si="37"/>
        <v>16916.87209479553</v>
      </c>
      <c r="I94">
        <f t="shared" si="19"/>
        <v>0</v>
      </c>
      <c r="J94">
        <f t="shared" si="20"/>
        <v>19771.269697918415</v>
      </c>
      <c r="K94">
        <f t="shared" si="21"/>
        <v>19755.089781440758</v>
      </c>
      <c r="L94">
        <f t="shared" si="22"/>
        <v>19755.089781440758</v>
      </c>
      <c r="M94">
        <f t="shared" si="23"/>
        <v>0</v>
      </c>
      <c r="N94" s="29">
        <f t="shared" si="24"/>
        <v>19755.089781440758</v>
      </c>
      <c r="O94" s="29">
        <f t="shared" si="25"/>
        <v>19753.728513640614</v>
      </c>
      <c r="P94" s="29">
        <f t="shared" si="26"/>
        <v>19753.728513640614</v>
      </c>
      <c r="Q94">
        <f t="shared" si="27"/>
        <v>0</v>
      </c>
      <c r="R94" s="29">
        <f t="shared" si="28"/>
        <v>19753.728513640614</v>
      </c>
      <c r="S94" s="29">
        <f t="shared" si="29"/>
        <v>19753.704804155219</v>
      </c>
      <c r="T94" s="29">
        <f t="shared" si="30"/>
        <v>19753.704804155219</v>
      </c>
      <c r="U94">
        <f t="shared" si="31"/>
        <v>0</v>
      </c>
      <c r="V94" s="29">
        <f t="shared" si="32"/>
        <v>19753.704804155219</v>
      </c>
      <c r="W94" s="29">
        <f t="shared" si="33"/>
        <v>19753.704804155219</v>
      </c>
      <c r="X94" s="29">
        <f t="shared" si="34"/>
        <v>19753.704804155219</v>
      </c>
      <c r="Y94">
        <f t="shared" si="35"/>
        <v>0</v>
      </c>
    </row>
    <row r="95" spans="1:25" x14ac:dyDescent="0.25">
      <c r="A95" s="4" t="s">
        <v>839</v>
      </c>
      <c r="B95" s="7" t="s">
        <v>415</v>
      </c>
      <c r="C95" s="2" t="s">
        <v>840</v>
      </c>
      <c r="D95">
        <f>VLOOKUP(B95,'Model allocations'!$A$1:$L$316,6,FALSE)</f>
        <v>27818.586888810871</v>
      </c>
      <c r="E95" s="31">
        <f>VLOOKUP(B95,'Initial adjusted formula count'!$A$1:$P$316,12,FALSE)</f>
        <v>0.175531914893617</v>
      </c>
      <c r="F95">
        <f>VLOOKUP(B95,'Model allocations'!$A$1:$L$316,11,FALSE)</f>
        <v>24841.128760867832</v>
      </c>
      <c r="G95" s="30">
        <f t="shared" si="36"/>
        <v>0.9</v>
      </c>
      <c r="H95">
        <f t="shared" si="37"/>
        <v>25036.728199929785</v>
      </c>
      <c r="I95">
        <f t="shared" si="19"/>
        <v>25036.728199929785</v>
      </c>
      <c r="J95">
        <f t="shared" si="20"/>
        <v>0</v>
      </c>
      <c r="K95">
        <f t="shared" si="21"/>
        <v>0</v>
      </c>
      <c r="L95">
        <f t="shared" si="22"/>
        <v>25036.728199929785</v>
      </c>
      <c r="M95">
        <f t="shared" si="23"/>
        <v>0</v>
      </c>
      <c r="N95" s="29">
        <f t="shared" si="24"/>
        <v>0</v>
      </c>
      <c r="O95" s="29">
        <f t="shared" si="25"/>
        <v>0</v>
      </c>
      <c r="P95" s="29">
        <f t="shared" si="26"/>
        <v>25036.728199929785</v>
      </c>
      <c r="Q95">
        <f t="shared" si="27"/>
        <v>0</v>
      </c>
      <c r="R95" s="29">
        <f t="shared" si="28"/>
        <v>0</v>
      </c>
      <c r="S95" s="29">
        <f t="shared" si="29"/>
        <v>0</v>
      </c>
      <c r="T95" s="29">
        <f t="shared" si="30"/>
        <v>25036.728199929785</v>
      </c>
      <c r="U95">
        <f t="shared" si="31"/>
        <v>0</v>
      </c>
      <c r="V95" s="29">
        <f t="shared" si="32"/>
        <v>0</v>
      </c>
      <c r="W95" s="29">
        <f t="shared" si="33"/>
        <v>0</v>
      </c>
      <c r="X95" s="29">
        <f t="shared" si="34"/>
        <v>25036.728199929785</v>
      </c>
      <c r="Y95">
        <f t="shared" si="35"/>
        <v>0</v>
      </c>
    </row>
    <row r="96" spans="1:25" x14ac:dyDescent="0.25">
      <c r="A96" s="4" t="s">
        <v>841</v>
      </c>
      <c r="B96" s="7" t="s">
        <v>136</v>
      </c>
      <c r="C96" s="2" t="s">
        <v>842</v>
      </c>
      <c r="D96">
        <f>VLOOKUP(B96,'Model allocations'!$A$1:$L$316,6,FALSE)</f>
        <v>7693.4752646935249</v>
      </c>
      <c r="E96" s="31">
        <f>VLOOKUP(B96,'Initial adjusted formula count'!$A$1:$P$316,12,FALSE)</f>
        <v>6.3414634146341506E-2</v>
      </c>
      <c r="F96">
        <f>VLOOKUP(B96,'Model allocations'!$A$1:$L$316,11,FALSE)</f>
        <v>7343.6144592268411</v>
      </c>
      <c r="G96" s="30">
        <f t="shared" si="36"/>
        <v>0.85</v>
      </c>
      <c r="H96">
        <f t="shared" si="37"/>
        <v>6539.4539749894957</v>
      </c>
      <c r="I96">
        <f t="shared" si="19"/>
        <v>0</v>
      </c>
      <c r="J96">
        <f t="shared" si="20"/>
        <v>7343.6144592268411</v>
      </c>
      <c r="K96">
        <f t="shared" si="21"/>
        <v>7337.6047759637122</v>
      </c>
      <c r="L96">
        <f t="shared" si="22"/>
        <v>7337.6047759637122</v>
      </c>
      <c r="M96">
        <f t="shared" si="23"/>
        <v>0</v>
      </c>
      <c r="N96" s="29">
        <f t="shared" si="24"/>
        <v>7337.6047759637122</v>
      </c>
      <c r="O96" s="29">
        <f t="shared" si="25"/>
        <v>7337.0991622093725</v>
      </c>
      <c r="P96" s="29">
        <f t="shared" si="26"/>
        <v>7337.0991622093725</v>
      </c>
      <c r="Q96">
        <f t="shared" si="27"/>
        <v>0</v>
      </c>
      <c r="R96" s="29">
        <f t="shared" si="28"/>
        <v>7337.0991622093725</v>
      </c>
      <c r="S96" s="29">
        <f t="shared" si="29"/>
        <v>7337.0903558290829</v>
      </c>
      <c r="T96" s="29">
        <f t="shared" si="30"/>
        <v>7337.0903558290829</v>
      </c>
      <c r="U96">
        <f t="shared" si="31"/>
        <v>0</v>
      </c>
      <c r="V96" s="29">
        <f t="shared" si="32"/>
        <v>7337.0903558290829</v>
      </c>
      <c r="W96" s="29">
        <f t="shared" si="33"/>
        <v>7337.0903558290829</v>
      </c>
      <c r="X96" s="29">
        <f t="shared" si="34"/>
        <v>7337.0903558290829</v>
      </c>
      <c r="Y96">
        <f t="shared" si="35"/>
        <v>0</v>
      </c>
    </row>
    <row r="97" spans="1:25" x14ac:dyDescent="0.25">
      <c r="A97" s="4" t="s">
        <v>843</v>
      </c>
      <c r="B97" s="7" t="s">
        <v>138</v>
      </c>
      <c r="C97" s="2" t="s">
        <v>844</v>
      </c>
      <c r="D97">
        <f>VLOOKUP(B97,'Model allocations'!$A$1:$L$316,6,FALSE)</f>
        <v>27779.697623715147</v>
      </c>
      <c r="E97" s="31">
        <f>VLOOKUP(B97,'Initial adjusted formula count'!$A$1:$P$316,12,FALSE)</f>
        <v>5.6603773584905703E-2</v>
      </c>
      <c r="F97">
        <f>VLOOKUP(B97,'Model allocations'!$A$1:$L$316,11,FALSE)</f>
        <v>28809.564416966841</v>
      </c>
      <c r="G97" s="30">
        <f t="shared" si="36"/>
        <v>0.85</v>
      </c>
      <c r="H97">
        <f t="shared" si="37"/>
        <v>23612.742980157873</v>
      </c>
      <c r="I97">
        <f t="shared" si="19"/>
        <v>0</v>
      </c>
      <c r="J97">
        <f t="shared" si="20"/>
        <v>28809.564416966841</v>
      </c>
      <c r="K97">
        <f t="shared" si="21"/>
        <v>28785.987967242258</v>
      </c>
      <c r="L97">
        <f t="shared" si="22"/>
        <v>28785.987967242258</v>
      </c>
      <c r="M97">
        <f t="shared" si="23"/>
        <v>0</v>
      </c>
      <c r="N97" s="29">
        <f t="shared" si="24"/>
        <v>28785.987967242258</v>
      </c>
      <c r="O97" s="29">
        <f t="shared" si="25"/>
        <v>28784.004405590618</v>
      </c>
      <c r="P97" s="29">
        <f t="shared" si="26"/>
        <v>28784.004405590618</v>
      </c>
      <c r="Q97">
        <f t="shared" si="27"/>
        <v>0</v>
      </c>
      <c r="R97" s="29">
        <f t="shared" si="28"/>
        <v>28784.004405590618</v>
      </c>
      <c r="S97" s="29">
        <f t="shared" si="29"/>
        <v>28783.969857483327</v>
      </c>
      <c r="T97" s="29">
        <f t="shared" si="30"/>
        <v>28783.969857483327</v>
      </c>
      <c r="U97">
        <f t="shared" si="31"/>
        <v>0</v>
      </c>
      <c r="V97" s="29">
        <f t="shared" si="32"/>
        <v>28783.969857483327</v>
      </c>
      <c r="W97" s="29">
        <f t="shared" si="33"/>
        <v>28783.969857483327</v>
      </c>
      <c r="X97" s="29">
        <f t="shared" si="34"/>
        <v>28783.969857483327</v>
      </c>
      <c r="Y97">
        <f t="shared" si="35"/>
        <v>0</v>
      </c>
    </row>
    <row r="98" spans="1:25" x14ac:dyDescent="0.25">
      <c r="A98" s="4" t="s">
        <v>845</v>
      </c>
      <c r="B98" s="7" t="s">
        <v>417</v>
      </c>
      <c r="C98" s="2" t="s">
        <v>846</v>
      </c>
      <c r="D98">
        <f>VLOOKUP(B98,'Model allocations'!$A$1:$L$316,6,FALSE)</f>
        <v>15846.282597067166</v>
      </c>
      <c r="E98" s="31">
        <f>VLOOKUP(B98,'Initial adjusted formula count'!$A$1:$P$316,12,FALSE)</f>
        <v>0.17241379310344801</v>
      </c>
      <c r="F98">
        <f>VLOOKUP(B98,'Model allocations'!$A$1:$L$316,11,FALSE)</f>
        <v>15142.956684990701</v>
      </c>
      <c r="G98" s="30">
        <f t="shared" si="36"/>
        <v>0.9</v>
      </c>
      <c r="H98">
        <f t="shared" si="37"/>
        <v>14261.654337360449</v>
      </c>
      <c r="I98">
        <f t="shared" si="19"/>
        <v>0</v>
      </c>
      <c r="J98">
        <f t="shared" si="20"/>
        <v>15142.956684990701</v>
      </c>
      <c r="K98">
        <f t="shared" si="21"/>
        <v>15130.564371389633</v>
      </c>
      <c r="L98">
        <f t="shared" si="22"/>
        <v>15130.564371389633</v>
      </c>
      <c r="M98">
        <f t="shared" si="23"/>
        <v>0</v>
      </c>
      <c r="N98" s="29">
        <f t="shared" si="24"/>
        <v>15130.564371389633</v>
      </c>
      <c r="O98" s="29">
        <f t="shared" si="25"/>
        <v>15129.521766658161</v>
      </c>
      <c r="P98" s="29">
        <f t="shared" si="26"/>
        <v>15129.521766658161</v>
      </c>
      <c r="Q98">
        <f t="shared" si="27"/>
        <v>0</v>
      </c>
      <c r="R98" s="29">
        <f t="shared" si="28"/>
        <v>15129.521766658161</v>
      </c>
      <c r="S98" s="29">
        <f t="shared" si="29"/>
        <v>15129.503607393945</v>
      </c>
      <c r="T98" s="29">
        <f t="shared" si="30"/>
        <v>15129.503607393945</v>
      </c>
      <c r="U98">
        <f t="shared" si="31"/>
        <v>0</v>
      </c>
      <c r="V98" s="29">
        <f t="shared" si="32"/>
        <v>15129.503607393945</v>
      </c>
      <c r="W98" s="29">
        <f t="shared" si="33"/>
        <v>15129.503607393945</v>
      </c>
      <c r="X98" s="29">
        <f t="shared" si="34"/>
        <v>15129.503607393945</v>
      </c>
      <c r="Y98">
        <f t="shared" si="35"/>
        <v>0</v>
      </c>
    </row>
    <row r="99" spans="1:25" x14ac:dyDescent="0.25">
      <c r="A99" s="4" t="s">
        <v>847</v>
      </c>
      <c r="B99" s="7" t="s">
        <v>419</v>
      </c>
      <c r="C99" s="2" t="s">
        <v>848</v>
      </c>
      <c r="D99">
        <f>VLOOKUP(B99,'Model allocations'!$A$1:$L$316,6,FALSE)</f>
        <v>126277.24093081043</v>
      </c>
      <c r="E99" s="31">
        <f>VLOOKUP(B99,'Initial adjusted formula count'!$A$1:$P$316,12,FALSE)</f>
        <v>0.103639240506329</v>
      </c>
      <c r="F99">
        <f>VLOOKUP(B99,'Model allocations'!$A$1:$L$316,11,FALSE)</f>
        <v>107335.65479118886</v>
      </c>
      <c r="G99" s="30">
        <f t="shared" si="36"/>
        <v>0.85</v>
      </c>
      <c r="H99">
        <f t="shared" si="37"/>
        <v>107335.65479118886</v>
      </c>
      <c r="I99">
        <f t="shared" si="19"/>
        <v>0</v>
      </c>
      <c r="J99">
        <f t="shared" si="20"/>
        <v>107335.65479118886</v>
      </c>
      <c r="K99">
        <f t="shared" si="21"/>
        <v>107247.81612649355</v>
      </c>
      <c r="L99">
        <f t="shared" si="22"/>
        <v>107247.81612649355</v>
      </c>
      <c r="M99">
        <f t="shared" si="23"/>
        <v>107335.65479118886</v>
      </c>
      <c r="N99" s="29">
        <f t="shared" si="24"/>
        <v>0</v>
      </c>
      <c r="O99" s="29">
        <f t="shared" si="25"/>
        <v>0</v>
      </c>
      <c r="P99" s="29">
        <f t="shared" si="26"/>
        <v>107335.65479118886</v>
      </c>
      <c r="Q99">
        <f t="shared" si="27"/>
        <v>0</v>
      </c>
      <c r="R99" s="29">
        <f t="shared" si="28"/>
        <v>0</v>
      </c>
      <c r="S99" s="29">
        <f t="shared" si="29"/>
        <v>0</v>
      </c>
      <c r="T99" s="29">
        <f t="shared" si="30"/>
        <v>107335.65479118886</v>
      </c>
      <c r="U99">
        <f t="shared" si="31"/>
        <v>0</v>
      </c>
      <c r="V99" s="29">
        <f t="shared" si="32"/>
        <v>0</v>
      </c>
      <c r="W99" s="29">
        <f t="shared" si="33"/>
        <v>0</v>
      </c>
      <c r="X99" s="29">
        <f t="shared" si="34"/>
        <v>107335.65479118886</v>
      </c>
      <c r="Y99">
        <f t="shared" si="35"/>
        <v>0</v>
      </c>
    </row>
    <row r="100" spans="1:25" x14ac:dyDescent="0.25">
      <c r="A100" s="4" t="s">
        <v>18</v>
      </c>
      <c r="B100" s="7" t="s">
        <v>57</v>
      </c>
      <c r="C100" s="2" t="s">
        <v>849</v>
      </c>
      <c r="D100">
        <f>VLOOKUP(B100,'Model allocations'!$A$1:$L$316,6,FALSE)</f>
        <v>2953140.4563668706</v>
      </c>
      <c r="E100" s="31">
        <f>VLOOKUP(B100,'Initial adjusted formula count'!$A$1:$P$316,12,FALSE)</f>
        <v>0.16976354908917801</v>
      </c>
      <c r="F100">
        <f>VLOOKUP(B100,'Model allocations'!$A$1:$L$316,11,FALSE)</f>
        <v>3023044.3167634201</v>
      </c>
      <c r="G100" s="30">
        <f t="shared" si="36"/>
        <v>0.9</v>
      </c>
      <c r="H100">
        <f t="shared" si="37"/>
        <v>2657826.4107301836</v>
      </c>
      <c r="I100">
        <f t="shared" si="19"/>
        <v>0</v>
      </c>
      <c r="J100">
        <f t="shared" si="20"/>
        <v>3023044.3167634201</v>
      </c>
      <c r="K100">
        <f t="shared" si="21"/>
        <v>3020570.3934746878</v>
      </c>
      <c r="L100">
        <f t="shared" si="22"/>
        <v>3020570.3934746878</v>
      </c>
      <c r="M100">
        <f t="shared" si="23"/>
        <v>0</v>
      </c>
      <c r="N100" s="29">
        <f t="shared" si="24"/>
        <v>3020570.3934746878</v>
      </c>
      <c r="O100" s="29">
        <f t="shared" si="25"/>
        <v>3020362.2544451924</v>
      </c>
      <c r="P100" s="29">
        <f t="shared" si="26"/>
        <v>3020362.2544451924</v>
      </c>
      <c r="Q100">
        <f t="shared" si="27"/>
        <v>0</v>
      </c>
      <c r="R100" s="29">
        <f t="shared" si="28"/>
        <v>3020362.2544451924</v>
      </c>
      <c r="S100" s="29">
        <f t="shared" si="29"/>
        <v>3020358.6292442735</v>
      </c>
      <c r="T100" s="29">
        <f t="shared" si="30"/>
        <v>3020358.6292442735</v>
      </c>
      <c r="U100">
        <f t="shared" si="31"/>
        <v>0</v>
      </c>
      <c r="V100" s="29">
        <f t="shared" si="32"/>
        <v>3020358.6292442735</v>
      </c>
      <c r="W100" s="29">
        <f t="shared" si="33"/>
        <v>3020358.6292442735</v>
      </c>
      <c r="X100" s="29">
        <f t="shared" si="34"/>
        <v>3020358.6292442735</v>
      </c>
      <c r="Y100">
        <f t="shared" si="35"/>
        <v>0</v>
      </c>
    </row>
    <row r="101" spans="1:25" x14ac:dyDescent="0.25">
      <c r="A101" s="4" t="s">
        <v>850</v>
      </c>
      <c r="B101" s="7" t="s">
        <v>140</v>
      </c>
      <c r="C101" s="2" t="s">
        <v>851</v>
      </c>
      <c r="D101">
        <f>VLOOKUP(B101,'Model allocations'!$A$1:$L$316,6,FALSE)</f>
        <v>0</v>
      </c>
      <c r="E101" s="31">
        <f>VLOOKUP(B101,'Initial adjusted formula count'!$A$1:$P$316,12,FALSE)</f>
        <v>5.3357865685372603E-2</v>
      </c>
      <c r="F101">
        <f>VLOOKUP(B101,'Model allocations'!$A$1:$L$316,11,FALSE)</f>
        <v>65527.636713101034</v>
      </c>
      <c r="G101" s="30">
        <f t="shared" si="36"/>
        <v>0.85</v>
      </c>
      <c r="H101">
        <f t="shared" si="37"/>
        <v>0</v>
      </c>
      <c r="I101">
        <f t="shared" si="19"/>
        <v>0</v>
      </c>
      <c r="J101">
        <f t="shared" si="20"/>
        <v>65527.636713101034</v>
      </c>
      <c r="K101">
        <f t="shared" si="21"/>
        <v>65474.011847060807</v>
      </c>
      <c r="L101">
        <f t="shared" si="22"/>
        <v>65474.011847060807</v>
      </c>
      <c r="M101">
        <f t="shared" si="23"/>
        <v>0</v>
      </c>
      <c r="N101" s="29">
        <f t="shared" si="24"/>
        <v>65474.011847060807</v>
      </c>
      <c r="O101" s="29">
        <f t="shared" si="25"/>
        <v>65469.500216637469</v>
      </c>
      <c r="P101" s="29">
        <f t="shared" si="26"/>
        <v>65469.500216637469</v>
      </c>
      <c r="Q101">
        <f t="shared" si="27"/>
        <v>0</v>
      </c>
      <c r="R101" s="29">
        <f t="shared" si="28"/>
        <v>65469.500216637469</v>
      </c>
      <c r="S101" s="29">
        <f t="shared" si="29"/>
        <v>65469.421636628736</v>
      </c>
      <c r="T101" s="29">
        <f t="shared" si="30"/>
        <v>65469.421636628736</v>
      </c>
      <c r="U101">
        <f t="shared" si="31"/>
        <v>0</v>
      </c>
      <c r="V101" s="29">
        <f t="shared" si="32"/>
        <v>65469.421636628736</v>
      </c>
      <c r="W101" s="29">
        <f t="shared" si="33"/>
        <v>65469.421636628736</v>
      </c>
      <c r="X101" s="29">
        <f t="shared" si="34"/>
        <v>65469.421636628736</v>
      </c>
      <c r="Y101">
        <f t="shared" si="35"/>
        <v>0</v>
      </c>
    </row>
    <row r="102" spans="1:25" x14ac:dyDescent="0.25">
      <c r="A102" s="4" t="s">
        <v>852</v>
      </c>
      <c r="B102" s="7" t="s">
        <v>421</v>
      </c>
      <c r="C102" s="2" t="s">
        <v>853</v>
      </c>
      <c r="D102">
        <f>VLOOKUP(B102,'Model allocations'!$A$1:$L$316,6,FALSE)</f>
        <v>93533.300516971052</v>
      </c>
      <c r="E102" s="31">
        <f>VLOOKUP(B102,'Initial adjusted formula count'!$A$1:$P$316,12,FALSE)</f>
        <v>0.15826330532212901</v>
      </c>
      <c r="F102">
        <f>VLOOKUP(B102,'Model allocations'!$A$1:$L$316,11,FALSE)</f>
        <v>84240.236729108321</v>
      </c>
      <c r="G102" s="30">
        <f t="shared" si="36"/>
        <v>0.9</v>
      </c>
      <c r="H102">
        <f t="shared" si="37"/>
        <v>84179.970465273946</v>
      </c>
      <c r="I102">
        <f t="shared" si="19"/>
        <v>0</v>
      </c>
      <c r="J102">
        <f t="shared" si="20"/>
        <v>84240.236729108321</v>
      </c>
      <c r="K102">
        <f t="shared" si="21"/>
        <v>84171.298314167856</v>
      </c>
      <c r="L102">
        <f t="shared" si="22"/>
        <v>84171.298314167856</v>
      </c>
      <c r="M102">
        <f t="shared" si="23"/>
        <v>84179.970465273946</v>
      </c>
      <c r="N102" s="29">
        <f t="shared" si="24"/>
        <v>0</v>
      </c>
      <c r="O102" s="29">
        <f t="shared" si="25"/>
        <v>0</v>
      </c>
      <c r="P102" s="29">
        <f t="shared" si="26"/>
        <v>84179.970465273946</v>
      </c>
      <c r="Q102">
        <f t="shared" si="27"/>
        <v>0</v>
      </c>
      <c r="R102" s="29">
        <f t="shared" si="28"/>
        <v>0</v>
      </c>
      <c r="S102" s="29">
        <f t="shared" si="29"/>
        <v>0</v>
      </c>
      <c r="T102" s="29">
        <f t="shared" si="30"/>
        <v>84179.970465273946</v>
      </c>
      <c r="U102">
        <f t="shared" si="31"/>
        <v>0</v>
      </c>
      <c r="V102" s="29">
        <f t="shared" si="32"/>
        <v>0</v>
      </c>
      <c r="W102" s="29">
        <f t="shared" si="33"/>
        <v>0</v>
      </c>
      <c r="X102" s="29">
        <f t="shared" si="34"/>
        <v>84179.970465273946</v>
      </c>
      <c r="Y102">
        <f t="shared" si="35"/>
        <v>0</v>
      </c>
    </row>
    <row r="103" spans="1:25" x14ac:dyDescent="0.25">
      <c r="A103" s="4" t="s">
        <v>854</v>
      </c>
      <c r="B103" s="7" t="s">
        <v>423</v>
      </c>
      <c r="C103" s="2" t="s">
        <v>855</v>
      </c>
      <c r="D103">
        <f>VLOOKUP(B103,'Model allocations'!$A$1:$L$316,6,FALSE)</f>
        <v>375054.64505303261</v>
      </c>
      <c r="E103" s="31">
        <f>VLOOKUP(B103,'Initial adjusted formula count'!$A$1:$P$316,12,FALSE)</f>
        <v>0.23790994997220699</v>
      </c>
      <c r="F103">
        <f>VLOOKUP(B103,'Model allocations'!$A$1:$L$316,11,FALSE)</f>
        <v>337549.18054772937</v>
      </c>
      <c r="G103" s="30">
        <f t="shared" si="36"/>
        <v>0.9</v>
      </c>
      <c r="H103">
        <f t="shared" si="37"/>
        <v>337549.18054772937</v>
      </c>
      <c r="I103">
        <f t="shared" si="19"/>
        <v>0</v>
      </c>
      <c r="J103">
        <f t="shared" si="20"/>
        <v>337549.18054772937</v>
      </c>
      <c r="K103">
        <f t="shared" si="21"/>
        <v>337272.94550406205</v>
      </c>
      <c r="L103">
        <f t="shared" si="22"/>
        <v>337272.94550406205</v>
      </c>
      <c r="M103">
        <f t="shared" si="23"/>
        <v>337549.18054772937</v>
      </c>
      <c r="N103" s="29">
        <f t="shared" si="24"/>
        <v>0</v>
      </c>
      <c r="O103" s="29">
        <f t="shared" si="25"/>
        <v>0</v>
      </c>
      <c r="P103" s="29">
        <f t="shared" si="26"/>
        <v>337549.18054772937</v>
      </c>
      <c r="Q103">
        <f t="shared" si="27"/>
        <v>0</v>
      </c>
      <c r="R103" s="29">
        <f t="shared" si="28"/>
        <v>0</v>
      </c>
      <c r="S103" s="29">
        <f t="shared" si="29"/>
        <v>0</v>
      </c>
      <c r="T103" s="29">
        <f t="shared" si="30"/>
        <v>337549.18054772937</v>
      </c>
      <c r="U103">
        <f t="shared" si="31"/>
        <v>0</v>
      </c>
      <c r="V103" s="29">
        <f t="shared" si="32"/>
        <v>0</v>
      </c>
      <c r="W103" s="29">
        <f t="shared" si="33"/>
        <v>0</v>
      </c>
      <c r="X103" s="29">
        <f t="shared" si="34"/>
        <v>337549.18054772937</v>
      </c>
      <c r="Y103">
        <f t="shared" si="35"/>
        <v>0</v>
      </c>
    </row>
    <row r="104" spans="1:25" x14ac:dyDescent="0.25">
      <c r="A104" s="4" t="s">
        <v>37</v>
      </c>
      <c r="B104" s="7" t="s">
        <v>79</v>
      </c>
      <c r="C104" s="2" t="s">
        <v>856</v>
      </c>
      <c r="D104">
        <f>VLOOKUP(B104,'Model allocations'!$A$1:$L$316,6,FALSE)</f>
        <v>47171.235341700361</v>
      </c>
      <c r="E104" s="31">
        <f>VLOOKUP(B104,'Initial adjusted formula count'!$A$1:$P$316,12,FALSE)</f>
        <v>0.18795482425996299</v>
      </c>
      <c r="F104">
        <f>VLOOKUP(B104,'Model allocations'!$A$1:$L$316,11,FALSE)</f>
        <v>54896.04401336977</v>
      </c>
      <c r="G104" s="30">
        <f t="shared" si="36"/>
        <v>0.9</v>
      </c>
      <c r="H104">
        <f t="shared" si="37"/>
        <v>42454.111807530324</v>
      </c>
      <c r="I104">
        <f t="shared" si="19"/>
        <v>0</v>
      </c>
      <c r="J104">
        <f t="shared" si="20"/>
        <v>54896.04401336977</v>
      </c>
      <c r="K104">
        <f t="shared" si="21"/>
        <v>54851.119563870023</v>
      </c>
      <c r="L104">
        <f t="shared" si="22"/>
        <v>54851.119563870023</v>
      </c>
      <c r="M104">
        <f t="shared" si="23"/>
        <v>0</v>
      </c>
      <c r="N104" s="29">
        <f t="shared" si="24"/>
        <v>54851.119563870023</v>
      </c>
      <c r="O104" s="29">
        <f t="shared" si="25"/>
        <v>54847.33992714397</v>
      </c>
      <c r="P104" s="29">
        <f t="shared" si="26"/>
        <v>54847.33992714397</v>
      </c>
      <c r="Q104">
        <f t="shared" si="27"/>
        <v>0</v>
      </c>
      <c r="R104" s="29">
        <f t="shared" si="28"/>
        <v>54847.33992714397</v>
      </c>
      <c r="S104" s="29">
        <f t="shared" si="29"/>
        <v>54847.274096422239</v>
      </c>
      <c r="T104" s="29">
        <f t="shared" si="30"/>
        <v>54847.274096422239</v>
      </c>
      <c r="U104">
        <f t="shared" si="31"/>
        <v>0</v>
      </c>
      <c r="V104" s="29">
        <f t="shared" si="32"/>
        <v>54847.274096422239</v>
      </c>
      <c r="W104" s="29">
        <f t="shared" si="33"/>
        <v>54847.274096422239</v>
      </c>
      <c r="X104" s="29">
        <f t="shared" si="34"/>
        <v>54847.274096422239</v>
      </c>
      <c r="Y104">
        <f t="shared" si="35"/>
        <v>0</v>
      </c>
    </row>
    <row r="105" spans="1:25" x14ac:dyDescent="0.25">
      <c r="A105" s="4" t="s">
        <v>40</v>
      </c>
      <c r="B105" s="7" t="s">
        <v>74</v>
      </c>
      <c r="C105" s="2" t="s">
        <v>857</v>
      </c>
      <c r="D105">
        <f>VLOOKUP(B105,'Model allocations'!$A$1:$L$316,6,FALSE)</f>
        <v>77571.228754217096</v>
      </c>
      <c r="E105" s="31">
        <f>VLOOKUP(B105,'Initial adjusted formula count'!$A$1:$P$316,12,FALSE)</f>
        <v>0.226714379582554</v>
      </c>
      <c r="F105">
        <f>VLOOKUP(B105,'Model allocations'!$A$1:$L$316,11,FALSE)</f>
        <v>76772.221674729401</v>
      </c>
      <c r="G105" s="30">
        <f t="shared" si="36"/>
        <v>0.9</v>
      </c>
      <c r="H105">
        <f t="shared" si="37"/>
        <v>69814.105878795395</v>
      </c>
      <c r="I105">
        <f t="shared" si="19"/>
        <v>0</v>
      </c>
      <c r="J105">
        <f t="shared" si="20"/>
        <v>76772.221674729401</v>
      </c>
      <c r="K105">
        <f t="shared" si="21"/>
        <v>76709.394746895225</v>
      </c>
      <c r="L105">
        <f t="shared" si="22"/>
        <v>76709.394746895225</v>
      </c>
      <c r="M105">
        <f t="shared" si="23"/>
        <v>0</v>
      </c>
      <c r="N105" s="29">
        <f t="shared" si="24"/>
        <v>76709.394746895225</v>
      </c>
      <c r="O105" s="29">
        <f t="shared" si="25"/>
        <v>76704.10891776497</v>
      </c>
      <c r="P105" s="29">
        <f t="shared" si="26"/>
        <v>76704.10891776497</v>
      </c>
      <c r="Q105">
        <f t="shared" si="27"/>
        <v>0</v>
      </c>
      <c r="R105" s="29">
        <f t="shared" si="28"/>
        <v>76704.10891776497</v>
      </c>
      <c r="S105" s="29">
        <f t="shared" si="29"/>
        <v>76704.016853375768</v>
      </c>
      <c r="T105" s="29">
        <f t="shared" si="30"/>
        <v>76704.016853375768</v>
      </c>
      <c r="U105">
        <f t="shared" si="31"/>
        <v>0</v>
      </c>
      <c r="V105" s="29">
        <f t="shared" si="32"/>
        <v>76704.016853375768</v>
      </c>
      <c r="W105" s="29">
        <f t="shared" si="33"/>
        <v>76704.016853375768</v>
      </c>
      <c r="X105" s="29">
        <f t="shared" si="34"/>
        <v>76704.016853375768</v>
      </c>
      <c r="Y105">
        <f t="shared" si="35"/>
        <v>0</v>
      </c>
    </row>
    <row r="106" spans="1:25" x14ac:dyDescent="0.25">
      <c r="A106" s="4" t="s">
        <v>44</v>
      </c>
      <c r="B106" s="7" t="s">
        <v>75</v>
      </c>
      <c r="C106" s="2" t="s">
        <v>858</v>
      </c>
      <c r="D106">
        <f>VLOOKUP(B106,'Model allocations'!$A$1:$L$316,6,FALSE)</f>
        <v>41489.119088355408</v>
      </c>
      <c r="E106" s="31">
        <f>VLOOKUP(B106,'Initial adjusted formula count'!$A$1:$P$316,12,FALSE)</f>
        <v>0.22095892257017499</v>
      </c>
      <c r="F106">
        <f>VLOOKUP(B106,'Model allocations'!$A$1:$L$316,11,FALSE)</f>
        <v>51513.828396463417</v>
      </c>
      <c r="G106" s="30">
        <f t="shared" si="36"/>
        <v>0.9</v>
      </c>
      <c r="H106">
        <f t="shared" si="37"/>
        <v>37340.207179519872</v>
      </c>
      <c r="I106">
        <f t="shared" si="19"/>
        <v>0</v>
      </c>
      <c r="J106">
        <f t="shared" si="20"/>
        <v>51513.828396463417</v>
      </c>
      <c r="K106">
        <f t="shared" si="21"/>
        <v>51471.671799864729</v>
      </c>
      <c r="L106">
        <f t="shared" si="22"/>
        <v>51471.671799864729</v>
      </c>
      <c r="M106">
        <f t="shared" si="23"/>
        <v>0</v>
      </c>
      <c r="N106" s="29">
        <f t="shared" si="24"/>
        <v>51471.671799864729</v>
      </c>
      <c r="O106" s="29">
        <f t="shared" si="25"/>
        <v>51468.125031400705</v>
      </c>
      <c r="P106" s="29">
        <f t="shared" si="26"/>
        <v>51468.125031400705</v>
      </c>
      <c r="Q106">
        <f t="shared" si="27"/>
        <v>0</v>
      </c>
      <c r="R106" s="29">
        <f t="shared" si="28"/>
        <v>51468.125031400705</v>
      </c>
      <c r="S106" s="29">
        <f t="shared" si="29"/>
        <v>51468.063256594098</v>
      </c>
      <c r="T106" s="29">
        <f t="shared" si="30"/>
        <v>51468.063256594098</v>
      </c>
      <c r="U106">
        <f t="shared" si="31"/>
        <v>0</v>
      </c>
      <c r="V106" s="29">
        <f t="shared" si="32"/>
        <v>51468.063256594098</v>
      </c>
      <c r="W106" s="29">
        <f t="shared" si="33"/>
        <v>51468.063256594098</v>
      </c>
      <c r="X106" s="29">
        <f t="shared" si="34"/>
        <v>51468.063256594098</v>
      </c>
      <c r="Y106">
        <f t="shared" si="35"/>
        <v>0</v>
      </c>
    </row>
    <row r="107" spans="1:25" x14ac:dyDescent="0.25">
      <c r="A107" s="4" t="s">
        <v>859</v>
      </c>
      <c r="B107" s="7" t="s">
        <v>425</v>
      </c>
      <c r="C107" s="2" t="s">
        <v>860</v>
      </c>
      <c r="D107">
        <f>VLOOKUP(B107,'Model allocations'!$A$1:$L$316,6,FALSE)</f>
        <v>52047.301638382109</v>
      </c>
      <c r="E107" s="31">
        <f>VLOOKUP(B107,'Initial adjusted formula count'!$A$1:$P$316,12,FALSE)</f>
        <v>0.26</v>
      </c>
      <c r="F107">
        <f>VLOOKUP(B107,'Model allocations'!$A$1:$L$316,11,FALSE)</f>
        <v>46876.107085872361</v>
      </c>
      <c r="G107" s="30">
        <f t="shared" si="36"/>
        <v>0.9</v>
      </c>
      <c r="H107">
        <f t="shared" si="37"/>
        <v>46842.571474543896</v>
      </c>
      <c r="I107">
        <f t="shared" si="19"/>
        <v>0</v>
      </c>
      <c r="J107">
        <f t="shared" si="20"/>
        <v>46876.107085872361</v>
      </c>
      <c r="K107">
        <f t="shared" si="21"/>
        <v>46837.745791477246</v>
      </c>
      <c r="L107">
        <f t="shared" si="22"/>
        <v>46837.745791477246</v>
      </c>
      <c r="M107">
        <f t="shared" si="23"/>
        <v>46842.571474543896</v>
      </c>
      <c r="N107" s="29">
        <f t="shared" si="24"/>
        <v>0</v>
      </c>
      <c r="O107" s="29">
        <f t="shared" si="25"/>
        <v>0</v>
      </c>
      <c r="P107" s="29">
        <f t="shared" si="26"/>
        <v>46842.571474543896</v>
      </c>
      <c r="Q107">
        <f t="shared" si="27"/>
        <v>0</v>
      </c>
      <c r="R107" s="29">
        <f t="shared" si="28"/>
        <v>0</v>
      </c>
      <c r="S107" s="29">
        <f t="shared" si="29"/>
        <v>0</v>
      </c>
      <c r="T107" s="29">
        <f t="shared" si="30"/>
        <v>46842.571474543896</v>
      </c>
      <c r="U107">
        <f t="shared" si="31"/>
        <v>0</v>
      </c>
      <c r="V107" s="29">
        <f t="shared" si="32"/>
        <v>0</v>
      </c>
      <c r="W107" s="29">
        <f t="shared" si="33"/>
        <v>0</v>
      </c>
      <c r="X107" s="29">
        <f t="shared" si="34"/>
        <v>46842.571474543896</v>
      </c>
      <c r="Y107">
        <f t="shared" si="35"/>
        <v>0</v>
      </c>
    </row>
    <row r="108" spans="1:25" x14ac:dyDescent="0.25">
      <c r="A108" s="4" t="s">
        <v>861</v>
      </c>
      <c r="B108" s="7" t="s">
        <v>427</v>
      </c>
      <c r="C108" s="2" t="s">
        <v>862</v>
      </c>
      <c r="D108">
        <f>VLOOKUP(B108,'Model allocations'!$A$1:$L$316,6,FALSE)</f>
        <v>0</v>
      </c>
      <c r="E108" s="31">
        <f>VLOOKUP(B108,'Initial adjusted formula count'!$A$1:$P$316,12,FALSE)</f>
        <v>5.4545454545454501E-2</v>
      </c>
      <c r="F108">
        <f>VLOOKUP(B108,'Model allocations'!$A$1:$L$316,11,FALSE)</f>
        <v>0</v>
      </c>
      <c r="G108" s="30">
        <f t="shared" si="36"/>
        <v>0.85</v>
      </c>
      <c r="H108">
        <f t="shared" si="37"/>
        <v>0</v>
      </c>
      <c r="I108">
        <f t="shared" si="19"/>
        <v>0</v>
      </c>
      <c r="J108">
        <f t="shared" si="20"/>
        <v>0</v>
      </c>
      <c r="K108">
        <f t="shared" si="21"/>
        <v>0</v>
      </c>
      <c r="L108">
        <f t="shared" si="22"/>
        <v>0</v>
      </c>
      <c r="M108">
        <f t="shared" si="23"/>
        <v>0</v>
      </c>
      <c r="N108" s="29">
        <f t="shared" si="24"/>
        <v>0</v>
      </c>
      <c r="O108" s="29">
        <f t="shared" si="25"/>
        <v>0</v>
      </c>
      <c r="P108" s="29">
        <f t="shared" si="26"/>
        <v>0</v>
      </c>
      <c r="Q108">
        <f t="shared" si="27"/>
        <v>0</v>
      </c>
      <c r="R108" s="29">
        <f t="shared" si="28"/>
        <v>0</v>
      </c>
      <c r="S108" s="29">
        <f t="shared" si="29"/>
        <v>0</v>
      </c>
      <c r="T108" s="29">
        <f t="shared" si="30"/>
        <v>0</v>
      </c>
      <c r="U108">
        <f t="shared" si="31"/>
        <v>0</v>
      </c>
      <c r="V108" s="29">
        <f t="shared" si="32"/>
        <v>0</v>
      </c>
      <c r="W108" s="29">
        <f t="shared" si="33"/>
        <v>0</v>
      </c>
      <c r="X108" s="29">
        <f t="shared" si="34"/>
        <v>0</v>
      </c>
      <c r="Y108">
        <f t="shared" si="35"/>
        <v>0</v>
      </c>
    </row>
    <row r="109" spans="1:25" x14ac:dyDescent="0.25">
      <c r="A109" s="4" t="s">
        <v>863</v>
      </c>
      <c r="B109" s="7" t="s">
        <v>142</v>
      </c>
      <c r="C109" s="2" t="s">
        <v>864</v>
      </c>
      <c r="D109">
        <f>VLOOKUP(B109,'Model allocations'!$A$1:$L$316,6,FALSE)</f>
        <v>0</v>
      </c>
      <c r="E109" s="31">
        <f>VLOOKUP(B109,'Initial adjusted formula count'!$A$1:$P$316,12,FALSE)</f>
        <v>3.62714508580343E-2</v>
      </c>
      <c r="F109">
        <f>VLOOKUP(B109,'Model allocations'!$A$1:$L$316,11,FALSE)</f>
        <v>0</v>
      </c>
      <c r="G109" s="30">
        <f t="shared" si="36"/>
        <v>0.85</v>
      </c>
      <c r="H109">
        <f t="shared" si="37"/>
        <v>0</v>
      </c>
      <c r="I109">
        <f t="shared" si="19"/>
        <v>0</v>
      </c>
      <c r="J109">
        <f t="shared" si="20"/>
        <v>0</v>
      </c>
      <c r="K109">
        <f t="shared" si="21"/>
        <v>0</v>
      </c>
      <c r="L109">
        <f t="shared" si="22"/>
        <v>0</v>
      </c>
      <c r="M109">
        <f t="shared" si="23"/>
        <v>0</v>
      </c>
      <c r="N109" s="29">
        <f t="shared" si="24"/>
        <v>0</v>
      </c>
      <c r="O109" s="29">
        <f t="shared" si="25"/>
        <v>0</v>
      </c>
      <c r="P109" s="29">
        <f t="shared" si="26"/>
        <v>0</v>
      </c>
      <c r="Q109">
        <f t="shared" si="27"/>
        <v>0</v>
      </c>
      <c r="R109" s="29">
        <f t="shared" si="28"/>
        <v>0</v>
      </c>
      <c r="S109" s="29">
        <f t="shared" si="29"/>
        <v>0</v>
      </c>
      <c r="T109" s="29">
        <f t="shared" si="30"/>
        <v>0</v>
      </c>
      <c r="U109">
        <f t="shared" si="31"/>
        <v>0</v>
      </c>
      <c r="V109" s="29">
        <f t="shared" si="32"/>
        <v>0</v>
      </c>
      <c r="W109" s="29">
        <f t="shared" si="33"/>
        <v>0</v>
      </c>
      <c r="X109" s="29">
        <f t="shared" si="34"/>
        <v>0</v>
      </c>
      <c r="Y109">
        <f t="shared" si="35"/>
        <v>0</v>
      </c>
    </row>
    <row r="110" spans="1:25" x14ac:dyDescent="0.25">
      <c r="A110" s="4" t="s">
        <v>865</v>
      </c>
      <c r="B110" s="7" t="s">
        <v>144</v>
      </c>
      <c r="C110" s="2" t="s">
        <v>866</v>
      </c>
      <c r="D110">
        <f>VLOOKUP(B110,'Model allocations'!$A$1:$L$316,6,FALSE)</f>
        <v>0</v>
      </c>
      <c r="E110" s="31">
        <f>VLOOKUP(B110,'Initial adjusted formula count'!$A$1:$P$316,12,FALSE)</f>
        <v>0.116666666666667</v>
      </c>
      <c r="F110">
        <f>VLOOKUP(B110,'Model allocations'!$A$1:$L$316,11,FALSE)</f>
        <v>0</v>
      </c>
      <c r="G110" s="30">
        <f t="shared" si="36"/>
        <v>0.85</v>
      </c>
      <c r="H110">
        <f t="shared" si="37"/>
        <v>0</v>
      </c>
      <c r="I110">
        <f t="shared" si="19"/>
        <v>0</v>
      </c>
      <c r="J110">
        <f t="shared" si="20"/>
        <v>0</v>
      </c>
      <c r="K110">
        <f t="shared" si="21"/>
        <v>0</v>
      </c>
      <c r="L110">
        <f t="shared" si="22"/>
        <v>0</v>
      </c>
      <c r="M110">
        <f t="shared" si="23"/>
        <v>0</v>
      </c>
      <c r="N110" s="29">
        <f t="shared" si="24"/>
        <v>0</v>
      </c>
      <c r="O110" s="29">
        <f t="shared" si="25"/>
        <v>0</v>
      </c>
      <c r="P110" s="29">
        <f t="shared" si="26"/>
        <v>0</v>
      </c>
      <c r="Q110">
        <f t="shared" si="27"/>
        <v>0</v>
      </c>
      <c r="R110" s="29">
        <f t="shared" si="28"/>
        <v>0</v>
      </c>
      <c r="S110" s="29">
        <f t="shared" si="29"/>
        <v>0</v>
      </c>
      <c r="T110" s="29">
        <f t="shared" si="30"/>
        <v>0</v>
      </c>
      <c r="U110">
        <f t="shared" si="31"/>
        <v>0</v>
      </c>
      <c r="V110" s="29">
        <f t="shared" si="32"/>
        <v>0</v>
      </c>
      <c r="W110" s="29">
        <f t="shared" si="33"/>
        <v>0</v>
      </c>
      <c r="X110" s="29">
        <f t="shared" si="34"/>
        <v>0</v>
      </c>
      <c r="Y110">
        <f t="shared" si="35"/>
        <v>0</v>
      </c>
    </row>
    <row r="111" spans="1:25" x14ac:dyDescent="0.25">
      <c r="A111" s="4" t="s">
        <v>867</v>
      </c>
      <c r="B111" s="7" t="s">
        <v>146</v>
      </c>
      <c r="C111" s="2" t="s">
        <v>868</v>
      </c>
      <c r="D111">
        <f>VLOOKUP(B111,'Model allocations'!$A$1:$L$316,6,FALSE)</f>
        <v>60275.24174952355</v>
      </c>
      <c r="E111" s="31">
        <f>VLOOKUP(B111,'Initial adjusted formula count'!$A$1:$P$316,12,FALSE)</f>
        <v>6.7734887108521505E-2</v>
      </c>
      <c r="F111">
        <f>VLOOKUP(B111,'Model allocations'!$A$1:$L$316,11,FALSE)</f>
        <v>52535.088054468935</v>
      </c>
      <c r="G111" s="30">
        <f t="shared" si="36"/>
        <v>0.85</v>
      </c>
      <c r="H111">
        <f t="shared" si="37"/>
        <v>51233.955487095016</v>
      </c>
      <c r="I111">
        <f t="shared" si="19"/>
        <v>0</v>
      </c>
      <c r="J111">
        <f t="shared" si="20"/>
        <v>52535.088054468935</v>
      </c>
      <c r="K111">
        <f t="shared" si="21"/>
        <v>52492.095704971165</v>
      </c>
      <c r="L111">
        <f t="shared" si="22"/>
        <v>52492.095704971165</v>
      </c>
      <c r="M111">
        <f t="shared" si="23"/>
        <v>0</v>
      </c>
      <c r="N111" s="29">
        <f t="shared" si="24"/>
        <v>52492.095704971165</v>
      </c>
      <c r="O111" s="29">
        <f t="shared" si="25"/>
        <v>52488.478621959344</v>
      </c>
      <c r="P111" s="29">
        <f t="shared" si="26"/>
        <v>52488.478621959344</v>
      </c>
      <c r="Q111">
        <f t="shared" si="27"/>
        <v>0</v>
      </c>
      <c r="R111" s="29">
        <f t="shared" si="28"/>
        <v>52488.478621959344</v>
      </c>
      <c r="S111" s="29">
        <f t="shared" si="29"/>
        <v>52488.415622469583</v>
      </c>
      <c r="T111" s="29">
        <f t="shared" si="30"/>
        <v>52488.415622469583</v>
      </c>
      <c r="U111">
        <f t="shared" si="31"/>
        <v>0</v>
      </c>
      <c r="V111" s="29">
        <f t="shared" si="32"/>
        <v>52488.415622469583</v>
      </c>
      <c r="W111" s="29">
        <f t="shared" si="33"/>
        <v>52488.415622469583</v>
      </c>
      <c r="X111" s="29">
        <f t="shared" si="34"/>
        <v>52488.415622469583</v>
      </c>
      <c r="Y111">
        <f t="shared" si="35"/>
        <v>0</v>
      </c>
    </row>
    <row r="112" spans="1:25" x14ac:dyDescent="0.25">
      <c r="A112" s="4" t="s">
        <v>869</v>
      </c>
      <c r="B112" s="7" t="s">
        <v>429</v>
      </c>
      <c r="C112" s="2" t="s">
        <v>870</v>
      </c>
      <c r="D112">
        <f>VLOOKUP(B112,'Model allocations'!$A$1:$L$316,6,FALSE)</f>
        <v>24633.844518155445</v>
      </c>
      <c r="E112" s="31">
        <f>VLOOKUP(B112,'Initial adjusted formula count'!$A$1:$P$316,12,FALSE)</f>
        <v>0.236363636363636</v>
      </c>
      <c r="F112">
        <f>VLOOKUP(B112,'Model allocations'!$A$1:$L$316,11,FALSE)</f>
        <v>22170.4600663399</v>
      </c>
      <c r="G112" s="30">
        <f t="shared" si="36"/>
        <v>0.9</v>
      </c>
      <c r="H112">
        <f t="shared" si="37"/>
        <v>22170.4600663399</v>
      </c>
      <c r="I112">
        <f t="shared" si="19"/>
        <v>0</v>
      </c>
      <c r="J112">
        <f t="shared" si="20"/>
        <v>22170.4600663399</v>
      </c>
      <c r="K112">
        <f t="shared" si="21"/>
        <v>22152.316760541875</v>
      </c>
      <c r="L112">
        <f t="shared" si="22"/>
        <v>22152.316760541875</v>
      </c>
      <c r="M112">
        <f t="shared" si="23"/>
        <v>22170.4600663399</v>
      </c>
      <c r="N112" s="29">
        <f t="shared" si="24"/>
        <v>0</v>
      </c>
      <c r="O112" s="29">
        <f t="shared" si="25"/>
        <v>0</v>
      </c>
      <c r="P112" s="29">
        <f t="shared" si="26"/>
        <v>22170.4600663399</v>
      </c>
      <c r="Q112">
        <f t="shared" si="27"/>
        <v>0</v>
      </c>
      <c r="R112" s="29">
        <f t="shared" si="28"/>
        <v>0</v>
      </c>
      <c r="S112" s="29">
        <f t="shared" si="29"/>
        <v>0</v>
      </c>
      <c r="T112" s="29">
        <f t="shared" si="30"/>
        <v>22170.4600663399</v>
      </c>
      <c r="U112">
        <f t="shared" si="31"/>
        <v>0</v>
      </c>
      <c r="V112" s="29">
        <f t="shared" si="32"/>
        <v>0</v>
      </c>
      <c r="W112" s="29">
        <f t="shared" si="33"/>
        <v>0</v>
      </c>
      <c r="X112" s="29">
        <f t="shared" si="34"/>
        <v>22170.4600663399</v>
      </c>
      <c r="Y112">
        <f t="shared" si="35"/>
        <v>0</v>
      </c>
    </row>
    <row r="113" spans="1:25" x14ac:dyDescent="0.25">
      <c r="A113" s="8" t="s">
        <v>871</v>
      </c>
      <c r="B113" s="7" t="s">
        <v>431</v>
      </c>
      <c r="C113" s="2" t="s">
        <v>872</v>
      </c>
      <c r="D113">
        <f>VLOOKUP(B113,'Model allocations'!$A$1:$L$316,6,FALSE)</f>
        <v>578869.7745378773</v>
      </c>
      <c r="E113" s="31">
        <f>VLOOKUP(B113,'Initial adjusted formula count'!$A$1:$P$316,12,FALSE)</f>
        <v>0.131621768215513</v>
      </c>
      <c r="F113">
        <f>VLOOKUP(B113,'Model allocations'!$A$1:$L$316,11,FALSE)</f>
        <v>492211.07450998516</v>
      </c>
      <c r="G113" s="30">
        <f t="shared" si="36"/>
        <v>0.85</v>
      </c>
      <c r="H113">
        <f t="shared" si="37"/>
        <v>492039.3083571957</v>
      </c>
      <c r="I113">
        <f t="shared" si="19"/>
        <v>0</v>
      </c>
      <c r="J113">
        <f t="shared" si="20"/>
        <v>492211.07450998516</v>
      </c>
      <c r="K113">
        <f t="shared" si="21"/>
        <v>491808.27113940619</v>
      </c>
      <c r="L113">
        <f t="shared" si="22"/>
        <v>491808.27113940619</v>
      </c>
      <c r="M113">
        <f t="shared" si="23"/>
        <v>492039.3083571957</v>
      </c>
      <c r="N113" s="29">
        <f t="shared" si="24"/>
        <v>0</v>
      </c>
      <c r="O113" s="29">
        <f t="shared" si="25"/>
        <v>0</v>
      </c>
      <c r="P113" s="29">
        <f t="shared" si="26"/>
        <v>492039.3083571957</v>
      </c>
      <c r="Q113">
        <f t="shared" si="27"/>
        <v>0</v>
      </c>
      <c r="R113" s="29">
        <f t="shared" si="28"/>
        <v>0</v>
      </c>
      <c r="S113" s="29">
        <f t="shared" si="29"/>
        <v>0</v>
      </c>
      <c r="T113" s="29">
        <f t="shared" si="30"/>
        <v>492039.3083571957</v>
      </c>
      <c r="U113">
        <f t="shared" si="31"/>
        <v>0</v>
      </c>
      <c r="V113" s="29">
        <f t="shared" si="32"/>
        <v>0</v>
      </c>
      <c r="W113" s="29">
        <f t="shared" si="33"/>
        <v>0</v>
      </c>
      <c r="X113" s="29">
        <f t="shared" si="34"/>
        <v>492039.3083571957</v>
      </c>
      <c r="Y113">
        <f t="shared" si="35"/>
        <v>0</v>
      </c>
    </row>
    <row r="114" spans="1:25" x14ac:dyDescent="0.25">
      <c r="A114" s="4" t="s">
        <v>873</v>
      </c>
      <c r="B114" s="7" t="s">
        <v>433</v>
      </c>
      <c r="C114" s="2" t="s">
        <v>874</v>
      </c>
      <c r="D114">
        <f>VLOOKUP(B114,'Model allocations'!$A$1:$L$316,6,FALSE)</f>
        <v>2596100.1529004704</v>
      </c>
      <c r="E114" s="31">
        <f>VLOOKUP(B114,'Initial adjusted formula count'!$A$1:$P$316,12,FALSE)</f>
        <v>0.120393594443373</v>
      </c>
      <c r="F114">
        <f>VLOOKUP(B114,'Model allocations'!$A$1:$L$316,11,FALSE)</f>
        <v>2208005.0101497392</v>
      </c>
      <c r="G114" s="30">
        <f t="shared" si="36"/>
        <v>0.85</v>
      </c>
      <c r="H114">
        <f t="shared" si="37"/>
        <v>2206685.1299653999</v>
      </c>
      <c r="I114">
        <f t="shared" si="19"/>
        <v>0</v>
      </c>
      <c r="J114">
        <f t="shared" si="20"/>
        <v>2208005.0101497392</v>
      </c>
      <c r="K114">
        <f t="shared" si="21"/>
        <v>2206198.0783141865</v>
      </c>
      <c r="L114">
        <f t="shared" si="22"/>
        <v>2206198.0783141865</v>
      </c>
      <c r="M114">
        <f t="shared" si="23"/>
        <v>2206685.1299653999</v>
      </c>
      <c r="N114" s="29">
        <f t="shared" si="24"/>
        <v>0</v>
      </c>
      <c r="O114" s="29">
        <f t="shared" si="25"/>
        <v>0</v>
      </c>
      <c r="P114" s="29">
        <f t="shared" si="26"/>
        <v>2206685.1299653999</v>
      </c>
      <c r="Q114">
        <f t="shared" si="27"/>
        <v>0</v>
      </c>
      <c r="R114" s="29">
        <f t="shared" si="28"/>
        <v>0</v>
      </c>
      <c r="S114" s="29">
        <f t="shared" si="29"/>
        <v>0</v>
      </c>
      <c r="T114" s="29">
        <f t="shared" si="30"/>
        <v>2206685.1299653999</v>
      </c>
      <c r="U114">
        <f t="shared" si="31"/>
        <v>0</v>
      </c>
      <c r="V114" s="29">
        <f t="shared" si="32"/>
        <v>0</v>
      </c>
      <c r="W114" s="29">
        <f t="shared" si="33"/>
        <v>0</v>
      </c>
      <c r="X114" s="29">
        <f t="shared" si="34"/>
        <v>2206685.1299653999</v>
      </c>
      <c r="Y114">
        <f t="shared" si="35"/>
        <v>0</v>
      </c>
    </row>
    <row r="115" spans="1:25" x14ac:dyDescent="0.25">
      <c r="A115" s="4" t="s">
        <v>875</v>
      </c>
      <c r="B115" s="7" t="s">
        <v>435</v>
      </c>
      <c r="C115" s="2" t="s">
        <v>876</v>
      </c>
      <c r="D115">
        <f>VLOOKUP(B115,'Model allocations'!$A$1:$L$316,6,FALSE)</f>
        <v>4223531.6801376045</v>
      </c>
      <c r="E115" s="31">
        <f>VLOOKUP(B115,'Initial adjusted formula count'!$A$1:$P$316,12,FALSE)</f>
        <v>0.147822376842036</v>
      </c>
      <c r="F115">
        <f>VLOOKUP(B115,'Model allocations'!$A$1:$L$316,11,FALSE)</f>
        <v>4254494.7922820719</v>
      </c>
      <c r="G115" s="30">
        <f t="shared" si="36"/>
        <v>0.85</v>
      </c>
      <c r="H115">
        <f t="shared" si="37"/>
        <v>3590001.9281169637</v>
      </c>
      <c r="I115">
        <f t="shared" si="19"/>
        <v>0</v>
      </c>
      <c r="J115">
        <f t="shared" si="20"/>
        <v>4254494.7922820719</v>
      </c>
      <c r="K115">
        <f t="shared" si="21"/>
        <v>4251013.105397745</v>
      </c>
      <c r="L115">
        <f t="shared" si="22"/>
        <v>4251013.105397745</v>
      </c>
      <c r="M115">
        <f t="shared" si="23"/>
        <v>0</v>
      </c>
      <c r="N115" s="29">
        <f t="shared" si="24"/>
        <v>4251013.105397745</v>
      </c>
      <c r="O115" s="29">
        <f t="shared" si="25"/>
        <v>4250720.1800138364</v>
      </c>
      <c r="P115" s="29">
        <f t="shared" si="26"/>
        <v>4250720.1800138364</v>
      </c>
      <c r="Q115">
        <f t="shared" si="27"/>
        <v>0</v>
      </c>
      <c r="R115" s="29">
        <f t="shared" si="28"/>
        <v>4250720.1800138364</v>
      </c>
      <c r="S115" s="29">
        <f t="shared" si="29"/>
        <v>4250715.0780712869</v>
      </c>
      <c r="T115" s="29">
        <f t="shared" si="30"/>
        <v>4250715.0780712869</v>
      </c>
      <c r="U115">
        <f t="shared" si="31"/>
        <v>0</v>
      </c>
      <c r="V115" s="29">
        <f t="shared" si="32"/>
        <v>4250715.0780712869</v>
      </c>
      <c r="W115" s="29">
        <f t="shared" si="33"/>
        <v>4250715.0780712869</v>
      </c>
      <c r="X115" s="29">
        <f t="shared" si="34"/>
        <v>4250715.0780712869</v>
      </c>
      <c r="Y115">
        <f t="shared" si="35"/>
        <v>0</v>
      </c>
    </row>
    <row r="116" spans="1:25" x14ac:dyDescent="0.25">
      <c r="A116" s="4" t="s">
        <v>877</v>
      </c>
      <c r="B116" s="7" t="s">
        <v>437</v>
      </c>
      <c r="C116" s="2" t="s">
        <v>878</v>
      </c>
      <c r="D116">
        <f>VLOOKUP(B116,'Model allocations'!$A$1:$L$316,6,FALSE)</f>
        <v>84352.954722751558</v>
      </c>
      <c r="E116" s="31">
        <f>VLOOKUP(B116,'Initial adjusted formula count'!$A$1:$P$316,12,FALSE)</f>
        <v>0.17109458023379401</v>
      </c>
      <c r="F116">
        <f>VLOOKUP(B116,'Model allocations'!$A$1:$L$316,11,FALSE)</f>
        <v>97045.384919275792</v>
      </c>
      <c r="G116" s="30">
        <f t="shared" si="36"/>
        <v>0.9</v>
      </c>
      <c r="H116">
        <f t="shared" si="37"/>
        <v>75917.659250476398</v>
      </c>
      <c r="I116">
        <f t="shared" si="19"/>
        <v>0</v>
      </c>
      <c r="J116">
        <f t="shared" si="20"/>
        <v>97045.384919275792</v>
      </c>
      <c r="K116">
        <f t="shared" si="21"/>
        <v>96965.967347894359</v>
      </c>
      <c r="L116">
        <f t="shared" si="22"/>
        <v>96965.967347894359</v>
      </c>
      <c r="M116">
        <f t="shared" si="23"/>
        <v>0</v>
      </c>
      <c r="N116" s="29">
        <f t="shared" si="24"/>
        <v>96965.967347894359</v>
      </c>
      <c r="O116" s="29">
        <f t="shared" si="25"/>
        <v>96959.285695190119</v>
      </c>
      <c r="P116" s="29">
        <f t="shared" si="26"/>
        <v>96959.285695190119</v>
      </c>
      <c r="Q116">
        <f t="shared" si="27"/>
        <v>0</v>
      </c>
      <c r="R116" s="29">
        <f t="shared" si="28"/>
        <v>96959.285695190119</v>
      </c>
      <c r="S116" s="29">
        <f t="shared" si="29"/>
        <v>96959.169319450404</v>
      </c>
      <c r="T116" s="29">
        <f t="shared" si="30"/>
        <v>96959.169319450404</v>
      </c>
      <c r="U116">
        <f t="shared" si="31"/>
        <v>0</v>
      </c>
      <c r="V116" s="29">
        <f t="shared" si="32"/>
        <v>96959.169319450404</v>
      </c>
      <c r="W116" s="29">
        <f t="shared" si="33"/>
        <v>96959.169319450404</v>
      </c>
      <c r="X116" s="29">
        <f t="shared" si="34"/>
        <v>96959.169319450404</v>
      </c>
      <c r="Y116">
        <f t="shared" si="35"/>
        <v>0</v>
      </c>
    </row>
    <row r="117" spans="1:25" x14ac:dyDescent="0.25">
      <c r="A117" s="8" t="s">
        <v>879</v>
      </c>
      <c r="B117" s="7" t="s">
        <v>439</v>
      </c>
      <c r="C117" s="2" t="s">
        <v>880</v>
      </c>
      <c r="D117">
        <f>VLOOKUP(B117,'Model allocations'!$A$1:$L$316,6,FALSE)</f>
        <v>120210.55101083637</v>
      </c>
      <c r="E117" s="31">
        <f>VLOOKUP(B117,'Initial adjusted formula count'!$A$1:$P$316,12,FALSE)</f>
        <v>9.1012514220705401E-2</v>
      </c>
      <c r="F117">
        <f>VLOOKUP(B117,'Model allocations'!$A$1:$L$316,11,FALSE)</f>
        <v>102337.98590540318</v>
      </c>
      <c r="G117" s="30">
        <f t="shared" si="36"/>
        <v>0.85</v>
      </c>
      <c r="H117">
        <f t="shared" si="37"/>
        <v>102178.96835921091</v>
      </c>
      <c r="I117">
        <f t="shared" si="19"/>
        <v>0</v>
      </c>
      <c r="J117">
        <f t="shared" si="20"/>
        <v>102337.98590540318</v>
      </c>
      <c r="K117">
        <f t="shared" si="21"/>
        <v>102254.23710779232</v>
      </c>
      <c r="L117">
        <f t="shared" si="22"/>
        <v>102254.23710779232</v>
      </c>
      <c r="M117">
        <f t="shared" si="23"/>
        <v>0</v>
      </c>
      <c r="N117" s="29">
        <f t="shared" si="24"/>
        <v>102254.23710779232</v>
      </c>
      <c r="O117" s="29">
        <f t="shared" si="25"/>
        <v>102247.19105525885</v>
      </c>
      <c r="P117" s="29">
        <f t="shared" si="26"/>
        <v>102247.19105525885</v>
      </c>
      <c r="Q117">
        <f t="shared" si="27"/>
        <v>0</v>
      </c>
      <c r="R117" s="29">
        <f t="shared" si="28"/>
        <v>102247.19105525885</v>
      </c>
      <c r="S117" s="29">
        <f t="shared" si="29"/>
        <v>102247.06833269125</v>
      </c>
      <c r="T117" s="29">
        <f t="shared" si="30"/>
        <v>102247.06833269125</v>
      </c>
      <c r="U117">
        <f t="shared" si="31"/>
        <v>0</v>
      </c>
      <c r="V117" s="29">
        <f t="shared" si="32"/>
        <v>102247.06833269125</v>
      </c>
      <c r="W117" s="29">
        <f t="shared" si="33"/>
        <v>102247.06833269125</v>
      </c>
      <c r="X117" s="29">
        <f t="shared" si="34"/>
        <v>102247.06833269125</v>
      </c>
      <c r="Y117">
        <f t="shared" si="35"/>
        <v>0</v>
      </c>
    </row>
    <row r="118" spans="1:25" x14ac:dyDescent="0.25">
      <c r="A118" s="4" t="s">
        <v>881</v>
      </c>
      <c r="B118" s="7" t="s">
        <v>277</v>
      </c>
      <c r="C118" s="2" t="s">
        <v>882</v>
      </c>
      <c r="D118">
        <f>VLOOKUP(B118,'Model allocations'!$A$1:$L$316,6,FALSE)</f>
        <v>40373.039285058243</v>
      </c>
      <c r="E118" s="31">
        <f>VLOOKUP(B118,'Initial adjusted formula count'!$A$1:$P$316,12,FALSE)</f>
        <v>8.4099868593955296E-2</v>
      </c>
      <c r="F118">
        <f>VLOOKUP(B118,'Model allocations'!$A$1:$L$316,11,FALSE)</f>
        <v>36153.178876193677</v>
      </c>
      <c r="G118" s="30">
        <f t="shared" si="36"/>
        <v>0.85</v>
      </c>
      <c r="H118">
        <f t="shared" si="37"/>
        <v>34317.083392299508</v>
      </c>
      <c r="I118">
        <f t="shared" si="19"/>
        <v>0</v>
      </c>
      <c r="J118">
        <f t="shared" si="20"/>
        <v>36153.178876193677</v>
      </c>
      <c r="K118">
        <f t="shared" si="21"/>
        <v>36123.592743205962</v>
      </c>
      <c r="L118">
        <f t="shared" si="22"/>
        <v>36123.592743205962</v>
      </c>
      <c r="M118">
        <f t="shared" si="23"/>
        <v>0</v>
      </c>
      <c r="N118" s="29">
        <f t="shared" si="24"/>
        <v>36123.592743205962</v>
      </c>
      <c r="O118" s="29">
        <f t="shared" si="25"/>
        <v>36121.103567799983</v>
      </c>
      <c r="P118" s="29">
        <f t="shared" si="26"/>
        <v>36121.103567799983</v>
      </c>
      <c r="Q118">
        <f t="shared" si="27"/>
        <v>0</v>
      </c>
      <c r="R118" s="29">
        <f t="shared" si="28"/>
        <v>36121.103567799983</v>
      </c>
      <c r="S118" s="29">
        <f t="shared" si="29"/>
        <v>36121.060213312405</v>
      </c>
      <c r="T118" s="29">
        <f t="shared" si="30"/>
        <v>36121.060213312405</v>
      </c>
      <c r="U118">
        <f t="shared" si="31"/>
        <v>0</v>
      </c>
      <c r="V118" s="29">
        <f t="shared" si="32"/>
        <v>36121.060213312405</v>
      </c>
      <c r="W118" s="29">
        <f t="shared" si="33"/>
        <v>36121.060213312405</v>
      </c>
      <c r="X118" s="29">
        <f t="shared" si="34"/>
        <v>36121.060213312405</v>
      </c>
      <c r="Y118">
        <f t="shared" si="35"/>
        <v>0</v>
      </c>
    </row>
    <row r="119" spans="1:25" x14ac:dyDescent="0.25">
      <c r="A119" s="4" t="s">
        <v>883</v>
      </c>
      <c r="B119" s="7" t="s">
        <v>440</v>
      </c>
      <c r="C119" s="2" t="s">
        <v>884</v>
      </c>
      <c r="D119">
        <f>VLOOKUP(B119,'Model allocations'!$A$1:$L$316,6,FALSE)</f>
        <v>0</v>
      </c>
      <c r="E119" s="31">
        <f>VLOOKUP(B119,'Initial adjusted formula count'!$A$1:$P$316,12,FALSE)</f>
        <v>0.17073170731707299</v>
      </c>
      <c r="F119">
        <f>VLOOKUP(B119,'Model allocations'!$A$1:$L$316,11,FALSE)</f>
        <v>8427.2495066987558</v>
      </c>
      <c r="G119" s="30">
        <f t="shared" si="36"/>
        <v>0.9</v>
      </c>
      <c r="H119">
        <f t="shared" si="37"/>
        <v>0</v>
      </c>
      <c r="I119">
        <f t="shared" si="19"/>
        <v>0</v>
      </c>
      <c r="J119">
        <f t="shared" si="20"/>
        <v>8427.2495066987558</v>
      </c>
      <c r="K119">
        <f t="shared" si="21"/>
        <v>8420.3530253276531</v>
      </c>
      <c r="L119">
        <f t="shared" si="22"/>
        <v>8420.3530253276531</v>
      </c>
      <c r="M119">
        <f t="shared" si="23"/>
        <v>0</v>
      </c>
      <c r="N119" s="29">
        <f t="shared" si="24"/>
        <v>8420.3530253276531</v>
      </c>
      <c r="O119" s="29">
        <f t="shared" si="25"/>
        <v>8419.7728024298558</v>
      </c>
      <c r="P119" s="29">
        <f t="shared" si="26"/>
        <v>8419.7728024298558</v>
      </c>
      <c r="Q119">
        <f t="shared" si="27"/>
        <v>0</v>
      </c>
      <c r="R119" s="29">
        <f t="shared" si="28"/>
        <v>8419.7728024298558</v>
      </c>
      <c r="S119" s="29">
        <f t="shared" si="29"/>
        <v>8419.7626965665422</v>
      </c>
      <c r="T119" s="29">
        <f t="shared" si="30"/>
        <v>8419.7626965665422</v>
      </c>
      <c r="U119">
        <f t="shared" si="31"/>
        <v>0</v>
      </c>
      <c r="V119" s="29">
        <f t="shared" si="32"/>
        <v>8419.7626965665422</v>
      </c>
      <c r="W119" s="29">
        <f t="shared" si="33"/>
        <v>8419.7626965665422</v>
      </c>
      <c r="X119" s="29">
        <f t="shared" si="34"/>
        <v>8419.7626965665422</v>
      </c>
      <c r="Y119">
        <f t="shared" si="35"/>
        <v>0</v>
      </c>
    </row>
    <row r="120" spans="1:25" x14ac:dyDescent="0.25">
      <c r="A120" s="4" t="s">
        <v>885</v>
      </c>
      <c r="B120" s="7" t="s">
        <v>148</v>
      </c>
      <c r="C120" s="2" t="s">
        <v>886</v>
      </c>
      <c r="D120">
        <f>VLOOKUP(B120,'Model allocations'!$A$1:$L$316,6,FALSE)</f>
        <v>0</v>
      </c>
      <c r="E120" s="31">
        <f>VLOOKUP(B120,'Initial adjusted formula count'!$A$1:$P$316,12,FALSE)</f>
        <v>6.1658031088082897E-2</v>
      </c>
      <c r="F120">
        <f>VLOOKUP(B120,'Model allocations'!$A$1:$L$316,11,FALSE)</f>
        <v>67222.316972922621</v>
      </c>
      <c r="G120" s="30">
        <f t="shared" si="36"/>
        <v>0.85</v>
      </c>
      <c r="H120">
        <f t="shared" si="37"/>
        <v>0</v>
      </c>
      <c r="I120">
        <f t="shared" si="19"/>
        <v>0</v>
      </c>
      <c r="J120">
        <f t="shared" si="20"/>
        <v>67222.316972922621</v>
      </c>
      <c r="K120">
        <f t="shared" si="21"/>
        <v>67167.305256898588</v>
      </c>
      <c r="L120">
        <f t="shared" si="22"/>
        <v>67167.305256898588</v>
      </c>
      <c r="M120">
        <f t="shared" si="23"/>
        <v>0</v>
      </c>
      <c r="N120" s="29">
        <f t="shared" si="24"/>
        <v>67167.305256898588</v>
      </c>
      <c r="O120" s="29">
        <f t="shared" si="25"/>
        <v>67162.676946378095</v>
      </c>
      <c r="P120" s="29">
        <f t="shared" si="26"/>
        <v>67162.676946378095</v>
      </c>
      <c r="Q120">
        <f t="shared" si="27"/>
        <v>0</v>
      </c>
      <c r="R120" s="29">
        <f t="shared" si="28"/>
        <v>67162.676946378095</v>
      </c>
      <c r="S120" s="29">
        <f t="shared" si="29"/>
        <v>67162.596334127753</v>
      </c>
      <c r="T120" s="29">
        <f t="shared" si="30"/>
        <v>67162.596334127753</v>
      </c>
      <c r="U120">
        <f t="shared" si="31"/>
        <v>0</v>
      </c>
      <c r="V120" s="29">
        <f t="shared" si="32"/>
        <v>67162.596334127753</v>
      </c>
      <c r="W120" s="29">
        <f t="shared" si="33"/>
        <v>67162.596334127753</v>
      </c>
      <c r="X120" s="29">
        <f t="shared" si="34"/>
        <v>67162.596334127753</v>
      </c>
      <c r="Y120">
        <f t="shared" si="35"/>
        <v>0</v>
      </c>
    </row>
    <row r="121" spans="1:25" x14ac:dyDescent="0.25">
      <c r="A121" s="4" t="s">
        <v>887</v>
      </c>
      <c r="B121" s="7" t="s">
        <v>279</v>
      </c>
      <c r="C121" s="2" t="s">
        <v>888</v>
      </c>
      <c r="D121">
        <f>VLOOKUP(B121,'Model allocations'!$A$1:$L$316,6,FALSE)</f>
        <v>71392.5271208052</v>
      </c>
      <c r="E121" s="31">
        <f>VLOOKUP(B121,'Initial adjusted formula count'!$A$1:$P$316,12,FALSE)</f>
        <v>0.109401709401709</v>
      </c>
      <c r="F121">
        <f>VLOOKUP(B121,'Model allocations'!$A$1:$L$316,11,FALSE)</f>
        <v>60683.648052684417</v>
      </c>
      <c r="G121" s="30">
        <f t="shared" si="36"/>
        <v>0.85</v>
      </c>
      <c r="H121">
        <f t="shared" si="37"/>
        <v>60683.648052684417</v>
      </c>
      <c r="I121">
        <f t="shared" si="19"/>
        <v>0</v>
      </c>
      <c r="J121">
        <f t="shared" si="20"/>
        <v>60683.648052684417</v>
      </c>
      <c r="K121">
        <f t="shared" si="21"/>
        <v>60633.987288755066</v>
      </c>
      <c r="L121">
        <f t="shared" si="22"/>
        <v>60633.987288755066</v>
      </c>
      <c r="M121">
        <f t="shared" si="23"/>
        <v>60683.648052684417</v>
      </c>
      <c r="N121" s="29">
        <f t="shared" si="24"/>
        <v>0</v>
      </c>
      <c r="O121" s="29">
        <f t="shared" si="25"/>
        <v>0</v>
      </c>
      <c r="P121" s="29">
        <f t="shared" si="26"/>
        <v>60683.648052684417</v>
      </c>
      <c r="Q121">
        <f t="shared" si="27"/>
        <v>0</v>
      </c>
      <c r="R121" s="29">
        <f t="shared" si="28"/>
        <v>0</v>
      </c>
      <c r="S121" s="29">
        <f t="shared" si="29"/>
        <v>0</v>
      </c>
      <c r="T121" s="29">
        <f t="shared" si="30"/>
        <v>60683.648052684417</v>
      </c>
      <c r="U121">
        <f t="shared" si="31"/>
        <v>0</v>
      </c>
      <c r="V121" s="29">
        <f t="shared" si="32"/>
        <v>0</v>
      </c>
      <c r="W121" s="29">
        <f t="shared" si="33"/>
        <v>0</v>
      </c>
      <c r="X121" s="29">
        <f t="shared" si="34"/>
        <v>60683.648052684417</v>
      </c>
      <c r="Y121">
        <f t="shared" si="35"/>
        <v>0</v>
      </c>
    </row>
    <row r="122" spans="1:25" x14ac:dyDescent="0.25">
      <c r="A122" s="4" t="s">
        <v>889</v>
      </c>
      <c r="B122" s="7" t="s">
        <v>442</v>
      </c>
      <c r="C122" s="2" t="s">
        <v>890</v>
      </c>
      <c r="D122">
        <f>VLOOKUP(B122,'Model allocations'!$A$1:$L$316,6,FALSE)</f>
        <v>10936.828888579819</v>
      </c>
      <c r="E122" s="31">
        <f>VLOOKUP(B122,'Initial adjusted formula count'!$A$1:$P$316,12,FALSE)</f>
        <v>0.14444444444444399</v>
      </c>
      <c r="F122">
        <f>VLOOKUP(B122,'Model allocations'!$A$1:$L$316,11,FALSE)</f>
        <v>9302.9599810421951</v>
      </c>
      <c r="G122" s="30">
        <f t="shared" si="36"/>
        <v>0.85</v>
      </c>
      <c r="H122">
        <f t="shared" si="37"/>
        <v>9296.304555292847</v>
      </c>
      <c r="I122">
        <f t="shared" si="19"/>
        <v>0</v>
      </c>
      <c r="J122">
        <f t="shared" si="20"/>
        <v>9302.9599810421951</v>
      </c>
      <c r="K122">
        <f t="shared" si="21"/>
        <v>9295.3468576673185</v>
      </c>
      <c r="L122">
        <f t="shared" si="22"/>
        <v>9295.3468576673185</v>
      </c>
      <c r="M122">
        <f t="shared" si="23"/>
        <v>9296.304555292847</v>
      </c>
      <c r="N122" s="29">
        <f t="shared" si="24"/>
        <v>0</v>
      </c>
      <c r="O122" s="29">
        <f t="shared" si="25"/>
        <v>0</v>
      </c>
      <c r="P122" s="29">
        <f t="shared" si="26"/>
        <v>9296.304555292847</v>
      </c>
      <c r="Q122">
        <f t="shared" si="27"/>
        <v>0</v>
      </c>
      <c r="R122" s="29">
        <f t="shared" si="28"/>
        <v>0</v>
      </c>
      <c r="S122" s="29">
        <f t="shared" si="29"/>
        <v>0</v>
      </c>
      <c r="T122" s="29">
        <f t="shared" si="30"/>
        <v>9296.304555292847</v>
      </c>
      <c r="U122">
        <f t="shared" si="31"/>
        <v>0</v>
      </c>
      <c r="V122" s="29">
        <f t="shared" si="32"/>
        <v>0</v>
      </c>
      <c r="W122" s="29">
        <f t="shared" si="33"/>
        <v>0</v>
      </c>
      <c r="X122" s="29">
        <f t="shared" si="34"/>
        <v>9296.304555292847</v>
      </c>
      <c r="Y122">
        <f t="shared" si="35"/>
        <v>0</v>
      </c>
    </row>
    <row r="123" spans="1:25" x14ac:dyDescent="0.25">
      <c r="A123" s="8" t="s">
        <v>891</v>
      </c>
      <c r="B123" s="7" t="s">
        <v>281</v>
      </c>
      <c r="C123" s="2" t="s">
        <v>892</v>
      </c>
      <c r="D123">
        <f>VLOOKUP(B123,'Model allocations'!$A$1:$L$316,6,FALSE)</f>
        <v>94961.937473305996</v>
      </c>
      <c r="E123" s="31">
        <f>VLOOKUP(B123,'Initial adjusted formula count'!$A$1:$P$316,12,FALSE)</f>
        <v>8.6029992107340206E-2</v>
      </c>
      <c r="F123">
        <f>VLOOKUP(B123,'Model allocations'!$A$1:$L$316,11,FALSE)</f>
        <v>80775.434363690816</v>
      </c>
      <c r="G123" s="30">
        <f t="shared" si="36"/>
        <v>0.85</v>
      </c>
      <c r="H123">
        <f t="shared" si="37"/>
        <v>80717.646852310092</v>
      </c>
      <c r="I123">
        <f t="shared" si="19"/>
        <v>0</v>
      </c>
      <c r="J123">
        <f t="shared" si="20"/>
        <v>80775.434363690816</v>
      </c>
      <c r="K123">
        <f t="shared" si="21"/>
        <v>80709.331386926089</v>
      </c>
      <c r="L123">
        <f t="shared" si="22"/>
        <v>80709.331386926089</v>
      </c>
      <c r="M123">
        <f t="shared" si="23"/>
        <v>80717.646852310092</v>
      </c>
      <c r="N123" s="29">
        <f t="shared" si="24"/>
        <v>0</v>
      </c>
      <c r="O123" s="29">
        <f t="shared" si="25"/>
        <v>0</v>
      </c>
      <c r="P123" s="29">
        <f t="shared" si="26"/>
        <v>80717.646852310092</v>
      </c>
      <c r="Q123">
        <f t="shared" si="27"/>
        <v>0</v>
      </c>
      <c r="R123" s="29">
        <f t="shared" si="28"/>
        <v>0</v>
      </c>
      <c r="S123" s="29">
        <f t="shared" si="29"/>
        <v>0</v>
      </c>
      <c r="T123" s="29">
        <f t="shared" si="30"/>
        <v>80717.646852310092</v>
      </c>
      <c r="U123">
        <f t="shared" si="31"/>
        <v>0</v>
      </c>
      <c r="V123" s="29">
        <f t="shared" si="32"/>
        <v>0</v>
      </c>
      <c r="W123" s="29">
        <f t="shared" si="33"/>
        <v>0</v>
      </c>
      <c r="X123" s="29">
        <f t="shared" si="34"/>
        <v>80717.646852310092</v>
      </c>
      <c r="Y123">
        <f t="shared" si="35"/>
        <v>0</v>
      </c>
    </row>
    <row r="124" spans="1:25" x14ac:dyDescent="0.25">
      <c r="A124" s="4" t="s">
        <v>893</v>
      </c>
      <c r="B124" s="7" t="s">
        <v>150</v>
      </c>
      <c r="C124" s="2" t="s">
        <v>894</v>
      </c>
      <c r="D124">
        <f>VLOOKUP(B124,'Model allocations'!$A$1:$L$316,6,FALSE)</f>
        <v>386102.72781062726</v>
      </c>
      <c r="E124" s="31">
        <f>VLOOKUP(B124,'Initial adjusted formula count'!$A$1:$P$316,12,FALSE)</f>
        <v>6.4187566061304893E-2</v>
      </c>
      <c r="F124">
        <f>VLOOKUP(B124,'Model allocations'!$A$1:$L$316,11,FALSE)</f>
        <v>377348.80452027143</v>
      </c>
      <c r="G124" s="30">
        <f t="shared" si="36"/>
        <v>0.85</v>
      </c>
      <c r="H124">
        <f t="shared" si="37"/>
        <v>328187.31863903318</v>
      </c>
      <c r="I124">
        <f t="shared" si="19"/>
        <v>0</v>
      </c>
      <c r="J124">
        <f t="shared" si="20"/>
        <v>377348.80452027143</v>
      </c>
      <c r="K124">
        <f t="shared" si="21"/>
        <v>377039.99925721221</v>
      </c>
      <c r="L124">
        <f t="shared" si="22"/>
        <v>377039.99925721221</v>
      </c>
      <c r="M124">
        <f t="shared" si="23"/>
        <v>0</v>
      </c>
      <c r="N124" s="29">
        <f t="shared" si="24"/>
        <v>377039.99925721221</v>
      </c>
      <c r="O124" s="29">
        <f t="shared" si="25"/>
        <v>377014.01848891226</v>
      </c>
      <c r="P124" s="29">
        <f t="shared" si="26"/>
        <v>377014.01848891226</v>
      </c>
      <c r="Q124">
        <f t="shared" si="27"/>
        <v>0</v>
      </c>
      <c r="R124" s="29">
        <f t="shared" si="28"/>
        <v>377014.01848891226</v>
      </c>
      <c r="S124" s="29">
        <f t="shared" si="29"/>
        <v>377013.56597644818</v>
      </c>
      <c r="T124" s="29">
        <f t="shared" si="30"/>
        <v>377013.56597644818</v>
      </c>
      <c r="U124">
        <f t="shared" si="31"/>
        <v>0</v>
      </c>
      <c r="V124" s="29">
        <f t="shared" si="32"/>
        <v>377013.56597644818</v>
      </c>
      <c r="W124" s="29">
        <f t="shared" si="33"/>
        <v>377013.56597644818</v>
      </c>
      <c r="X124" s="29">
        <f t="shared" si="34"/>
        <v>377013.56597644818</v>
      </c>
      <c r="Y124">
        <f t="shared" si="35"/>
        <v>0</v>
      </c>
    </row>
    <row r="125" spans="1:25" x14ac:dyDescent="0.25">
      <c r="A125" s="4" t="s">
        <v>895</v>
      </c>
      <c r="B125" s="7" t="s">
        <v>152</v>
      </c>
      <c r="C125" s="2" t="s">
        <v>896</v>
      </c>
      <c r="D125">
        <f>VLOOKUP(B125,'Model allocations'!$A$1:$L$316,6,FALSE)</f>
        <v>0</v>
      </c>
      <c r="E125" s="31">
        <f>VLOOKUP(B125,'Initial adjusted formula count'!$A$1:$P$316,12,FALSE)</f>
        <v>4.1104599734630702E-2</v>
      </c>
      <c r="F125">
        <f>VLOOKUP(B125,'Model allocations'!$A$1:$L$316,11,FALSE)</f>
        <v>0</v>
      </c>
      <c r="G125" s="30">
        <f t="shared" si="36"/>
        <v>0.85</v>
      </c>
      <c r="H125">
        <f t="shared" si="37"/>
        <v>0</v>
      </c>
      <c r="I125">
        <f t="shared" si="19"/>
        <v>0</v>
      </c>
      <c r="J125">
        <f t="shared" si="20"/>
        <v>0</v>
      </c>
      <c r="K125">
        <f t="shared" si="21"/>
        <v>0</v>
      </c>
      <c r="L125">
        <f t="shared" si="22"/>
        <v>0</v>
      </c>
      <c r="M125">
        <f t="shared" si="23"/>
        <v>0</v>
      </c>
      <c r="N125" s="29">
        <f t="shared" si="24"/>
        <v>0</v>
      </c>
      <c r="O125" s="29">
        <f t="shared" si="25"/>
        <v>0</v>
      </c>
      <c r="P125" s="29">
        <f t="shared" si="26"/>
        <v>0</v>
      </c>
      <c r="Q125">
        <f t="shared" si="27"/>
        <v>0</v>
      </c>
      <c r="R125" s="29">
        <f t="shared" si="28"/>
        <v>0</v>
      </c>
      <c r="S125" s="29">
        <f t="shared" si="29"/>
        <v>0</v>
      </c>
      <c r="T125" s="29">
        <f t="shared" si="30"/>
        <v>0</v>
      </c>
      <c r="U125">
        <f t="shared" si="31"/>
        <v>0</v>
      </c>
      <c r="V125" s="29">
        <f t="shared" si="32"/>
        <v>0</v>
      </c>
      <c r="W125" s="29">
        <f t="shared" si="33"/>
        <v>0</v>
      </c>
      <c r="X125" s="29">
        <f t="shared" si="34"/>
        <v>0</v>
      </c>
      <c r="Y125">
        <f t="shared" si="35"/>
        <v>0</v>
      </c>
    </row>
    <row r="126" spans="1:25" x14ac:dyDescent="0.25">
      <c r="A126" s="4" t="s">
        <v>897</v>
      </c>
      <c r="B126" s="7" t="s">
        <v>154</v>
      </c>
      <c r="C126" s="2" t="s">
        <v>898</v>
      </c>
      <c r="D126">
        <f>VLOOKUP(B126,'Model allocations'!$A$1:$L$316,6,FALSE)</f>
        <v>191629.77801499469</v>
      </c>
      <c r="E126" s="31">
        <f>VLOOKUP(B126,'Initial adjusted formula count'!$A$1:$P$316,12,FALSE)</f>
        <v>0.110033569563596</v>
      </c>
      <c r="F126">
        <f>VLOOKUP(B126,'Model allocations'!$A$1:$L$316,11,FALSE)</f>
        <v>166643.55888245523</v>
      </c>
      <c r="G126" s="30">
        <f t="shared" si="36"/>
        <v>0.85</v>
      </c>
      <c r="H126">
        <f t="shared" si="37"/>
        <v>162885.31131274547</v>
      </c>
      <c r="I126">
        <f t="shared" si="19"/>
        <v>0</v>
      </c>
      <c r="J126">
        <f t="shared" si="20"/>
        <v>166643.55888245523</v>
      </c>
      <c r="K126">
        <f t="shared" si="21"/>
        <v>166507.18530071501</v>
      </c>
      <c r="L126">
        <f t="shared" si="22"/>
        <v>166507.18530071501</v>
      </c>
      <c r="M126">
        <f t="shared" si="23"/>
        <v>0</v>
      </c>
      <c r="N126" s="29">
        <f t="shared" si="24"/>
        <v>166507.18530071501</v>
      </c>
      <c r="O126" s="29">
        <f t="shared" si="25"/>
        <v>166495.71175782807</v>
      </c>
      <c r="P126" s="29">
        <f t="shared" si="26"/>
        <v>166495.71175782807</v>
      </c>
      <c r="Q126">
        <f t="shared" si="27"/>
        <v>0</v>
      </c>
      <c r="R126" s="29">
        <f t="shared" si="28"/>
        <v>166495.71175782807</v>
      </c>
      <c r="S126" s="29">
        <f t="shared" si="29"/>
        <v>166495.5119207369</v>
      </c>
      <c r="T126" s="29">
        <f t="shared" si="30"/>
        <v>166495.5119207369</v>
      </c>
      <c r="U126">
        <f t="shared" si="31"/>
        <v>0</v>
      </c>
      <c r="V126" s="29">
        <f t="shared" si="32"/>
        <v>166495.5119207369</v>
      </c>
      <c r="W126" s="29">
        <f t="shared" si="33"/>
        <v>166495.5119207369</v>
      </c>
      <c r="X126" s="29">
        <f t="shared" si="34"/>
        <v>166495.5119207369</v>
      </c>
      <c r="Y126">
        <f t="shared" si="35"/>
        <v>0</v>
      </c>
    </row>
    <row r="127" spans="1:25" x14ac:dyDescent="0.25">
      <c r="A127" s="4" t="s">
        <v>899</v>
      </c>
      <c r="B127" s="7" t="s">
        <v>156</v>
      </c>
      <c r="C127" s="2" t="s">
        <v>900</v>
      </c>
      <c r="D127">
        <f>VLOOKUP(B127,'Model allocations'!$A$1:$L$316,6,FALSE)</f>
        <v>10378.429950862539</v>
      </c>
      <c r="E127" s="31">
        <f>VLOOKUP(B127,'Initial adjusted formula count'!$A$1:$P$316,12,FALSE)</f>
        <v>0.25</v>
      </c>
      <c r="F127">
        <f>VLOOKUP(B127,'Model allocations'!$A$1:$L$316,11,FALSE)</f>
        <v>0</v>
      </c>
      <c r="G127" s="30">
        <f t="shared" si="36"/>
        <v>0.9</v>
      </c>
      <c r="H127">
        <f t="shared" si="37"/>
        <v>0</v>
      </c>
      <c r="I127">
        <f t="shared" si="19"/>
        <v>0</v>
      </c>
      <c r="J127">
        <f t="shared" si="20"/>
        <v>0</v>
      </c>
      <c r="K127">
        <f t="shared" si="21"/>
        <v>0</v>
      </c>
      <c r="L127">
        <f t="shared" si="22"/>
        <v>0</v>
      </c>
      <c r="M127">
        <f t="shared" si="23"/>
        <v>0</v>
      </c>
      <c r="N127" s="29">
        <f t="shared" si="24"/>
        <v>0</v>
      </c>
      <c r="O127" s="29">
        <f t="shared" si="25"/>
        <v>0</v>
      </c>
      <c r="P127" s="29">
        <f t="shared" si="26"/>
        <v>0</v>
      </c>
      <c r="Q127">
        <f t="shared" si="27"/>
        <v>0</v>
      </c>
      <c r="R127" s="29">
        <f t="shared" si="28"/>
        <v>0</v>
      </c>
      <c r="S127" s="29">
        <f t="shared" si="29"/>
        <v>0</v>
      </c>
      <c r="T127" s="29">
        <f t="shared" si="30"/>
        <v>0</v>
      </c>
      <c r="U127">
        <f t="shared" si="31"/>
        <v>0</v>
      </c>
      <c r="V127" s="29">
        <f t="shared" si="32"/>
        <v>0</v>
      </c>
      <c r="W127" s="29">
        <f t="shared" si="33"/>
        <v>0</v>
      </c>
      <c r="X127" s="29">
        <f t="shared" si="34"/>
        <v>0</v>
      </c>
      <c r="Y127">
        <f t="shared" si="35"/>
        <v>0</v>
      </c>
    </row>
    <row r="128" spans="1:25" x14ac:dyDescent="0.25">
      <c r="A128" s="4" t="s">
        <v>901</v>
      </c>
      <c r="B128" s="7" t="s">
        <v>158</v>
      </c>
      <c r="C128" s="2" t="s">
        <v>902</v>
      </c>
      <c r="D128">
        <f>VLOOKUP(B128,'Model allocations'!$A$1:$L$316,6,FALSE)</f>
        <v>0</v>
      </c>
      <c r="E128" s="31">
        <f>VLOOKUP(B128,'Initial adjusted formula count'!$A$1:$P$316,12,FALSE)</f>
        <v>4.57831325301205E-2</v>
      </c>
      <c r="F128">
        <f>VLOOKUP(B128,'Model allocations'!$A$1:$L$316,11,FALSE)</f>
        <v>0</v>
      </c>
      <c r="G128" s="30">
        <f t="shared" si="36"/>
        <v>0.85</v>
      </c>
      <c r="H128">
        <f t="shared" si="37"/>
        <v>0</v>
      </c>
      <c r="I128">
        <f t="shared" si="19"/>
        <v>0</v>
      </c>
      <c r="J128">
        <f t="shared" si="20"/>
        <v>0</v>
      </c>
      <c r="K128">
        <f t="shared" si="21"/>
        <v>0</v>
      </c>
      <c r="L128">
        <f t="shared" si="22"/>
        <v>0</v>
      </c>
      <c r="M128">
        <f t="shared" si="23"/>
        <v>0</v>
      </c>
      <c r="N128" s="29">
        <f t="shared" si="24"/>
        <v>0</v>
      </c>
      <c r="O128" s="29">
        <f t="shared" si="25"/>
        <v>0</v>
      </c>
      <c r="P128" s="29">
        <f t="shared" si="26"/>
        <v>0</v>
      </c>
      <c r="Q128">
        <f t="shared" si="27"/>
        <v>0</v>
      </c>
      <c r="R128" s="29">
        <f t="shared" si="28"/>
        <v>0</v>
      </c>
      <c r="S128" s="29">
        <f t="shared" si="29"/>
        <v>0</v>
      </c>
      <c r="T128" s="29">
        <f t="shared" si="30"/>
        <v>0</v>
      </c>
      <c r="U128">
        <f t="shared" si="31"/>
        <v>0</v>
      </c>
      <c r="V128" s="29">
        <f t="shared" si="32"/>
        <v>0</v>
      </c>
      <c r="W128" s="29">
        <f t="shared" si="33"/>
        <v>0</v>
      </c>
      <c r="X128" s="29">
        <f t="shared" si="34"/>
        <v>0</v>
      </c>
      <c r="Y128">
        <f t="shared" si="35"/>
        <v>0</v>
      </c>
    </row>
    <row r="129" spans="1:25" x14ac:dyDescent="0.25">
      <c r="A129" s="4" t="s">
        <v>903</v>
      </c>
      <c r="B129" s="7" t="s">
        <v>446</v>
      </c>
      <c r="C129" s="2" t="s">
        <v>904</v>
      </c>
      <c r="D129">
        <f>VLOOKUP(B129,'Model allocations'!$A$1:$L$316,6,FALSE)</f>
        <v>58915.557339031031</v>
      </c>
      <c r="E129" s="31">
        <f>VLOOKUP(B129,'Initial adjusted formula count'!$A$1:$P$316,12,FALSE)</f>
        <v>0.16831683168316799</v>
      </c>
      <c r="F129">
        <f>VLOOKUP(B129,'Model allocations'!$A$1:$L$316,11,FALSE)</f>
        <v>53024.001605127931</v>
      </c>
      <c r="G129" s="30">
        <f t="shared" si="36"/>
        <v>0.9</v>
      </c>
      <c r="H129">
        <f t="shared" si="37"/>
        <v>53024.001605127931</v>
      </c>
      <c r="I129">
        <f t="shared" si="19"/>
        <v>0</v>
      </c>
      <c r="J129">
        <f t="shared" si="20"/>
        <v>53024.001605127931</v>
      </c>
      <c r="K129">
        <f t="shared" si="21"/>
        <v>52980.609150804557</v>
      </c>
      <c r="L129">
        <f t="shared" si="22"/>
        <v>52980.609150804557</v>
      </c>
      <c r="M129">
        <f t="shared" si="23"/>
        <v>53024.001605127931</v>
      </c>
      <c r="N129" s="29">
        <f t="shared" si="24"/>
        <v>0</v>
      </c>
      <c r="O129" s="29">
        <f t="shared" si="25"/>
        <v>0</v>
      </c>
      <c r="P129" s="29">
        <f t="shared" si="26"/>
        <v>53024.001605127931</v>
      </c>
      <c r="Q129">
        <f t="shared" si="27"/>
        <v>0</v>
      </c>
      <c r="R129" s="29">
        <f t="shared" si="28"/>
        <v>0</v>
      </c>
      <c r="S129" s="29">
        <f t="shared" si="29"/>
        <v>0</v>
      </c>
      <c r="T129" s="29">
        <f t="shared" si="30"/>
        <v>53024.001605127931</v>
      </c>
      <c r="U129">
        <f t="shared" si="31"/>
        <v>0</v>
      </c>
      <c r="V129" s="29">
        <f t="shared" si="32"/>
        <v>0</v>
      </c>
      <c r="W129" s="29">
        <f t="shared" si="33"/>
        <v>0</v>
      </c>
      <c r="X129" s="29">
        <f t="shared" si="34"/>
        <v>53024.001605127931</v>
      </c>
      <c r="Y129">
        <f t="shared" si="35"/>
        <v>0</v>
      </c>
    </row>
    <row r="130" spans="1:25" x14ac:dyDescent="0.25">
      <c r="A130" s="4" t="s">
        <v>905</v>
      </c>
      <c r="B130" s="7" t="s">
        <v>448</v>
      </c>
      <c r="C130" s="2" t="s">
        <v>906</v>
      </c>
      <c r="D130">
        <f>VLOOKUP(B130,'Model allocations'!$A$1:$L$316,6,FALSE)</f>
        <v>961845.01338980312</v>
      </c>
      <c r="E130" s="31">
        <f>VLOOKUP(B130,'Initial adjusted formula count'!$A$1:$P$316,12,FALSE)</f>
        <v>0.156390977443609</v>
      </c>
      <c r="F130">
        <f>VLOOKUP(B130,'Model allocations'!$A$1:$L$316,11,FALSE)</f>
        <v>866280.25715790561</v>
      </c>
      <c r="G130" s="30">
        <f t="shared" si="36"/>
        <v>0.9</v>
      </c>
      <c r="H130">
        <f t="shared" si="37"/>
        <v>865660.51205082284</v>
      </c>
      <c r="I130">
        <f t="shared" si="19"/>
        <v>0</v>
      </c>
      <c r="J130">
        <f t="shared" si="20"/>
        <v>866280.25715790561</v>
      </c>
      <c r="K130">
        <f t="shared" si="21"/>
        <v>865571.33241906948</v>
      </c>
      <c r="L130">
        <f t="shared" si="22"/>
        <v>865571.33241906948</v>
      </c>
      <c r="M130">
        <f t="shared" si="23"/>
        <v>865660.51205082284</v>
      </c>
      <c r="N130" s="29">
        <f t="shared" si="24"/>
        <v>0</v>
      </c>
      <c r="O130" s="29">
        <f t="shared" si="25"/>
        <v>0</v>
      </c>
      <c r="P130" s="29">
        <f t="shared" si="26"/>
        <v>865660.51205082284</v>
      </c>
      <c r="Q130">
        <f t="shared" si="27"/>
        <v>0</v>
      </c>
      <c r="R130" s="29">
        <f t="shared" si="28"/>
        <v>0</v>
      </c>
      <c r="S130" s="29">
        <f t="shared" si="29"/>
        <v>0</v>
      </c>
      <c r="T130" s="29">
        <f t="shared" si="30"/>
        <v>865660.51205082284</v>
      </c>
      <c r="U130">
        <f t="shared" si="31"/>
        <v>0</v>
      </c>
      <c r="V130" s="29">
        <f t="shared" si="32"/>
        <v>0</v>
      </c>
      <c r="W130" s="29">
        <f t="shared" si="33"/>
        <v>0</v>
      </c>
      <c r="X130" s="29">
        <f t="shared" si="34"/>
        <v>865660.51205082284</v>
      </c>
      <c r="Y130">
        <f t="shared" si="35"/>
        <v>0</v>
      </c>
    </row>
    <row r="131" spans="1:25" x14ac:dyDescent="0.25">
      <c r="A131" s="4" t="s">
        <v>907</v>
      </c>
      <c r="B131" s="7" t="s">
        <v>450</v>
      </c>
      <c r="C131" s="2" t="s">
        <v>908</v>
      </c>
      <c r="D131">
        <f>VLOOKUP(B131,'Model allocations'!$A$1:$L$316,6,FALSE)</f>
        <v>49671.64680949341</v>
      </c>
      <c r="E131" s="31">
        <f>VLOOKUP(B131,'Initial adjusted formula count'!$A$1:$P$316,12,FALSE)</f>
        <v>0.168627450980392</v>
      </c>
      <c r="F131">
        <f>VLOOKUP(B131,'Model allocations'!$A$1:$L$316,11,FALSE)</f>
        <v>44736.487035407859</v>
      </c>
      <c r="G131" s="30">
        <f t="shared" si="36"/>
        <v>0.9</v>
      </c>
      <c r="H131">
        <f t="shared" si="37"/>
        <v>44704.48212854407</v>
      </c>
      <c r="I131">
        <f t="shared" si="19"/>
        <v>0</v>
      </c>
      <c r="J131">
        <f t="shared" si="20"/>
        <v>44736.487035407859</v>
      </c>
      <c r="K131">
        <f t="shared" si="21"/>
        <v>44699.876709677854</v>
      </c>
      <c r="L131">
        <f t="shared" si="22"/>
        <v>44699.876709677854</v>
      </c>
      <c r="M131">
        <f t="shared" si="23"/>
        <v>44704.48212854407</v>
      </c>
      <c r="N131" s="29">
        <f t="shared" si="24"/>
        <v>0</v>
      </c>
      <c r="O131" s="29">
        <f t="shared" si="25"/>
        <v>0</v>
      </c>
      <c r="P131" s="29">
        <f t="shared" si="26"/>
        <v>44704.48212854407</v>
      </c>
      <c r="Q131">
        <f t="shared" si="27"/>
        <v>0</v>
      </c>
      <c r="R131" s="29">
        <f t="shared" si="28"/>
        <v>0</v>
      </c>
      <c r="S131" s="29">
        <f t="shared" si="29"/>
        <v>0</v>
      </c>
      <c r="T131" s="29">
        <f t="shared" si="30"/>
        <v>44704.48212854407</v>
      </c>
      <c r="U131">
        <f t="shared" si="31"/>
        <v>0</v>
      </c>
      <c r="V131" s="29">
        <f t="shared" si="32"/>
        <v>0</v>
      </c>
      <c r="W131" s="29">
        <f t="shared" si="33"/>
        <v>0</v>
      </c>
      <c r="X131" s="29">
        <f t="shared" si="34"/>
        <v>44704.48212854407</v>
      </c>
      <c r="Y131">
        <f t="shared" si="35"/>
        <v>0</v>
      </c>
    </row>
    <row r="132" spans="1:25" x14ac:dyDescent="0.25">
      <c r="A132" s="4" t="s">
        <v>909</v>
      </c>
      <c r="B132" s="7" t="s">
        <v>452</v>
      </c>
      <c r="C132" s="2" t="s">
        <v>910</v>
      </c>
      <c r="D132">
        <f>VLOOKUP(B132,'Model allocations'!$A$1:$L$316,6,FALSE)</f>
        <v>30155.817174157859</v>
      </c>
      <c r="E132" s="31">
        <f>VLOOKUP(B132,'Initial adjusted formula count'!$A$1:$P$316,12,FALSE)</f>
        <v>0.14492753623188401</v>
      </c>
      <c r="F132">
        <f>VLOOKUP(B132,'Model allocations'!$A$1:$L$316,11,FALSE)</f>
        <v>25650.795420211081</v>
      </c>
      <c r="G132" s="30">
        <f t="shared" si="36"/>
        <v>0.85</v>
      </c>
      <c r="H132">
        <f t="shared" si="37"/>
        <v>25632.444598034181</v>
      </c>
      <c r="I132">
        <f t="shared" ref="I132:I195" si="38">IF(F132&lt;H132,H132,0)</f>
        <v>0</v>
      </c>
      <c r="J132">
        <f t="shared" ref="J132:J195" si="39">IF(I132=0,F132,0)</f>
        <v>25650.795420211081</v>
      </c>
      <c r="K132">
        <f t="shared" ref="K132:K195" si="40">(J132/$J$3)*($F$3-$I$3)</f>
        <v>25629.803964739302</v>
      </c>
      <c r="L132">
        <f t="shared" ref="L132:L195" si="41">I132+K132</f>
        <v>25629.803964739302</v>
      </c>
      <c r="M132">
        <f t="shared" ref="M132:M195" si="42">IF(L132&lt;H132,H132,0)</f>
        <v>25632.444598034181</v>
      </c>
      <c r="N132" s="29">
        <f t="shared" ref="N132:N195" si="43">IF($I132+$M132=0,L132,0)</f>
        <v>0</v>
      </c>
      <c r="O132" s="29">
        <f t="shared" ref="O132:O195" si="44">((N132/$N$3)*($F$3-$I$3-$M$3))</f>
        <v>0</v>
      </c>
      <c r="P132" s="29">
        <f t="shared" ref="P132:P195" si="45">$I132+$M132+O132</f>
        <v>25632.444598034181</v>
      </c>
      <c r="Q132">
        <f t="shared" ref="Q132:Q195" si="46">IF(P132&lt;H132,H132,0)</f>
        <v>0</v>
      </c>
      <c r="R132" s="29">
        <f t="shared" ref="R132:R195" si="47">IF($I132+$M132+$Q132=0,P132,0)</f>
        <v>0</v>
      </c>
      <c r="S132" s="29">
        <f t="shared" ref="S132:S195" si="48">((R132/$R$3)*($F$3-$I$3-$M$3-$Q$3))</f>
        <v>0</v>
      </c>
      <c r="T132" s="29">
        <f t="shared" ref="T132:T195" si="49">$I132+$M132+$Q132+S132</f>
        <v>25632.444598034181</v>
      </c>
      <c r="U132">
        <f t="shared" ref="U132:U195" si="50">IF(T132&lt;H132,H132,0)</f>
        <v>0</v>
      </c>
      <c r="V132" s="29">
        <f t="shared" ref="V132:V195" si="51">IF($I132+$M132+$Q132+U132=0,T132,0)</f>
        <v>0</v>
      </c>
      <c r="W132" s="29">
        <f t="shared" ref="W132:W195" si="52">((V132/$V$3)*($F$3-$I$3-$M$3-$Q$3-$U$3))</f>
        <v>0</v>
      </c>
      <c r="X132" s="29">
        <f t="shared" ref="X132:X195" si="53">$I132+$M132+$Q132+$U132+W132</f>
        <v>25632.444598034181</v>
      </c>
      <c r="Y132">
        <f t="shared" ref="Y132:Y195" si="54">IF(X132&lt;H132,H132,0)</f>
        <v>0</v>
      </c>
    </row>
    <row r="133" spans="1:25" x14ac:dyDescent="0.25">
      <c r="A133" s="4" t="s">
        <v>29</v>
      </c>
      <c r="B133" s="7" t="s">
        <v>76</v>
      </c>
      <c r="C133" s="2" t="s">
        <v>911</v>
      </c>
      <c r="D133">
        <f>VLOOKUP(B133,'Model allocations'!$A$1:$L$316,6,FALSE)</f>
        <v>0</v>
      </c>
      <c r="E133" s="31">
        <f>VLOOKUP(B133,'Initial adjusted formula count'!$A$1:$P$316,12,FALSE)</f>
        <v>0.16602385247005799</v>
      </c>
      <c r="F133">
        <f>VLOOKUP(B133,'Model allocations'!$A$1:$L$316,11,FALSE)</f>
        <v>0</v>
      </c>
      <c r="G133" s="30">
        <f t="shared" ref="G133:G196" si="55">IF(E133&lt;0.15,0.85,IF(AND(E133&gt;=0.15,E133&lt;0.3),0.9,0.95))</f>
        <v>0.9</v>
      </c>
      <c r="H133">
        <f t="shared" ref="H133:H196" si="56">IF(F133 = 0, 0, D133*G133)</f>
        <v>0</v>
      </c>
      <c r="I133">
        <f t="shared" si="38"/>
        <v>0</v>
      </c>
      <c r="J133">
        <f t="shared" si="39"/>
        <v>0</v>
      </c>
      <c r="K133">
        <f t="shared" si="40"/>
        <v>0</v>
      </c>
      <c r="L133">
        <f t="shared" si="41"/>
        <v>0</v>
      </c>
      <c r="M133">
        <f t="shared" si="42"/>
        <v>0</v>
      </c>
      <c r="N133" s="29">
        <f t="shared" si="43"/>
        <v>0</v>
      </c>
      <c r="O133" s="29">
        <f t="shared" si="44"/>
        <v>0</v>
      </c>
      <c r="P133" s="29">
        <f t="shared" si="45"/>
        <v>0</v>
      </c>
      <c r="Q133">
        <f t="shared" si="46"/>
        <v>0</v>
      </c>
      <c r="R133" s="29">
        <f t="shared" si="47"/>
        <v>0</v>
      </c>
      <c r="S133" s="29">
        <f t="shared" si="48"/>
        <v>0</v>
      </c>
      <c r="T133" s="29">
        <f t="shared" si="49"/>
        <v>0</v>
      </c>
      <c r="U133">
        <f t="shared" si="50"/>
        <v>0</v>
      </c>
      <c r="V133" s="29">
        <f t="shared" si="51"/>
        <v>0</v>
      </c>
      <c r="W133" s="29">
        <f t="shared" si="52"/>
        <v>0</v>
      </c>
      <c r="X133" s="29">
        <f t="shared" si="53"/>
        <v>0</v>
      </c>
      <c r="Y133">
        <f t="shared" si="54"/>
        <v>0</v>
      </c>
    </row>
    <row r="134" spans="1:25" x14ac:dyDescent="0.25">
      <c r="A134" s="4" t="s">
        <v>912</v>
      </c>
      <c r="B134" s="7" t="s">
        <v>454</v>
      </c>
      <c r="C134" s="2" t="s">
        <v>913</v>
      </c>
      <c r="D134">
        <f>VLOOKUP(B134,'Model allocations'!$A$1:$L$316,6,FALSE)</f>
        <v>61785.932643447697</v>
      </c>
      <c r="E134" s="31">
        <f>VLOOKUP(B134,'Initial adjusted formula count'!$A$1:$P$316,12,FALSE)</f>
        <v>0.16985645933014401</v>
      </c>
      <c r="F134">
        <f>VLOOKUP(B134,'Model allocations'!$A$1:$L$316,11,FALSE)</f>
        <v>55647.149877581673</v>
      </c>
      <c r="G134" s="30">
        <f t="shared" si="55"/>
        <v>0.9</v>
      </c>
      <c r="H134">
        <f t="shared" si="56"/>
        <v>55607.33937910293</v>
      </c>
      <c r="I134">
        <f t="shared" si="38"/>
        <v>0</v>
      </c>
      <c r="J134">
        <f t="shared" si="39"/>
        <v>55647.149877581673</v>
      </c>
      <c r="K134">
        <f t="shared" si="40"/>
        <v>55601.610756877977</v>
      </c>
      <c r="L134">
        <f t="shared" si="41"/>
        <v>55601.610756877977</v>
      </c>
      <c r="M134">
        <f t="shared" si="42"/>
        <v>55607.33937910293</v>
      </c>
      <c r="N134" s="29">
        <f t="shared" si="43"/>
        <v>0</v>
      </c>
      <c r="O134" s="29">
        <f t="shared" si="44"/>
        <v>0</v>
      </c>
      <c r="P134" s="29">
        <f t="shared" si="45"/>
        <v>55607.33937910293</v>
      </c>
      <c r="Q134">
        <f t="shared" si="46"/>
        <v>0</v>
      </c>
      <c r="R134" s="29">
        <f t="shared" si="47"/>
        <v>0</v>
      </c>
      <c r="S134" s="29">
        <f t="shared" si="48"/>
        <v>0</v>
      </c>
      <c r="T134" s="29">
        <f t="shared" si="49"/>
        <v>55607.33937910293</v>
      </c>
      <c r="U134">
        <f t="shared" si="50"/>
        <v>0</v>
      </c>
      <c r="V134" s="29">
        <f t="shared" si="51"/>
        <v>0</v>
      </c>
      <c r="W134" s="29">
        <f t="shared" si="52"/>
        <v>0</v>
      </c>
      <c r="X134" s="29">
        <f t="shared" si="53"/>
        <v>55607.33937910293</v>
      </c>
      <c r="Y134">
        <f t="shared" si="54"/>
        <v>0</v>
      </c>
    </row>
    <row r="135" spans="1:25" x14ac:dyDescent="0.25">
      <c r="A135" s="4" t="s">
        <v>914</v>
      </c>
      <c r="B135" s="7" t="s">
        <v>160</v>
      </c>
      <c r="C135" s="2" t="s">
        <v>915</v>
      </c>
      <c r="D135">
        <f>VLOOKUP(B135,'Model allocations'!$A$1:$L$316,6,FALSE)</f>
        <v>197884.75593239808</v>
      </c>
      <c r="E135" s="31">
        <f>VLOOKUP(B135,'Initial adjusted formula count'!$A$1:$P$316,12,FALSE)</f>
        <v>6.12386917188587E-2</v>
      </c>
      <c r="F135">
        <f>VLOOKUP(B135,'Model allocations'!$A$1:$L$316,11,FALSE)</f>
        <v>168322.46202733176</v>
      </c>
      <c r="G135" s="30">
        <f t="shared" si="55"/>
        <v>0.85</v>
      </c>
      <c r="H135">
        <f t="shared" si="56"/>
        <v>168202.04254253837</v>
      </c>
      <c r="I135">
        <f t="shared" si="38"/>
        <v>0</v>
      </c>
      <c r="J135">
        <f t="shared" si="39"/>
        <v>168322.46202733176</v>
      </c>
      <c r="K135">
        <f t="shared" si="40"/>
        <v>168184.71450688786</v>
      </c>
      <c r="L135">
        <f t="shared" si="41"/>
        <v>168184.71450688786</v>
      </c>
      <c r="M135">
        <f t="shared" si="42"/>
        <v>168202.04254253837</v>
      </c>
      <c r="N135" s="29">
        <f t="shared" si="43"/>
        <v>0</v>
      </c>
      <c r="O135" s="29">
        <f t="shared" si="44"/>
        <v>0</v>
      </c>
      <c r="P135" s="29">
        <f t="shared" si="45"/>
        <v>168202.04254253837</v>
      </c>
      <c r="Q135">
        <f t="shared" si="46"/>
        <v>0</v>
      </c>
      <c r="R135" s="29">
        <f t="shared" si="47"/>
        <v>0</v>
      </c>
      <c r="S135" s="29">
        <f t="shared" si="48"/>
        <v>0</v>
      </c>
      <c r="T135" s="29">
        <f t="shared" si="49"/>
        <v>168202.04254253837</v>
      </c>
      <c r="U135">
        <f t="shared" si="50"/>
        <v>0</v>
      </c>
      <c r="V135" s="29">
        <f t="shared" si="51"/>
        <v>0</v>
      </c>
      <c r="W135" s="29">
        <f t="shared" si="52"/>
        <v>0</v>
      </c>
      <c r="X135" s="29">
        <f t="shared" si="53"/>
        <v>168202.04254253837</v>
      </c>
      <c r="Y135">
        <f t="shared" si="54"/>
        <v>0</v>
      </c>
    </row>
    <row r="136" spans="1:25" x14ac:dyDescent="0.25">
      <c r="A136" s="4" t="s">
        <v>916</v>
      </c>
      <c r="B136" s="7" t="s">
        <v>456</v>
      </c>
      <c r="C136" s="2" t="s">
        <v>917</v>
      </c>
      <c r="D136">
        <f>VLOOKUP(B136,'Model allocations'!$A$1:$L$316,6,FALSE)</f>
        <v>132291.69724500761</v>
      </c>
      <c r="E136" s="31">
        <f>VLOOKUP(B136,'Initial adjusted formula count'!$A$1:$P$316,12,FALSE)</f>
        <v>0.13464052287581699</v>
      </c>
      <c r="F136">
        <f>VLOOKUP(B136,'Model allocations'!$A$1:$L$316,11,FALSE)</f>
        <v>112447.94265825646</v>
      </c>
      <c r="G136" s="30">
        <f t="shared" si="55"/>
        <v>0.85</v>
      </c>
      <c r="H136">
        <f t="shared" si="56"/>
        <v>112447.94265825646</v>
      </c>
      <c r="I136">
        <f t="shared" si="38"/>
        <v>0</v>
      </c>
      <c r="J136">
        <f t="shared" si="39"/>
        <v>112447.94265825646</v>
      </c>
      <c r="K136">
        <f t="shared" si="40"/>
        <v>112355.92032746573</v>
      </c>
      <c r="L136">
        <f t="shared" si="41"/>
        <v>112355.92032746573</v>
      </c>
      <c r="M136">
        <f t="shared" si="42"/>
        <v>112447.94265825646</v>
      </c>
      <c r="N136" s="29">
        <f t="shared" si="43"/>
        <v>0</v>
      </c>
      <c r="O136" s="29">
        <f t="shared" si="44"/>
        <v>0</v>
      </c>
      <c r="P136" s="29">
        <f t="shared" si="45"/>
        <v>112447.94265825646</v>
      </c>
      <c r="Q136">
        <f t="shared" si="46"/>
        <v>0</v>
      </c>
      <c r="R136" s="29">
        <f t="shared" si="47"/>
        <v>0</v>
      </c>
      <c r="S136" s="29">
        <f t="shared" si="48"/>
        <v>0</v>
      </c>
      <c r="T136" s="29">
        <f t="shared" si="49"/>
        <v>112447.94265825646</v>
      </c>
      <c r="U136">
        <f t="shared" si="50"/>
        <v>0</v>
      </c>
      <c r="V136" s="29">
        <f t="shared" si="51"/>
        <v>0</v>
      </c>
      <c r="W136" s="29">
        <f t="shared" si="52"/>
        <v>0</v>
      </c>
      <c r="X136" s="29">
        <f t="shared" si="53"/>
        <v>112447.94265825646</v>
      </c>
      <c r="Y136">
        <f t="shared" si="54"/>
        <v>0</v>
      </c>
    </row>
    <row r="137" spans="1:25" x14ac:dyDescent="0.25">
      <c r="A137" s="4" t="s">
        <v>918</v>
      </c>
      <c r="B137" s="7" t="s">
        <v>458</v>
      </c>
      <c r="C137" s="2" t="s">
        <v>919</v>
      </c>
      <c r="D137">
        <f>VLOOKUP(B137,'Model allocations'!$A$1:$L$316,6,FALSE)</f>
        <v>17801.147381509105</v>
      </c>
      <c r="E137" s="31">
        <f>VLOOKUP(B137,'Initial adjusted formula count'!$A$1:$P$316,12,FALSE)</f>
        <v>9.41176470588235E-2</v>
      </c>
      <c r="F137">
        <f>VLOOKUP(B137,'Model allocations'!$A$1:$L$316,11,FALSE)</f>
        <v>0</v>
      </c>
      <c r="G137" s="30">
        <f t="shared" si="55"/>
        <v>0.85</v>
      </c>
      <c r="H137">
        <f t="shared" si="56"/>
        <v>0</v>
      </c>
      <c r="I137">
        <f t="shared" si="38"/>
        <v>0</v>
      </c>
      <c r="J137">
        <f t="shared" si="39"/>
        <v>0</v>
      </c>
      <c r="K137">
        <f t="shared" si="40"/>
        <v>0</v>
      </c>
      <c r="L137">
        <f t="shared" si="41"/>
        <v>0</v>
      </c>
      <c r="M137">
        <f t="shared" si="42"/>
        <v>0</v>
      </c>
      <c r="N137" s="29">
        <f t="shared" si="43"/>
        <v>0</v>
      </c>
      <c r="O137" s="29">
        <f t="shared" si="44"/>
        <v>0</v>
      </c>
      <c r="P137" s="29">
        <f t="shared" si="45"/>
        <v>0</v>
      </c>
      <c r="Q137">
        <f t="shared" si="46"/>
        <v>0</v>
      </c>
      <c r="R137" s="29">
        <f t="shared" si="47"/>
        <v>0</v>
      </c>
      <c r="S137" s="29">
        <f t="shared" si="48"/>
        <v>0</v>
      </c>
      <c r="T137" s="29">
        <f t="shared" si="49"/>
        <v>0</v>
      </c>
      <c r="U137">
        <f t="shared" si="50"/>
        <v>0</v>
      </c>
      <c r="V137" s="29">
        <f t="shared" si="51"/>
        <v>0</v>
      </c>
      <c r="W137" s="29">
        <f t="shared" si="52"/>
        <v>0</v>
      </c>
      <c r="X137" s="29">
        <f t="shared" si="53"/>
        <v>0</v>
      </c>
      <c r="Y137">
        <f t="shared" si="54"/>
        <v>0</v>
      </c>
    </row>
    <row r="138" spans="1:25" x14ac:dyDescent="0.25">
      <c r="A138" s="4" t="s">
        <v>920</v>
      </c>
      <c r="B138" s="7" t="s">
        <v>283</v>
      </c>
      <c r="C138" s="2" t="s">
        <v>921</v>
      </c>
      <c r="D138">
        <f>VLOOKUP(B138,'Model allocations'!$A$1:$L$316,6,FALSE)</f>
        <v>70686.358115020295</v>
      </c>
      <c r="E138" s="31">
        <f>VLOOKUP(B138,'Initial adjusted formula count'!$A$1:$P$316,12,FALSE)</f>
        <v>0.116613418530351</v>
      </c>
      <c r="F138">
        <f>VLOOKUP(B138,'Model allocations'!$A$1:$L$316,11,FALSE)</f>
        <v>60083.404397767248</v>
      </c>
      <c r="G138" s="30">
        <f t="shared" si="55"/>
        <v>0.85</v>
      </c>
      <c r="H138">
        <f t="shared" si="56"/>
        <v>60083.404397767248</v>
      </c>
      <c r="I138">
        <f t="shared" si="38"/>
        <v>0</v>
      </c>
      <c r="J138">
        <f t="shared" si="39"/>
        <v>60083.404397767248</v>
      </c>
      <c r="K138">
        <f t="shared" si="40"/>
        <v>60034.234846205705</v>
      </c>
      <c r="L138">
        <f t="shared" si="41"/>
        <v>60034.234846205705</v>
      </c>
      <c r="M138">
        <f t="shared" si="42"/>
        <v>60083.404397767248</v>
      </c>
      <c r="N138" s="29">
        <f t="shared" si="43"/>
        <v>0</v>
      </c>
      <c r="O138" s="29">
        <f t="shared" si="44"/>
        <v>0</v>
      </c>
      <c r="P138" s="29">
        <f t="shared" si="45"/>
        <v>60083.404397767248</v>
      </c>
      <c r="Q138">
        <f t="shared" si="46"/>
        <v>0</v>
      </c>
      <c r="R138" s="29">
        <f t="shared" si="47"/>
        <v>0</v>
      </c>
      <c r="S138" s="29">
        <f t="shared" si="48"/>
        <v>0</v>
      </c>
      <c r="T138" s="29">
        <f t="shared" si="49"/>
        <v>60083.404397767248</v>
      </c>
      <c r="U138">
        <f t="shared" si="50"/>
        <v>0</v>
      </c>
      <c r="V138" s="29">
        <f t="shared" si="51"/>
        <v>0</v>
      </c>
      <c r="W138" s="29">
        <f t="shared" si="52"/>
        <v>0</v>
      </c>
      <c r="X138" s="29">
        <f t="shared" si="53"/>
        <v>60083.404397767248</v>
      </c>
      <c r="Y138">
        <f t="shared" si="54"/>
        <v>0</v>
      </c>
    </row>
    <row r="139" spans="1:25" x14ac:dyDescent="0.25">
      <c r="A139" s="4" t="s">
        <v>922</v>
      </c>
      <c r="B139" s="7" t="s">
        <v>460</v>
      </c>
      <c r="C139" s="2" t="s">
        <v>923</v>
      </c>
      <c r="D139">
        <f>VLOOKUP(B139,'Model allocations'!$A$1:$L$316,6,FALSE)</f>
        <v>25229.227569560473</v>
      </c>
      <c r="E139" s="31">
        <f>VLOOKUP(B139,'Initial adjusted formula count'!$A$1:$P$316,12,FALSE)</f>
        <v>0.128571428571429</v>
      </c>
      <c r="F139">
        <f>VLOOKUP(B139,'Model allocations'!$A$1:$L$316,11,FALSE)</f>
        <v>21444.8434341264</v>
      </c>
      <c r="G139" s="30">
        <f t="shared" si="55"/>
        <v>0.85</v>
      </c>
      <c r="H139">
        <f t="shared" si="56"/>
        <v>21444.8434341264</v>
      </c>
      <c r="I139">
        <f t="shared" si="38"/>
        <v>0</v>
      </c>
      <c r="J139">
        <f t="shared" si="39"/>
        <v>21444.8434341264</v>
      </c>
      <c r="K139">
        <f t="shared" si="40"/>
        <v>21427.293940293079</v>
      </c>
      <c r="L139">
        <f t="shared" si="41"/>
        <v>21427.293940293079</v>
      </c>
      <c r="M139">
        <f t="shared" si="42"/>
        <v>21444.8434341264</v>
      </c>
      <c r="N139" s="29">
        <f t="shared" si="43"/>
        <v>0</v>
      </c>
      <c r="O139" s="29">
        <f t="shared" si="44"/>
        <v>0</v>
      </c>
      <c r="P139" s="29">
        <f t="shared" si="45"/>
        <v>21444.8434341264</v>
      </c>
      <c r="Q139">
        <f t="shared" si="46"/>
        <v>0</v>
      </c>
      <c r="R139" s="29">
        <f t="shared" si="47"/>
        <v>0</v>
      </c>
      <c r="S139" s="29">
        <f t="shared" si="48"/>
        <v>0</v>
      </c>
      <c r="T139" s="29">
        <f t="shared" si="49"/>
        <v>21444.8434341264</v>
      </c>
      <c r="U139">
        <f t="shared" si="50"/>
        <v>0</v>
      </c>
      <c r="V139" s="29">
        <f t="shared" si="51"/>
        <v>0</v>
      </c>
      <c r="W139" s="29">
        <f t="shared" si="52"/>
        <v>0</v>
      </c>
      <c r="X139" s="29">
        <f t="shared" si="53"/>
        <v>21444.8434341264</v>
      </c>
      <c r="Y139">
        <f t="shared" si="54"/>
        <v>0</v>
      </c>
    </row>
    <row r="140" spans="1:25" x14ac:dyDescent="0.25">
      <c r="A140" s="4" t="s">
        <v>924</v>
      </c>
      <c r="B140" s="7" t="s">
        <v>462</v>
      </c>
      <c r="C140" s="2" t="s">
        <v>925</v>
      </c>
      <c r="D140">
        <f>VLOOKUP(B140,'Model allocations'!$A$1:$L$316,6,FALSE)</f>
        <v>93724.178461339106</v>
      </c>
      <c r="E140" s="31">
        <f>VLOOKUP(B140,'Initial adjusted formula count'!$A$1:$P$316,12,FALSE)</f>
        <v>0.22848200312989</v>
      </c>
      <c r="F140">
        <f>VLOOKUP(B140,'Model allocations'!$A$1:$L$316,11,FALSE)</f>
        <v>104149.78113749329</v>
      </c>
      <c r="G140" s="30">
        <f t="shared" si="55"/>
        <v>0.9</v>
      </c>
      <c r="H140">
        <f t="shared" si="56"/>
        <v>84351.760615205203</v>
      </c>
      <c r="I140">
        <f t="shared" si="38"/>
        <v>0</v>
      </c>
      <c r="J140">
        <f t="shared" si="39"/>
        <v>104149.78113749329</v>
      </c>
      <c r="K140">
        <f t="shared" si="40"/>
        <v>104064.54964828104</v>
      </c>
      <c r="L140">
        <f t="shared" si="41"/>
        <v>104064.54964828104</v>
      </c>
      <c r="M140">
        <f t="shared" si="42"/>
        <v>0</v>
      </c>
      <c r="N140" s="29">
        <f t="shared" si="43"/>
        <v>104064.54964828104</v>
      </c>
      <c r="O140" s="29">
        <f t="shared" si="44"/>
        <v>104057.37885219051</v>
      </c>
      <c r="P140" s="29">
        <f t="shared" si="45"/>
        <v>104057.37885219051</v>
      </c>
      <c r="Q140">
        <f t="shared" si="46"/>
        <v>0</v>
      </c>
      <c r="R140" s="29">
        <f t="shared" si="47"/>
        <v>104057.37885219051</v>
      </c>
      <c r="S140" s="29">
        <f t="shared" si="48"/>
        <v>104057.25395693834</v>
      </c>
      <c r="T140" s="29">
        <f t="shared" si="49"/>
        <v>104057.25395693834</v>
      </c>
      <c r="U140">
        <f t="shared" si="50"/>
        <v>0</v>
      </c>
      <c r="V140" s="29">
        <f t="shared" si="51"/>
        <v>104057.25395693834</v>
      </c>
      <c r="W140" s="29">
        <f t="shared" si="52"/>
        <v>104057.25395693834</v>
      </c>
      <c r="X140" s="29">
        <f t="shared" si="53"/>
        <v>104057.25395693834</v>
      </c>
      <c r="Y140">
        <f t="shared" si="54"/>
        <v>0</v>
      </c>
    </row>
    <row r="141" spans="1:25" x14ac:dyDescent="0.25">
      <c r="A141" s="4" t="s">
        <v>926</v>
      </c>
      <c r="B141" s="7" t="s">
        <v>162</v>
      </c>
      <c r="C141" s="2" t="s">
        <v>927</v>
      </c>
      <c r="D141">
        <f>VLOOKUP(B141,'Model allocations'!$A$1:$L$316,6,FALSE)</f>
        <v>1036051.7968644522</v>
      </c>
      <c r="E141" s="31">
        <f>VLOOKUP(B141,'Initial adjusted formula count'!$A$1:$P$316,12,FALSE)</f>
        <v>0.11046511627907001</v>
      </c>
      <c r="F141">
        <f>VLOOKUP(B141,'Model allocations'!$A$1:$L$316,11,FALSE)</f>
        <v>996189.54606511781</v>
      </c>
      <c r="G141" s="30">
        <f t="shared" si="55"/>
        <v>0.85</v>
      </c>
      <c r="H141">
        <f t="shared" si="56"/>
        <v>880644.02733478439</v>
      </c>
      <c r="I141">
        <f t="shared" si="38"/>
        <v>0</v>
      </c>
      <c r="J141">
        <f t="shared" si="39"/>
        <v>996189.54606511781</v>
      </c>
      <c r="K141">
        <f t="shared" si="40"/>
        <v>995374.30941630795</v>
      </c>
      <c r="L141">
        <f t="shared" si="41"/>
        <v>995374.30941630795</v>
      </c>
      <c r="M141">
        <f t="shared" si="42"/>
        <v>0</v>
      </c>
      <c r="N141" s="29">
        <f t="shared" si="43"/>
        <v>995374.30941630795</v>
      </c>
      <c r="O141" s="29">
        <f t="shared" si="44"/>
        <v>995305.72096586344</v>
      </c>
      <c r="P141" s="29">
        <f t="shared" si="45"/>
        <v>995305.72096586344</v>
      </c>
      <c r="Q141">
        <f t="shared" si="46"/>
        <v>0</v>
      </c>
      <c r="R141" s="29">
        <f t="shared" si="47"/>
        <v>995305.72096586344</v>
      </c>
      <c r="S141" s="29">
        <f t="shared" si="48"/>
        <v>995304.52634650655</v>
      </c>
      <c r="T141" s="29">
        <f t="shared" si="49"/>
        <v>995304.52634650655</v>
      </c>
      <c r="U141">
        <f t="shared" si="50"/>
        <v>0</v>
      </c>
      <c r="V141" s="29">
        <f t="shared" si="51"/>
        <v>995304.52634650655</v>
      </c>
      <c r="W141" s="29">
        <f t="shared" si="52"/>
        <v>995304.52634650655</v>
      </c>
      <c r="X141" s="29">
        <f t="shared" si="53"/>
        <v>995304.52634650655</v>
      </c>
      <c r="Y141">
        <f t="shared" si="54"/>
        <v>0</v>
      </c>
    </row>
    <row r="142" spans="1:25" x14ac:dyDescent="0.25">
      <c r="A142" s="4" t="s">
        <v>928</v>
      </c>
      <c r="B142" s="7" t="s">
        <v>464</v>
      </c>
      <c r="C142" s="2" t="s">
        <v>929</v>
      </c>
      <c r="D142">
        <f>VLOOKUP(B142,'Model allocations'!$A$1:$L$316,6,FALSE)</f>
        <v>36063.165303250906</v>
      </c>
      <c r="E142" s="31">
        <f>VLOOKUP(B142,'Initial adjusted formula count'!$A$1:$P$316,12,FALSE)</f>
        <v>6.8783068783068793E-2</v>
      </c>
      <c r="F142">
        <f>VLOOKUP(B142,'Model allocations'!$A$1:$L$316,11,FALSE)</f>
        <v>30653.690507763269</v>
      </c>
      <c r="G142" s="30">
        <f t="shared" si="55"/>
        <v>0.85</v>
      </c>
      <c r="H142">
        <f t="shared" si="56"/>
        <v>30653.690507763269</v>
      </c>
      <c r="I142">
        <f t="shared" si="38"/>
        <v>0</v>
      </c>
      <c r="J142">
        <f t="shared" si="39"/>
        <v>30653.690507763269</v>
      </c>
      <c r="K142">
        <f t="shared" si="40"/>
        <v>30628.604908318957</v>
      </c>
      <c r="L142">
        <f t="shared" si="41"/>
        <v>30628.604908318957</v>
      </c>
      <c r="M142">
        <f t="shared" si="42"/>
        <v>30653.690507763269</v>
      </c>
      <c r="N142" s="29">
        <f t="shared" si="43"/>
        <v>0</v>
      </c>
      <c r="O142" s="29">
        <f t="shared" si="44"/>
        <v>0</v>
      </c>
      <c r="P142" s="29">
        <f t="shared" si="45"/>
        <v>30653.690507763269</v>
      </c>
      <c r="Q142">
        <f t="shared" si="46"/>
        <v>0</v>
      </c>
      <c r="R142" s="29">
        <f t="shared" si="47"/>
        <v>0</v>
      </c>
      <c r="S142" s="29">
        <f t="shared" si="48"/>
        <v>0</v>
      </c>
      <c r="T142" s="29">
        <f t="shared" si="49"/>
        <v>30653.690507763269</v>
      </c>
      <c r="U142">
        <f t="shared" si="50"/>
        <v>0</v>
      </c>
      <c r="V142" s="29">
        <f t="shared" si="51"/>
        <v>0</v>
      </c>
      <c r="W142" s="29">
        <f t="shared" si="52"/>
        <v>0</v>
      </c>
      <c r="X142" s="29">
        <f t="shared" si="53"/>
        <v>30653.690507763269</v>
      </c>
      <c r="Y142">
        <f t="shared" si="54"/>
        <v>0</v>
      </c>
    </row>
    <row r="143" spans="1:25" x14ac:dyDescent="0.25">
      <c r="A143" s="4" t="s">
        <v>930</v>
      </c>
      <c r="B143" s="7" t="s">
        <v>164</v>
      </c>
      <c r="C143" s="2" t="s">
        <v>931</v>
      </c>
      <c r="D143">
        <f>VLOOKUP(B143,'Model allocations'!$A$1:$L$316,6,FALSE)</f>
        <v>578212.75036212301</v>
      </c>
      <c r="E143" s="31">
        <f>VLOOKUP(B143,'Initial adjusted formula count'!$A$1:$P$316,12,FALSE)</f>
        <v>6.3085467959877295E-2</v>
      </c>
      <c r="F143">
        <f>VLOOKUP(B143,'Model allocations'!$A$1:$L$316,11,FALSE)</f>
        <v>491632.89632689481</v>
      </c>
      <c r="G143" s="30">
        <f t="shared" si="55"/>
        <v>0.85</v>
      </c>
      <c r="H143">
        <f t="shared" si="56"/>
        <v>491480.83780780452</v>
      </c>
      <c r="I143">
        <f t="shared" si="38"/>
        <v>0</v>
      </c>
      <c r="J143">
        <f t="shared" si="39"/>
        <v>491632.89632689481</v>
      </c>
      <c r="K143">
        <f t="shared" si="40"/>
        <v>491230.56611129548</v>
      </c>
      <c r="L143">
        <f t="shared" si="41"/>
        <v>491230.56611129548</v>
      </c>
      <c r="M143">
        <f t="shared" si="42"/>
        <v>491480.83780780452</v>
      </c>
      <c r="N143" s="29">
        <f t="shared" si="43"/>
        <v>0</v>
      </c>
      <c r="O143" s="29">
        <f t="shared" si="44"/>
        <v>0</v>
      </c>
      <c r="P143" s="29">
        <f t="shared" si="45"/>
        <v>491480.83780780452</v>
      </c>
      <c r="Q143">
        <f t="shared" si="46"/>
        <v>0</v>
      </c>
      <c r="R143" s="29">
        <f t="shared" si="47"/>
        <v>0</v>
      </c>
      <c r="S143" s="29">
        <f t="shared" si="48"/>
        <v>0</v>
      </c>
      <c r="T143" s="29">
        <f t="shared" si="49"/>
        <v>491480.83780780452</v>
      </c>
      <c r="U143">
        <f t="shared" si="50"/>
        <v>0</v>
      </c>
      <c r="V143" s="29">
        <f t="shared" si="51"/>
        <v>0</v>
      </c>
      <c r="W143" s="29">
        <f t="shared" si="52"/>
        <v>0</v>
      </c>
      <c r="X143" s="29">
        <f t="shared" si="53"/>
        <v>491480.83780780452</v>
      </c>
      <c r="Y143">
        <f t="shared" si="54"/>
        <v>0</v>
      </c>
    </row>
    <row r="144" spans="1:25" x14ac:dyDescent="0.25">
      <c r="A144" s="4" t="s">
        <v>932</v>
      </c>
      <c r="B144" s="7" t="s">
        <v>166</v>
      </c>
      <c r="C144" s="2" t="s">
        <v>933</v>
      </c>
      <c r="D144">
        <f>VLOOKUP(B144,'Model allocations'!$A$1:$L$316,6,FALSE)</f>
        <v>100976.86284910253</v>
      </c>
      <c r="E144" s="31">
        <f>VLOOKUP(B144,'Initial adjusted formula count'!$A$1:$P$316,12,FALSE)</f>
        <v>7.0796460176991205E-2</v>
      </c>
      <c r="F144">
        <f>VLOOKUP(B144,'Model allocations'!$A$1:$L$316,11,FALSE)</f>
        <v>85836.030302215921</v>
      </c>
      <c r="G144" s="30">
        <f t="shared" si="55"/>
        <v>0.85</v>
      </c>
      <c r="H144">
        <f t="shared" si="56"/>
        <v>85830.333421737145</v>
      </c>
      <c r="I144">
        <f t="shared" si="38"/>
        <v>0</v>
      </c>
      <c r="J144">
        <f t="shared" si="39"/>
        <v>85836.030302215921</v>
      </c>
      <c r="K144">
        <f t="shared" si="40"/>
        <v>85765.785961701491</v>
      </c>
      <c r="L144">
        <f t="shared" si="41"/>
        <v>85765.785961701491</v>
      </c>
      <c r="M144">
        <f t="shared" si="42"/>
        <v>85830.333421737145</v>
      </c>
      <c r="N144" s="29">
        <f t="shared" si="43"/>
        <v>0</v>
      </c>
      <c r="O144" s="29">
        <f t="shared" si="44"/>
        <v>0</v>
      </c>
      <c r="P144" s="29">
        <f t="shared" si="45"/>
        <v>85830.333421737145</v>
      </c>
      <c r="Q144">
        <f t="shared" si="46"/>
        <v>0</v>
      </c>
      <c r="R144" s="29">
        <f t="shared" si="47"/>
        <v>0</v>
      </c>
      <c r="S144" s="29">
        <f t="shared" si="48"/>
        <v>0</v>
      </c>
      <c r="T144" s="29">
        <f t="shared" si="49"/>
        <v>85830.333421737145</v>
      </c>
      <c r="U144">
        <f t="shared" si="50"/>
        <v>0</v>
      </c>
      <c r="V144" s="29">
        <f t="shared" si="51"/>
        <v>0</v>
      </c>
      <c r="W144" s="29">
        <f t="shared" si="52"/>
        <v>0</v>
      </c>
      <c r="X144" s="29">
        <f t="shared" si="53"/>
        <v>85830.333421737145</v>
      </c>
      <c r="Y144">
        <f t="shared" si="54"/>
        <v>0</v>
      </c>
    </row>
    <row r="145" spans="1:25" x14ac:dyDescent="0.25">
      <c r="A145" s="4" t="s">
        <v>934</v>
      </c>
      <c r="B145" s="7" t="s">
        <v>168</v>
      </c>
      <c r="C145" s="2" t="s">
        <v>935</v>
      </c>
      <c r="D145">
        <f>VLOOKUP(B145,'Model allocations'!$A$1:$L$316,6,FALSE)</f>
        <v>0</v>
      </c>
      <c r="E145" s="31">
        <f>VLOOKUP(B145,'Initial adjusted formula count'!$A$1:$P$316,12,FALSE)</f>
        <v>2.7643260694108201E-2</v>
      </c>
      <c r="F145">
        <f>VLOOKUP(B145,'Model allocations'!$A$1:$L$316,11,FALSE)</f>
        <v>0</v>
      </c>
      <c r="G145" s="30">
        <f t="shared" si="55"/>
        <v>0.85</v>
      </c>
      <c r="H145">
        <f t="shared" si="56"/>
        <v>0</v>
      </c>
      <c r="I145">
        <f t="shared" si="38"/>
        <v>0</v>
      </c>
      <c r="J145">
        <f t="shared" si="39"/>
        <v>0</v>
      </c>
      <c r="K145">
        <f t="shared" si="40"/>
        <v>0</v>
      </c>
      <c r="L145">
        <f t="shared" si="41"/>
        <v>0</v>
      </c>
      <c r="M145">
        <f t="shared" si="42"/>
        <v>0</v>
      </c>
      <c r="N145" s="29">
        <f t="shared" si="43"/>
        <v>0</v>
      </c>
      <c r="O145" s="29">
        <f t="shared" si="44"/>
        <v>0</v>
      </c>
      <c r="P145" s="29">
        <f t="shared" si="45"/>
        <v>0</v>
      </c>
      <c r="Q145">
        <f t="shared" si="46"/>
        <v>0</v>
      </c>
      <c r="R145" s="29">
        <f t="shared" si="47"/>
        <v>0</v>
      </c>
      <c r="S145" s="29">
        <f t="shared" si="48"/>
        <v>0</v>
      </c>
      <c r="T145" s="29">
        <f t="shared" si="49"/>
        <v>0</v>
      </c>
      <c r="U145">
        <f t="shared" si="50"/>
        <v>0</v>
      </c>
      <c r="V145" s="29">
        <f t="shared" si="51"/>
        <v>0</v>
      </c>
      <c r="W145" s="29">
        <f t="shared" si="52"/>
        <v>0</v>
      </c>
      <c r="X145" s="29">
        <f t="shared" si="53"/>
        <v>0</v>
      </c>
      <c r="Y145">
        <f t="shared" si="54"/>
        <v>0</v>
      </c>
    </row>
    <row r="146" spans="1:25" x14ac:dyDescent="0.25">
      <c r="A146" s="4" t="s">
        <v>936</v>
      </c>
      <c r="B146" s="7" t="s">
        <v>170</v>
      </c>
      <c r="C146" s="2" t="s">
        <v>937</v>
      </c>
      <c r="D146">
        <f>VLOOKUP(B146,'Model allocations'!$A$1:$L$316,6,FALSE)</f>
        <v>122825.02092355747</v>
      </c>
      <c r="E146" s="31">
        <f>VLOOKUP(B146,'Initial adjusted formula count'!$A$1:$P$316,12,FALSE)</f>
        <v>9.3491124260354996E-2</v>
      </c>
      <c r="F146">
        <f>VLOOKUP(B146,'Model allocations'!$A$1:$L$316,11,FALSE)</f>
        <v>104745.59799515171</v>
      </c>
      <c r="G146" s="30">
        <f t="shared" si="55"/>
        <v>0.85</v>
      </c>
      <c r="H146">
        <f t="shared" si="56"/>
        <v>104401.26778502385</v>
      </c>
      <c r="I146">
        <f t="shared" si="38"/>
        <v>0</v>
      </c>
      <c r="J146">
        <f t="shared" si="39"/>
        <v>104745.59799515171</v>
      </c>
      <c r="K146">
        <f t="shared" si="40"/>
        <v>104659.87891626311</v>
      </c>
      <c r="L146">
        <f t="shared" si="41"/>
        <v>104659.87891626311</v>
      </c>
      <c r="M146">
        <f t="shared" si="42"/>
        <v>0</v>
      </c>
      <c r="N146" s="29">
        <f t="shared" si="43"/>
        <v>104659.87891626311</v>
      </c>
      <c r="O146" s="29">
        <f t="shared" si="44"/>
        <v>104652.66709770334</v>
      </c>
      <c r="P146" s="29">
        <f t="shared" si="45"/>
        <v>104652.66709770334</v>
      </c>
      <c r="Q146">
        <f t="shared" si="46"/>
        <v>0</v>
      </c>
      <c r="R146" s="29">
        <f t="shared" si="47"/>
        <v>104652.66709770334</v>
      </c>
      <c r="S146" s="29">
        <f t="shared" si="48"/>
        <v>104652.54148795427</v>
      </c>
      <c r="T146" s="29">
        <f t="shared" si="49"/>
        <v>104652.54148795427</v>
      </c>
      <c r="U146">
        <f t="shared" si="50"/>
        <v>0</v>
      </c>
      <c r="V146" s="29">
        <f t="shared" si="51"/>
        <v>104652.54148795427</v>
      </c>
      <c r="W146" s="29">
        <f t="shared" si="52"/>
        <v>104652.54148795427</v>
      </c>
      <c r="X146" s="29">
        <f t="shared" si="53"/>
        <v>104652.54148795427</v>
      </c>
      <c r="Y146">
        <f t="shared" si="54"/>
        <v>0</v>
      </c>
    </row>
    <row r="147" spans="1:25" x14ac:dyDescent="0.25">
      <c r="A147" s="4" t="s">
        <v>938</v>
      </c>
      <c r="B147" s="7" t="s">
        <v>466</v>
      </c>
      <c r="C147" s="2" t="s">
        <v>939</v>
      </c>
      <c r="D147">
        <f>VLOOKUP(B147,'Model allocations'!$A$1:$L$316,6,FALSE)</f>
        <v>73353.831940457923</v>
      </c>
      <c r="E147" s="31">
        <f>VLOOKUP(B147,'Initial adjusted formula count'!$A$1:$P$316,12,FALSE)</f>
        <v>0.12364945978391401</v>
      </c>
      <c r="F147">
        <f>VLOOKUP(B147,'Model allocations'!$A$1:$L$316,11,FALSE)</f>
        <v>62395.395406683325</v>
      </c>
      <c r="G147" s="30">
        <f t="shared" si="55"/>
        <v>0.85</v>
      </c>
      <c r="H147">
        <f t="shared" si="56"/>
        <v>62350.757149389232</v>
      </c>
      <c r="I147">
        <f t="shared" si="38"/>
        <v>0</v>
      </c>
      <c r="J147">
        <f t="shared" si="39"/>
        <v>62395.395406683325</v>
      </c>
      <c r="K147">
        <f t="shared" si="40"/>
        <v>62344.333825829126</v>
      </c>
      <c r="L147">
        <f t="shared" si="41"/>
        <v>62344.333825829126</v>
      </c>
      <c r="M147">
        <f t="shared" si="42"/>
        <v>62350.757149389232</v>
      </c>
      <c r="N147" s="29">
        <f t="shared" si="43"/>
        <v>0</v>
      </c>
      <c r="O147" s="29">
        <f t="shared" si="44"/>
        <v>0</v>
      </c>
      <c r="P147" s="29">
        <f t="shared" si="45"/>
        <v>62350.757149389232</v>
      </c>
      <c r="Q147">
        <f t="shared" si="46"/>
        <v>0</v>
      </c>
      <c r="R147" s="29">
        <f t="shared" si="47"/>
        <v>0</v>
      </c>
      <c r="S147" s="29">
        <f t="shared" si="48"/>
        <v>0</v>
      </c>
      <c r="T147" s="29">
        <f t="shared" si="49"/>
        <v>62350.757149389232</v>
      </c>
      <c r="U147">
        <f t="shared" si="50"/>
        <v>0</v>
      </c>
      <c r="V147" s="29">
        <f t="shared" si="51"/>
        <v>0</v>
      </c>
      <c r="W147" s="29">
        <f t="shared" si="52"/>
        <v>0</v>
      </c>
      <c r="X147" s="29">
        <f t="shared" si="53"/>
        <v>62350.757149389232</v>
      </c>
      <c r="Y147">
        <f t="shared" si="54"/>
        <v>0</v>
      </c>
    </row>
    <row r="148" spans="1:25" x14ac:dyDescent="0.25">
      <c r="A148" s="4" t="s">
        <v>940</v>
      </c>
      <c r="B148" s="7" t="s">
        <v>468</v>
      </c>
      <c r="C148" s="2" t="s">
        <v>941</v>
      </c>
      <c r="D148">
        <f>VLOOKUP(B148,'Model allocations'!$A$1:$L$316,6,FALSE)</f>
        <v>12260.822823404522</v>
      </c>
      <c r="E148" s="31">
        <f>VLOOKUP(B148,'Initial adjusted formula count'!$A$1:$P$316,12,FALSE)</f>
        <v>0.12676056338028199</v>
      </c>
      <c r="F148">
        <f>VLOOKUP(B148,'Model allocations'!$A$1:$L$316,11,FALSE)</f>
        <v>0</v>
      </c>
      <c r="G148" s="30">
        <f t="shared" si="55"/>
        <v>0.85</v>
      </c>
      <c r="H148">
        <f t="shared" si="56"/>
        <v>0</v>
      </c>
      <c r="I148">
        <f t="shared" si="38"/>
        <v>0</v>
      </c>
      <c r="J148">
        <f t="shared" si="39"/>
        <v>0</v>
      </c>
      <c r="K148">
        <f t="shared" si="40"/>
        <v>0</v>
      </c>
      <c r="L148">
        <f t="shared" si="41"/>
        <v>0</v>
      </c>
      <c r="M148">
        <f t="shared" si="42"/>
        <v>0</v>
      </c>
      <c r="N148" s="29">
        <f t="shared" si="43"/>
        <v>0</v>
      </c>
      <c r="O148" s="29">
        <f t="shared" si="44"/>
        <v>0</v>
      </c>
      <c r="P148" s="29">
        <f t="shared" si="45"/>
        <v>0</v>
      </c>
      <c r="Q148">
        <f t="shared" si="46"/>
        <v>0</v>
      </c>
      <c r="R148" s="29">
        <f t="shared" si="47"/>
        <v>0</v>
      </c>
      <c r="S148" s="29">
        <f t="shared" si="48"/>
        <v>0</v>
      </c>
      <c r="T148" s="29">
        <f t="shared" si="49"/>
        <v>0</v>
      </c>
      <c r="U148">
        <f t="shared" si="50"/>
        <v>0</v>
      </c>
      <c r="V148" s="29">
        <f t="shared" si="51"/>
        <v>0</v>
      </c>
      <c r="W148" s="29">
        <f t="shared" si="52"/>
        <v>0</v>
      </c>
      <c r="X148" s="29">
        <f t="shared" si="53"/>
        <v>0</v>
      </c>
      <c r="Y148">
        <f t="shared" si="54"/>
        <v>0</v>
      </c>
    </row>
    <row r="149" spans="1:25" x14ac:dyDescent="0.25">
      <c r="A149" s="4" t="s">
        <v>942</v>
      </c>
      <c r="B149" s="7" t="s">
        <v>172</v>
      </c>
      <c r="C149" s="2" t="s">
        <v>943</v>
      </c>
      <c r="D149">
        <f>VLOOKUP(B149,'Model allocations'!$A$1:$L$316,6,FALSE)</f>
        <v>263277.70688706986</v>
      </c>
      <c r="E149" s="31">
        <f>VLOOKUP(B149,'Initial adjusted formula count'!$A$1:$P$316,12,FALSE)</f>
        <v>6.1230541141586402E-2</v>
      </c>
      <c r="F149">
        <f>VLOOKUP(B149,'Model allocations'!$A$1:$L$316,11,FALSE)</f>
        <v>233300.98243543738</v>
      </c>
      <c r="G149" s="30">
        <f t="shared" si="55"/>
        <v>0.85</v>
      </c>
      <c r="H149">
        <f t="shared" si="56"/>
        <v>223786.05085400937</v>
      </c>
      <c r="I149">
        <f t="shared" si="38"/>
        <v>0</v>
      </c>
      <c r="J149">
        <f t="shared" si="39"/>
        <v>233300.98243543738</v>
      </c>
      <c r="K149">
        <f t="shared" si="40"/>
        <v>233110.05942100106</v>
      </c>
      <c r="L149">
        <f t="shared" si="41"/>
        <v>233110.05942100106</v>
      </c>
      <c r="M149">
        <f t="shared" si="42"/>
        <v>0</v>
      </c>
      <c r="N149" s="29">
        <f t="shared" si="43"/>
        <v>233110.05942100106</v>
      </c>
      <c r="O149" s="29">
        <f t="shared" si="44"/>
        <v>233093.99646095934</v>
      </c>
      <c r="P149" s="29">
        <f t="shared" si="45"/>
        <v>233093.99646095934</v>
      </c>
      <c r="Q149">
        <f t="shared" si="46"/>
        <v>0</v>
      </c>
      <c r="R149" s="29">
        <f t="shared" si="47"/>
        <v>233093.99646095934</v>
      </c>
      <c r="S149" s="29">
        <f t="shared" si="48"/>
        <v>233093.71668903172</v>
      </c>
      <c r="T149" s="29">
        <f t="shared" si="49"/>
        <v>233093.71668903172</v>
      </c>
      <c r="U149">
        <f t="shared" si="50"/>
        <v>0</v>
      </c>
      <c r="V149" s="29">
        <f t="shared" si="51"/>
        <v>233093.71668903172</v>
      </c>
      <c r="W149" s="29">
        <f t="shared" si="52"/>
        <v>233093.71668903172</v>
      </c>
      <c r="X149" s="29">
        <f t="shared" si="53"/>
        <v>233093.71668903172</v>
      </c>
      <c r="Y149">
        <f t="shared" si="54"/>
        <v>0</v>
      </c>
    </row>
    <row r="150" spans="1:25" x14ac:dyDescent="0.25">
      <c r="A150" s="4" t="s">
        <v>944</v>
      </c>
      <c r="B150" s="7" t="s">
        <v>470</v>
      </c>
      <c r="C150" s="2" t="s">
        <v>945</v>
      </c>
      <c r="D150">
        <f>VLOOKUP(B150,'Model allocations'!$A$1:$L$316,6,FALSE)</f>
        <v>104281.25855950882</v>
      </c>
      <c r="E150" s="31">
        <f>VLOOKUP(B150,'Initial adjusted formula count'!$A$1:$P$316,12,FALSE)</f>
        <v>7.8728236184708603E-2</v>
      </c>
      <c r="F150">
        <f>VLOOKUP(B150,'Model allocations'!$A$1:$L$316,11,FALSE)</f>
        <v>88553.636295785807</v>
      </c>
      <c r="G150" s="30">
        <f t="shared" si="55"/>
        <v>0.85</v>
      </c>
      <c r="H150">
        <f t="shared" si="56"/>
        <v>88639.069775582495</v>
      </c>
      <c r="I150">
        <f t="shared" si="38"/>
        <v>88639.069775582495</v>
      </c>
      <c r="J150">
        <f t="shared" si="39"/>
        <v>0</v>
      </c>
      <c r="K150">
        <f t="shared" si="40"/>
        <v>0</v>
      </c>
      <c r="L150">
        <f t="shared" si="41"/>
        <v>88639.069775582495</v>
      </c>
      <c r="M150">
        <f t="shared" si="42"/>
        <v>0</v>
      </c>
      <c r="N150" s="29">
        <f t="shared" si="43"/>
        <v>0</v>
      </c>
      <c r="O150" s="29">
        <f t="shared" si="44"/>
        <v>0</v>
      </c>
      <c r="P150" s="29">
        <f t="shared" si="45"/>
        <v>88639.069775582495</v>
      </c>
      <c r="Q150">
        <f t="shared" si="46"/>
        <v>0</v>
      </c>
      <c r="R150" s="29">
        <f t="shared" si="47"/>
        <v>0</v>
      </c>
      <c r="S150" s="29">
        <f t="shared" si="48"/>
        <v>0</v>
      </c>
      <c r="T150" s="29">
        <f t="shared" si="49"/>
        <v>88639.069775582495</v>
      </c>
      <c r="U150">
        <f t="shared" si="50"/>
        <v>0</v>
      </c>
      <c r="V150" s="29">
        <f t="shared" si="51"/>
        <v>0</v>
      </c>
      <c r="W150" s="29">
        <f t="shared" si="52"/>
        <v>0</v>
      </c>
      <c r="X150" s="29">
        <f t="shared" si="53"/>
        <v>88639.069775582495</v>
      </c>
      <c r="Y150">
        <f t="shared" si="54"/>
        <v>0</v>
      </c>
    </row>
    <row r="151" spans="1:25" x14ac:dyDescent="0.25">
      <c r="A151" s="4" t="s">
        <v>946</v>
      </c>
      <c r="B151" s="7" t="s">
        <v>472</v>
      </c>
      <c r="C151" s="2" t="s">
        <v>947</v>
      </c>
      <c r="D151">
        <f>VLOOKUP(B151,'Model allocations'!$A$1:$L$316,6,FALSE)</f>
        <v>30012.168027960117</v>
      </c>
      <c r="E151" s="31">
        <f>VLOOKUP(B151,'Initial adjusted formula count'!$A$1:$P$316,12,FALSE)</f>
        <v>9.3567251461988299E-2</v>
      </c>
      <c r="F151">
        <f>VLOOKUP(B151,'Model allocations'!$A$1:$L$316,11,FALSE)</f>
        <v>25510.342823766099</v>
      </c>
      <c r="G151" s="30">
        <f t="shared" si="55"/>
        <v>0.85</v>
      </c>
      <c r="H151">
        <f t="shared" si="56"/>
        <v>25510.342823766099</v>
      </c>
      <c r="I151">
        <f t="shared" si="38"/>
        <v>0</v>
      </c>
      <c r="J151">
        <f t="shared" si="39"/>
        <v>25510.342823766099</v>
      </c>
      <c r="K151">
        <f t="shared" si="40"/>
        <v>25489.466308372233</v>
      </c>
      <c r="L151">
        <f t="shared" si="41"/>
        <v>25489.466308372233</v>
      </c>
      <c r="M151">
        <f t="shared" si="42"/>
        <v>25510.342823766099</v>
      </c>
      <c r="N151" s="29">
        <f t="shared" si="43"/>
        <v>0</v>
      </c>
      <c r="O151" s="29">
        <f t="shared" si="44"/>
        <v>0</v>
      </c>
      <c r="P151" s="29">
        <f t="shared" si="45"/>
        <v>25510.342823766099</v>
      </c>
      <c r="Q151">
        <f t="shared" si="46"/>
        <v>0</v>
      </c>
      <c r="R151" s="29">
        <f t="shared" si="47"/>
        <v>0</v>
      </c>
      <c r="S151" s="29">
        <f t="shared" si="48"/>
        <v>0</v>
      </c>
      <c r="T151" s="29">
        <f t="shared" si="49"/>
        <v>25510.342823766099</v>
      </c>
      <c r="U151">
        <f t="shared" si="50"/>
        <v>0</v>
      </c>
      <c r="V151" s="29">
        <f t="shared" si="51"/>
        <v>0</v>
      </c>
      <c r="W151" s="29">
        <f t="shared" si="52"/>
        <v>0</v>
      </c>
      <c r="X151" s="29">
        <f t="shared" si="53"/>
        <v>25510.342823766099</v>
      </c>
      <c r="Y151">
        <f t="shared" si="54"/>
        <v>0</v>
      </c>
    </row>
    <row r="152" spans="1:25" x14ac:dyDescent="0.25">
      <c r="A152" s="4" t="s">
        <v>948</v>
      </c>
      <c r="B152" s="7" t="s">
        <v>474</v>
      </c>
      <c r="C152" s="2" t="s">
        <v>949</v>
      </c>
      <c r="D152">
        <f>VLOOKUP(B152,'Model allocations'!$A$1:$L$316,6,FALSE)</f>
        <v>1197259.6368266214</v>
      </c>
      <c r="E152" s="31">
        <f>VLOOKUP(B152,'Initial adjusted formula count'!$A$1:$P$316,12,FALSE)</f>
        <v>0.20670505964623601</v>
      </c>
      <c r="F152">
        <f>VLOOKUP(B152,'Model allocations'!$A$1:$L$316,11,FALSE)</f>
        <v>1507982.9845312347</v>
      </c>
      <c r="G152" s="30">
        <f t="shared" si="55"/>
        <v>0.9</v>
      </c>
      <c r="H152">
        <f t="shared" si="56"/>
        <v>1077533.6731439594</v>
      </c>
      <c r="I152">
        <f t="shared" si="38"/>
        <v>0</v>
      </c>
      <c r="J152">
        <f t="shared" si="39"/>
        <v>1507982.9845312347</v>
      </c>
      <c r="K152">
        <f t="shared" si="40"/>
        <v>1506748.9191873176</v>
      </c>
      <c r="L152">
        <f t="shared" si="41"/>
        <v>1506748.9191873176</v>
      </c>
      <c r="M152">
        <f t="shared" si="42"/>
        <v>0</v>
      </c>
      <c r="N152" s="29">
        <f t="shared" si="43"/>
        <v>1506748.9191873176</v>
      </c>
      <c r="O152" s="29">
        <f t="shared" si="44"/>
        <v>1506645.0933475322</v>
      </c>
      <c r="P152" s="29">
        <f t="shared" si="45"/>
        <v>1506645.0933475322</v>
      </c>
      <c r="Q152">
        <f t="shared" si="46"/>
        <v>0</v>
      </c>
      <c r="R152" s="29">
        <f t="shared" si="47"/>
        <v>1506645.0933475322</v>
      </c>
      <c r="S152" s="29">
        <f t="shared" si="48"/>
        <v>1506643.2849912106</v>
      </c>
      <c r="T152" s="29">
        <f t="shared" si="49"/>
        <v>1506643.2849912106</v>
      </c>
      <c r="U152">
        <f t="shared" si="50"/>
        <v>0</v>
      </c>
      <c r="V152" s="29">
        <f t="shared" si="51"/>
        <v>1506643.2849912106</v>
      </c>
      <c r="W152" s="29">
        <f t="shared" si="52"/>
        <v>1506643.2849912106</v>
      </c>
      <c r="X152" s="29">
        <f t="shared" si="53"/>
        <v>1506643.2849912106</v>
      </c>
      <c r="Y152">
        <f t="shared" si="54"/>
        <v>0</v>
      </c>
    </row>
    <row r="153" spans="1:25" x14ac:dyDescent="0.25">
      <c r="A153" s="4" t="s">
        <v>950</v>
      </c>
      <c r="B153" s="7" t="s">
        <v>476</v>
      </c>
      <c r="C153" s="2" t="s">
        <v>951</v>
      </c>
      <c r="D153">
        <f>VLOOKUP(B153,'Model allocations'!$A$1:$L$316,6,FALSE)</f>
        <v>65068.456609222972</v>
      </c>
      <c r="E153" s="31">
        <f>VLOOKUP(B153,'Initial adjusted formula count'!$A$1:$P$316,12,FALSE)</f>
        <v>0.110027855153203</v>
      </c>
      <c r="F153">
        <f>VLOOKUP(B153,'Model allocations'!$A$1:$L$316,11,FALSE)</f>
        <v>55308.188117839527</v>
      </c>
      <c r="G153" s="30">
        <f t="shared" si="55"/>
        <v>0.85</v>
      </c>
      <c r="H153">
        <f t="shared" si="56"/>
        <v>55308.188117839527</v>
      </c>
      <c r="I153">
        <f t="shared" si="38"/>
        <v>0</v>
      </c>
      <c r="J153">
        <f t="shared" si="39"/>
        <v>55308.188117839527</v>
      </c>
      <c r="K153">
        <f t="shared" si="40"/>
        <v>55262.926388170679</v>
      </c>
      <c r="L153">
        <f t="shared" si="41"/>
        <v>55262.926388170679</v>
      </c>
      <c r="M153">
        <f t="shared" si="42"/>
        <v>55308.188117839527</v>
      </c>
      <c r="N153" s="29">
        <f t="shared" si="43"/>
        <v>0</v>
      </c>
      <c r="O153" s="29">
        <f t="shared" si="44"/>
        <v>0</v>
      </c>
      <c r="P153" s="29">
        <f t="shared" si="45"/>
        <v>55308.188117839527</v>
      </c>
      <c r="Q153">
        <f t="shared" si="46"/>
        <v>0</v>
      </c>
      <c r="R153" s="29">
        <f t="shared" si="47"/>
        <v>0</v>
      </c>
      <c r="S153" s="29">
        <f t="shared" si="48"/>
        <v>0</v>
      </c>
      <c r="T153" s="29">
        <f t="shared" si="49"/>
        <v>55308.188117839527</v>
      </c>
      <c r="U153">
        <f t="shared" si="50"/>
        <v>0</v>
      </c>
      <c r="V153" s="29">
        <f t="shared" si="51"/>
        <v>0</v>
      </c>
      <c r="W153" s="29">
        <f t="shared" si="52"/>
        <v>0</v>
      </c>
      <c r="X153" s="29">
        <f t="shared" si="53"/>
        <v>55308.188117839527</v>
      </c>
      <c r="Y153">
        <f t="shared" si="54"/>
        <v>0</v>
      </c>
    </row>
    <row r="154" spans="1:25" x14ac:dyDescent="0.25">
      <c r="A154" s="4" t="s">
        <v>952</v>
      </c>
      <c r="B154" s="7" t="s">
        <v>478</v>
      </c>
      <c r="C154" s="2" t="s">
        <v>953</v>
      </c>
      <c r="D154">
        <f>VLOOKUP(B154,'Model allocations'!$A$1:$L$316,6,FALSE)</f>
        <v>184109.83980092793</v>
      </c>
      <c r="E154" s="31">
        <f>VLOOKUP(B154,'Initial adjusted formula count'!$A$1:$P$316,12,FALSE)</f>
        <v>0.13608870967741901</v>
      </c>
      <c r="F154">
        <f>VLOOKUP(B154,'Model allocations'!$A$1:$L$316,11,FALSE)</f>
        <v>156638.30610932811</v>
      </c>
      <c r="G154" s="30">
        <f t="shared" si="55"/>
        <v>0.85</v>
      </c>
      <c r="H154">
        <f t="shared" si="56"/>
        <v>156493.36383078873</v>
      </c>
      <c r="I154">
        <f t="shared" si="38"/>
        <v>0</v>
      </c>
      <c r="J154">
        <f t="shared" si="39"/>
        <v>156638.30610932811</v>
      </c>
      <c r="K154">
        <f t="shared" si="40"/>
        <v>156510.12037574738</v>
      </c>
      <c r="L154">
        <f t="shared" si="41"/>
        <v>156510.12037574738</v>
      </c>
      <c r="M154">
        <f t="shared" si="42"/>
        <v>0</v>
      </c>
      <c r="N154" s="29">
        <f t="shared" si="43"/>
        <v>156510.12037574738</v>
      </c>
      <c r="O154" s="29">
        <f t="shared" si="44"/>
        <v>156499.33570255068</v>
      </c>
      <c r="P154" s="29">
        <f t="shared" si="45"/>
        <v>156499.33570255068</v>
      </c>
      <c r="Q154">
        <f t="shared" si="46"/>
        <v>0</v>
      </c>
      <c r="R154" s="29">
        <f t="shared" si="47"/>
        <v>156499.33570255068</v>
      </c>
      <c r="S154" s="29">
        <f t="shared" si="48"/>
        <v>156499.14786364668</v>
      </c>
      <c r="T154" s="29">
        <f t="shared" si="49"/>
        <v>156499.14786364668</v>
      </c>
      <c r="U154">
        <f t="shared" si="50"/>
        <v>0</v>
      </c>
      <c r="V154" s="29">
        <f t="shared" si="51"/>
        <v>156499.14786364668</v>
      </c>
      <c r="W154" s="29">
        <f t="shared" si="52"/>
        <v>156499.14786364668</v>
      </c>
      <c r="X154" s="29">
        <f t="shared" si="53"/>
        <v>156499.14786364668</v>
      </c>
      <c r="Y154">
        <f t="shared" si="54"/>
        <v>0</v>
      </c>
    </row>
    <row r="155" spans="1:25" x14ac:dyDescent="0.25">
      <c r="A155" s="4" t="s">
        <v>954</v>
      </c>
      <c r="B155" s="7" t="s">
        <v>480</v>
      </c>
      <c r="C155" s="2" t="s">
        <v>955</v>
      </c>
      <c r="D155">
        <f>VLOOKUP(B155,'Model allocations'!$A$1:$L$316,6,FALSE)</f>
        <v>176888.26146687521</v>
      </c>
      <c r="E155" s="31">
        <f>VLOOKUP(B155,'Initial adjusted formula count'!$A$1:$P$316,12,FALSE)</f>
        <v>7.5041459369817598E-2</v>
      </c>
      <c r="F155">
        <f>VLOOKUP(B155,'Model allocations'!$A$1:$L$316,11,FALSE)</f>
        <v>150355.02224684393</v>
      </c>
      <c r="G155" s="30">
        <f t="shared" si="55"/>
        <v>0.85</v>
      </c>
      <c r="H155">
        <f t="shared" si="56"/>
        <v>150355.02224684393</v>
      </c>
      <c r="I155">
        <f t="shared" si="38"/>
        <v>0</v>
      </c>
      <c r="J155">
        <f t="shared" si="39"/>
        <v>150355.02224684393</v>
      </c>
      <c r="K155">
        <f t="shared" si="40"/>
        <v>150231.97846973102</v>
      </c>
      <c r="L155">
        <f t="shared" si="41"/>
        <v>150231.97846973102</v>
      </c>
      <c r="M155">
        <f t="shared" si="42"/>
        <v>150355.02224684393</v>
      </c>
      <c r="N155" s="29">
        <f t="shared" si="43"/>
        <v>0</v>
      </c>
      <c r="O155" s="29">
        <f t="shared" si="44"/>
        <v>0</v>
      </c>
      <c r="P155" s="29">
        <f t="shared" si="45"/>
        <v>150355.02224684393</v>
      </c>
      <c r="Q155">
        <f t="shared" si="46"/>
        <v>0</v>
      </c>
      <c r="R155" s="29">
        <f t="shared" si="47"/>
        <v>0</v>
      </c>
      <c r="S155" s="29">
        <f t="shared" si="48"/>
        <v>0</v>
      </c>
      <c r="T155" s="29">
        <f t="shared" si="49"/>
        <v>150355.02224684393</v>
      </c>
      <c r="U155">
        <f t="shared" si="50"/>
        <v>0</v>
      </c>
      <c r="V155" s="29">
        <f t="shared" si="51"/>
        <v>0</v>
      </c>
      <c r="W155" s="29">
        <f t="shared" si="52"/>
        <v>0</v>
      </c>
      <c r="X155" s="29">
        <f t="shared" si="53"/>
        <v>150355.02224684393</v>
      </c>
      <c r="Y155">
        <f t="shared" si="54"/>
        <v>0</v>
      </c>
    </row>
    <row r="156" spans="1:25" x14ac:dyDescent="0.25">
      <c r="A156" s="4" t="s">
        <v>956</v>
      </c>
      <c r="B156" s="7" t="s">
        <v>174</v>
      </c>
      <c r="C156" s="2" t="s">
        <v>957</v>
      </c>
      <c r="D156">
        <f>VLOOKUP(B156,'Model allocations'!$A$1:$L$316,6,FALSE)</f>
        <v>0</v>
      </c>
      <c r="E156" s="31">
        <f>VLOOKUP(B156,'Initial adjusted formula count'!$A$1:$P$316,12,FALSE)</f>
        <v>0.128205128205128</v>
      </c>
      <c r="F156">
        <f>VLOOKUP(B156,'Model allocations'!$A$1:$L$316,11,FALSE)</f>
        <v>0</v>
      </c>
      <c r="G156" s="30">
        <f t="shared" si="55"/>
        <v>0.85</v>
      </c>
      <c r="H156">
        <f t="shared" si="56"/>
        <v>0</v>
      </c>
      <c r="I156">
        <f t="shared" si="38"/>
        <v>0</v>
      </c>
      <c r="J156">
        <f t="shared" si="39"/>
        <v>0</v>
      </c>
      <c r="K156">
        <f t="shared" si="40"/>
        <v>0</v>
      </c>
      <c r="L156">
        <f t="shared" si="41"/>
        <v>0</v>
      </c>
      <c r="M156">
        <f t="shared" si="42"/>
        <v>0</v>
      </c>
      <c r="N156" s="29">
        <f t="shared" si="43"/>
        <v>0</v>
      </c>
      <c r="O156" s="29">
        <f t="shared" si="44"/>
        <v>0</v>
      </c>
      <c r="P156" s="29">
        <f t="shared" si="45"/>
        <v>0</v>
      </c>
      <c r="Q156">
        <f t="shared" si="46"/>
        <v>0</v>
      </c>
      <c r="R156" s="29">
        <f t="shared" si="47"/>
        <v>0</v>
      </c>
      <c r="S156" s="29">
        <f t="shared" si="48"/>
        <v>0</v>
      </c>
      <c r="T156" s="29">
        <f t="shared" si="49"/>
        <v>0</v>
      </c>
      <c r="U156">
        <f t="shared" si="50"/>
        <v>0</v>
      </c>
      <c r="V156" s="29">
        <f t="shared" si="51"/>
        <v>0</v>
      </c>
      <c r="W156" s="29">
        <f t="shared" si="52"/>
        <v>0</v>
      </c>
      <c r="X156" s="29">
        <f t="shared" si="53"/>
        <v>0</v>
      </c>
      <c r="Y156">
        <f t="shared" si="54"/>
        <v>0</v>
      </c>
    </row>
    <row r="157" spans="1:25" x14ac:dyDescent="0.25">
      <c r="A157" s="4" t="s">
        <v>958</v>
      </c>
      <c r="B157" s="7" t="s">
        <v>482</v>
      </c>
      <c r="C157" s="9" t="s">
        <v>959</v>
      </c>
      <c r="D157">
        <f>VLOOKUP(B157,'Model allocations'!$A$1:$L$316,6,FALSE)</f>
        <v>577163.87146949442</v>
      </c>
      <c r="E157" s="31">
        <f>VLOOKUP(B157,'Initial adjusted formula count'!$A$1:$P$316,12,FALSE)</f>
        <v>0.114734657574859</v>
      </c>
      <c r="F157">
        <f>VLOOKUP(B157,'Model allocations'!$A$1:$L$316,11,FALSE)</f>
        <v>490991.19566251169</v>
      </c>
      <c r="G157" s="30">
        <f t="shared" si="55"/>
        <v>0.85</v>
      </c>
      <c r="H157">
        <f t="shared" si="56"/>
        <v>490589.29074907023</v>
      </c>
      <c r="I157">
        <f t="shared" si="38"/>
        <v>0</v>
      </c>
      <c r="J157">
        <f t="shared" si="39"/>
        <v>490991.19566251169</v>
      </c>
      <c r="K157">
        <f t="shared" si="40"/>
        <v>490589.3905858291</v>
      </c>
      <c r="L157">
        <f t="shared" si="41"/>
        <v>490589.3905858291</v>
      </c>
      <c r="M157">
        <f t="shared" si="42"/>
        <v>0</v>
      </c>
      <c r="N157" s="29">
        <f t="shared" si="43"/>
        <v>490589.3905858291</v>
      </c>
      <c r="O157" s="29">
        <f t="shared" si="44"/>
        <v>490555.58544761478</v>
      </c>
      <c r="P157" s="29">
        <f t="shared" si="45"/>
        <v>490555.58544761478</v>
      </c>
      <c r="Q157">
        <f t="shared" si="46"/>
        <v>490589.29074907023</v>
      </c>
      <c r="R157" s="29">
        <f t="shared" si="47"/>
        <v>0</v>
      </c>
      <c r="S157" s="29">
        <f t="shared" si="48"/>
        <v>0</v>
      </c>
      <c r="T157" s="29">
        <f t="shared" si="49"/>
        <v>490589.29074907023</v>
      </c>
      <c r="U157">
        <f t="shared" si="50"/>
        <v>0</v>
      </c>
      <c r="V157" s="29">
        <f t="shared" si="51"/>
        <v>0</v>
      </c>
      <c r="W157" s="29">
        <f t="shared" si="52"/>
        <v>0</v>
      </c>
      <c r="X157" s="29">
        <f t="shared" si="53"/>
        <v>490589.29074907023</v>
      </c>
      <c r="Y157">
        <f t="shared" si="54"/>
        <v>0</v>
      </c>
    </row>
    <row r="158" spans="1:25" x14ac:dyDescent="0.25">
      <c r="A158" s="4" t="s">
        <v>960</v>
      </c>
      <c r="B158" s="7" t="s">
        <v>285</v>
      </c>
      <c r="C158" s="2" t="s">
        <v>961</v>
      </c>
      <c r="D158">
        <f>VLOOKUP(B158,'Model allocations'!$A$1:$L$316,6,FALSE)</f>
        <v>1958092.4053253245</v>
      </c>
      <c r="E158" s="31">
        <f>VLOOKUP(B158,'Initial adjusted formula count'!$A$1:$P$316,12,FALSE)</f>
        <v>0.13799324874869001</v>
      </c>
      <c r="F158">
        <f>VLOOKUP(B158,'Model allocations'!$A$1:$L$316,11,FALSE)</f>
        <v>1844659.4628157886</v>
      </c>
      <c r="G158" s="30">
        <f t="shared" si="55"/>
        <v>0.85</v>
      </c>
      <c r="H158">
        <f t="shared" si="56"/>
        <v>1664378.5445265258</v>
      </c>
      <c r="I158">
        <f t="shared" si="38"/>
        <v>0</v>
      </c>
      <c r="J158">
        <f t="shared" si="39"/>
        <v>1844659.4628157886</v>
      </c>
      <c r="K158">
        <f t="shared" si="40"/>
        <v>1843149.8766084234</v>
      </c>
      <c r="L158">
        <f t="shared" si="41"/>
        <v>1843149.8766084234</v>
      </c>
      <c r="M158">
        <f t="shared" si="42"/>
        <v>0</v>
      </c>
      <c r="N158" s="29">
        <f t="shared" si="43"/>
        <v>1843149.8766084234</v>
      </c>
      <c r="O158" s="29">
        <f t="shared" si="44"/>
        <v>1843022.8703226699</v>
      </c>
      <c r="P158" s="29">
        <f t="shared" si="45"/>
        <v>1843022.8703226699</v>
      </c>
      <c r="Q158">
        <f t="shared" si="46"/>
        <v>0</v>
      </c>
      <c r="R158" s="29">
        <f t="shared" si="47"/>
        <v>1843022.8703226699</v>
      </c>
      <c r="S158" s="29">
        <f t="shared" si="48"/>
        <v>1843020.6582276828</v>
      </c>
      <c r="T158" s="29">
        <f t="shared" si="49"/>
        <v>1843020.6582276828</v>
      </c>
      <c r="U158">
        <f t="shared" si="50"/>
        <v>0</v>
      </c>
      <c r="V158" s="29">
        <f t="shared" si="51"/>
        <v>1843020.6582276828</v>
      </c>
      <c r="W158" s="29">
        <f t="shared" si="52"/>
        <v>1843020.6582276828</v>
      </c>
      <c r="X158" s="29">
        <f t="shared" si="53"/>
        <v>1843020.6582276828</v>
      </c>
      <c r="Y158">
        <f t="shared" si="54"/>
        <v>0</v>
      </c>
    </row>
    <row r="159" spans="1:25" x14ac:dyDescent="0.25">
      <c r="A159" s="4" t="s">
        <v>962</v>
      </c>
      <c r="B159" s="7" t="s">
        <v>484</v>
      </c>
      <c r="C159" s="2" t="s">
        <v>963</v>
      </c>
      <c r="D159">
        <f>VLOOKUP(B159,'Model allocations'!$A$1:$L$316,6,FALSE)</f>
        <v>105304.44268549263</v>
      </c>
      <c r="E159" s="31">
        <f>VLOOKUP(B159,'Initial adjusted formula count'!$A$1:$P$316,12,FALSE)</f>
        <v>0.117903930131004</v>
      </c>
      <c r="F159">
        <f>VLOOKUP(B159,'Model allocations'!$A$1:$L$316,11,FALSE)</f>
        <v>106764.85636875946</v>
      </c>
      <c r="G159" s="30">
        <f t="shared" si="55"/>
        <v>0.85</v>
      </c>
      <c r="H159">
        <f t="shared" si="56"/>
        <v>89508.776282668725</v>
      </c>
      <c r="I159">
        <f t="shared" si="38"/>
        <v>0</v>
      </c>
      <c r="J159">
        <f t="shared" si="39"/>
        <v>106764.85636875946</v>
      </c>
      <c r="K159">
        <f t="shared" si="40"/>
        <v>106677.48481978013</v>
      </c>
      <c r="L159">
        <f t="shared" si="41"/>
        <v>106677.48481978013</v>
      </c>
      <c r="M159">
        <f t="shared" si="42"/>
        <v>0</v>
      </c>
      <c r="N159" s="29">
        <f t="shared" si="43"/>
        <v>106677.48481978013</v>
      </c>
      <c r="O159" s="29">
        <f t="shared" si="44"/>
        <v>106670.13397365934</v>
      </c>
      <c r="P159" s="29">
        <f t="shared" si="45"/>
        <v>106670.13397365934</v>
      </c>
      <c r="Q159">
        <f t="shared" si="46"/>
        <v>0</v>
      </c>
      <c r="R159" s="29">
        <f t="shared" si="47"/>
        <v>106670.13397365934</v>
      </c>
      <c r="S159" s="29">
        <f t="shared" si="48"/>
        <v>106670.00594243821</v>
      </c>
      <c r="T159" s="29">
        <f t="shared" si="49"/>
        <v>106670.00594243821</v>
      </c>
      <c r="U159">
        <f t="shared" si="50"/>
        <v>0</v>
      </c>
      <c r="V159" s="29">
        <f t="shared" si="51"/>
        <v>106670.00594243821</v>
      </c>
      <c r="W159" s="29">
        <f t="shared" si="52"/>
        <v>106670.00594243821</v>
      </c>
      <c r="X159" s="29">
        <f t="shared" si="53"/>
        <v>106670.00594243821</v>
      </c>
      <c r="Y159">
        <f t="shared" si="54"/>
        <v>0</v>
      </c>
    </row>
    <row r="160" spans="1:25" x14ac:dyDescent="0.25">
      <c r="A160" s="4" t="s">
        <v>964</v>
      </c>
      <c r="B160" s="7" t="s">
        <v>486</v>
      </c>
      <c r="C160" s="2" t="s">
        <v>965</v>
      </c>
      <c r="D160">
        <f>VLOOKUP(B160,'Model allocations'!$A$1:$L$316,6,FALSE)</f>
        <v>50039.823339227099</v>
      </c>
      <c r="E160" s="31">
        <f>VLOOKUP(B160,'Initial adjusted formula count'!$A$1:$P$316,12,FALSE)</f>
        <v>0.10678391959799</v>
      </c>
      <c r="F160">
        <f>VLOOKUP(B160,'Model allocations'!$A$1:$L$316,11,FALSE)</f>
        <v>48015.940694944722</v>
      </c>
      <c r="G160" s="30">
        <f t="shared" si="55"/>
        <v>0.85</v>
      </c>
      <c r="H160">
        <f t="shared" si="56"/>
        <v>42533.849838343034</v>
      </c>
      <c r="I160">
        <f t="shared" si="38"/>
        <v>0</v>
      </c>
      <c r="J160">
        <f t="shared" si="39"/>
        <v>48015.940694944722</v>
      </c>
      <c r="K160">
        <f t="shared" si="40"/>
        <v>47976.646612070414</v>
      </c>
      <c r="L160">
        <f t="shared" si="41"/>
        <v>47976.646612070414</v>
      </c>
      <c r="M160">
        <f t="shared" si="42"/>
        <v>0</v>
      </c>
      <c r="N160" s="29">
        <f t="shared" si="43"/>
        <v>47976.646612070414</v>
      </c>
      <c r="O160" s="29">
        <f t="shared" si="44"/>
        <v>47973.340675984342</v>
      </c>
      <c r="P160" s="29">
        <f t="shared" si="45"/>
        <v>47973.340675984342</v>
      </c>
      <c r="Q160">
        <f t="shared" si="46"/>
        <v>0</v>
      </c>
      <c r="R160" s="29">
        <f t="shared" si="47"/>
        <v>47973.340675984342</v>
      </c>
      <c r="S160" s="29">
        <f t="shared" si="48"/>
        <v>47973.283095805527</v>
      </c>
      <c r="T160" s="29">
        <f t="shared" si="49"/>
        <v>47973.283095805527</v>
      </c>
      <c r="U160">
        <f t="shared" si="50"/>
        <v>0</v>
      </c>
      <c r="V160" s="29">
        <f t="shared" si="51"/>
        <v>47973.283095805527</v>
      </c>
      <c r="W160" s="29">
        <f t="shared" si="52"/>
        <v>47973.283095805527</v>
      </c>
      <c r="X160" s="29">
        <f t="shared" si="53"/>
        <v>47973.283095805527</v>
      </c>
      <c r="Y160">
        <f t="shared" si="54"/>
        <v>0</v>
      </c>
    </row>
    <row r="161" spans="1:25" x14ac:dyDescent="0.25">
      <c r="A161" s="4" t="s">
        <v>966</v>
      </c>
      <c r="B161" s="7" t="s">
        <v>488</v>
      </c>
      <c r="C161" s="2" t="s">
        <v>967</v>
      </c>
      <c r="D161">
        <f>VLOOKUP(B161,'Model allocations'!$A$1:$L$316,6,FALSE)</f>
        <v>22745.37424510323</v>
      </c>
      <c r="E161" s="31">
        <f>VLOOKUP(B161,'Initial adjusted formula count'!$A$1:$P$316,12,FALSE)</f>
        <v>0.12615384615384601</v>
      </c>
      <c r="F161">
        <f>VLOOKUP(B161,'Model allocations'!$A$1:$L$316,11,FALSE)</f>
        <v>23160.630217561571</v>
      </c>
      <c r="G161" s="30">
        <f t="shared" si="55"/>
        <v>0.85</v>
      </c>
      <c r="H161">
        <f t="shared" si="56"/>
        <v>19333.568108337746</v>
      </c>
      <c r="I161">
        <f t="shared" si="38"/>
        <v>0</v>
      </c>
      <c r="J161">
        <f t="shared" si="39"/>
        <v>23160.630217561571</v>
      </c>
      <c r="K161">
        <f t="shared" si="40"/>
        <v>23141.67660111632</v>
      </c>
      <c r="L161">
        <f t="shared" si="41"/>
        <v>23141.67660111632</v>
      </c>
      <c r="M161">
        <f t="shared" si="42"/>
        <v>0</v>
      </c>
      <c r="N161" s="29">
        <f t="shared" si="43"/>
        <v>23141.67660111632</v>
      </c>
      <c r="O161" s="29">
        <f t="shared" si="44"/>
        <v>23140.081973121865</v>
      </c>
      <c r="P161" s="29">
        <f t="shared" si="45"/>
        <v>23140.081973121865</v>
      </c>
      <c r="Q161">
        <f t="shared" si="46"/>
        <v>0</v>
      </c>
      <c r="R161" s="29">
        <f t="shared" si="47"/>
        <v>23140.081973121865</v>
      </c>
      <c r="S161" s="29">
        <f t="shared" si="48"/>
        <v>23140.054199153263</v>
      </c>
      <c r="T161" s="29">
        <f t="shared" si="49"/>
        <v>23140.054199153263</v>
      </c>
      <c r="U161">
        <f t="shared" si="50"/>
        <v>0</v>
      </c>
      <c r="V161" s="29">
        <f t="shared" si="51"/>
        <v>23140.054199153263</v>
      </c>
      <c r="W161" s="29">
        <f t="shared" si="52"/>
        <v>23140.054199153263</v>
      </c>
      <c r="X161" s="29">
        <f t="shared" si="53"/>
        <v>23140.054199153263</v>
      </c>
      <c r="Y161">
        <f t="shared" si="54"/>
        <v>0</v>
      </c>
    </row>
    <row r="162" spans="1:25" x14ac:dyDescent="0.25">
      <c r="A162" s="4" t="s">
        <v>968</v>
      </c>
      <c r="B162" s="7" t="s">
        <v>490</v>
      </c>
      <c r="C162" s="2" t="s">
        <v>969</v>
      </c>
      <c r="D162">
        <f>VLOOKUP(B162,'Model allocations'!$A$1:$L$316,6,FALSE)</f>
        <v>59969.288034209123</v>
      </c>
      <c r="E162" s="31">
        <f>VLOOKUP(B162,'Initial adjusted formula count'!$A$1:$P$316,12,FALSE)</f>
        <v>0.314285714285714</v>
      </c>
      <c r="F162">
        <f>VLOOKUP(B162,'Model allocations'!$A$1:$L$316,11,FALSE)</f>
        <v>70936.844267419045</v>
      </c>
      <c r="G162" s="30">
        <f t="shared" si="55"/>
        <v>0.95</v>
      </c>
      <c r="H162">
        <f t="shared" si="56"/>
        <v>56970.823632498665</v>
      </c>
      <c r="I162">
        <f t="shared" si="38"/>
        <v>0</v>
      </c>
      <c r="J162">
        <f t="shared" si="39"/>
        <v>70936.844267419045</v>
      </c>
      <c r="K162">
        <f t="shared" si="40"/>
        <v>70878.792749586777</v>
      </c>
      <c r="L162">
        <f t="shared" si="41"/>
        <v>70878.792749586777</v>
      </c>
      <c r="M162">
        <f t="shared" si="42"/>
        <v>0</v>
      </c>
      <c r="N162" s="29">
        <f t="shared" si="43"/>
        <v>70878.792749586777</v>
      </c>
      <c r="O162" s="29">
        <f t="shared" si="44"/>
        <v>70873.908690878336</v>
      </c>
      <c r="P162" s="29">
        <f t="shared" si="45"/>
        <v>70873.908690878336</v>
      </c>
      <c r="Q162">
        <f t="shared" si="46"/>
        <v>0</v>
      </c>
      <c r="R162" s="29">
        <f t="shared" si="47"/>
        <v>70873.908690878336</v>
      </c>
      <c r="S162" s="29">
        <f t="shared" si="48"/>
        <v>70873.823624208424</v>
      </c>
      <c r="T162" s="29">
        <f t="shared" si="49"/>
        <v>70873.823624208424</v>
      </c>
      <c r="U162">
        <f t="shared" si="50"/>
        <v>0</v>
      </c>
      <c r="V162" s="29">
        <f t="shared" si="51"/>
        <v>70873.823624208424</v>
      </c>
      <c r="W162" s="29">
        <f t="shared" si="52"/>
        <v>70873.823624208424</v>
      </c>
      <c r="X162" s="29">
        <f t="shared" si="53"/>
        <v>70873.823624208424</v>
      </c>
      <c r="Y162">
        <f t="shared" si="54"/>
        <v>0</v>
      </c>
    </row>
    <row r="163" spans="1:25" x14ac:dyDescent="0.25">
      <c r="A163" s="4" t="s">
        <v>970</v>
      </c>
      <c r="B163" s="7" t="s">
        <v>492</v>
      </c>
      <c r="C163" s="2" t="s">
        <v>971</v>
      </c>
      <c r="D163">
        <f>VLOOKUP(B163,'Model allocations'!$A$1:$L$316,6,FALSE)</f>
        <v>181624.37220175189</v>
      </c>
      <c r="E163" s="31">
        <f>VLOOKUP(B163,'Initial adjusted formula count'!$A$1:$P$316,12,FALSE)</f>
        <v>0.171171171171171</v>
      </c>
      <c r="F163">
        <f>VLOOKUP(B163,'Model allocations'!$A$1:$L$316,11,FALSE)</f>
        <v>163578.96092071666</v>
      </c>
      <c r="G163" s="30">
        <f t="shared" si="55"/>
        <v>0.9</v>
      </c>
      <c r="H163">
        <f t="shared" si="56"/>
        <v>163461.93498157669</v>
      </c>
      <c r="I163">
        <f t="shared" si="38"/>
        <v>0</v>
      </c>
      <c r="J163">
        <f t="shared" si="39"/>
        <v>163578.96092071666</v>
      </c>
      <c r="K163">
        <f t="shared" si="40"/>
        <v>163445.09526789634</v>
      </c>
      <c r="L163">
        <f t="shared" si="41"/>
        <v>163445.09526789634</v>
      </c>
      <c r="M163">
        <f t="shared" si="42"/>
        <v>163461.93498157669</v>
      </c>
      <c r="N163" s="29">
        <f t="shared" si="43"/>
        <v>0</v>
      </c>
      <c r="O163" s="29">
        <f t="shared" si="44"/>
        <v>0</v>
      </c>
      <c r="P163" s="29">
        <f t="shared" si="45"/>
        <v>163461.93498157669</v>
      </c>
      <c r="Q163">
        <f t="shared" si="46"/>
        <v>0</v>
      </c>
      <c r="R163" s="29">
        <f t="shared" si="47"/>
        <v>0</v>
      </c>
      <c r="S163" s="29">
        <f t="shared" si="48"/>
        <v>0</v>
      </c>
      <c r="T163" s="29">
        <f t="shared" si="49"/>
        <v>163461.93498157669</v>
      </c>
      <c r="U163">
        <f t="shared" si="50"/>
        <v>0</v>
      </c>
      <c r="V163" s="29">
        <f t="shared" si="51"/>
        <v>0</v>
      </c>
      <c r="W163" s="29">
        <f t="shared" si="52"/>
        <v>0</v>
      </c>
      <c r="X163" s="29">
        <f t="shared" si="53"/>
        <v>163461.93498157669</v>
      </c>
      <c r="Y163">
        <f t="shared" si="54"/>
        <v>0</v>
      </c>
    </row>
    <row r="164" spans="1:25" x14ac:dyDescent="0.25">
      <c r="A164" s="4" t="s">
        <v>972</v>
      </c>
      <c r="B164" s="7" t="s">
        <v>494</v>
      </c>
      <c r="C164" s="2" t="s">
        <v>973</v>
      </c>
      <c r="D164">
        <f>VLOOKUP(B164,'Model allocations'!$A$1:$L$316,6,FALSE)</f>
        <v>98314.269542001392</v>
      </c>
      <c r="E164" s="31">
        <f>VLOOKUP(B164,'Initial adjusted formula count'!$A$1:$P$316,12,FALSE)</f>
        <v>8.6317135549872095E-2</v>
      </c>
      <c r="F164">
        <f>VLOOKUP(B164,'Model allocations'!$A$1:$L$316,11,FALSE)</f>
        <v>83813.390476055545</v>
      </c>
      <c r="G164" s="30">
        <f t="shared" si="55"/>
        <v>0.85</v>
      </c>
      <c r="H164">
        <f t="shared" si="56"/>
        <v>83567.129110701178</v>
      </c>
      <c r="I164">
        <f t="shared" si="38"/>
        <v>0</v>
      </c>
      <c r="J164">
        <f t="shared" si="39"/>
        <v>83813.390476055545</v>
      </c>
      <c r="K164">
        <f t="shared" si="40"/>
        <v>83744.801372860296</v>
      </c>
      <c r="L164">
        <f t="shared" si="41"/>
        <v>83744.801372860296</v>
      </c>
      <c r="M164">
        <f t="shared" si="42"/>
        <v>0</v>
      </c>
      <c r="N164" s="29">
        <f t="shared" si="43"/>
        <v>83744.801372860296</v>
      </c>
      <c r="O164" s="29">
        <f t="shared" si="44"/>
        <v>83739.030753602186</v>
      </c>
      <c r="P164" s="29">
        <f t="shared" si="45"/>
        <v>83739.030753602186</v>
      </c>
      <c r="Q164">
        <f t="shared" si="46"/>
        <v>0</v>
      </c>
      <c r="R164" s="29">
        <f t="shared" si="47"/>
        <v>83739.030753602186</v>
      </c>
      <c r="S164" s="29">
        <f t="shared" si="48"/>
        <v>83738.930245522148</v>
      </c>
      <c r="T164" s="29">
        <f t="shared" si="49"/>
        <v>83738.930245522148</v>
      </c>
      <c r="U164">
        <f t="shared" si="50"/>
        <v>0</v>
      </c>
      <c r="V164" s="29">
        <f t="shared" si="51"/>
        <v>83738.930245522148</v>
      </c>
      <c r="W164" s="29">
        <f t="shared" si="52"/>
        <v>83738.930245522148</v>
      </c>
      <c r="X164" s="29">
        <f t="shared" si="53"/>
        <v>83738.930245522148</v>
      </c>
      <c r="Y164">
        <f t="shared" si="54"/>
        <v>0</v>
      </c>
    </row>
    <row r="165" spans="1:25" x14ac:dyDescent="0.25">
      <c r="A165" s="4" t="s">
        <v>974</v>
      </c>
      <c r="B165" s="7" t="s">
        <v>176</v>
      </c>
      <c r="C165" s="2" t="s">
        <v>975</v>
      </c>
      <c r="D165">
        <f>VLOOKUP(B165,'Model allocations'!$A$1:$L$316,6,FALSE)</f>
        <v>141589.95467576757</v>
      </c>
      <c r="E165" s="31">
        <f>VLOOKUP(B165,'Initial adjusted formula count'!$A$1:$P$316,12,FALSE)</f>
        <v>7.8117862037460004E-2</v>
      </c>
      <c r="F165">
        <f>VLOOKUP(B165,'Model allocations'!$A$1:$L$316,11,FALSE)</f>
        <v>120318.67295252123</v>
      </c>
      <c r="G165" s="30">
        <f t="shared" si="55"/>
        <v>0.85</v>
      </c>
      <c r="H165">
        <f t="shared" si="56"/>
        <v>120351.46147440243</v>
      </c>
      <c r="I165">
        <f t="shared" si="38"/>
        <v>120351.46147440243</v>
      </c>
      <c r="J165">
        <f t="shared" si="39"/>
        <v>0</v>
      </c>
      <c r="K165">
        <f t="shared" si="40"/>
        <v>0</v>
      </c>
      <c r="L165">
        <f t="shared" si="41"/>
        <v>120351.46147440243</v>
      </c>
      <c r="M165">
        <f t="shared" si="42"/>
        <v>0</v>
      </c>
      <c r="N165" s="29">
        <f t="shared" si="43"/>
        <v>0</v>
      </c>
      <c r="O165" s="29">
        <f t="shared" si="44"/>
        <v>0</v>
      </c>
      <c r="P165" s="29">
        <f t="shared" si="45"/>
        <v>120351.46147440243</v>
      </c>
      <c r="Q165">
        <f t="shared" si="46"/>
        <v>0</v>
      </c>
      <c r="R165" s="29">
        <f t="shared" si="47"/>
        <v>0</v>
      </c>
      <c r="S165" s="29">
        <f t="shared" si="48"/>
        <v>0</v>
      </c>
      <c r="T165" s="29">
        <f t="shared" si="49"/>
        <v>120351.46147440243</v>
      </c>
      <c r="U165">
        <f t="shared" si="50"/>
        <v>0</v>
      </c>
      <c r="V165" s="29">
        <f t="shared" si="51"/>
        <v>0</v>
      </c>
      <c r="W165" s="29">
        <f t="shared" si="52"/>
        <v>0</v>
      </c>
      <c r="X165" s="29">
        <f t="shared" si="53"/>
        <v>120351.46147440243</v>
      </c>
      <c r="Y165">
        <f t="shared" si="54"/>
        <v>0</v>
      </c>
    </row>
    <row r="166" spans="1:25" x14ac:dyDescent="0.25">
      <c r="A166" s="4" t="s">
        <v>976</v>
      </c>
      <c r="B166" s="7" t="s">
        <v>496</v>
      </c>
      <c r="C166" s="2" t="s">
        <v>977</v>
      </c>
      <c r="D166">
        <f>VLOOKUP(B166,'Model allocations'!$A$1:$L$316,6,FALSE)</f>
        <v>102476.823234022</v>
      </c>
      <c r="E166" s="31">
        <f>VLOOKUP(B166,'Initial adjusted formula count'!$A$1:$P$316,12,FALSE)</f>
        <v>0.19914040114613199</v>
      </c>
      <c r="F166">
        <f>VLOOKUP(B166,'Model allocations'!$A$1:$L$316,11,FALSE)</f>
        <v>92229.140910619797</v>
      </c>
      <c r="G166" s="30">
        <f t="shared" si="55"/>
        <v>0.9</v>
      </c>
      <c r="H166">
        <f t="shared" si="56"/>
        <v>92229.140910619797</v>
      </c>
      <c r="I166">
        <f t="shared" si="38"/>
        <v>0</v>
      </c>
      <c r="J166">
        <f t="shared" si="39"/>
        <v>92229.140910619797</v>
      </c>
      <c r="K166">
        <f t="shared" si="40"/>
        <v>92153.664736376071</v>
      </c>
      <c r="L166">
        <f t="shared" si="41"/>
        <v>92153.664736376071</v>
      </c>
      <c r="M166">
        <f t="shared" si="42"/>
        <v>92229.140910619797</v>
      </c>
      <c r="N166" s="29">
        <f t="shared" si="43"/>
        <v>0</v>
      </c>
      <c r="O166" s="29">
        <f t="shared" si="44"/>
        <v>0</v>
      </c>
      <c r="P166" s="29">
        <f t="shared" si="45"/>
        <v>92229.140910619797</v>
      </c>
      <c r="Q166">
        <f t="shared" si="46"/>
        <v>0</v>
      </c>
      <c r="R166" s="29">
        <f t="shared" si="47"/>
        <v>0</v>
      </c>
      <c r="S166" s="29">
        <f t="shared" si="48"/>
        <v>0</v>
      </c>
      <c r="T166" s="29">
        <f t="shared" si="49"/>
        <v>92229.140910619797</v>
      </c>
      <c r="U166">
        <f t="shared" si="50"/>
        <v>0</v>
      </c>
      <c r="V166" s="29">
        <f t="shared" si="51"/>
        <v>0</v>
      </c>
      <c r="W166" s="29">
        <f t="shared" si="52"/>
        <v>0</v>
      </c>
      <c r="X166" s="29">
        <f t="shared" si="53"/>
        <v>92229.140910619797</v>
      </c>
      <c r="Y166">
        <f t="shared" si="54"/>
        <v>0</v>
      </c>
    </row>
    <row r="167" spans="1:25" x14ac:dyDescent="0.25">
      <c r="A167" s="4" t="s">
        <v>978</v>
      </c>
      <c r="B167" s="7" t="s">
        <v>498</v>
      </c>
      <c r="C167" s="2" t="s">
        <v>979</v>
      </c>
      <c r="D167">
        <f>VLOOKUP(B167,'Model allocations'!$A$1:$L$316,6,FALSE)</f>
        <v>224142.02090901378</v>
      </c>
      <c r="E167" s="31">
        <f>VLOOKUP(B167,'Initial adjusted formula count'!$A$1:$P$316,12,FALSE)</f>
        <v>0.10837887067395301</v>
      </c>
      <c r="F167">
        <f>VLOOKUP(B167,'Model allocations'!$A$1:$L$316,11,FALSE)</f>
        <v>190520.71777266171</v>
      </c>
      <c r="G167" s="30">
        <f t="shared" si="55"/>
        <v>0.85</v>
      </c>
      <c r="H167">
        <f t="shared" si="56"/>
        <v>190520.71777266171</v>
      </c>
      <c r="I167">
        <f t="shared" si="38"/>
        <v>0</v>
      </c>
      <c r="J167">
        <f t="shared" si="39"/>
        <v>190520.71777266171</v>
      </c>
      <c r="K167">
        <f t="shared" si="40"/>
        <v>190364.80419968822</v>
      </c>
      <c r="L167">
        <f t="shared" si="41"/>
        <v>190364.80419968822</v>
      </c>
      <c r="M167">
        <f t="shared" si="42"/>
        <v>190520.71777266171</v>
      </c>
      <c r="N167" s="29">
        <f t="shared" si="43"/>
        <v>0</v>
      </c>
      <c r="O167" s="29">
        <f t="shared" si="44"/>
        <v>0</v>
      </c>
      <c r="P167" s="29">
        <f t="shared" si="45"/>
        <v>190520.71777266171</v>
      </c>
      <c r="Q167">
        <f t="shared" si="46"/>
        <v>0</v>
      </c>
      <c r="R167" s="29">
        <f t="shared" si="47"/>
        <v>0</v>
      </c>
      <c r="S167" s="29">
        <f t="shared" si="48"/>
        <v>0</v>
      </c>
      <c r="T167" s="29">
        <f t="shared" si="49"/>
        <v>190520.71777266171</v>
      </c>
      <c r="U167">
        <f t="shared" si="50"/>
        <v>0</v>
      </c>
      <c r="V167" s="29">
        <f t="shared" si="51"/>
        <v>0</v>
      </c>
      <c r="W167" s="29">
        <f t="shared" si="52"/>
        <v>0</v>
      </c>
      <c r="X167" s="29">
        <f t="shared" si="53"/>
        <v>190520.71777266171</v>
      </c>
      <c r="Y167">
        <f t="shared" si="54"/>
        <v>0</v>
      </c>
    </row>
    <row r="168" spans="1:25" x14ac:dyDescent="0.25">
      <c r="A168" s="4" t="s">
        <v>980</v>
      </c>
      <c r="B168" s="7" t="s">
        <v>178</v>
      </c>
      <c r="C168" s="2" t="s">
        <v>981</v>
      </c>
      <c r="D168">
        <f>VLOOKUP(B168,'Model allocations'!$A$1:$L$316,6,FALSE)</f>
        <v>283748.54370766284</v>
      </c>
      <c r="E168" s="31">
        <f>VLOOKUP(B168,'Initial adjusted formula count'!$A$1:$P$316,12,FALSE)</f>
        <v>7.5833333333333294E-2</v>
      </c>
      <c r="F168">
        <f>VLOOKUP(B168,'Model allocations'!$A$1:$L$316,11,FALSE)</f>
        <v>308431.80728752731</v>
      </c>
      <c r="G168" s="30">
        <f t="shared" si="55"/>
        <v>0.85</v>
      </c>
      <c r="H168">
        <f t="shared" si="56"/>
        <v>241186.26215151342</v>
      </c>
      <c r="I168">
        <f t="shared" si="38"/>
        <v>0</v>
      </c>
      <c r="J168">
        <f t="shared" si="39"/>
        <v>308431.80728752731</v>
      </c>
      <c r="K168">
        <f t="shared" si="40"/>
        <v>308179.40059047594</v>
      </c>
      <c r="L168">
        <f t="shared" si="41"/>
        <v>308179.40059047594</v>
      </c>
      <c r="M168">
        <f t="shared" si="42"/>
        <v>0</v>
      </c>
      <c r="N168" s="29">
        <f t="shared" si="43"/>
        <v>308179.40059047594</v>
      </c>
      <c r="O168" s="29">
        <f t="shared" si="44"/>
        <v>308158.16481279366</v>
      </c>
      <c r="P168" s="29">
        <f t="shared" si="45"/>
        <v>308158.16481279366</v>
      </c>
      <c r="Q168">
        <f t="shared" si="46"/>
        <v>0</v>
      </c>
      <c r="R168" s="29">
        <f t="shared" si="47"/>
        <v>308158.16481279366</v>
      </c>
      <c r="S168" s="29">
        <f t="shared" si="48"/>
        <v>308157.79494482151</v>
      </c>
      <c r="T168" s="29">
        <f t="shared" si="49"/>
        <v>308157.79494482151</v>
      </c>
      <c r="U168">
        <f t="shared" si="50"/>
        <v>0</v>
      </c>
      <c r="V168" s="29">
        <f t="shared" si="51"/>
        <v>308157.79494482151</v>
      </c>
      <c r="W168" s="29">
        <f t="shared" si="52"/>
        <v>308157.79494482151</v>
      </c>
      <c r="X168" s="29">
        <f t="shared" si="53"/>
        <v>308157.79494482151</v>
      </c>
      <c r="Y168">
        <f t="shared" si="54"/>
        <v>0</v>
      </c>
    </row>
    <row r="169" spans="1:25" x14ac:dyDescent="0.25">
      <c r="A169" s="4" t="s">
        <v>982</v>
      </c>
      <c r="B169" s="7" t="s">
        <v>500</v>
      </c>
      <c r="C169" s="2" t="s">
        <v>983</v>
      </c>
      <c r="D169">
        <f>VLOOKUP(B169,'Model allocations'!$A$1:$L$316,6,FALSE)</f>
        <v>211531.98047946003</v>
      </c>
      <c r="E169" s="31">
        <f>VLOOKUP(B169,'Initial adjusted formula count'!$A$1:$P$316,12,FALSE)</f>
        <v>0.144904458598726</v>
      </c>
      <c r="F169">
        <f>VLOOKUP(B169,'Model allocations'!$A$1:$L$316,11,FALSE)</f>
        <v>205621.2048583515</v>
      </c>
      <c r="G169" s="30">
        <f t="shared" si="55"/>
        <v>0.85</v>
      </c>
      <c r="H169">
        <f t="shared" si="56"/>
        <v>179802.18340754102</v>
      </c>
      <c r="I169">
        <f t="shared" si="38"/>
        <v>0</v>
      </c>
      <c r="J169">
        <f t="shared" si="39"/>
        <v>205621.2048583515</v>
      </c>
      <c r="K169">
        <f t="shared" si="40"/>
        <v>205452.9337269839</v>
      </c>
      <c r="L169">
        <f t="shared" si="41"/>
        <v>205452.9337269839</v>
      </c>
      <c r="M169">
        <f t="shared" si="42"/>
        <v>0</v>
      </c>
      <c r="N169" s="29">
        <f t="shared" si="43"/>
        <v>205452.9337269839</v>
      </c>
      <c r="O169" s="29">
        <f t="shared" si="44"/>
        <v>205438.7765418624</v>
      </c>
      <c r="P169" s="29">
        <f t="shared" si="45"/>
        <v>205438.7765418624</v>
      </c>
      <c r="Q169">
        <f t="shared" si="46"/>
        <v>0</v>
      </c>
      <c r="R169" s="29">
        <f t="shared" si="47"/>
        <v>205438.7765418624</v>
      </c>
      <c r="S169" s="29">
        <f t="shared" si="48"/>
        <v>205438.5299632143</v>
      </c>
      <c r="T169" s="29">
        <f t="shared" si="49"/>
        <v>205438.5299632143</v>
      </c>
      <c r="U169">
        <f t="shared" si="50"/>
        <v>0</v>
      </c>
      <c r="V169" s="29">
        <f t="shared" si="51"/>
        <v>205438.5299632143</v>
      </c>
      <c r="W169" s="29">
        <f t="shared" si="52"/>
        <v>205438.5299632143</v>
      </c>
      <c r="X169" s="29">
        <f t="shared" si="53"/>
        <v>205438.5299632143</v>
      </c>
      <c r="Y169">
        <f t="shared" si="54"/>
        <v>0</v>
      </c>
    </row>
    <row r="170" spans="1:25" x14ac:dyDescent="0.25">
      <c r="A170" s="4" t="s">
        <v>984</v>
      </c>
      <c r="B170" s="7" t="s">
        <v>502</v>
      </c>
      <c r="C170" s="2" t="s">
        <v>985</v>
      </c>
      <c r="D170">
        <f>VLOOKUP(B170,'Model allocations'!$A$1:$L$316,6,FALSE)</f>
        <v>6562.4100820437679</v>
      </c>
      <c r="E170" s="31">
        <f>VLOOKUP(B170,'Initial adjusted formula count'!$A$1:$P$316,12,FALSE)</f>
        <v>0.16</v>
      </c>
      <c r="F170">
        <f>VLOOKUP(B170,'Model allocations'!$A$1:$L$316,11,FALSE)</f>
        <v>0</v>
      </c>
      <c r="G170" s="30">
        <f t="shared" si="55"/>
        <v>0.9</v>
      </c>
      <c r="H170">
        <f t="shared" si="56"/>
        <v>0</v>
      </c>
      <c r="I170">
        <f t="shared" si="38"/>
        <v>0</v>
      </c>
      <c r="J170">
        <f t="shared" si="39"/>
        <v>0</v>
      </c>
      <c r="K170">
        <f t="shared" si="40"/>
        <v>0</v>
      </c>
      <c r="L170">
        <f t="shared" si="41"/>
        <v>0</v>
      </c>
      <c r="M170">
        <f t="shared" si="42"/>
        <v>0</v>
      </c>
      <c r="N170" s="29">
        <f t="shared" si="43"/>
        <v>0</v>
      </c>
      <c r="O170" s="29">
        <f t="shared" si="44"/>
        <v>0</v>
      </c>
      <c r="P170" s="29">
        <f t="shared" si="45"/>
        <v>0</v>
      </c>
      <c r="Q170">
        <f t="shared" si="46"/>
        <v>0</v>
      </c>
      <c r="R170" s="29">
        <f t="shared" si="47"/>
        <v>0</v>
      </c>
      <c r="S170" s="29">
        <f t="shared" si="48"/>
        <v>0</v>
      </c>
      <c r="T170" s="29">
        <f t="shared" si="49"/>
        <v>0</v>
      </c>
      <c r="U170">
        <f t="shared" si="50"/>
        <v>0</v>
      </c>
      <c r="V170" s="29">
        <f t="shared" si="51"/>
        <v>0</v>
      </c>
      <c r="W170" s="29">
        <f t="shared" si="52"/>
        <v>0</v>
      </c>
      <c r="X170" s="29">
        <f t="shared" si="53"/>
        <v>0</v>
      </c>
      <c r="Y170">
        <f t="shared" si="54"/>
        <v>0</v>
      </c>
    </row>
    <row r="171" spans="1:25" x14ac:dyDescent="0.25">
      <c r="A171" s="4" t="s">
        <v>986</v>
      </c>
      <c r="B171" s="7" t="s">
        <v>180</v>
      </c>
      <c r="C171" s="2" t="s">
        <v>987</v>
      </c>
      <c r="D171">
        <f>VLOOKUP(B171,'Model allocations'!$A$1:$L$316,6,FALSE)</f>
        <v>1175082.8969376455</v>
      </c>
      <c r="E171" s="31">
        <f>VLOOKUP(B171,'Initial adjusted formula count'!$A$1:$P$316,12,FALSE)</f>
        <v>8.5567130984431694E-2</v>
      </c>
      <c r="F171">
        <f>VLOOKUP(B171,'Model allocations'!$A$1:$L$316,11,FALSE)</f>
        <v>1043640.5933401221</v>
      </c>
      <c r="G171" s="30">
        <f t="shared" si="55"/>
        <v>0.85</v>
      </c>
      <c r="H171">
        <f t="shared" si="56"/>
        <v>998820.46239699866</v>
      </c>
      <c r="I171">
        <f t="shared" si="38"/>
        <v>0</v>
      </c>
      <c r="J171">
        <f t="shared" si="39"/>
        <v>1043640.5933401221</v>
      </c>
      <c r="K171">
        <f t="shared" si="40"/>
        <v>1042786.5248917659</v>
      </c>
      <c r="L171">
        <f t="shared" si="41"/>
        <v>1042786.5248917659</v>
      </c>
      <c r="M171">
        <f t="shared" si="42"/>
        <v>0</v>
      </c>
      <c r="N171" s="29">
        <f t="shared" si="43"/>
        <v>1042786.5248917659</v>
      </c>
      <c r="O171" s="29">
        <f t="shared" si="44"/>
        <v>1042714.6693986011</v>
      </c>
      <c r="P171" s="29">
        <f t="shared" si="45"/>
        <v>1042714.6693986011</v>
      </c>
      <c r="Q171">
        <f t="shared" si="46"/>
        <v>0</v>
      </c>
      <c r="R171" s="29">
        <f t="shared" si="47"/>
        <v>1042714.6693986011</v>
      </c>
      <c r="S171" s="29">
        <f t="shared" si="48"/>
        <v>1042713.4178764792</v>
      </c>
      <c r="T171" s="29">
        <f t="shared" si="49"/>
        <v>1042713.4178764792</v>
      </c>
      <c r="U171">
        <f t="shared" si="50"/>
        <v>0</v>
      </c>
      <c r="V171" s="29">
        <f t="shared" si="51"/>
        <v>1042713.4178764792</v>
      </c>
      <c r="W171" s="29">
        <f t="shared" si="52"/>
        <v>1042713.4178764792</v>
      </c>
      <c r="X171" s="29">
        <f t="shared" si="53"/>
        <v>1042713.4178764792</v>
      </c>
      <c r="Y171">
        <f t="shared" si="54"/>
        <v>0</v>
      </c>
    </row>
    <row r="172" spans="1:25" x14ac:dyDescent="0.25">
      <c r="A172" s="4" t="s">
        <v>988</v>
      </c>
      <c r="B172" s="7" t="s">
        <v>504</v>
      </c>
      <c r="C172" s="2" t="s">
        <v>989</v>
      </c>
      <c r="D172">
        <f>VLOOKUP(B172,'Model allocations'!$A$1:$L$316,6,FALSE)</f>
        <v>57532.946494008349</v>
      </c>
      <c r="E172" s="31">
        <f>VLOOKUP(B172,'Initial adjusted formula count'!$A$1:$P$316,12,FALSE)</f>
        <v>0.26222222222222202</v>
      </c>
      <c r="F172">
        <f>VLOOKUP(B172,'Model allocations'!$A$1:$L$316,11,FALSE)</f>
        <v>51779.651844607513</v>
      </c>
      <c r="G172" s="30">
        <f t="shared" si="55"/>
        <v>0.9</v>
      </c>
      <c r="H172">
        <f t="shared" si="56"/>
        <v>51779.651844607513</v>
      </c>
      <c r="I172">
        <f t="shared" si="38"/>
        <v>0</v>
      </c>
      <c r="J172">
        <f t="shared" si="39"/>
        <v>51779.651844607513</v>
      </c>
      <c r="K172">
        <f t="shared" si="40"/>
        <v>51737.277710073504</v>
      </c>
      <c r="L172">
        <f t="shared" si="41"/>
        <v>51737.277710073504</v>
      </c>
      <c r="M172">
        <f t="shared" si="42"/>
        <v>51779.651844607513</v>
      </c>
      <c r="N172" s="29">
        <f t="shared" si="43"/>
        <v>0</v>
      </c>
      <c r="O172" s="29">
        <f t="shared" si="44"/>
        <v>0</v>
      </c>
      <c r="P172" s="29">
        <f t="shared" si="45"/>
        <v>51779.651844607513</v>
      </c>
      <c r="Q172">
        <f t="shared" si="46"/>
        <v>0</v>
      </c>
      <c r="R172" s="29">
        <f t="shared" si="47"/>
        <v>0</v>
      </c>
      <c r="S172" s="29">
        <f t="shared" si="48"/>
        <v>0</v>
      </c>
      <c r="T172" s="29">
        <f t="shared" si="49"/>
        <v>51779.651844607513</v>
      </c>
      <c r="U172">
        <f t="shared" si="50"/>
        <v>0</v>
      </c>
      <c r="V172" s="29">
        <f t="shared" si="51"/>
        <v>0</v>
      </c>
      <c r="W172" s="29">
        <f t="shared" si="52"/>
        <v>0</v>
      </c>
      <c r="X172" s="29">
        <f t="shared" si="53"/>
        <v>51779.651844607513</v>
      </c>
      <c r="Y172">
        <f t="shared" si="54"/>
        <v>0</v>
      </c>
    </row>
    <row r="173" spans="1:25" x14ac:dyDescent="0.25">
      <c r="A173" s="4" t="s">
        <v>990</v>
      </c>
      <c r="B173" s="7" t="s">
        <v>182</v>
      </c>
      <c r="C173" s="2" t="s">
        <v>991</v>
      </c>
      <c r="D173">
        <f>VLOOKUP(B173,'Model allocations'!$A$1:$L$316,6,FALSE)</f>
        <v>0</v>
      </c>
      <c r="E173" s="31">
        <f>VLOOKUP(B173,'Initial adjusted formula count'!$A$1:$P$316,12,FALSE)</f>
        <v>3.9716205563271899E-2</v>
      </c>
      <c r="F173">
        <f>VLOOKUP(B173,'Model allocations'!$A$1:$L$316,11,FALSE)</f>
        <v>0</v>
      </c>
      <c r="G173" s="30">
        <f t="shared" si="55"/>
        <v>0.85</v>
      </c>
      <c r="H173">
        <f t="shared" si="56"/>
        <v>0</v>
      </c>
      <c r="I173">
        <f t="shared" si="38"/>
        <v>0</v>
      </c>
      <c r="J173">
        <f t="shared" si="39"/>
        <v>0</v>
      </c>
      <c r="K173">
        <f t="shared" si="40"/>
        <v>0</v>
      </c>
      <c r="L173">
        <f t="shared" si="41"/>
        <v>0</v>
      </c>
      <c r="M173">
        <f t="shared" si="42"/>
        <v>0</v>
      </c>
      <c r="N173" s="29">
        <f t="shared" si="43"/>
        <v>0</v>
      </c>
      <c r="O173" s="29">
        <f t="shared" si="44"/>
        <v>0</v>
      </c>
      <c r="P173" s="29">
        <f t="shared" si="45"/>
        <v>0</v>
      </c>
      <c r="Q173">
        <f t="shared" si="46"/>
        <v>0</v>
      </c>
      <c r="R173" s="29">
        <f t="shared" si="47"/>
        <v>0</v>
      </c>
      <c r="S173" s="29">
        <f t="shared" si="48"/>
        <v>0</v>
      </c>
      <c r="T173" s="29">
        <f t="shared" si="49"/>
        <v>0</v>
      </c>
      <c r="U173">
        <f t="shared" si="50"/>
        <v>0</v>
      </c>
      <c r="V173" s="29">
        <f t="shared" si="51"/>
        <v>0</v>
      </c>
      <c r="W173" s="29">
        <f t="shared" si="52"/>
        <v>0</v>
      </c>
      <c r="X173" s="29">
        <f t="shared" si="53"/>
        <v>0</v>
      </c>
      <c r="Y173">
        <f t="shared" si="54"/>
        <v>0</v>
      </c>
    </row>
    <row r="174" spans="1:25" x14ac:dyDescent="0.25">
      <c r="A174" s="4" t="s">
        <v>992</v>
      </c>
      <c r="B174" s="7" t="s">
        <v>184</v>
      </c>
      <c r="C174" s="2" t="s">
        <v>993</v>
      </c>
      <c r="D174">
        <f>VLOOKUP(B174,'Model allocations'!$A$1:$L$316,6,FALSE)</f>
        <v>326964.75477335899</v>
      </c>
      <c r="E174" s="31">
        <f>VLOOKUP(B174,'Initial adjusted formula count'!$A$1:$P$316,12,FALSE)</f>
        <v>8.8102030542037302E-2</v>
      </c>
      <c r="F174">
        <f>VLOOKUP(B174,'Model allocations'!$A$1:$L$316,11,FALSE)</f>
        <v>296569.0454687762</v>
      </c>
      <c r="G174" s="30">
        <f t="shared" si="55"/>
        <v>0.85</v>
      </c>
      <c r="H174">
        <f t="shared" si="56"/>
        <v>277920.04155735514</v>
      </c>
      <c r="I174">
        <f t="shared" si="38"/>
        <v>0</v>
      </c>
      <c r="J174">
        <f t="shared" si="39"/>
        <v>296569.0454687762</v>
      </c>
      <c r="K174">
        <f t="shared" si="40"/>
        <v>296326.34672161139</v>
      </c>
      <c r="L174">
        <f t="shared" si="41"/>
        <v>296326.34672161139</v>
      </c>
      <c r="M174">
        <f t="shared" si="42"/>
        <v>0</v>
      </c>
      <c r="N174" s="29">
        <f t="shared" si="43"/>
        <v>296326.34672161139</v>
      </c>
      <c r="O174" s="29">
        <f t="shared" si="44"/>
        <v>296305.92770460923</v>
      </c>
      <c r="P174" s="29">
        <f t="shared" si="45"/>
        <v>296305.92770460923</v>
      </c>
      <c r="Q174">
        <f t="shared" si="46"/>
        <v>0</v>
      </c>
      <c r="R174" s="29">
        <f t="shared" si="47"/>
        <v>296305.92770460923</v>
      </c>
      <c r="S174" s="29">
        <f t="shared" si="48"/>
        <v>296305.57206232828</v>
      </c>
      <c r="T174" s="29">
        <f t="shared" si="49"/>
        <v>296305.57206232828</v>
      </c>
      <c r="U174">
        <f t="shared" si="50"/>
        <v>0</v>
      </c>
      <c r="V174" s="29">
        <f t="shared" si="51"/>
        <v>296305.57206232828</v>
      </c>
      <c r="W174" s="29">
        <f t="shared" si="52"/>
        <v>296305.57206232828</v>
      </c>
      <c r="X174" s="29">
        <f t="shared" si="53"/>
        <v>296305.57206232828</v>
      </c>
      <c r="Y174">
        <f t="shared" si="54"/>
        <v>0</v>
      </c>
    </row>
    <row r="175" spans="1:25" x14ac:dyDescent="0.25">
      <c r="A175" s="4" t="s">
        <v>994</v>
      </c>
      <c r="B175" s="7" t="s">
        <v>186</v>
      </c>
      <c r="C175" s="2" t="s">
        <v>995</v>
      </c>
      <c r="D175">
        <f>VLOOKUP(B175,'Model allocations'!$A$1:$L$316,6,FALSE)</f>
        <v>0</v>
      </c>
      <c r="E175" s="31">
        <f>VLOOKUP(B175,'Initial adjusted formula count'!$A$1:$P$316,12,FALSE)</f>
        <v>8.3969465648855005E-2</v>
      </c>
      <c r="F175">
        <f>VLOOKUP(B175,'Model allocations'!$A$1:$L$316,11,FALSE)</f>
        <v>6213.8276193457878</v>
      </c>
      <c r="G175" s="30">
        <f t="shared" si="55"/>
        <v>0.85</v>
      </c>
      <c r="H175">
        <f t="shared" si="56"/>
        <v>0</v>
      </c>
      <c r="I175">
        <f t="shared" si="38"/>
        <v>0</v>
      </c>
      <c r="J175">
        <f t="shared" si="39"/>
        <v>6213.8276193457878</v>
      </c>
      <c r="K175">
        <f t="shared" si="40"/>
        <v>6208.7425027385252</v>
      </c>
      <c r="L175">
        <f t="shared" si="41"/>
        <v>6208.7425027385252</v>
      </c>
      <c r="M175">
        <f t="shared" si="42"/>
        <v>0</v>
      </c>
      <c r="N175" s="29">
        <f t="shared" si="43"/>
        <v>6208.7425027385252</v>
      </c>
      <c r="O175" s="29">
        <f t="shared" si="44"/>
        <v>6208.3146757156219</v>
      </c>
      <c r="P175" s="29">
        <f t="shared" si="45"/>
        <v>6208.3146757156219</v>
      </c>
      <c r="Q175">
        <f t="shared" si="46"/>
        <v>0</v>
      </c>
      <c r="R175" s="29">
        <f t="shared" si="47"/>
        <v>6208.3146757156219</v>
      </c>
      <c r="S175" s="29">
        <f t="shared" si="48"/>
        <v>6208.3072241630689</v>
      </c>
      <c r="T175" s="29">
        <f t="shared" si="49"/>
        <v>6208.3072241630689</v>
      </c>
      <c r="U175">
        <f t="shared" si="50"/>
        <v>0</v>
      </c>
      <c r="V175" s="29">
        <f t="shared" si="51"/>
        <v>6208.3072241630689</v>
      </c>
      <c r="W175" s="29">
        <f t="shared" si="52"/>
        <v>6208.3072241630689</v>
      </c>
      <c r="X175" s="29">
        <f t="shared" si="53"/>
        <v>6208.3072241630689</v>
      </c>
      <c r="Y175">
        <f t="shared" si="54"/>
        <v>0</v>
      </c>
    </row>
    <row r="176" spans="1:25" x14ac:dyDescent="0.25">
      <c r="A176" s="4" t="s">
        <v>996</v>
      </c>
      <c r="B176" s="7" t="s">
        <v>506</v>
      </c>
      <c r="C176" s="2" t="s">
        <v>997</v>
      </c>
      <c r="D176">
        <f>VLOOKUP(B176,'Model allocations'!$A$1:$L$316,6,FALSE)</f>
        <v>77792.702420708491</v>
      </c>
      <c r="E176" s="31">
        <f>VLOOKUP(B176,'Initial adjusted formula count'!$A$1:$P$316,12,FALSE)</f>
        <v>0.11883408071748899</v>
      </c>
      <c r="F176">
        <f>VLOOKUP(B176,'Model allocations'!$A$1:$L$316,11,FALSE)</f>
        <v>66123.79705760222</v>
      </c>
      <c r="G176" s="30">
        <f t="shared" si="55"/>
        <v>0.85</v>
      </c>
      <c r="H176">
        <f t="shared" si="56"/>
        <v>66123.79705760222</v>
      </c>
      <c r="I176">
        <f t="shared" si="38"/>
        <v>0</v>
      </c>
      <c r="J176">
        <f t="shared" si="39"/>
        <v>66123.79705760222</v>
      </c>
      <c r="K176">
        <f t="shared" si="40"/>
        <v>66069.684320791494</v>
      </c>
      <c r="L176">
        <f t="shared" si="41"/>
        <v>66069.684320791494</v>
      </c>
      <c r="M176">
        <f t="shared" si="42"/>
        <v>66123.79705760222</v>
      </c>
      <c r="N176" s="29">
        <f t="shared" si="43"/>
        <v>0</v>
      </c>
      <c r="O176" s="29">
        <f t="shared" si="44"/>
        <v>0</v>
      </c>
      <c r="P176" s="29">
        <f t="shared" si="45"/>
        <v>66123.79705760222</v>
      </c>
      <c r="Q176">
        <f t="shared" si="46"/>
        <v>0</v>
      </c>
      <c r="R176" s="29">
        <f t="shared" si="47"/>
        <v>0</v>
      </c>
      <c r="S176" s="29">
        <f t="shared" si="48"/>
        <v>0</v>
      </c>
      <c r="T176" s="29">
        <f t="shared" si="49"/>
        <v>66123.79705760222</v>
      </c>
      <c r="U176">
        <f t="shared" si="50"/>
        <v>0</v>
      </c>
      <c r="V176" s="29">
        <f t="shared" si="51"/>
        <v>0</v>
      </c>
      <c r="W176" s="29">
        <f t="shared" si="52"/>
        <v>0</v>
      </c>
      <c r="X176" s="29">
        <f t="shared" si="53"/>
        <v>66123.79705760222</v>
      </c>
      <c r="Y176">
        <f t="shared" si="54"/>
        <v>0</v>
      </c>
    </row>
    <row r="177" spans="1:25" x14ac:dyDescent="0.25">
      <c r="A177" s="4" t="s">
        <v>998</v>
      </c>
      <c r="B177" s="7" t="s">
        <v>508</v>
      </c>
      <c r="C177" s="2" t="s">
        <v>999</v>
      </c>
      <c r="D177">
        <f>VLOOKUP(B177,'Model allocations'!$A$1:$L$316,6,FALSE)</f>
        <v>127068.42637444173</v>
      </c>
      <c r="E177" s="31">
        <f>VLOOKUP(B177,'Initial adjusted formula count'!$A$1:$P$316,12,FALSE)</f>
        <v>0.162743091095189</v>
      </c>
      <c r="F177">
        <f>VLOOKUP(B177,'Model allocations'!$A$1:$L$316,11,FALSE)</f>
        <v>114443.45767137785</v>
      </c>
      <c r="G177" s="30">
        <f t="shared" si="55"/>
        <v>0.9</v>
      </c>
      <c r="H177">
        <f t="shared" si="56"/>
        <v>114361.58373699755</v>
      </c>
      <c r="I177">
        <f t="shared" si="38"/>
        <v>0</v>
      </c>
      <c r="J177">
        <f t="shared" si="39"/>
        <v>114443.45767137785</v>
      </c>
      <c r="K177">
        <f t="shared" si="40"/>
        <v>114349.80230099303</v>
      </c>
      <c r="L177">
        <f t="shared" si="41"/>
        <v>114349.80230099303</v>
      </c>
      <c r="M177">
        <f t="shared" si="42"/>
        <v>114361.58373699755</v>
      </c>
      <c r="N177" s="29">
        <f t="shared" si="43"/>
        <v>0</v>
      </c>
      <c r="O177" s="29">
        <f t="shared" si="44"/>
        <v>0</v>
      </c>
      <c r="P177" s="29">
        <f t="shared" si="45"/>
        <v>114361.58373699755</v>
      </c>
      <c r="Q177">
        <f t="shared" si="46"/>
        <v>0</v>
      </c>
      <c r="R177" s="29">
        <f t="shared" si="47"/>
        <v>0</v>
      </c>
      <c r="S177" s="29">
        <f t="shared" si="48"/>
        <v>0</v>
      </c>
      <c r="T177" s="29">
        <f t="shared" si="49"/>
        <v>114361.58373699755</v>
      </c>
      <c r="U177">
        <f t="shared" si="50"/>
        <v>0</v>
      </c>
      <c r="V177" s="29">
        <f t="shared" si="51"/>
        <v>0</v>
      </c>
      <c r="W177" s="29">
        <f t="shared" si="52"/>
        <v>0</v>
      </c>
      <c r="X177" s="29">
        <f t="shared" si="53"/>
        <v>114361.58373699755</v>
      </c>
      <c r="Y177">
        <f t="shared" si="54"/>
        <v>0</v>
      </c>
    </row>
    <row r="178" spans="1:25" x14ac:dyDescent="0.25">
      <c r="A178" s="4" t="s">
        <v>1000</v>
      </c>
      <c r="B178" s="7" t="s">
        <v>510</v>
      </c>
      <c r="C178" s="2" t="s">
        <v>1001</v>
      </c>
      <c r="D178">
        <f>VLOOKUP(B178,'Model allocations'!$A$1:$L$316,6,FALSE)</f>
        <v>155759.52628895175</v>
      </c>
      <c r="E178" s="31">
        <f>VLOOKUP(B178,'Initial adjusted formula count'!$A$1:$P$316,12,FALSE)</f>
        <v>0.17438271604938299</v>
      </c>
      <c r="F178">
        <f>VLOOKUP(B178,'Model allocations'!$A$1:$L$316,11,FALSE)</f>
        <v>139989.41358573519</v>
      </c>
      <c r="G178" s="30">
        <f t="shared" si="55"/>
        <v>0.9</v>
      </c>
      <c r="H178">
        <f t="shared" si="56"/>
        <v>140183.57366005657</v>
      </c>
      <c r="I178">
        <f t="shared" si="38"/>
        <v>140183.57366005657</v>
      </c>
      <c r="J178">
        <f t="shared" si="39"/>
        <v>0</v>
      </c>
      <c r="K178">
        <f t="shared" si="40"/>
        <v>0</v>
      </c>
      <c r="L178">
        <f t="shared" si="41"/>
        <v>140183.57366005657</v>
      </c>
      <c r="M178">
        <f t="shared" si="42"/>
        <v>0</v>
      </c>
      <c r="N178" s="29">
        <f t="shared" si="43"/>
        <v>0</v>
      </c>
      <c r="O178" s="29">
        <f t="shared" si="44"/>
        <v>0</v>
      </c>
      <c r="P178" s="29">
        <f t="shared" si="45"/>
        <v>140183.57366005657</v>
      </c>
      <c r="Q178">
        <f t="shared" si="46"/>
        <v>0</v>
      </c>
      <c r="R178" s="29">
        <f t="shared" si="47"/>
        <v>0</v>
      </c>
      <c r="S178" s="29">
        <f t="shared" si="48"/>
        <v>0</v>
      </c>
      <c r="T178" s="29">
        <f t="shared" si="49"/>
        <v>140183.57366005657</v>
      </c>
      <c r="U178">
        <f t="shared" si="50"/>
        <v>0</v>
      </c>
      <c r="V178" s="29">
        <f t="shared" si="51"/>
        <v>0</v>
      </c>
      <c r="W178" s="29">
        <f t="shared" si="52"/>
        <v>0</v>
      </c>
      <c r="X178" s="29">
        <f t="shared" si="53"/>
        <v>140183.57366005657</v>
      </c>
      <c r="Y178">
        <f t="shared" si="54"/>
        <v>0</v>
      </c>
    </row>
    <row r="179" spans="1:25" x14ac:dyDescent="0.25">
      <c r="A179" s="4" t="s">
        <v>1002</v>
      </c>
      <c r="B179" s="7" t="s">
        <v>287</v>
      </c>
      <c r="C179" s="2" t="s">
        <v>1003</v>
      </c>
      <c r="D179">
        <f>VLOOKUP(B179,'Model allocations'!$A$1:$L$316,6,FALSE)</f>
        <v>25588.546025741136</v>
      </c>
      <c r="E179" s="31">
        <f>VLOOKUP(B179,'Initial adjusted formula count'!$A$1:$P$316,12,FALSE)</f>
        <v>0.123376623376623</v>
      </c>
      <c r="F179">
        <f>VLOOKUP(B179,'Model allocations'!$A$1:$L$316,11,FALSE)</f>
        <v>21765.835606982553</v>
      </c>
      <c r="G179" s="30">
        <f t="shared" si="55"/>
        <v>0.85</v>
      </c>
      <c r="H179">
        <f t="shared" si="56"/>
        <v>21750.264121879965</v>
      </c>
      <c r="I179">
        <f t="shared" si="38"/>
        <v>0</v>
      </c>
      <c r="J179">
        <f t="shared" si="39"/>
        <v>21765.835606982553</v>
      </c>
      <c r="K179">
        <f t="shared" si="40"/>
        <v>21748.023427614811</v>
      </c>
      <c r="L179">
        <f t="shared" si="41"/>
        <v>21748.023427614811</v>
      </c>
      <c r="M179">
        <f t="shared" si="42"/>
        <v>21750.264121879965</v>
      </c>
      <c r="N179" s="29">
        <f t="shared" si="43"/>
        <v>0</v>
      </c>
      <c r="O179" s="29">
        <f t="shared" si="44"/>
        <v>0</v>
      </c>
      <c r="P179" s="29">
        <f t="shared" si="45"/>
        <v>21750.264121879965</v>
      </c>
      <c r="Q179">
        <f t="shared" si="46"/>
        <v>0</v>
      </c>
      <c r="R179" s="29">
        <f t="shared" si="47"/>
        <v>0</v>
      </c>
      <c r="S179" s="29">
        <f t="shared" si="48"/>
        <v>0</v>
      </c>
      <c r="T179" s="29">
        <f t="shared" si="49"/>
        <v>21750.264121879965</v>
      </c>
      <c r="U179">
        <f t="shared" si="50"/>
        <v>0</v>
      </c>
      <c r="V179" s="29">
        <f t="shared" si="51"/>
        <v>0</v>
      </c>
      <c r="W179" s="29">
        <f t="shared" si="52"/>
        <v>0</v>
      </c>
      <c r="X179" s="29">
        <f t="shared" si="53"/>
        <v>21750.264121879965</v>
      </c>
      <c r="Y179">
        <f t="shared" si="54"/>
        <v>0</v>
      </c>
    </row>
    <row r="180" spans="1:25" x14ac:dyDescent="0.25">
      <c r="A180" s="4" t="s">
        <v>1004</v>
      </c>
      <c r="B180" s="7" t="s">
        <v>512</v>
      </c>
      <c r="C180" s="2" t="s">
        <v>1005</v>
      </c>
      <c r="D180">
        <f>VLOOKUP(B180,'Model allocations'!$A$1:$L$316,6,FALSE)</f>
        <v>145851.50175233488</v>
      </c>
      <c r="E180" s="31">
        <f>VLOOKUP(B180,'Initial adjusted formula count'!$A$1:$P$316,12,FALSE)</f>
        <v>0.17566137566137599</v>
      </c>
      <c r="F180">
        <f>VLOOKUP(B180,'Model allocations'!$A$1:$L$316,11,FALSE)</f>
        <v>131266.35157710139</v>
      </c>
      <c r="G180" s="30">
        <f t="shared" si="55"/>
        <v>0.9</v>
      </c>
      <c r="H180">
        <f t="shared" si="56"/>
        <v>131266.35157710139</v>
      </c>
      <c r="I180">
        <f t="shared" si="38"/>
        <v>0</v>
      </c>
      <c r="J180">
        <f t="shared" si="39"/>
        <v>131266.35157710139</v>
      </c>
      <c r="K180">
        <f t="shared" si="40"/>
        <v>131158.92910817073</v>
      </c>
      <c r="L180">
        <f t="shared" si="41"/>
        <v>131158.92910817073</v>
      </c>
      <c r="M180">
        <f t="shared" si="42"/>
        <v>131266.35157710139</v>
      </c>
      <c r="N180" s="29">
        <f t="shared" si="43"/>
        <v>0</v>
      </c>
      <c r="O180" s="29">
        <f t="shared" si="44"/>
        <v>0</v>
      </c>
      <c r="P180" s="29">
        <f t="shared" si="45"/>
        <v>131266.35157710139</v>
      </c>
      <c r="Q180">
        <f t="shared" si="46"/>
        <v>0</v>
      </c>
      <c r="R180" s="29">
        <f t="shared" si="47"/>
        <v>0</v>
      </c>
      <c r="S180" s="29">
        <f t="shared" si="48"/>
        <v>0</v>
      </c>
      <c r="T180" s="29">
        <f t="shared" si="49"/>
        <v>131266.35157710139</v>
      </c>
      <c r="U180">
        <f t="shared" si="50"/>
        <v>0</v>
      </c>
      <c r="V180" s="29">
        <f t="shared" si="51"/>
        <v>0</v>
      </c>
      <c r="W180" s="29">
        <f t="shared" si="52"/>
        <v>0</v>
      </c>
      <c r="X180" s="29">
        <f t="shared" si="53"/>
        <v>131266.35157710139</v>
      </c>
      <c r="Y180">
        <f t="shared" si="54"/>
        <v>0</v>
      </c>
    </row>
    <row r="181" spans="1:25" x14ac:dyDescent="0.25">
      <c r="A181" s="4" t="s">
        <v>1006</v>
      </c>
      <c r="B181" s="7" t="s">
        <v>188</v>
      </c>
      <c r="C181" s="2" t="s">
        <v>1007</v>
      </c>
      <c r="D181">
        <f>VLOOKUP(B181,'Model allocations'!$A$1:$L$316,6,FALSE)</f>
        <v>620767.28541995888</v>
      </c>
      <c r="E181" s="31">
        <f>VLOOKUP(B181,'Initial adjusted formula count'!$A$1:$P$316,12,FALSE)</f>
        <v>7.7306255388447195E-2</v>
      </c>
      <c r="F181">
        <f>VLOOKUP(B181,'Model allocations'!$A$1:$L$316,11,FALSE)</f>
        <v>527376.82876571314</v>
      </c>
      <c r="G181" s="30">
        <f t="shared" si="55"/>
        <v>0.85</v>
      </c>
      <c r="H181">
        <f t="shared" si="56"/>
        <v>527652.19260696508</v>
      </c>
      <c r="I181">
        <f t="shared" si="38"/>
        <v>527652.19260696508</v>
      </c>
      <c r="J181">
        <f t="shared" si="39"/>
        <v>0</v>
      </c>
      <c r="K181">
        <f t="shared" si="40"/>
        <v>0</v>
      </c>
      <c r="L181">
        <f t="shared" si="41"/>
        <v>527652.19260696508</v>
      </c>
      <c r="M181">
        <f t="shared" si="42"/>
        <v>0</v>
      </c>
      <c r="N181" s="29">
        <f t="shared" si="43"/>
        <v>0</v>
      </c>
      <c r="O181" s="29">
        <f t="shared" si="44"/>
        <v>0</v>
      </c>
      <c r="P181" s="29">
        <f t="shared" si="45"/>
        <v>527652.19260696508</v>
      </c>
      <c r="Q181">
        <f t="shared" si="46"/>
        <v>0</v>
      </c>
      <c r="R181" s="29">
        <f t="shared" si="47"/>
        <v>0</v>
      </c>
      <c r="S181" s="29">
        <f t="shared" si="48"/>
        <v>0</v>
      </c>
      <c r="T181" s="29">
        <f t="shared" si="49"/>
        <v>527652.19260696508</v>
      </c>
      <c r="U181">
        <f t="shared" si="50"/>
        <v>0</v>
      </c>
      <c r="V181" s="29">
        <f t="shared" si="51"/>
        <v>0</v>
      </c>
      <c r="W181" s="29">
        <f t="shared" si="52"/>
        <v>0</v>
      </c>
      <c r="X181" s="29">
        <f t="shared" si="53"/>
        <v>527652.19260696508</v>
      </c>
      <c r="Y181">
        <f t="shared" si="54"/>
        <v>0</v>
      </c>
    </row>
    <row r="182" spans="1:25" x14ac:dyDescent="0.25">
      <c r="A182" s="4" t="s">
        <v>1008</v>
      </c>
      <c r="B182" s="7" t="s">
        <v>514</v>
      </c>
      <c r="C182" s="2" t="s">
        <v>1009</v>
      </c>
      <c r="D182">
        <f>VLOOKUP(B182,'Model allocations'!$A$1:$L$316,6,FALSE)</f>
        <v>286269.02051811712</v>
      </c>
      <c r="E182" s="31">
        <f>VLOOKUP(B182,'Initial adjusted formula count'!$A$1:$P$316,12,FALSE)</f>
        <v>0.18599679315873899</v>
      </c>
      <c r="F182">
        <f>VLOOKUP(B182,'Model allocations'!$A$1:$L$316,11,FALSE)</f>
        <v>257642.1184663054</v>
      </c>
      <c r="G182" s="30">
        <f t="shared" si="55"/>
        <v>0.9</v>
      </c>
      <c r="H182">
        <f t="shared" si="56"/>
        <v>257642.1184663054</v>
      </c>
      <c r="I182">
        <f t="shared" si="38"/>
        <v>0</v>
      </c>
      <c r="J182">
        <f t="shared" si="39"/>
        <v>257642.1184663054</v>
      </c>
      <c r="K182">
        <f t="shared" si="40"/>
        <v>257431.27576264489</v>
      </c>
      <c r="L182">
        <f t="shared" si="41"/>
        <v>257431.27576264489</v>
      </c>
      <c r="M182">
        <f t="shared" si="42"/>
        <v>257642.1184663054</v>
      </c>
      <c r="N182" s="29">
        <f t="shared" si="43"/>
        <v>0</v>
      </c>
      <c r="O182" s="29">
        <f t="shared" si="44"/>
        <v>0</v>
      </c>
      <c r="P182" s="29">
        <f t="shared" si="45"/>
        <v>257642.1184663054</v>
      </c>
      <c r="Q182">
        <f t="shared" si="46"/>
        <v>0</v>
      </c>
      <c r="R182" s="29">
        <f t="shared" si="47"/>
        <v>0</v>
      </c>
      <c r="S182" s="29">
        <f t="shared" si="48"/>
        <v>0</v>
      </c>
      <c r="T182" s="29">
        <f t="shared" si="49"/>
        <v>257642.1184663054</v>
      </c>
      <c r="U182">
        <f t="shared" si="50"/>
        <v>0</v>
      </c>
      <c r="V182" s="29">
        <f t="shared" si="51"/>
        <v>0</v>
      </c>
      <c r="W182" s="29">
        <f t="shared" si="52"/>
        <v>0</v>
      </c>
      <c r="X182" s="29">
        <f t="shared" si="53"/>
        <v>257642.1184663054</v>
      </c>
      <c r="Y182">
        <f t="shared" si="54"/>
        <v>0</v>
      </c>
    </row>
    <row r="183" spans="1:25" x14ac:dyDescent="0.25">
      <c r="A183" s="4" t="s">
        <v>1010</v>
      </c>
      <c r="B183" s="7" t="s">
        <v>516</v>
      </c>
      <c r="C183" s="2" t="s">
        <v>1011</v>
      </c>
      <c r="D183">
        <f>VLOOKUP(B183,'Model allocations'!$A$1:$L$316,6,FALSE)</f>
        <v>66530.219666926947</v>
      </c>
      <c r="E183" s="31">
        <f>VLOOKUP(B183,'Initial adjusted formula count'!$A$1:$P$316,12,FALSE)</f>
        <v>0.104275286757039</v>
      </c>
      <c r="F183">
        <f>VLOOKUP(B183,'Model allocations'!$A$1:$L$316,11,FALSE)</f>
        <v>56591.172578154634</v>
      </c>
      <c r="G183" s="30">
        <f t="shared" si="55"/>
        <v>0.85</v>
      </c>
      <c r="H183">
        <f t="shared" si="56"/>
        <v>56550.686716887903</v>
      </c>
      <c r="I183">
        <f t="shared" si="38"/>
        <v>0</v>
      </c>
      <c r="J183">
        <f t="shared" si="39"/>
        <v>56591.172578154634</v>
      </c>
      <c r="K183">
        <f t="shared" si="40"/>
        <v>56544.860911798503</v>
      </c>
      <c r="L183">
        <f t="shared" si="41"/>
        <v>56544.860911798503</v>
      </c>
      <c r="M183">
        <f t="shared" si="42"/>
        <v>56550.686716887903</v>
      </c>
      <c r="N183" s="29">
        <f t="shared" si="43"/>
        <v>0</v>
      </c>
      <c r="O183" s="29">
        <f t="shared" si="44"/>
        <v>0</v>
      </c>
      <c r="P183" s="29">
        <f t="shared" si="45"/>
        <v>56550.686716887903</v>
      </c>
      <c r="Q183">
        <f t="shared" si="46"/>
        <v>0</v>
      </c>
      <c r="R183" s="29">
        <f t="shared" si="47"/>
        <v>0</v>
      </c>
      <c r="S183" s="29">
        <f t="shared" si="48"/>
        <v>0</v>
      </c>
      <c r="T183" s="29">
        <f t="shared" si="49"/>
        <v>56550.686716887903</v>
      </c>
      <c r="U183">
        <f t="shared" si="50"/>
        <v>0</v>
      </c>
      <c r="V183" s="29">
        <f t="shared" si="51"/>
        <v>0</v>
      </c>
      <c r="W183" s="29">
        <f t="shared" si="52"/>
        <v>0</v>
      </c>
      <c r="X183" s="29">
        <f t="shared" si="53"/>
        <v>56550.686716887903</v>
      </c>
      <c r="Y183">
        <f t="shared" si="54"/>
        <v>0</v>
      </c>
    </row>
    <row r="184" spans="1:25" x14ac:dyDescent="0.25">
      <c r="A184" s="4" t="s">
        <v>1012</v>
      </c>
      <c r="B184" s="7" t="s">
        <v>518</v>
      </c>
      <c r="C184" s="2" t="s">
        <v>1013</v>
      </c>
      <c r="D184">
        <f>VLOOKUP(B184,'Model allocations'!$A$1:$L$316,6,FALSE)</f>
        <v>26123.559875562667</v>
      </c>
      <c r="E184" s="31">
        <f>VLOOKUP(B184,'Initial adjusted formula count'!$A$1:$P$316,12,FALSE)</f>
        <v>0.29032258064516098</v>
      </c>
      <c r="F184">
        <f>VLOOKUP(B184,'Model allocations'!$A$1:$L$316,11,FALSE)</f>
        <v>23528.036068021989</v>
      </c>
      <c r="G184" s="30">
        <f t="shared" si="55"/>
        <v>0.9</v>
      </c>
      <c r="H184">
        <f t="shared" si="56"/>
        <v>23511.203888006399</v>
      </c>
      <c r="I184">
        <f t="shared" si="38"/>
        <v>0</v>
      </c>
      <c r="J184">
        <f t="shared" si="39"/>
        <v>23528.036068021989</v>
      </c>
      <c r="K184">
        <f t="shared" si="40"/>
        <v>23508.78178317938</v>
      </c>
      <c r="L184">
        <f t="shared" si="41"/>
        <v>23508.78178317938</v>
      </c>
      <c r="M184">
        <f t="shared" si="42"/>
        <v>23511.203888006399</v>
      </c>
      <c r="N184" s="29">
        <f t="shared" si="43"/>
        <v>0</v>
      </c>
      <c r="O184" s="29">
        <f t="shared" si="44"/>
        <v>0</v>
      </c>
      <c r="P184" s="29">
        <f t="shared" si="45"/>
        <v>23511.203888006399</v>
      </c>
      <c r="Q184">
        <f t="shared" si="46"/>
        <v>0</v>
      </c>
      <c r="R184" s="29">
        <f t="shared" si="47"/>
        <v>0</v>
      </c>
      <c r="S184" s="29">
        <f t="shared" si="48"/>
        <v>0</v>
      </c>
      <c r="T184" s="29">
        <f t="shared" si="49"/>
        <v>23511.203888006399</v>
      </c>
      <c r="U184">
        <f t="shared" si="50"/>
        <v>0</v>
      </c>
      <c r="V184" s="29">
        <f t="shared" si="51"/>
        <v>0</v>
      </c>
      <c r="W184" s="29">
        <f t="shared" si="52"/>
        <v>0</v>
      </c>
      <c r="X184" s="29">
        <f t="shared" si="53"/>
        <v>23511.203888006399</v>
      </c>
      <c r="Y184">
        <f t="shared" si="54"/>
        <v>0</v>
      </c>
    </row>
    <row r="185" spans="1:25" x14ac:dyDescent="0.25">
      <c r="A185" s="4" t="s">
        <v>1014</v>
      </c>
      <c r="B185" s="7" t="s">
        <v>520</v>
      </c>
      <c r="C185" s="2" t="s">
        <v>1015</v>
      </c>
      <c r="D185">
        <f>VLOOKUP(B185,'Model allocations'!$A$1:$L$316,6,FALSE)</f>
        <v>47765.285914716784</v>
      </c>
      <c r="E185" s="31">
        <f>VLOOKUP(B185,'Initial adjusted formula count'!$A$1:$P$316,12,FALSE)</f>
        <v>0.123674911660777</v>
      </c>
      <c r="F185">
        <f>VLOOKUP(B185,'Model allocations'!$A$1:$L$316,11,FALSE)</f>
        <v>40629.559799700757</v>
      </c>
      <c r="G185" s="30">
        <f t="shared" si="55"/>
        <v>0.85</v>
      </c>
      <c r="H185">
        <f t="shared" si="56"/>
        <v>40600.493027509263</v>
      </c>
      <c r="I185">
        <f t="shared" si="38"/>
        <v>0</v>
      </c>
      <c r="J185">
        <f t="shared" si="39"/>
        <v>40629.559799700757</v>
      </c>
      <c r="K185">
        <f t="shared" si="40"/>
        <v>40596.310398214307</v>
      </c>
      <c r="L185">
        <f t="shared" si="41"/>
        <v>40596.310398214307</v>
      </c>
      <c r="M185">
        <f t="shared" si="42"/>
        <v>40600.493027509263</v>
      </c>
      <c r="N185" s="29">
        <f t="shared" si="43"/>
        <v>0</v>
      </c>
      <c r="O185" s="29">
        <f t="shared" si="44"/>
        <v>0</v>
      </c>
      <c r="P185" s="29">
        <f t="shared" si="45"/>
        <v>40600.493027509263</v>
      </c>
      <c r="Q185">
        <f t="shared" si="46"/>
        <v>0</v>
      </c>
      <c r="R185" s="29">
        <f t="shared" si="47"/>
        <v>0</v>
      </c>
      <c r="S185" s="29">
        <f t="shared" si="48"/>
        <v>0</v>
      </c>
      <c r="T185" s="29">
        <f t="shared" si="49"/>
        <v>40600.493027509263</v>
      </c>
      <c r="U185">
        <f t="shared" si="50"/>
        <v>0</v>
      </c>
      <c r="V185" s="29">
        <f t="shared" si="51"/>
        <v>0</v>
      </c>
      <c r="W185" s="29">
        <f t="shared" si="52"/>
        <v>0</v>
      </c>
      <c r="X185" s="29">
        <f t="shared" si="53"/>
        <v>40600.493027509263</v>
      </c>
      <c r="Y185">
        <f t="shared" si="54"/>
        <v>0</v>
      </c>
    </row>
    <row r="186" spans="1:25" x14ac:dyDescent="0.25">
      <c r="A186" s="4" t="s">
        <v>1016</v>
      </c>
      <c r="B186" s="7" t="s">
        <v>289</v>
      </c>
      <c r="C186" s="2" t="s">
        <v>1017</v>
      </c>
      <c r="D186">
        <f>VLOOKUP(B186,'Model allocations'!$A$1:$L$316,6,FALSE)</f>
        <v>10578.5284889536</v>
      </c>
      <c r="E186" s="31">
        <f>VLOOKUP(B186,'Initial adjusted formula count'!$A$1:$P$316,12,FALSE)</f>
        <v>5.0847457627118599E-2</v>
      </c>
      <c r="F186">
        <f>VLOOKUP(B186,'Model allocations'!$A$1:$L$316,11,FALSE)</f>
        <v>0</v>
      </c>
      <c r="G186" s="30">
        <f t="shared" si="55"/>
        <v>0.85</v>
      </c>
      <c r="H186">
        <f t="shared" si="56"/>
        <v>0</v>
      </c>
      <c r="I186">
        <f t="shared" si="38"/>
        <v>0</v>
      </c>
      <c r="J186">
        <f t="shared" si="39"/>
        <v>0</v>
      </c>
      <c r="K186">
        <f t="shared" si="40"/>
        <v>0</v>
      </c>
      <c r="L186">
        <f t="shared" si="41"/>
        <v>0</v>
      </c>
      <c r="M186">
        <f t="shared" si="42"/>
        <v>0</v>
      </c>
      <c r="N186" s="29">
        <f t="shared" si="43"/>
        <v>0</v>
      </c>
      <c r="O186" s="29">
        <f t="shared" si="44"/>
        <v>0</v>
      </c>
      <c r="P186" s="29">
        <f t="shared" si="45"/>
        <v>0</v>
      </c>
      <c r="Q186">
        <f t="shared" si="46"/>
        <v>0</v>
      </c>
      <c r="R186" s="29">
        <f t="shared" si="47"/>
        <v>0</v>
      </c>
      <c r="S186" s="29">
        <f t="shared" si="48"/>
        <v>0</v>
      </c>
      <c r="T186" s="29">
        <f t="shared" si="49"/>
        <v>0</v>
      </c>
      <c r="U186">
        <f t="shared" si="50"/>
        <v>0</v>
      </c>
      <c r="V186" s="29">
        <f t="shared" si="51"/>
        <v>0</v>
      </c>
      <c r="W186" s="29">
        <f t="shared" si="52"/>
        <v>0</v>
      </c>
      <c r="X186" s="29">
        <f t="shared" si="53"/>
        <v>0</v>
      </c>
      <c r="Y186">
        <f t="shared" si="54"/>
        <v>0</v>
      </c>
    </row>
    <row r="187" spans="1:25" x14ac:dyDescent="0.25">
      <c r="A187" s="4" t="s">
        <v>1018</v>
      </c>
      <c r="B187" s="7" t="s">
        <v>522</v>
      </c>
      <c r="C187" s="2" t="s">
        <v>1019</v>
      </c>
      <c r="D187">
        <f>VLOOKUP(B187,'Model allocations'!$A$1:$L$316,6,FALSE)</f>
        <v>45545.479546983734</v>
      </c>
      <c r="E187" s="31">
        <f>VLOOKUP(B187,'Initial adjusted formula count'!$A$1:$P$316,12,FALSE)</f>
        <v>0.170542635658915</v>
      </c>
      <c r="F187">
        <f>VLOOKUP(B187,'Model allocations'!$A$1:$L$316,11,FALSE)</f>
        <v>41020.277887900615</v>
      </c>
      <c r="G187" s="30">
        <f t="shared" si="55"/>
        <v>0.9</v>
      </c>
      <c r="H187">
        <f t="shared" si="56"/>
        <v>40990.931592285364</v>
      </c>
      <c r="I187">
        <f t="shared" si="38"/>
        <v>0</v>
      </c>
      <c r="J187">
        <f t="shared" si="39"/>
        <v>41020.277887900615</v>
      </c>
      <c r="K187">
        <f t="shared" si="40"/>
        <v>40986.708740331589</v>
      </c>
      <c r="L187">
        <f t="shared" si="41"/>
        <v>40986.708740331589</v>
      </c>
      <c r="M187">
        <f t="shared" si="42"/>
        <v>40990.931592285364</v>
      </c>
      <c r="N187" s="29">
        <f t="shared" si="43"/>
        <v>0</v>
      </c>
      <c r="O187" s="29">
        <f t="shared" si="44"/>
        <v>0</v>
      </c>
      <c r="P187" s="29">
        <f t="shared" si="45"/>
        <v>40990.931592285364</v>
      </c>
      <c r="Q187">
        <f t="shared" si="46"/>
        <v>0</v>
      </c>
      <c r="R187" s="29">
        <f t="shared" si="47"/>
        <v>0</v>
      </c>
      <c r="S187" s="29">
        <f t="shared" si="48"/>
        <v>0</v>
      </c>
      <c r="T187" s="29">
        <f t="shared" si="49"/>
        <v>40990.931592285364</v>
      </c>
      <c r="U187">
        <f t="shared" si="50"/>
        <v>0</v>
      </c>
      <c r="V187" s="29">
        <f t="shared" si="51"/>
        <v>0</v>
      </c>
      <c r="W187" s="29">
        <f t="shared" si="52"/>
        <v>0</v>
      </c>
      <c r="X187" s="29">
        <f t="shared" si="53"/>
        <v>40990.931592285364</v>
      </c>
      <c r="Y187">
        <f t="shared" si="54"/>
        <v>0</v>
      </c>
    </row>
    <row r="188" spans="1:25" x14ac:dyDescent="0.25">
      <c r="A188" s="4" t="s">
        <v>1020</v>
      </c>
      <c r="B188" s="7" t="s">
        <v>524</v>
      </c>
      <c r="C188" s="2" t="s">
        <v>1021</v>
      </c>
      <c r="D188">
        <f>VLOOKUP(B188,'Model allocations'!$A$1:$L$316,6,FALSE)</f>
        <v>29633.683288975371</v>
      </c>
      <c r="E188" s="31">
        <f>VLOOKUP(B188,'Initial adjusted formula count'!$A$1:$P$316,12,FALSE)</f>
        <v>6.15384615384615E-2</v>
      </c>
      <c r="F188">
        <f>VLOOKUP(B188,'Model allocations'!$A$1:$L$316,11,FALSE)</f>
        <v>25188.630795629066</v>
      </c>
      <c r="G188" s="30">
        <f t="shared" si="55"/>
        <v>0.85</v>
      </c>
      <c r="H188">
        <f t="shared" si="56"/>
        <v>25188.630795629066</v>
      </c>
      <c r="I188">
        <f t="shared" si="38"/>
        <v>0</v>
      </c>
      <c r="J188">
        <f t="shared" si="39"/>
        <v>25188.630795629066</v>
      </c>
      <c r="K188">
        <f t="shared" si="40"/>
        <v>25168.017554866758</v>
      </c>
      <c r="L188">
        <f t="shared" si="41"/>
        <v>25168.017554866758</v>
      </c>
      <c r="M188">
        <f t="shared" si="42"/>
        <v>25188.630795629066</v>
      </c>
      <c r="N188" s="29">
        <f t="shared" si="43"/>
        <v>0</v>
      </c>
      <c r="O188" s="29">
        <f t="shared" si="44"/>
        <v>0</v>
      </c>
      <c r="P188" s="29">
        <f t="shared" si="45"/>
        <v>25188.630795629066</v>
      </c>
      <c r="Q188">
        <f t="shared" si="46"/>
        <v>0</v>
      </c>
      <c r="R188" s="29">
        <f t="shared" si="47"/>
        <v>0</v>
      </c>
      <c r="S188" s="29">
        <f t="shared" si="48"/>
        <v>0</v>
      </c>
      <c r="T188" s="29">
        <f t="shared" si="49"/>
        <v>25188.630795629066</v>
      </c>
      <c r="U188">
        <f t="shared" si="50"/>
        <v>0</v>
      </c>
      <c r="V188" s="29">
        <f t="shared" si="51"/>
        <v>0</v>
      </c>
      <c r="W188" s="29">
        <f t="shared" si="52"/>
        <v>0</v>
      </c>
      <c r="X188" s="29">
        <f t="shared" si="53"/>
        <v>25188.630795629066</v>
      </c>
      <c r="Y188">
        <f t="shared" si="54"/>
        <v>0</v>
      </c>
    </row>
    <row r="189" spans="1:25" x14ac:dyDescent="0.25">
      <c r="A189" s="4" t="s">
        <v>1022</v>
      </c>
      <c r="B189" s="7" t="s">
        <v>526</v>
      </c>
      <c r="C189" s="2" t="s">
        <v>1023</v>
      </c>
      <c r="D189">
        <f>VLOOKUP(B189,'Model allocations'!$A$1:$L$316,6,FALSE)</f>
        <v>237955.51162986047</v>
      </c>
      <c r="E189" s="31">
        <f>VLOOKUP(B189,'Initial adjusted formula count'!$A$1:$P$316,12,FALSE)</f>
        <v>0.19738751814223501</v>
      </c>
      <c r="F189">
        <f>VLOOKUP(B189,'Model allocations'!$A$1:$L$316,11,FALSE)</f>
        <v>214159.96046687441</v>
      </c>
      <c r="G189" s="30">
        <f t="shared" si="55"/>
        <v>0.9</v>
      </c>
      <c r="H189">
        <f t="shared" si="56"/>
        <v>214159.96046687441</v>
      </c>
      <c r="I189">
        <f t="shared" si="38"/>
        <v>0</v>
      </c>
      <c r="J189">
        <f t="shared" si="39"/>
        <v>214159.96046687441</v>
      </c>
      <c r="K189">
        <f t="shared" si="40"/>
        <v>213984.70160256504</v>
      </c>
      <c r="L189">
        <f t="shared" si="41"/>
        <v>213984.70160256504</v>
      </c>
      <c r="M189">
        <f t="shared" si="42"/>
        <v>214159.96046687441</v>
      </c>
      <c r="N189" s="29">
        <f t="shared" si="43"/>
        <v>0</v>
      </c>
      <c r="O189" s="29">
        <f t="shared" si="44"/>
        <v>0</v>
      </c>
      <c r="P189" s="29">
        <f t="shared" si="45"/>
        <v>214159.96046687441</v>
      </c>
      <c r="Q189">
        <f t="shared" si="46"/>
        <v>0</v>
      </c>
      <c r="R189" s="29">
        <f t="shared" si="47"/>
        <v>0</v>
      </c>
      <c r="S189" s="29">
        <f t="shared" si="48"/>
        <v>0</v>
      </c>
      <c r="T189" s="29">
        <f t="shared" si="49"/>
        <v>214159.96046687441</v>
      </c>
      <c r="U189">
        <f t="shared" si="50"/>
        <v>0</v>
      </c>
      <c r="V189" s="29">
        <f t="shared" si="51"/>
        <v>0</v>
      </c>
      <c r="W189" s="29">
        <f t="shared" si="52"/>
        <v>0</v>
      </c>
      <c r="X189" s="29">
        <f t="shared" si="53"/>
        <v>214159.96046687441</v>
      </c>
      <c r="Y189">
        <f t="shared" si="54"/>
        <v>0</v>
      </c>
    </row>
    <row r="190" spans="1:25" x14ac:dyDescent="0.25">
      <c r="A190" s="4" t="s">
        <v>1024</v>
      </c>
      <c r="B190" s="7" t="s">
        <v>291</v>
      </c>
      <c r="C190" s="2" t="s">
        <v>1025</v>
      </c>
      <c r="D190">
        <f>VLOOKUP(B190,'Model allocations'!$A$1:$L$316,6,FALSE)</f>
        <v>96099.206185561125</v>
      </c>
      <c r="E190" s="31">
        <f>VLOOKUP(B190,'Initial adjusted formula count'!$A$1:$P$316,12,FALSE)</f>
        <v>6.4693317058285002E-2</v>
      </c>
      <c r="F190">
        <f>VLOOKUP(B190,'Model allocations'!$A$1:$L$316,11,FALSE)</f>
        <v>119757.40502739153</v>
      </c>
      <c r="G190" s="30">
        <f t="shared" si="55"/>
        <v>0.85</v>
      </c>
      <c r="H190">
        <f t="shared" si="56"/>
        <v>81684.32525772696</v>
      </c>
      <c r="I190">
        <f t="shared" si="38"/>
        <v>0</v>
      </c>
      <c r="J190">
        <f t="shared" si="39"/>
        <v>119757.40502739153</v>
      </c>
      <c r="K190">
        <f t="shared" si="40"/>
        <v>119659.40096186975</v>
      </c>
      <c r="L190">
        <f t="shared" si="41"/>
        <v>119659.40096186975</v>
      </c>
      <c r="M190">
        <f t="shared" si="42"/>
        <v>0</v>
      </c>
      <c r="N190" s="29">
        <f t="shared" si="43"/>
        <v>119659.40096186975</v>
      </c>
      <c r="O190" s="29">
        <f t="shared" si="44"/>
        <v>119651.15556833743</v>
      </c>
      <c r="P190" s="29">
        <f t="shared" si="45"/>
        <v>119651.15556833743</v>
      </c>
      <c r="Q190">
        <f t="shared" si="46"/>
        <v>0</v>
      </c>
      <c r="R190" s="29">
        <f t="shared" si="47"/>
        <v>119651.15556833743</v>
      </c>
      <c r="S190" s="29">
        <f t="shared" si="48"/>
        <v>119651.01195659733</v>
      </c>
      <c r="T190" s="29">
        <f t="shared" si="49"/>
        <v>119651.01195659733</v>
      </c>
      <c r="U190">
        <f t="shared" si="50"/>
        <v>0</v>
      </c>
      <c r="V190" s="29">
        <f t="shared" si="51"/>
        <v>119651.01195659733</v>
      </c>
      <c r="W190" s="29">
        <f t="shared" si="52"/>
        <v>119651.01195659733</v>
      </c>
      <c r="X190" s="29">
        <f t="shared" si="53"/>
        <v>119651.01195659733</v>
      </c>
      <c r="Y190">
        <f t="shared" si="54"/>
        <v>0</v>
      </c>
    </row>
    <row r="191" spans="1:25" x14ac:dyDescent="0.25">
      <c r="A191" s="4" t="s">
        <v>1026</v>
      </c>
      <c r="B191" s="7" t="s">
        <v>528</v>
      </c>
      <c r="C191" s="2" t="s">
        <v>1027</v>
      </c>
      <c r="D191">
        <f>VLOOKUP(B191,'Model allocations'!$A$1:$L$316,6,FALSE)</f>
        <v>597190.26367733802</v>
      </c>
      <c r="E191" s="31">
        <f>VLOOKUP(B191,'Initial adjusted formula count'!$A$1:$P$316,12,FALSE)</f>
        <v>0.20232609172701299</v>
      </c>
      <c r="F191">
        <f>VLOOKUP(B191,'Model allocations'!$A$1:$L$316,11,FALSE)</f>
        <v>610658.00615496875</v>
      </c>
      <c r="G191" s="30">
        <f t="shared" si="55"/>
        <v>0.9</v>
      </c>
      <c r="H191">
        <f t="shared" si="56"/>
        <v>537471.23730960418</v>
      </c>
      <c r="I191">
        <f t="shared" si="38"/>
        <v>0</v>
      </c>
      <c r="J191">
        <f t="shared" si="39"/>
        <v>610658.00615496875</v>
      </c>
      <c r="K191">
        <f t="shared" si="40"/>
        <v>610158.27115125081</v>
      </c>
      <c r="L191">
        <f t="shared" si="41"/>
        <v>610158.27115125081</v>
      </c>
      <c r="M191">
        <f t="shared" si="42"/>
        <v>0</v>
      </c>
      <c r="N191" s="29">
        <f t="shared" si="43"/>
        <v>610158.27115125081</v>
      </c>
      <c r="O191" s="29">
        <f t="shared" si="44"/>
        <v>610116.22685701074</v>
      </c>
      <c r="P191" s="29">
        <f t="shared" si="45"/>
        <v>610116.22685701074</v>
      </c>
      <c r="Q191">
        <f t="shared" si="46"/>
        <v>0</v>
      </c>
      <c r="R191" s="29">
        <f t="shared" si="47"/>
        <v>610116.22685701074</v>
      </c>
      <c r="S191" s="29">
        <f t="shared" si="48"/>
        <v>610115.49456276267</v>
      </c>
      <c r="T191" s="29">
        <f t="shared" si="49"/>
        <v>610115.49456276267</v>
      </c>
      <c r="U191">
        <f t="shared" si="50"/>
        <v>0</v>
      </c>
      <c r="V191" s="29">
        <f t="shared" si="51"/>
        <v>610115.49456276267</v>
      </c>
      <c r="W191" s="29">
        <f t="shared" si="52"/>
        <v>610115.49456276267</v>
      </c>
      <c r="X191" s="29">
        <f t="shared" si="53"/>
        <v>610115.49456276267</v>
      </c>
      <c r="Y191">
        <f t="shared" si="54"/>
        <v>0</v>
      </c>
    </row>
    <row r="192" spans="1:25" x14ac:dyDescent="0.25">
      <c r="A192" s="4" t="s">
        <v>1028</v>
      </c>
      <c r="B192" s="7" t="s">
        <v>530</v>
      </c>
      <c r="C192" s="2" t="s">
        <v>1029</v>
      </c>
      <c r="D192">
        <f>VLOOKUP(B192,'Model allocations'!$A$1:$L$316,6,FALSE)</f>
        <v>0</v>
      </c>
      <c r="E192" s="31">
        <f>VLOOKUP(B192,'Initial adjusted formula count'!$A$1:$P$316,12,FALSE)</f>
        <v>8.6956521739130405E-2</v>
      </c>
      <c r="F192">
        <f>VLOOKUP(B192,'Model allocations'!$A$1:$L$316,11,FALSE)</f>
        <v>0</v>
      </c>
      <c r="G192" s="30">
        <f t="shared" si="55"/>
        <v>0.85</v>
      </c>
      <c r="H192">
        <f t="shared" si="56"/>
        <v>0</v>
      </c>
      <c r="I192">
        <f t="shared" si="38"/>
        <v>0</v>
      </c>
      <c r="J192">
        <f t="shared" si="39"/>
        <v>0</v>
      </c>
      <c r="K192">
        <f t="shared" si="40"/>
        <v>0</v>
      </c>
      <c r="L192">
        <f t="shared" si="41"/>
        <v>0</v>
      </c>
      <c r="M192">
        <f t="shared" si="42"/>
        <v>0</v>
      </c>
      <c r="N192" s="29">
        <f t="shared" si="43"/>
        <v>0</v>
      </c>
      <c r="O192" s="29">
        <f t="shared" si="44"/>
        <v>0</v>
      </c>
      <c r="P192" s="29">
        <f t="shared" si="45"/>
        <v>0</v>
      </c>
      <c r="Q192">
        <f t="shared" si="46"/>
        <v>0</v>
      </c>
      <c r="R192" s="29">
        <f t="shared" si="47"/>
        <v>0</v>
      </c>
      <c r="S192" s="29">
        <f t="shared" si="48"/>
        <v>0</v>
      </c>
      <c r="T192" s="29">
        <f t="shared" si="49"/>
        <v>0</v>
      </c>
      <c r="U192">
        <f t="shared" si="50"/>
        <v>0</v>
      </c>
      <c r="V192" s="29">
        <f t="shared" si="51"/>
        <v>0</v>
      </c>
      <c r="W192" s="29">
        <f t="shared" si="52"/>
        <v>0</v>
      </c>
      <c r="X192" s="29">
        <f t="shared" si="53"/>
        <v>0</v>
      </c>
      <c r="Y192">
        <f t="shared" si="54"/>
        <v>0</v>
      </c>
    </row>
    <row r="193" spans="1:25" x14ac:dyDescent="0.25">
      <c r="A193" s="4" t="s">
        <v>1030</v>
      </c>
      <c r="B193" s="7" t="s">
        <v>532</v>
      </c>
      <c r="C193" s="2" t="s">
        <v>1031</v>
      </c>
      <c r="D193">
        <f>VLOOKUP(B193,'Model allocations'!$A$1:$L$316,6,FALSE)</f>
        <v>0</v>
      </c>
      <c r="E193" s="31">
        <f>VLOOKUP(B193,'Initial adjusted formula count'!$A$1:$P$316,12,FALSE)</f>
        <v>5.6680161943319797E-2</v>
      </c>
      <c r="F193">
        <f>VLOOKUP(B193,'Model allocations'!$A$1:$L$316,11,FALSE)</f>
        <v>7908.5078791673659</v>
      </c>
      <c r="G193" s="30">
        <f t="shared" si="55"/>
        <v>0.85</v>
      </c>
      <c r="H193">
        <f t="shared" si="56"/>
        <v>0</v>
      </c>
      <c r="I193">
        <f t="shared" si="38"/>
        <v>0</v>
      </c>
      <c r="J193">
        <f t="shared" si="39"/>
        <v>7908.5078791673659</v>
      </c>
      <c r="K193">
        <f t="shared" si="40"/>
        <v>7902.0359125763043</v>
      </c>
      <c r="L193">
        <f t="shared" si="41"/>
        <v>7902.0359125763043</v>
      </c>
      <c r="M193">
        <f t="shared" si="42"/>
        <v>0</v>
      </c>
      <c r="N193" s="29">
        <f t="shared" si="43"/>
        <v>7902.0359125763043</v>
      </c>
      <c r="O193" s="29">
        <f t="shared" si="44"/>
        <v>7901.491405456246</v>
      </c>
      <c r="P193" s="29">
        <f t="shared" si="45"/>
        <v>7901.491405456246</v>
      </c>
      <c r="Q193">
        <f t="shared" si="46"/>
        <v>0</v>
      </c>
      <c r="R193" s="29">
        <f t="shared" si="47"/>
        <v>7901.491405456246</v>
      </c>
      <c r="S193" s="29">
        <f t="shared" si="48"/>
        <v>7901.481921662089</v>
      </c>
      <c r="T193" s="29">
        <f t="shared" si="49"/>
        <v>7901.481921662089</v>
      </c>
      <c r="U193">
        <f t="shared" si="50"/>
        <v>0</v>
      </c>
      <c r="V193" s="29">
        <f t="shared" si="51"/>
        <v>7901.481921662089</v>
      </c>
      <c r="W193" s="29">
        <f t="shared" si="52"/>
        <v>7901.481921662089</v>
      </c>
      <c r="X193" s="29">
        <f t="shared" si="53"/>
        <v>7901.481921662089</v>
      </c>
      <c r="Y193">
        <f t="shared" si="54"/>
        <v>0</v>
      </c>
    </row>
    <row r="194" spans="1:25" x14ac:dyDescent="0.25">
      <c r="A194" s="4" t="s">
        <v>1032</v>
      </c>
      <c r="B194" s="7" t="s">
        <v>534</v>
      </c>
      <c r="C194" s="2" t="s">
        <v>1033</v>
      </c>
      <c r="D194">
        <f>VLOOKUP(B194,'Model allocations'!$A$1:$L$316,6,FALSE)</f>
        <v>2790573.1026961021</v>
      </c>
      <c r="E194" s="31">
        <f>VLOOKUP(B194,'Initial adjusted formula count'!$A$1:$P$316,12,FALSE)</f>
        <v>0.177343788528875</v>
      </c>
      <c r="F194">
        <f>VLOOKUP(B194,'Model allocations'!$A$1:$L$316,11,FALSE)</f>
        <v>3228648.3416700773</v>
      </c>
      <c r="G194" s="30">
        <f t="shared" si="55"/>
        <v>0.9</v>
      </c>
      <c r="H194">
        <f t="shared" si="56"/>
        <v>2511515.7924264921</v>
      </c>
      <c r="I194">
        <f t="shared" si="38"/>
        <v>0</v>
      </c>
      <c r="J194">
        <f t="shared" si="39"/>
        <v>3228648.3416700773</v>
      </c>
      <c r="K194">
        <f t="shared" si="40"/>
        <v>3226006.1613092767</v>
      </c>
      <c r="L194">
        <f t="shared" si="41"/>
        <v>3226006.1613092767</v>
      </c>
      <c r="M194">
        <f t="shared" si="42"/>
        <v>0</v>
      </c>
      <c r="N194" s="29">
        <f t="shared" si="43"/>
        <v>3226006.1613092767</v>
      </c>
      <c r="O194" s="29">
        <f t="shared" si="44"/>
        <v>3225783.8662775126</v>
      </c>
      <c r="P194" s="29">
        <f t="shared" si="45"/>
        <v>3225783.8662775126</v>
      </c>
      <c r="Q194">
        <f t="shared" si="46"/>
        <v>0</v>
      </c>
      <c r="R194" s="29">
        <f t="shared" si="47"/>
        <v>3225783.8662775126</v>
      </c>
      <c r="S194" s="29">
        <f t="shared" si="48"/>
        <v>3225779.9945185478</v>
      </c>
      <c r="T194" s="29">
        <f t="shared" si="49"/>
        <v>3225779.9945185478</v>
      </c>
      <c r="U194">
        <f t="shared" si="50"/>
        <v>0</v>
      </c>
      <c r="V194" s="29">
        <f t="shared" si="51"/>
        <v>3225779.9945185478</v>
      </c>
      <c r="W194" s="29">
        <f t="shared" si="52"/>
        <v>3225779.9945185478</v>
      </c>
      <c r="X194" s="29">
        <f t="shared" si="53"/>
        <v>3225779.9945185478</v>
      </c>
      <c r="Y194">
        <f t="shared" si="54"/>
        <v>0</v>
      </c>
    </row>
    <row r="195" spans="1:25" x14ac:dyDescent="0.25">
      <c r="A195" s="4" t="s">
        <v>1034</v>
      </c>
      <c r="B195" s="7" t="s">
        <v>536</v>
      </c>
      <c r="C195" s="2" t="s">
        <v>1035</v>
      </c>
      <c r="D195">
        <f>VLOOKUP(B195,'Model allocations'!$A$1:$L$316,6,FALSE)</f>
        <v>32188.800241356883</v>
      </c>
      <c r="E195" s="31">
        <f>VLOOKUP(B195,'Initial adjusted formula count'!$A$1:$P$316,12,FALSE)</f>
        <v>0.20979020979021001</v>
      </c>
      <c r="F195">
        <f>VLOOKUP(B195,'Model allocations'!$A$1:$L$316,11,FALSE)</f>
        <v>40435.57940342083</v>
      </c>
      <c r="G195" s="30">
        <f t="shared" si="55"/>
        <v>0.9</v>
      </c>
      <c r="H195">
        <f t="shared" si="56"/>
        <v>28969.920217221195</v>
      </c>
      <c r="I195">
        <f t="shared" si="38"/>
        <v>0</v>
      </c>
      <c r="J195">
        <f t="shared" si="39"/>
        <v>40435.57940342083</v>
      </c>
      <c r="K195">
        <f t="shared" si="40"/>
        <v>40402.488746752388</v>
      </c>
      <c r="L195">
        <f t="shared" si="41"/>
        <v>40402.488746752388</v>
      </c>
      <c r="M195">
        <f t="shared" si="42"/>
        <v>0</v>
      </c>
      <c r="N195" s="29">
        <f t="shared" si="43"/>
        <v>40402.488746752388</v>
      </c>
      <c r="O195" s="29">
        <f t="shared" si="44"/>
        <v>40399.704724630232</v>
      </c>
      <c r="P195" s="29">
        <f t="shared" si="45"/>
        <v>40399.704724630232</v>
      </c>
      <c r="Q195">
        <f t="shared" si="46"/>
        <v>0</v>
      </c>
      <c r="R195" s="29">
        <f t="shared" si="47"/>
        <v>40399.704724630232</v>
      </c>
      <c r="S195" s="29">
        <f t="shared" si="48"/>
        <v>40399.656234735856</v>
      </c>
      <c r="T195" s="29">
        <f t="shared" si="49"/>
        <v>40399.656234735856</v>
      </c>
      <c r="U195">
        <f t="shared" si="50"/>
        <v>0</v>
      </c>
      <c r="V195" s="29">
        <f t="shared" si="51"/>
        <v>40399.656234735856</v>
      </c>
      <c r="W195" s="29">
        <f t="shared" si="52"/>
        <v>40399.656234735856</v>
      </c>
      <c r="X195" s="29">
        <f t="shared" si="53"/>
        <v>40399.656234735856</v>
      </c>
      <c r="Y195">
        <f t="shared" si="54"/>
        <v>0</v>
      </c>
    </row>
    <row r="196" spans="1:25" x14ac:dyDescent="0.25">
      <c r="A196" s="4" t="s">
        <v>1036</v>
      </c>
      <c r="B196" s="7" t="s">
        <v>190</v>
      </c>
      <c r="C196" s="2" t="s">
        <v>1037</v>
      </c>
      <c r="D196">
        <f>VLOOKUP(B196,'Model allocations'!$A$1:$L$316,6,FALSE)</f>
        <v>0</v>
      </c>
      <c r="E196" s="31">
        <f>VLOOKUP(B196,'Initial adjusted formula count'!$A$1:$P$316,12,FALSE)</f>
        <v>4.49438202247191E-2</v>
      </c>
      <c r="F196">
        <f>VLOOKUP(B196,'Model allocations'!$A$1:$L$316,11,FALSE)</f>
        <v>0</v>
      </c>
      <c r="G196" s="30">
        <f t="shared" si="55"/>
        <v>0.85</v>
      </c>
      <c r="H196">
        <f t="shared" si="56"/>
        <v>0</v>
      </c>
      <c r="I196">
        <f t="shared" ref="I196:I258" si="57">IF(F196&lt;H196,H196,0)</f>
        <v>0</v>
      </c>
      <c r="J196">
        <f t="shared" ref="J196:J258" si="58">IF(I196=0,F196,0)</f>
        <v>0</v>
      </c>
      <c r="K196">
        <f t="shared" ref="K196:K258" si="59">(J196/$J$3)*($F$3-$I$3)</f>
        <v>0</v>
      </c>
      <c r="L196">
        <f t="shared" ref="L196:L258" si="60">I196+K196</f>
        <v>0</v>
      </c>
      <c r="M196">
        <f t="shared" ref="M196:M258" si="61">IF(L196&lt;H196,H196,0)</f>
        <v>0</v>
      </c>
      <c r="N196" s="29">
        <f t="shared" ref="N196:N258" si="62">IF($I196+$M196=0,L196,0)</f>
        <v>0</v>
      </c>
      <c r="O196" s="29">
        <f t="shared" ref="O196:O258" si="63">((N196/$N$3)*($F$3-$I$3-$M$3))</f>
        <v>0</v>
      </c>
      <c r="P196" s="29">
        <f t="shared" ref="P196:P258" si="64">$I196+$M196+O196</f>
        <v>0</v>
      </c>
      <c r="Q196">
        <f t="shared" ref="Q196:Q258" si="65">IF(P196&lt;H196,H196,0)</f>
        <v>0</v>
      </c>
      <c r="R196" s="29">
        <f t="shared" ref="R196:R258" si="66">IF($I196+$M196+$Q196=0,P196,0)</f>
        <v>0</v>
      </c>
      <c r="S196" s="29">
        <f t="shared" ref="S196:S258" si="67">((R196/$R$3)*($F$3-$I$3-$M$3-$Q$3))</f>
        <v>0</v>
      </c>
      <c r="T196" s="29">
        <f t="shared" ref="T196:T258" si="68">$I196+$M196+$Q196+S196</f>
        <v>0</v>
      </c>
      <c r="U196">
        <f t="shared" ref="U196:U258" si="69">IF(T196&lt;H196,H196,0)</f>
        <v>0</v>
      </c>
      <c r="V196" s="29">
        <f t="shared" ref="V196:V258" si="70">IF($I196+$M196+$Q196+U196=0,T196,0)</f>
        <v>0</v>
      </c>
      <c r="W196" s="29">
        <f t="shared" ref="W196:W258" si="71">((V196/$V$3)*($F$3-$I$3-$M$3-$Q$3-$U$3))</f>
        <v>0</v>
      </c>
      <c r="X196" s="29">
        <f t="shared" ref="X196:X258" si="72">$I196+$M196+$Q196+$U196+W196</f>
        <v>0</v>
      </c>
      <c r="Y196">
        <f t="shared" ref="Y196:Y258" si="73">IF(X196&lt;H196,H196,0)</f>
        <v>0</v>
      </c>
    </row>
    <row r="197" spans="1:25" x14ac:dyDescent="0.25">
      <c r="A197" s="4" t="s">
        <v>1038</v>
      </c>
      <c r="B197" s="7" t="s">
        <v>293</v>
      </c>
      <c r="C197" s="2" t="s">
        <v>1039</v>
      </c>
      <c r="D197">
        <f>VLOOKUP(B197,'Model allocations'!$A$1:$L$316,6,FALSE)</f>
        <v>14686.681681506079</v>
      </c>
      <c r="E197" s="31">
        <f>VLOOKUP(B197,'Initial adjusted formula count'!$A$1:$P$316,12,FALSE)</f>
        <v>9.8039215686274495E-2</v>
      </c>
      <c r="F197">
        <f>VLOOKUP(B197,'Model allocations'!$A$1:$L$316,11,FALSE)</f>
        <v>14122.335498513155</v>
      </c>
      <c r="G197" s="30">
        <f t="shared" ref="G197:G259" si="74">IF(E197&lt;0.15,0.85,IF(AND(E197&gt;=0.15,E197&lt;0.3),0.9,0.95))</f>
        <v>0.85</v>
      </c>
      <c r="H197">
        <f t="shared" ref="H197:H259" si="75">IF(F197 = 0, 0, D197*G197)</f>
        <v>12483.679429280168</v>
      </c>
      <c r="I197">
        <f t="shared" si="57"/>
        <v>0</v>
      </c>
      <c r="J197">
        <f t="shared" si="58"/>
        <v>14122.335498513155</v>
      </c>
      <c r="K197">
        <f t="shared" si="59"/>
        <v>14110.77841531483</v>
      </c>
      <c r="L197">
        <f t="shared" si="60"/>
        <v>14110.77841531483</v>
      </c>
      <c r="M197">
        <f t="shared" si="61"/>
        <v>0</v>
      </c>
      <c r="N197" s="29">
        <f t="shared" si="62"/>
        <v>14110.77841531483</v>
      </c>
      <c r="O197" s="29">
        <f t="shared" si="63"/>
        <v>14109.806081171868</v>
      </c>
      <c r="P197" s="29">
        <f t="shared" si="64"/>
        <v>14109.806081171868</v>
      </c>
      <c r="Q197">
        <f t="shared" si="65"/>
        <v>0</v>
      </c>
      <c r="R197" s="29">
        <f t="shared" si="66"/>
        <v>14109.806081171868</v>
      </c>
      <c r="S197" s="29">
        <f t="shared" si="67"/>
        <v>14109.789145825158</v>
      </c>
      <c r="T197" s="29">
        <f t="shared" si="68"/>
        <v>14109.789145825158</v>
      </c>
      <c r="U197">
        <f t="shared" si="69"/>
        <v>0</v>
      </c>
      <c r="V197" s="29">
        <f t="shared" si="70"/>
        <v>14109.789145825158</v>
      </c>
      <c r="W197" s="29">
        <f t="shared" si="71"/>
        <v>14109.789145825158</v>
      </c>
      <c r="X197" s="29">
        <f t="shared" si="72"/>
        <v>14109.789145825158</v>
      </c>
      <c r="Y197">
        <f t="shared" si="73"/>
        <v>0</v>
      </c>
    </row>
    <row r="198" spans="1:25" x14ac:dyDescent="0.25">
      <c r="A198" s="4" t="s">
        <v>1040</v>
      </c>
      <c r="B198" s="7" t="s">
        <v>192</v>
      </c>
      <c r="C198" s="2" t="s">
        <v>1041</v>
      </c>
      <c r="D198">
        <f>VLOOKUP(B198,'Model allocations'!$A$1:$L$316,6,FALSE)</f>
        <v>0</v>
      </c>
      <c r="E198" s="31">
        <f>VLOOKUP(B198,'Initial adjusted formula count'!$A$1:$P$316,12,FALSE)</f>
        <v>5.3457785320322401E-2</v>
      </c>
      <c r="F198">
        <f>VLOOKUP(B198,'Model allocations'!$A$1:$L$316,11,FALSE)</f>
        <v>355882.85456253152</v>
      </c>
      <c r="G198" s="30">
        <f t="shared" si="74"/>
        <v>0.85</v>
      </c>
      <c r="H198">
        <f t="shared" si="75"/>
        <v>0</v>
      </c>
      <c r="I198">
        <f t="shared" si="57"/>
        <v>0</v>
      </c>
      <c r="J198">
        <f t="shared" si="58"/>
        <v>355882.85456253152</v>
      </c>
      <c r="K198">
        <f t="shared" si="59"/>
        <v>355591.61606593372</v>
      </c>
      <c r="L198">
        <f t="shared" si="60"/>
        <v>355591.61606593372</v>
      </c>
      <c r="M198">
        <f t="shared" si="61"/>
        <v>0</v>
      </c>
      <c r="N198" s="29">
        <f t="shared" si="62"/>
        <v>355591.61606593372</v>
      </c>
      <c r="O198" s="29">
        <f t="shared" si="63"/>
        <v>355567.1132455311</v>
      </c>
      <c r="P198" s="29">
        <f t="shared" si="64"/>
        <v>355567.1132455311</v>
      </c>
      <c r="Q198">
        <f t="shared" si="65"/>
        <v>0</v>
      </c>
      <c r="R198" s="29">
        <f t="shared" si="66"/>
        <v>355567.1132455311</v>
      </c>
      <c r="S198" s="29">
        <f t="shared" si="67"/>
        <v>355566.68647479406</v>
      </c>
      <c r="T198" s="29">
        <f t="shared" si="68"/>
        <v>355566.68647479406</v>
      </c>
      <c r="U198">
        <f t="shared" si="69"/>
        <v>0</v>
      </c>
      <c r="V198" s="29">
        <f t="shared" si="70"/>
        <v>355566.68647479406</v>
      </c>
      <c r="W198" s="29">
        <f t="shared" si="71"/>
        <v>355566.68647479406</v>
      </c>
      <c r="X198" s="29">
        <f t="shared" si="72"/>
        <v>355566.68647479406</v>
      </c>
      <c r="Y198">
        <f t="shared" si="73"/>
        <v>0</v>
      </c>
    </row>
    <row r="199" spans="1:25" x14ac:dyDescent="0.25">
      <c r="A199" s="4" t="s">
        <v>52</v>
      </c>
      <c r="B199" s="7" t="s">
        <v>82</v>
      </c>
      <c r="C199" s="2" t="s">
        <v>1042</v>
      </c>
      <c r="D199">
        <f>VLOOKUP(B199,'Model allocations'!$A$1:$L$316,6,FALSE)</f>
        <v>15851.212971659306</v>
      </c>
      <c r="E199" s="31">
        <f>VLOOKUP(B199,'Initial adjusted formula count'!$A$1:$P$316,12,FALSE)</f>
        <v>0.116091427297897</v>
      </c>
      <c r="F199">
        <f>VLOOKUP(B199,'Model allocations'!$A$1:$L$316,11,FALSE)</f>
        <v>19942.731465382712</v>
      </c>
      <c r="G199" s="30">
        <f t="shared" si="74"/>
        <v>0.85</v>
      </c>
      <c r="H199">
        <f t="shared" si="75"/>
        <v>13473.53102591041</v>
      </c>
      <c r="I199">
        <f t="shared" si="57"/>
        <v>0</v>
      </c>
      <c r="J199">
        <f t="shared" si="58"/>
        <v>19942.731465382712</v>
      </c>
      <c r="K199">
        <f t="shared" si="59"/>
        <v>19926.41123231846</v>
      </c>
      <c r="L199">
        <f t="shared" si="60"/>
        <v>19926.41123231846</v>
      </c>
      <c r="M199">
        <f t="shared" si="61"/>
        <v>0</v>
      </c>
      <c r="N199" s="29">
        <f t="shared" si="62"/>
        <v>19926.41123231846</v>
      </c>
      <c r="O199" s="29">
        <f t="shared" si="63"/>
        <v>19925.038159237898</v>
      </c>
      <c r="P199" s="29">
        <f t="shared" si="64"/>
        <v>19925.038159237898</v>
      </c>
      <c r="Q199">
        <f t="shared" si="65"/>
        <v>0</v>
      </c>
      <c r="R199" s="29">
        <f t="shared" si="66"/>
        <v>19925.038159237898</v>
      </c>
      <c r="S199" s="29">
        <f t="shared" si="67"/>
        <v>19925.01424413747</v>
      </c>
      <c r="T199" s="29">
        <f t="shared" si="68"/>
        <v>19925.01424413747</v>
      </c>
      <c r="U199">
        <f t="shared" si="69"/>
        <v>0</v>
      </c>
      <c r="V199" s="29">
        <f t="shared" si="70"/>
        <v>19925.01424413747</v>
      </c>
      <c r="W199" s="29">
        <f t="shared" si="71"/>
        <v>19925.01424413747</v>
      </c>
      <c r="X199" s="29">
        <f t="shared" si="72"/>
        <v>19925.01424413747</v>
      </c>
      <c r="Y199">
        <f t="shared" si="73"/>
        <v>0</v>
      </c>
    </row>
    <row r="200" spans="1:25" x14ac:dyDescent="0.25">
      <c r="A200" s="4" t="s">
        <v>1043</v>
      </c>
      <c r="B200" s="7" t="s">
        <v>538</v>
      </c>
      <c r="C200" s="2" t="s">
        <v>1044</v>
      </c>
      <c r="D200">
        <f>VLOOKUP(B200,'Model allocations'!$A$1:$L$316,6,FALSE)</f>
        <v>101731.44377278694</v>
      </c>
      <c r="E200" s="31">
        <f>VLOOKUP(B200,'Initial adjusted formula count'!$A$1:$P$316,12,FALSE)</f>
        <v>0.152542372881356</v>
      </c>
      <c r="F200">
        <f>VLOOKUP(B200,'Model allocations'!$A$1:$L$316,11,FALSE)</f>
        <v>132185.06026608314</v>
      </c>
      <c r="G200" s="30">
        <f t="shared" si="74"/>
        <v>0.9</v>
      </c>
      <c r="H200">
        <f t="shared" si="75"/>
        <v>91558.299395508249</v>
      </c>
      <c r="I200">
        <f t="shared" si="57"/>
        <v>0</v>
      </c>
      <c r="J200">
        <f t="shared" si="58"/>
        <v>132185.06026608314</v>
      </c>
      <c r="K200">
        <f t="shared" si="59"/>
        <v>132076.88596734681</v>
      </c>
      <c r="L200">
        <f t="shared" si="60"/>
        <v>132076.88596734681</v>
      </c>
      <c r="M200">
        <f t="shared" si="61"/>
        <v>0</v>
      </c>
      <c r="N200" s="29">
        <f t="shared" si="62"/>
        <v>132076.88596734681</v>
      </c>
      <c r="O200" s="29">
        <f t="shared" si="63"/>
        <v>132067.78491976869</v>
      </c>
      <c r="P200" s="29">
        <f t="shared" si="64"/>
        <v>132067.78491976869</v>
      </c>
      <c r="Q200">
        <f t="shared" si="65"/>
        <v>0</v>
      </c>
      <c r="R200" s="29">
        <f t="shared" si="66"/>
        <v>132067.78491976869</v>
      </c>
      <c r="S200" s="29">
        <f t="shared" si="67"/>
        <v>132067.62640492347</v>
      </c>
      <c r="T200" s="29">
        <f t="shared" si="68"/>
        <v>132067.62640492347</v>
      </c>
      <c r="U200">
        <f t="shared" si="69"/>
        <v>0</v>
      </c>
      <c r="V200" s="29">
        <f t="shared" si="70"/>
        <v>132067.62640492347</v>
      </c>
      <c r="W200" s="29">
        <f t="shared" si="71"/>
        <v>132067.62640492347</v>
      </c>
      <c r="X200" s="29">
        <f t="shared" si="72"/>
        <v>132067.62640492347</v>
      </c>
      <c r="Y200">
        <f t="shared" si="73"/>
        <v>0</v>
      </c>
    </row>
    <row r="201" spans="1:25" x14ac:dyDescent="0.25">
      <c r="A201" s="4" t="s">
        <v>1045</v>
      </c>
      <c r="B201" s="7" t="s">
        <v>540</v>
      </c>
      <c r="C201" s="2" t="s">
        <v>1046</v>
      </c>
      <c r="D201">
        <f>VLOOKUP(B201,'Model allocations'!$A$1:$L$316,6,FALSE)</f>
        <v>35484.907297151942</v>
      </c>
      <c r="E201" s="31">
        <f>VLOOKUP(B201,'Initial adjusted formula count'!$A$1:$P$316,12,FALSE)</f>
        <v>0.162983425414365</v>
      </c>
      <c r="F201">
        <f>VLOOKUP(B201,'Model allocations'!$A$1:$L$316,11,FALSE)</f>
        <v>34430.423413401062</v>
      </c>
      <c r="G201" s="30">
        <f t="shared" si="74"/>
        <v>0.9</v>
      </c>
      <c r="H201">
        <f t="shared" si="75"/>
        <v>31936.416567436747</v>
      </c>
      <c r="I201">
        <f t="shared" si="57"/>
        <v>0</v>
      </c>
      <c r="J201">
        <f t="shared" si="58"/>
        <v>34430.423413401062</v>
      </c>
      <c r="K201">
        <f t="shared" si="59"/>
        <v>34402.247105878552</v>
      </c>
      <c r="L201">
        <f t="shared" si="60"/>
        <v>34402.247105878552</v>
      </c>
      <c r="M201">
        <f t="shared" si="61"/>
        <v>0</v>
      </c>
      <c r="N201" s="29">
        <f t="shared" si="62"/>
        <v>34402.247105878552</v>
      </c>
      <c r="O201" s="29">
        <f t="shared" si="63"/>
        <v>34399.876543570004</v>
      </c>
      <c r="P201" s="29">
        <f t="shared" si="64"/>
        <v>34399.876543570004</v>
      </c>
      <c r="Q201">
        <f t="shared" si="65"/>
        <v>0</v>
      </c>
      <c r="R201" s="29">
        <f t="shared" si="66"/>
        <v>34399.876543570004</v>
      </c>
      <c r="S201" s="29">
        <f t="shared" si="67"/>
        <v>34399.8352549915</v>
      </c>
      <c r="T201" s="29">
        <f t="shared" si="68"/>
        <v>34399.8352549915</v>
      </c>
      <c r="U201">
        <f t="shared" si="69"/>
        <v>0</v>
      </c>
      <c r="V201" s="29">
        <f t="shared" si="70"/>
        <v>34399.8352549915</v>
      </c>
      <c r="W201" s="29">
        <f t="shared" si="71"/>
        <v>34399.8352549915</v>
      </c>
      <c r="X201" s="29">
        <f t="shared" si="72"/>
        <v>34399.8352549915</v>
      </c>
      <c r="Y201">
        <f t="shared" si="73"/>
        <v>0</v>
      </c>
    </row>
    <row r="202" spans="1:25" x14ac:dyDescent="0.25">
      <c r="A202" s="4" t="s">
        <v>1047</v>
      </c>
      <c r="B202" s="7" t="s">
        <v>542</v>
      </c>
      <c r="C202" s="2" t="s">
        <v>1048</v>
      </c>
      <c r="D202">
        <f>VLOOKUP(B202,'Model allocations'!$A$1:$L$316,6,FALSE)</f>
        <v>345161.05416944157</v>
      </c>
      <c r="E202" s="31">
        <f>VLOOKUP(B202,'Initial adjusted formula count'!$A$1:$P$316,12,FALSE)</f>
        <v>0.126034523528021</v>
      </c>
      <c r="F202">
        <f>VLOOKUP(B202,'Model allocations'!$A$1:$L$316,11,FALSE)</f>
        <v>301088.19282830047</v>
      </c>
      <c r="G202" s="30">
        <f t="shared" si="74"/>
        <v>0.85</v>
      </c>
      <c r="H202">
        <f t="shared" si="75"/>
        <v>293386.89604402531</v>
      </c>
      <c r="I202">
        <f t="shared" si="57"/>
        <v>0</v>
      </c>
      <c r="J202">
        <f t="shared" si="58"/>
        <v>301088.19282830047</v>
      </c>
      <c r="K202">
        <f t="shared" si="59"/>
        <v>300841.79581451218</v>
      </c>
      <c r="L202">
        <f t="shared" si="60"/>
        <v>300841.79581451218</v>
      </c>
      <c r="M202">
        <f t="shared" si="61"/>
        <v>0</v>
      </c>
      <c r="N202" s="29">
        <f t="shared" si="62"/>
        <v>300841.79581451218</v>
      </c>
      <c r="O202" s="29">
        <f t="shared" si="63"/>
        <v>300821.06565058423</v>
      </c>
      <c r="P202" s="29">
        <f t="shared" si="64"/>
        <v>300821.06565058423</v>
      </c>
      <c r="Q202">
        <f t="shared" si="65"/>
        <v>0</v>
      </c>
      <c r="R202" s="29">
        <f t="shared" si="66"/>
        <v>300821.06565058423</v>
      </c>
      <c r="S202" s="29">
        <f t="shared" si="67"/>
        <v>300820.7045889924</v>
      </c>
      <c r="T202" s="29">
        <f t="shared" si="68"/>
        <v>300820.7045889924</v>
      </c>
      <c r="U202">
        <f t="shared" si="69"/>
        <v>0</v>
      </c>
      <c r="V202" s="29">
        <f t="shared" si="70"/>
        <v>300820.7045889924</v>
      </c>
      <c r="W202" s="29">
        <f t="shared" si="71"/>
        <v>300820.7045889924</v>
      </c>
      <c r="X202" s="29">
        <f t="shared" si="72"/>
        <v>300820.7045889924</v>
      </c>
      <c r="Y202">
        <f t="shared" si="73"/>
        <v>0</v>
      </c>
    </row>
    <row r="203" spans="1:25" x14ac:dyDescent="0.25">
      <c r="A203" s="4" t="s">
        <v>1049</v>
      </c>
      <c r="B203" s="7" t="s">
        <v>544</v>
      </c>
      <c r="C203" s="2" t="s">
        <v>1050</v>
      </c>
      <c r="D203">
        <f>VLOOKUP(B203,'Model allocations'!$A$1:$L$316,6,FALSE)</f>
        <v>138184.26135833055</v>
      </c>
      <c r="E203" s="31">
        <f>VLOOKUP(B203,'Initial adjusted formula count'!$A$1:$P$316,12,FALSE)</f>
        <v>0.15167682926829301</v>
      </c>
      <c r="F203">
        <f>VLOOKUP(B203,'Model allocations'!$A$1:$L$316,11,FALSE)</f>
        <v>124454.87141716557</v>
      </c>
      <c r="G203" s="30">
        <f t="shared" si="74"/>
        <v>0.9</v>
      </c>
      <c r="H203">
        <f t="shared" si="75"/>
        <v>124365.8352224975</v>
      </c>
      <c r="I203">
        <f t="shared" si="57"/>
        <v>0</v>
      </c>
      <c r="J203">
        <f t="shared" si="58"/>
        <v>124454.87141716557</v>
      </c>
      <c r="K203">
        <f t="shared" si="59"/>
        <v>124353.02315675876</v>
      </c>
      <c r="L203">
        <f t="shared" si="60"/>
        <v>124353.02315675876</v>
      </c>
      <c r="M203">
        <f t="shared" si="61"/>
        <v>124365.8352224975</v>
      </c>
      <c r="N203" s="29">
        <f t="shared" si="62"/>
        <v>0</v>
      </c>
      <c r="O203" s="29">
        <f t="shared" si="63"/>
        <v>0</v>
      </c>
      <c r="P203" s="29">
        <f t="shared" si="64"/>
        <v>124365.8352224975</v>
      </c>
      <c r="Q203">
        <f t="shared" si="65"/>
        <v>0</v>
      </c>
      <c r="R203" s="29">
        <f t="shared" si="66"/>
        <v>0</v>
      </c>
      <c r="S203" s="29">
        <f t="shared" si="67"/>
        <v>0</v>
      </c>
      <c r="T203" s="29">
        <f t="shared" si="68"/>
        <v>124365.8352224975</v>
      </c>
      <c r="U203">
        <f t="shared" si="69"/>
        <v>0</v>
      </c>
      <c r="V203" s="29">
        <f t="shared" si="70"/>
        <v>0</v>
      </c>
      <c r="W203" s="29">
        <f t="shared" si="71"/>
        <v>0</v>
      </c>
      <c r="X203" s="29">
        <f t="shared" si="72"/>
        <v>124365.8352224975</v>
      </c>
      <c r="Y203">
        <f t="shared" si="73"/>
        <v>0</v>
      </c>
    </row>
    <row r="204" spans="1:25" x14ac:dyDescent="0.25">
      <c r="A204" s="4" t="s">
        <v>1051</v>
      </c>
      <c r="B204" s="7" t="s">
        <v>546</v>
      </c>
      <c r="C204" s="2" t="s">
        <v>1052</v>
      </c>
      <c r="D204">
        <f>VLOOKUP(B204,'Model allocations'!$A$1:$L$316,6,FALSE)</f>
        <v>45672.654620731671</v>
      </c>
      <c r="E204" s="31">
        <f>VLOOKUP(B204,'Initial adjusted formula count'!$A$1:$P$316,12,FALSE)</f>
        <v>0.168604651162791</v>
      </c>
      <c r="F204">
        <f>VLOOKUP(B204,'Model allocations'!$A$1:$L$316,11,FALSE)</f>
        <v>41134.817396924191</v>
      </c>
      <c r="G204" s="30">
        <f t="shared" si="74"/>
        <v>0.9</v>
      </c>
      <c r="H204">
        <f t="shared" si="75"/>
        <v>41105.389158658509</v>
      </c>
      <c r="I204">
        <f t="shared" si="57"/>
        <v>0</v>
      </c>
      <c r="J204">
        <f t="shared" si="58"/>
        <v>41134.817396924191</v>
      </c>
      <c r="K204">
        <f t="shared" si="59"/>
        <v>41101.15451538068</v>
      </c>
      <c r="L204">
        <f t="shared" si="60"/>
        <v>41101.15451538068</v>
      </c>
      <c r="M204">
        <f t="shared" si="61"/>
        <v>41105.389158658509</v>
      </c>
      <c r="N204" s="29">
        <f t="shared" si="62"/>
        <v>0</v>
      </c>
      <c r="O204" s="29">
        <f t="shared" si="63"/>
        <v>0</v>
      </c>
      <c r="P204" s="29">
        <f t="shared" si="64"/>
        <v>41105.389158658509</v>
      </c>
      <c r="Q204">
        <f t="shared" si="65"/>
        <v>0</v>
      </c>
      <c r="R204" s="29">
        <f t="shared" si="66"/>
        <v>0</v>
      </c>
      <c r="S204" s="29">
        <f t="shared" si="67"/>
        <v>0</v>
      </c>
      <c r="T204" s="29">
        <f t="shared" si="68"/>
        <v>41105.389158658509</v>
      </c>
      <c r="U204">
        <f t="shared" si="69"/>
        <v>0</v>
      </c>
      <c r="V204" s="29">
        <f t="shared" si="70"/>
        <v>0</v>
      </c>
      <c r="W204" s="29">
        <f t="shared" si="71"/>
        <v>0</v>
      </c>
      <c r="X204" s="29">
        <f t="shared" si="72"/>
        <v>41105.389158658509</v>
      </c>
      <c r="Y204">
        <f t="shared" si="73"/>
        <v>0</v>
      </c>
    </row>
    <row r="205" spans="1:25" x14ac:dyDescent="0.25">
      <c r="A205" s="4" t="s">
        <v>33</v>
      </c>
      <c r="B205" s="7" t="s">
        <v>77</v>
      </c>
      <c r="C205" s="2" t="s">
        <v>1053</v>
      </c>
      <c r="D205">
        <f>VLOOKUP(B205,'Model allocations'!$A$1:$L$316,6,FALSE)</f>
        <v>54217.210347621163</v>
      </c>
      <c r="E205" s="31">
        <f>VLOOKUP(B205,'Initial adjusted formula count'!$A$1:$P$316,12,FALSE)</f>
        <v>8.3709505447087995E-2</v>
      </c>
      <c r="F205">
        <f>VLOOKUP(B205,'Model allocations'!$A$1:$L$316,11,FALSE)</f>
        <v>17942.692591694864</v>
      </c>
      <c r="G205" s="30">
        <f t="shared" si="74"/>
        <v>0.85</v>
      </c>
      <c r="H205">
        <f t="shared" si="75"/>
        <v>46084.628795477991</v>
      </c>
      <c r="I205">
        <f t="shared" si="57"/>
        <v>46084.628795477991</v>
      </c>
      <c r="J205">
        <f t="shared" si="58"/>
        <v>0</v>
      </c>
      <c r="K205">
        <f t="shared" si="59"/>
        <v>0</v>
      </c>
      <c r="L205">
        <f t="shared" si="60"/>
        <v>46084.628795477991</v>
      </c>
      <c r="M205">
        <f t="shared" si="61"/>
        <v>0</v>
      </c>
      <c r="N205" s="29">
        <f t="shared" si="62"/>
        <v>0</v>
      </c>
      <c r="O205" s="29">
        <f t="shared" si="63"/>
        <v>0</v>
      </c>
      <c r="P205" s="29">
        <f t="shared" si="64"/>
        <v>46084.628795477991</v>
      </c>
      <c r="Q205">
        <f t="shared" si="65"/>
        <v>0</v>
      </c>
      <c r="R205" s="29">
        <f t="shared" si="66"/>
        <v>0</v>
      </c>
      <c r="S205" s="29">
        <f t="shared" si="67"/>
        <v>0</v>
      </c>
      <c r="T205" s="29">
        <f t="shared" si="68"/>
        <v>46084.628795477991</v>
      </c>
      <c r="U205">
        <f t="shared" si="69"/>
        <v>0</v>
      </c>
      <c r="V205" s="29">
        <f t="shared" si="70"/>
        <v>0</v>
      </c>
      <c r="W205" s="29">
        <f t="shared" si="71"/>
        <v>0</v>
      </c>
      <c r="X205" s="29">
        <f t="shared" si="72"/>
        <v>46084.628795477991</v>
      </c>
      <c r="Y205">
        <f t="shared" si="73"/>
        <v>0</v>
      </c>
    </row>
    <row r="206" spans="1:25" x14ac:dyDescent="0.25">
      <c r="A206" s="4" t="s">
        <v>1054</v>
      </c>
      <c r="B206" s="7" t="s">
        <v>548</v>
      </c>
      <c r="C206" s="2" t="s">
        <v>1055</v>
      </c>
      <c r="D206">
        <f>VLOOKUP(B206,'Model allocations'!$A$1:$L$316,6,FALSE)</f>
        <v>203571.09949367392</v>
      </c>
      <c r="E206" s="31">
        <f>VLOOKUP(B206,'Initial adjusted formula count'!$A$1:$P$316,12,FALSE)</f>
        <v>9.7660223804679605E-2</v>
      </c>
      <c r="F206">
        <f>VLOOKUP(B206,'Model allocations'!$A$1:$L$316,11,FALSE)</f>
        <v>173159.31438443897</v>
      </c>
      <c r="G206" s="30">
        <f t="shared" si="74"/>
        <v>0.85</v>
      </c>
      <c r="H206">
        <f t="shared" si="75"/>
        <v>173035.43456962283</v>
      </c>
      <c r="I206">
        <f t="shared" si="57"/>
        <v>0</v>
      </c>
      <c r="J206">
        <f t="shared" si="58"/>
        <v>173159.31438443897</v>
      </c>
      <c r="K206">
        <f t="shared" si="59"/>
        <v>173017.60860191338</v>
      </c>
      <c r="L206">
        <f t="shared" si="60"/>
        <v>173017.60860191338</v>
      </c>
      <c r="M206">
        <f t="shared" si="61"/>
        <v>173035.43456962283</v>
      </c>
      <c r="N206" s="29">
        <f t="shared" si="62"/>
        <v>0</v>
      </c>
      <c r="O206" s="29">
        <f t="shared" si="63"/>
        <v>0</v>
      </c>
      <c r="P206" s="29">
        <f t="shared" si="64"/>
        <v>173035.43456962283</v>
      </c>
      <c r="Q206">
        <f t="shared" si="65"/>
        <v>0</v>
      </c>
      <c r="R206" s="29">
        <f t="shared" si="66"/>
        <v>0</v>
      </c>
      <c r="S206" s="29">
        <f t="shared" si="67"/>
        <v>0</v>
      </c>
      <c r="T206" s="29">
        <f t="shared" si="68"/>
        <v>173035.43456962283</v>
      </c>
      <c r="U206">
        <f t="shared" si="69"/>
        <v>0</v>
      </c>
      <c r="V206" s="29">
        <f t="shared" si="70"/>
        <v>0</v>
      </c>
      <c r="W206" s="29">
        <f t="shared" si="71"/>
        <v>0</v>
      </c>
      <c r="X206" s="29">
        <f t="shared" si="72"/>
        <v>173035.43456962283</v>
      </c>
      <c r="Y206">
        <f t="shared" si="73"/>
        <v>0</v>
      </c>
    </row>
    <row r="207" spans="1:25" x14ac:dyDescent="0.25">
      <c r="A207" s="4" t="s">
        <v>20</v>
      </c>
      <c r="B207" s="7" t="s">
        <v>58</v>
      </c>
      <c r="C207" s="2" t="s">
        <v>1056</v>
      </c>
      <c r="D207">
        <f>VLOOKUP(B207,'Model allocations'!$A$1:$L$316,6,FALSE)</f>
        <v>238257.79521745627</v>
      </c>
      <c r="E207" s="31">
        <f>VLOOKUP(B207,'Initial adjusted formula count'!$A$1:$P$316,12,FALSE)</f>
        <v>0.12808320950965801</v>
      </c>
      <c r="F207">
        <f>VLOOKUP(B207,'Model allocations'!$A$1:$L$316,11,FALSE)</f>
        <v>243469.06399436682</v>
      </c>
      <c r="G207" s="30">
        <f t="shared" si="74"/>
        <v>0.85</v>
      </c>
      <c r="H207">
        <f t="shared" si="75"/>
        <v>202519.12593483782</v>
      </c>
      <c r="I207">
        <f t="shared" si="57"/>
        <v>0</v>
      </c>
      <c r="J207">
        <f t="shared" si="58"/>
        <v>243469.06399436682</v>
      </c>
      <c r="K207">
        <f t="shared" si="59"/>
        <v>243269.8198800277</v>
      </c>
      <c r="L207">
        <f t="shared" si="60"/>
        <v>243269.8198800277</v>
      </c>
      <c r="M207">
        <f t="shared" si="61"/>
        <v>0</v>
      </c>
      <c r="N207" s="29">
        <f t="shared" si="62"/>
        <v>243269.8198800277</v>
      </c>
      <c r="O207" s="29">
        <f t="shared" si="63"/>
        <v>243253.05683940303</v>
      </c>
      <c r="P207" s="29">
        <f t="shared" si="64"/>
        <v>243253.05683940303</v>
      </c>
      <c r="Q207">
        <f t="shared" si="65"/>
        <v>0</v>
      </c>
      <c r="R207" s="29">
        <f t="shared" si="66"/>
        <v>243253.05683940303</v>
      </c>
      <c r="S207" s="29">
        <f t="shared" si="67"/>
        <v>243252.76487402574</v>
      </c>
      <c r="T207" s="29">
        <f t="shared" si="68"/>
        <v>243252.76487402574</v>
      </c>
      <c r="U207">
        <f t="shared" si="69"/>
        <v>0</v>
      </c>
      <c r="V207" s="29">
        <f t="shared" si="70"/>
        <v>243252.76487402574</v>
      </c>
      <c r="W207" s="29">
        <f t="shared" si="71"/>
        <v>243252.76487402574</v>
      </c>
      <c r="X207" s="29">
        <f t="shared" si="72"/>
        <v>243252.76487402574</v>
      </c>
      <c r="Y207">
        <f t="shared" si="73"/>
        <v>0</v>
      </c>
    </row>
    <row r="208" spans="1:25" x14ac:dyDescent="0.25">
      <c r="A208" s="4" t="s">
        <v>1057</v>
      </c>
      <c r="B208" s="7" t="s">
        <v>194</v>
      </c>
      <c r="C208" s="2" t="s">
        <v>1058</v>
      </c>
      <c r="D208">
        <f>VLOOKUP(B208,'Model allocations'!$A$1:$L$316,6,FALSE)</f>
        <v>1587911.4394862689</v>
      </c>
      <c r="E208" s="31">
        <f>VLOOKUP(B208,'Initial adjusted formula count'!$A$1:$P$316,12,FALSE)</f>
        <v>9.0887923005277899E-2</v>
      </c>
      <c r="F208">
        <f>VLOOKUP(B208,'Model allocations'!$A$1:$L$316,11,FALSE)</f>
        <v>1811895.6444592378</v>
      </c>
      <c r="G208" s="30">
        <f t="shared" si="74"/>
        <v>0.85</v>
      </c>
      <c r="H208">
        <f t="shared" si="75"/>
        <v>1349724.7235633286</v>
      </c>
      <c r="I208">
        <f t="shared" si="57"/>
        <v>0</v>
      </c>
      <c r="J208">
        <f t="shared" si="58"/>
        <v>1811895.6444592378</v>
      </c>
      <c r="K208">
        <f t="shared" si="59"/>
        <v>1810412.8706848929</v>
      </c>
      <c r="L208">
        <f t="shared" si="60"/>
        <v>1810412.8706848929</v>
      </c>
      <c r="M208">
        <f t="shared" si="61"/>
        <v>0</v>
      </c>
      <c r="N208" s="29">
        <f t="shared" si="62"/>
        <v>1810412.8706848929</v>
      </c>
      <c r="O208" s="29">
        <f t="shared" si="63"/>
        <v>1810288.120214351</v>
      </c>
      <c r="P208" s="29">
        <f t="shared" si="64"/>
        <v>1810288.120214351</v>
      </c>
      <c r="Q208">
        <f t="shared" si="65"/>
        <v>0</v>
      </c>
      <c r="R208" s="29">
        <f t="shared" si="66"/>
        <v>1810288.120214351</v>
      </c>
      <c r="S208" s="29">
        <f t="shared" si="67"/>
        <v>1810285.9474093681</v>
      </c>
      <c r="T208" s="29">
        <f t="shared" si="68"/>
        <v>1810285.9474093681</v>
      </c>
      <c r="U208">
        <f t="shared" si="69"/>
        <v>0</v>
      </c>
      <c r="V208" s="29">
        <f t="shared" si="70"/>
        <v>1810285.9474093681</v>
      </c>
      <c r="W208" s="29">
        <f t="shared" si="71"/>
        <v>1810285.9474093681</v>
      </c>
      <c r="X208" s="29">
        <f t="shared" si="72"/>
        <v>1810285.9474093681</v>
      </c>
      <c r="Y208">
        <f t="shared" si="73"/>
        <v>0</v>
      </c>
    </row>
    <row r="209" spans="1:25" x14ac:dyDescent="0.25">
      <c r="A209" s="4" t="s">
        <v>1059</v>
      </c>
      <c r="B209" s="7" t="s">
        <v>550</v>
      </c>
      <c r="C209" s="2" t="s">
        <v>1060</v>
      </c>
      <c r="D209">
        <f>VLOOKUP(B209,'Model allocations'!$A$1:$L$316,6,FALSE)</f>
        <v>0</v>
      </c>
      <c r="E209" s="31">
        <f>VLOOKUP(B209,'Initial adjusted formula count'!$A$1:$P$316,12,FALSE)</f>
        <v>0.45161290322580599</v>
      </c>
      <c r="F209">
        <f>VLOOKUP(B209,'Model allocations'!$A$1:$L$316,11,FALSE)</f>
        <v>17700.412787422938</v>
      </c>
      <c r="G209" s="30">
        <f t="shared" si="74"/>
        <v>0.95</v>
      </c>
      <c r="H209">
        <f t="shared" si="75"/>
        <v>0</v>
      </c>
      <c r="I209">
        <f t="shared" si="57"/>
        <v>0</v>
      </c>
      <c r="J209">
        <f t="shared" si="58"/>
        <v>17700.412787422938</v>
      </c>
      <c r="K209">
        <f t="shared" si="59"/>
        <v>17685.927566954237</v>
      </c>
      <c r="L209">
        <f t="shared" si="60"/>
        <v>17685.927566954237</v>
      </c>
      <c r="M209">
        <f t="shared" si="61"/>
        <v>0</v>
      </c>
      <c r="N209" s="29">
        <f t="shared" si="62"/>
        <v>17685.927566954237</v>
      </c>
      <c r="O209" s="29">
        <f t="shared" si="63"/>
        <v>17684.708879315815</v>
      </c>
      <c r="P209" s="29">
        <f t="shared" si="64"/>
        <v>17684.708879315815</v>
      </c>
      <c r="Q209">
        <f t="shared" si="65"/>
        <v>0</v>
      </c>
      <c r="R209" s="29">
        <f t="shared" si="66"/>
        <v>17684.708879315815</v>
      </c>
      <c r="S209" s="29">
        <f t="shared" si="67"/>
        <v>17684.687653178858</v>
      </c>
      <c r="T209" s="29">
        <f t="shared" si="68"/>
        <v>17684.687653178858</v>
      </c>
      <c r="U209">
        <f t="shared" si="69"/>
        <v>0</v>
      </c>
      <c r="V209" s="29">
        <f t="shared" si="70"/>
        <v>17684.687653178858</v>
      </c>
      <c r="W209" s="29">
        <f t="shared" si="71"/>
        <v>17684.687653178858</v>
      </c>
      <c r="X209" s="29">
        <f t="shared" si="72"/>
        <v>17684.687653178858</v>
      </c>
      <c r="Y209">
        <f t="shared" si="73"/>
        <v>0</v>
      </c>
    </row>
    <row r="210" spans="1:25" x14ac:dyDescent="0.25">
      <c r="A210" s="4" t="s">
        <v>1061</v>
      </c>
      <c r="B210" s="7" t="s">
        <v>552</v>
      </c>
      <c r="C210" s="2" t="s">
        <v>1062</v>
      </c>
      <c r="D210">
        <f>VLOOKUP(B210,'Model allocations'!$A$1:$L$316,6,FALSE)</f>
        <v>18024.543388814254</v>
      </c>
      <c r="E210" s="31">
        <f>VLOOKUP(B210,'Initial adjusted formula count'!$A$1:$P$316,12,FALSE)</f>
        <v>0.123711340206186</v>
      </c>
      <c r="F210">
        <f>VLOOKUP(B210,'Model allocations'!$A$1:$L$316,11,FALSE)</f>
        <v>15331.830417296729</v>
      </c>
      <c r="G210" s="30">
        <f t="shared" si="74"/>
        <v>0.85</v>
      </c>
      <c r="H210">
        <f t="shared" si="75"/>
        <v>15320.861880492115</v>
      </c>
      <c r="I210">
        <f t="shared" si="57"/>
        <v>0</v>
      </c>
      <c r="J210">
        <f t="shared" si="58"/>
        <v>15331.830417296729</v>
      </c>
      <c r="K210">
        <f t="shared" si="59"/>
        <v>15319.283537941401</v>
      </c>
      <c r="L210">
        <f t="shared" si="60"/>
        <v>15319.283537941401</v>
      </c>
      <c r="M210">
        <f t="shared" si="61"/>
        <v>15320.861880492115</v>
      </c>
      <c r="N210" s="29">
        <f t="shared" si="62"/>
        <v>0</v>
      </c>
      <c r="O210" s="29">
        <f t="shared" si="63"/>
        <v>0</v>
      </c>
      <c r="P210" s="29">
        <f t="shared" si="64"/>
        <v>15320.861880492115</v>
      </c>
      <c r="Q210">
        <f t="shared" si="65"/>
        <v>0</v>
      </c>
      <c r="R210" s="29">
        <f t="shared" si="66"/>
        <v>0</v>
      </c>
      <c r="S210" s="29">
        <f t="shared" si="67"/>
        <v>0</v>
      </c>
      <c r="T210" s="29">
        <f t="shared" si="68"/>
        <v>15320.861880492115</v>
      </c>
      <c r="U210">
        <f t="shared" si="69"/>
        <v>0</v>
      </c>
      <c r="V210" s="29">
        <f t="shared" si="70"/>
        <v>0</v>
      </c>
      <c r="W210" s="29">
        <f t="shared" si="71"/>
        <v>0</v>
      </c>
      <c r="X210" s="29">
        <f t="shared" si="72"/>
        <v>15320.861880492115</v>
      </c>
      <c r="Y210">
        <f t="shared" si="73"/>
        <v>0</v>
      </c>
    </row>
    <row r="211" spans="1:25" x14ac:dyDescent="0.25">
      <c r="A211" s="4" t="s">
        <v>1063</v>
      </c>
      <c r="B211" s="7" t="s">
        <v>554</v>
      </c>
      <c r="C211" s="2" t="s">
        <v>1064</v>
      </c>
      <c r="D211">
        <f>VLOOKUP(B211,'Model allocations'!$A$1:$L$316,6,FALSE)</f>
        <v>194885.00123438935</v>
      </c>
      <c r="E211" s="31">
        <f>VLOOKUP(B211,'Initial adjusted formula count'!$A$1:$P$316,12,FALSE)</f>
        <v>0.14830875975715499</v>
      </c>
      <c r="F211">
        <f>VLOOKUP(B211,'Model allocations'!$A$1:$L$316,11,FALSE)</f>
        <v>165652.25104923095</v>
      </c>
      <c r="G211" s="30">
        <f t="shared" si="74"/>
        <v>0.85</v>
      </c>
      <c r="H211">
        <f t="shared" si="75"/>
        <v>165652.25104923095</v>
      </c>
      <c r="I211">
        <f t="shared" si="57"/>
        <v>0</v>
      </c>
      <c r="J211">
        <f t="shared" si="58"/>
        <v>165652.25104923095</v>
      </c>
      <c r="K211">
        <f t="shared" si="59"/>
        <v>165516.68870916567</v>
      </c>
      <c r="L211">
        <f t="shared" si="60"/>
        <v>165516.68870916567</v>
      </c>
      <c r="M211">
        <f t="shared" si="61"/>
        <v>165652.25104923095</v>
      </c>
      <c r="N211" s="29">
        <f t="shared" si="62"/>
        <v>0</v>
      </c>
      <c r="O211" s="29">
        <f t="shared" si="63"/>
        <v>0</v>
      </c>
      <c r="P211" s="29">
        <f t="shared" si="64"/>
        <v>165652.25104923095</v>
      </c>
      <c r="Q211">
        <f t="shared" si="65"/>
        <v>0</v>
      </c>
      <c r="R211" s="29">
        <f t="shared" si="66"/>
        <v>0</v>
      </c>
      <c r="S211" s="29">
        <f t="shared" si="67"/>
        <v>0</v>
      </c>
      <c r="T211" s="29">
        <f t="shared" si="68"/>
        <v>165652.25104923095</v>
      </c>
      <c r="U211">
        <f t="shared" si="69"/>
        <v>0</v>
      </c>
      <c r="V211" s="29">
        <f t="shared" si="70"/>
        <v>0</v>
      </c>
      <c r="W211" s="29">
        <f t="shared" si="71"/>
        <v>0</v>
      </c>
      <c r="X211" s="29">
        <f t="shared" si="72"/>
        <v>165652.25104923095</v>
      </c>
      <c r="Y211">
        <f t="shared" si="73"/>
        <v>0</v>
      </c>
    </row>
    <row r="212" spans="1:25" x14ac:dyDescent="0.25">
      <c r="A212" s="4" t="s">
        <v>1065</v>
      </c>
      <c r="B212" s="7" t="s">
        <v>444</v>
      </c>
      <c r="C212" s="2" t="s">
        <v>1066</v>
      </c>
      <c r="D212">
        <f>VLOOKUP(B212,'Model allocations'!$A$1:$L$316,6,FALSE)</f>
        <v>25871.061408851401</v>
      </c>
      <c r="E212" s="31">
        <f>VLOOKUP(B212,'Initial adjusted formula count'!$A$1:$P$316,12,FALSE)</f>
        <v>9.8837209302325604E-2</v>
      </c>
      <c r="F212">
        <f>VLOOKUP(B212,'Model allocations'!$A$1:$L$316,11,FALSE)</f>
        <v>21990.40219752369</v>
      </c>
      <c r="G212" s="30">
        <f t="shared" si="74"/>
        <v>0.85</v>
      </c>
      <c r="H212">
        <f t="shared" si="75"/>
        <v>21990.40219752369</v>
      </c>
      <c r="I212">
        <f t="shared" si="57"/>
        <v>0</v>
      </c>
      <c r="J212">
        <f t="shared" si="58"/>
        <v>21990.40219752369</v>
      </c>
      <c r="K212">
        <f t="shared" si="59"/>
        <v>21972.406242974379</v>
      </c>
      <c r="L212">
        <f t="shared" si="60"/>
        <v>21972.406242974379</v>
      </c>
      <c r="M212">
        <f t="shared" si="61"/>
        <v>21990.40219752369</v>
      </c>
      <c r="N212" s="29">
        <f t="shared" si="62"/>
        <v>0</v>
      </c>
      <c r="O212" s="29">
        <f t="shared" si="63"/>
        <v>0</v>
      </c>
      <c r="P212" s="29">
        <f t="shared" si="64"/>
        <v>21990.40219752369</v>
      </c>
      <c r="Q212">
        <f t="shared" si="65"/>
        <v>0</v>
      </c>
      <c r="R212" s="29">
        <f t="shared" si="66"/>
        <v>0</v>
      </c>
      <c r="S212" s="29">
        <f t="shared" si="67"/>
        <v>0</v>
      </c>
      <c r="T212" s="29">
        <f t="shared" si="68"/>
        <v>21990.40219752369</v>
      </c>
      <c r="U212">
        <f t="shared" si="69"/>
        <v>0</v>
      </c>
      <c r="V212" s="29">
        <f t="shared" si="70"/>
        <v>0</v>
      </c>
      <c r="W212" s="29">
        <f t="shared" si="71"/>
        <v>0</v>
      </c>
      <c r="X212" s="29">
        <f t="shared" si="72"/>
        <v>21990.40219752369</v>
      </c>
      <c r="Y212">
        <f t="shared" si="73"/>
        <v>0</v>
      </c>
    </row>
    <row r="213" spans="1:25" x14ac:dyDescent="0.25">
      <c r="A213" s="4" t="s">
        <v>1067</v>
      </c>
      <c r="B213" s="7" t="s">
        <v>556</v>
      </c>
      <c r="C213" s="2" t="s">
        <v>1068</v>
      </c>
      <c r="D213">
        <f>VLOOKUP(B213,'Model allocations'!$A$1:$L$316,6,FALSE)</f>
        <v>250767.75105226313</v>
      </c>
      <c r="E213" s="31">
        <f>VLOOKUP(B213,'Initial adjusted formula count'!$A$1:$P$316,12,FALSE)</f>
        <v>0.19065898912348</v>
      </c>
      <c r="F213">
        <f>VLOOKUP(B213,'Model allocations'!$A$1:$L$316,11,FALSE)</f>
        <v>382843.46632669098</v>
      </c>
      <c r="G213" s="30">
        <f t="shared" si="74"/>
        <v>0.9</v>
      </c>
      <c r="H213">
        <f t="shared" si="75"/>
        <v>225690.97594703682</v>
      </c>
      <c r="I213">
        <f t="shared" si="57"/>
        <v>0</v>
      </c>
      <c r="J213">
        <f t="shared" si="58"/>
        <v>382843.46632669098</v>
      </c>
      <c r="K213">
        <f t="shared" si="59"/>
        <v>382530.16447992931</v>
      </c>
      <c r="L213">
        <f t="shared" si="60"/>
        <v>382530.16447992931</v>
      </c>
      <c r="M213">
        <f t="shared" si="61"/>
        <v>0</v>
      </c>
      <c r="N213" s="29">
        <f t="shared" si="62"/>
        <v>382530.16447992931</v>
      </c>
      <c r="O213" s="29">
        <f t="shared" si="63"/>
        <v>382503.80539975036</v>
      </c>
      <c r="P213" s="29">
        <f t="shared" si="64"/>
        <v>382503.80539975036</v>
      </c>
      <c r="Q213">
        <f t="shared" si="65"/>
        <v>0</v>
      </c>
      <c r="R213" s="29">
        <f t="shared" si="66"/>
        <v>382503.80539975036</v>
      </c>
      <c r="S213" s="29">
        <f t="shared" si="67"/>
        <v>382503.34629814926</v>
      </c>
      <c r="T213" s="29">
        <f t="shared" si="68"/>
        <v>382503.34629814926</v>
      </c>
      <c r="U213">
        <f t="shared" si="69"/>
        <v>0</v>
      </c>
      <c r="V213" s="29">
        <f t="shared" si="70"/>
        <v>382503.34629814926</v>
      </c>
      <c r="W213" s="29">
        <f t="shared" si="71"/>
        <v>382503.34629814926</v>
      </c>
      <c r="X213" s="29">
        <f t="shared" si="72"/>
        <v>382503.34629814926</v>
      </c>
      <c r="Y213">
        <f t="shared" si="73"/>
        <v>0</v>
      </c>
    </row>
    <row r="214" spans="1:25" x14ac:dyDescent="0.25">
      <c r="A214" s="4" t="s">
        <v>1069</v>
      </c>
      <c r="B214" s="7" t="s">
        <v>196</v>
      </c>
      <c r="C214" s="2" t="s">
        <v>1070</v>
      </c>
      <c r="D214">
        <f>VLOOKUP(B214,'Model allocations'!$A$1:$L$316,6,FALSE)</f>
        <v>62993.39883687516</v>
      </c>
      <c r="E214" s="31">
        <f>VLOOKUP(B214,'Initial adjusted formula count'!$A$1:$P$316,12,FALSE)</f>
        <v>5.9280855199222597E-2</v>
      </c>
      <c r="F214">
        <f>VLOOKUP(B214,'Model allocations'!$A$1:$L$316,11,FALSE)</f>
        <v>53486.061790198633</v>
      </c>
      <c r="G214" s="30">
        <f t="shared" si="74"/>
        <v>0.85</v>
      </c>
      <c r="H214">
        <f t="shared" si="75"/>
        <v>53544.389011343883</v>
      </c>
      <c r="I214">
        <f t="shared" si="57"/>
        <v>53544.389011343883</v>
      </c>
      <c r="J214">
        <f t="shared" si="58"/>
        <v>0</v>
      </c>
      <c r="K214">
        <f t="shared" si="59"/>
        <v>0</v>
      </c>
      <c r="L214">
        <f t="shared" si="60"/>
        <v>53544.389011343883</v>
      </c>
      <c r="M214">
        <f t="shared" si="61"/>
        <v>0</v>
      </c>
      <c r="N214" s="29">
        <f t="shared" si="62"/>
        <v>0</v>
      </c>
      <c r="O214" s="29">
        <f t="shared" si="63"/>
        <v>0</v>
      </c>
      <c r="P214" s="29">
        <f t="shared" si="64"/>
        <v>53544.389011343883</v>
      </c>
      <c r="Q214">
        <f t="shared" si="65"/>
        <v>0</v>
      </c>
      <c r="R214" s="29">
        <f t="shared" si="66"/>
        <v>0</v>
      </c>
      <c r="S214" s="29">
        <f t="shared" si="67"/>
        <v>0</v>
      </c>
      <c r="T214" s="29">
        <f t="shared" si="68"/>
        <v>53544.389011343883</v>
      </c>
      <c r="U214">
        <f t="shared" si="69"/>
        <v>0</v>
      </c>
      <c r="V214" s="29">
        <f t="shared" si="70"/>
        <v>0</v>
      </c>
      <c r="W214" s="29">
        <f t="shared" si="71"/>
        <v>0</v>
      </c>
      <c r="X214" s="29">
        <f t="shared" si="72"/>
        <v>53544.389011343883</v>
      </c>
      <c r="Y214">
        <f t="shared" si="73"/>
        <v>0</v>
      </c>
    </row>
    <row r="215" spans="1:25" x14ac:dyDescent="0.25">
      <c r="A215" s="4" t="s">
        <v>15</v>
      </c>
      <c r="B215" s="7" t="s">
        <v>69</v>
      </c>
      <c r="C215" s="2" t="s">
        <v>1071</v>
      </c>
      <c r="D215">
        <f>VLOOKUP(B215,'Model allocations'!$A$1:$L$316,6,FALSE)</f>
        <v>61234.531409311487</v>
      </c>
      <c r="E215" s="31">
        <f>VLOOKUP(B215,'Initial adjusted formula count'!$A$1:$P$316,12,FALSE)</f>
        <v>0.17293702827634</v>
      </c>
      <c r="F215">
        <f>VLOOKUP(B215,'Model allocations'!$A$1:$L$316,11,FALSE)</f>
        <v>60991.309401883096</v>
      </c>
      <c r="G215" s="30">
        <f t="shared" si="74"/>
        <v>0.9</v>
      </c>
      <c r="H215">
        <f t="shared" si="75"/>
        <v>55111.078268380341</v>
      </c>
      <c r="I215">
        <f t="shared" si="57"/>
        <v>0</v>
      </c>
      <c r="J215">
        <f t="shared" si="58"/>
        <v>60991.309401883096</v>
      </c>
      <c r="K215">
        <f t="shared" si="59"/>
        <v>60941.396861764893</v>
      </c>
      <c r="L215">
        <f t="shared" si="60"/>
        <v>60941.396861764893</v>
      </c>
      <c r="M215">
        <f t="shared" si="61"/>
        <v>0</v>
      </c>
      <c r="N215" s="29">
        <f t="shared" si="62"/>
        <v>60941.396861764893</v>
      </c>
      <c r="O215" s="29">
        <f t="shared" si="63"/>
        <v>60937.197561120774</v>
      </c>
      <c r="P215" s="29">
        <f t="shared" si="64"/>
        <v>60937.197561120774</v>
      </c>
      <c r="Q215">
        <f t="shared" si="65"/>
        <v>0</v>
      </c>
      <c r="R215" s="29">
        <f t="shared" si="66"/>
        <v>60937.197561120774</v>
      </c>
      <c r="S215" s="29">
        <f t="shared" si="67"/>
        <v>60937.124421024993</v>
      </c>
      <c r="T215" s="29">
        <f t="shared" si="68"/>
        <v>60937.124421024993</v>
      </c>
      <c r="U215">
        <f t="shared" si="69"/>
        <v>0</v>
      </c>
      <c r="V215" s="29">
        <f t="shared" si="70"/>
        <v>60937.124421024993</v>
      </c>
      <c r="W215" s="29">
        <f t="shared" si="71"/>
        <v>60937.124421024993</v>
      </c>
      <c r="X215" s="29">
        <f t="shared" si="72"/>
        <v>60937.124421024993</v>
      </c>
      <c r="Y215">
        <f t="shared" si="73"/>
        <v>0</v>
      </c>
    </row>
    <row r="216" spans="1:25" x14ac:dyDescent="0.25">
      <c r="A216" s="4" t="s">
        <v>21</v>
      </c>
      <c r="B216" s="7" t="s">
        <v>71</v>
      </c>
      <c r="C216" s="2" t="s">
        <v>1072</v>
      </c>
      <c r="D216">
        <f>VLOOKUP(B216,'Model allocations'!$A$1:$L$316,6,FALSE)</f>
        <v>55180.352397608876</v>
      </c>
      <c r="E216" s="31">
        <f>VLOOKUP(B216,'Initial adjusted formula count'!$A$1:$P$316,12,FALSE)</f>
        <v>0.152332290292609</v>
      </c>
      <c r="F216">
        <f>VLOOKUP(B216,'Model allocations'!$A$1:$L$316,11,FALSE)</f>
        <v>26706.886757570974</v>
      </c>
      <c r="G216" s="30">
        <f t="shared" si="74"/>
        <v>0.9</v>
      </c>
      <c r="H216">
        <f t="shared" si="75"/>
        <v>49662.317157847989</v>
      </c>
      <c r="I216">
        <f t="shared" si="57"/>
        <v>49662.317157847989</v>
      </c>
      <c r="J216">
        <f t="shared" si="58"/>
        <v>0</v>
      </c>
      <c r="K216">
        <f t="shared" si="59"/>
        <v>0</v>
      </c>
      <c r="L216">
        <f t="shared" si="60"/>
        <v>49662.317157847989</v>
      </c>
      <c r="M216">
        <f t="shared" si="61"/>
        <v>0</v>
      </c>
      <c r="N216" s="29">
        <f t="shared" si="62"/>
        <v>0</v>
      </c>
      <c r="O216" s="29">
        <f t="shared" si="63"/>
        <v>0</v>
      </c>
      <c r="P216" s="29">
        <f t="shared" si="64"/>
        <v>49662.317157847989</v>
      </c>
      <c r="Q216">
        <f t="shared" si="65"/>
        <v>0</v>
      </c>
      <c r="R216" s="29">
        <f t="shared" si="66"/>
        <v>0</v>
      </c>
      <c r="S216" s="29">
        <f t="shared" si="67"/>
        <v>0</v>
      </c>
      <c r="T216" s="29">
        <f t="shared" si="68"/>
        <v>49662.317157847989</v>
      </c>
      <c r="U216">
        <f t="shared" si="69"/>
        <v>0</v>
      </c>
      <c r="V216" s="29">
        <f t="shared" si="70"/>
        <v>0</v>
      </c>
      <c r="W216" s="29">
        <f t="shared" si="71"/>
        <v>0</v>
      </c>
      <c r="X216" s="29">
        <f t="shared" si="72"/>
        <v>49662.317157847989</v>
      </c>
      <c r="Y216">
        <f t="shared" si="73"/>
        <v>0</v>
      </c>
    </row>
    <row r="217" spans="1:25" x14ac:dyDescent="0.25">
      <c r="A217" s="4" t="s">
        <v>1073</v>
      </c>
      <c r="B217" s="7" t="s">
        <v>558</v>
      </c>
      <c r="C217" s="2" t="s">
        <v>1074</v>
      </c>
      <c r="D217">
        <f>VLOOKUP(B217,'Model allocations'!$A$1:$L$316,6,FALSE)</f>
        <v>78549.586210984635</v>
      </c>
      <c r="E217" s="31">
        <f>VLOOKUP(B217,'Initial adjusted formula count'!$A$1:$P$316,12,FALSE)</f>
        <v>0.223168654173765</v>
      </c>
      <c r="F217">
        <f>VLOOKUP(B217,'Model allocations'!$A$1:$L$316,11,FALSE)</f>
        <v>91269.702758771338</v>
      </c>
      <c r="G217" s="30">
        <f t="shared" si="74"/>
        <v>0.9</v>
      </c>
      <c r="H217">
        <f t="shared" si="75"/>
        <v>70694.627589886179</v>
      </c>
      <c r="I217">
        <f t="shared" si="57"/>
        <v>0</v>
      </c>
      <c r="J217">
        <f t="shared" si="58"/>
        <v>91269.702758771338</v>
      </c>
      <c r="K217">
        <f t="shared" si="59"/>
        <v>91195.011745490949</v>
      </c>
      <c r="L217">
        <f t="shared" si="60"/>
        <v>91195.011745490949</v>
      </c>
      <c r="M217">
        <f t="shared" si="61"/>
        <v>0</v>
      </c>
      <c r="N217" s="29">
        <f t="shared" si="62"/>
        <v>91195.011745490949</v>
      </c>
      <c r="O217" s="29">
        <f t="shared" si="63"/>
        <v>91188.727753142826</v>
      </c>
      <c r="P217" s="29">
        <f t="shared" si="64"/>
        <v>91188.727753142826</v>
      </c>
      <c r="Q217">
        <f t="shared" si="65"/>
        <v>0</v>
      </c>
      <c r="R217" s="29">
        <f t="shared" si="66"/>
        <v>91188.727753142826</v>
      </c>
      <c r="S217" s="29">
        <f t="shared" si="67"/>
        <v>91188.618303536525</v>
      </c>
      <c r="T217" s="29">
        <f t="shared" si="68"/>
        <v>91188.618303536525</v>
      </c>
      <c r="U217">
        <f t="shared" si="69"/>
        <v>0</v>
      </c>
      <c r="V217" s="29">
        <f t="shared" si="70"/>
        <v>91188.618303536525</v>
      </c>
      <c r="W217" s="29">
        <f t="shared" si="71"/>
        <v>91188.618303536525</v>
      </c>
      <c r="X217" s="29">
        <f t="shared" si="72"/>
        <v>91188.618303536525</v>
      </c>
      <c r="Y217">
        <f t="shared" si="73"/>
        <v>0</v>
      </c>
    </row>
    <row r="218" spans="1:25" x14ac:dyDescent="0.25">
      <c r="A218" s="4" t="s">
        <v>1075</v>
      </c>
      <c r="B218" s="7" t="s">
        <v>560</v>
      </c>
      <c r="C218" s="2" t="s">
        <v>1076</v>
      </c>
      <c r="D218">
        <f>VLOOKUP(B218,'Model allocations'!$A$1:$L$316,6,FALSE)</f>
        <v>61547.802117548199</v>
      </c>
      <c r="E218" s="31">
        <f>VLOOKUP(B218,'Initial adjusted formula count'!$A$1:$P$316,12,FALSE)</f>
        <v>8.1325301204819303E-2</v>
      </c>
      <c r="F218">
        <f>VLOOKUP(B218,'Model allocations'!$A$1:$L$316,11,FALSE)</f>
        <v>52488.241821880249</v>
      </c>
      <c r="G218" s="30">
        <f t="shared" si="74"/>
        <v>0.85</v>
      </c>
      <c r="H218">
        <f t="shared" si="75"/>
        <v>52315.631799915966</v>
      </c>
      <c r="I218">
        <f t="shared" si="57"/>
        <v>0</v>
      </c>
      <c r="J218">
        <f t="shared" si="58"/>
        <v>52488.241821880249</v>
      </c>
      <c r="K218">
        <f t="shared" si="59"/>
        <v>52445.287809228932</v>
      </c>
      <c r="L218">
        <f t="shared" si="60"/>
        <v>52445.287809228932</v>
      </c>
      <c r="M218">
        <f t="shared" si="61"/>
        <v>0</v>
      </c>
      <c r="N218" s="29">
        <f t="shared" si="62"/>
        <v>52445.287809228932</v>
      </c>
      <c r="O218" s="29">
        <f t="shared" si="63"/>
        <v>52441.673951617864</v>
      </c>
      <c r="P218" s="29">
        <f t="shared" si="64"/>
        <v>52441.673951617864</v>
      </c>
      <c r="Q218">
        <f t="shared" si="65"/>
        <v>0</v>
      </c>
      <c r="R218" s="29">
        <f t="shared" si="66"/>
        <v>52441.673951617864</v>
      </c>
      <c r="S218" s="29">
        <f t="shared" si="67"/>
        <v>52441.611008305583</v>
      </c>
      <c r="T218" s="29">
        <f t="shared" si="68"/>
        <v>52441.611008305583</v>
      </c>
      <c r="U218">
        <f t="shared" si="69"/>
        <v>0</v>
      </c>
      <c r="V218" s="29">
        <f t="shared" si="70"/>
        <v>52441.611008305583</v>
      </c>
      <c r="W218" s="29">
        <f t="shared" si="71"/>
        <v>52441.611008305583</v>
      </c>
      <c r="X218" s="29">
        <f t="shared" si="72"/>
        <v>52441.611008305583</v>
      </c>
      <c r="Y218">
        <f t="shared" si="73"/>
        <v>0</v>
      </c>
    </row>
    <row r="219" spans="1:25" x14ac:dyDescent="0.25">
      <c r="A219" s="4" t="s">
        <v>1077</v>
      </c>
      <c r="B219" s="7" t="s">
        <v>562</v>
      </c>
      <c r="C219" s="2" t="s">
        <v>1078</v>
      </c>
      <c r="D219">
        <f>VLOOKUP(B219,'Model allocations'!$A$1:$L$316,6,FALSE)</f>
        <v>1829760.8010730494</v>
      </c>
      <c r="E219" s="31">
        <f>VLOOKUP(B219,'Initial adjusted formula count'!$A$1:$P$316,12,FALSE)</f>
        <v>0.12677871174366601</v>
      </c>
      <c r="F219">
        <f>VLOOKUP(B219,'Model allocations'!$A$1:$L$316,11,FALSE)</f>
        <v>1706683.9282118329</v>
      </c>
      <c r="G219" s="30">
        <f t="shared" si="74"/>
        <v>0.85</v>
      </c>
      <c r="H219">
        <f t="shared" si="75"/>
        <v>1555296.6809120919</v>
      </c>
      <c r="I219">
        <f t="shared" si="57"/>
        <v>0</v>
      </c>
      <c r="J219">
        <f t="shared" si="58"/>
        <v>1706683.9282118329</v>
      </c>
      <c r="K219">
        <f t="shared" si="59"/>
        <v>1705287.2549665566</v>
      </c>
      <c r="L219">
        <f t="shared" si="60"/>
        <v>1705287.2549665566</v>
      </c>
      <c r="M219">
        <f t="shared" si="61"/>
        <v>0</v>
      </c>
      <c r="N219" s="29">
        <f t="shared" si="62"/>
        <v>1705287.2549665566</v>
      </c>
      <c r="O219" s="29">
        <f t="shared" si="63"/>
        <v>1705169.7484071907</v>
      </c>
      <c r="P219" s="29">
        <f t="shared" si="64"/>
        <v>1705169.7484071907</v>
      </c>
      <c r="Q219">
        <f t="shared" si="65"/>
        <v>0</v>
      </c>
      <c r="R219" s="29">
        <f t="shared" si="66"/>
        <v>1705169.7484071907</v>
      </c>
      <c r="S219" s="29">
        <f t="shared" si="67"/>
        <v>1705167.7017709205</v>
      </c>
      <c r="T219" s="29">
        <f t="shared" si="68"/>
        <v>1705167.7017709205</v>
      </c>
      <c r="U219">
        <f t="shared" si="69"/>
        <v>0</v>
      </c>
      <c r="V219" s="29">
        <f t="shared" si="70"/>
        <v>1705167.7017709205</v>
      </c>
      <c r="W219" s="29">
        <f t="shared" si="71"/>
        <v>1705167.7017709205</v>
      </c>
      <c r="X219" s="29">
        <f t="shared" si="72"/>
        <v>1705167.7017709205</v>
      </c>
      <c r="Y219">
        <f t="shared" si="73"/>
        <v>0</v>
      </c>
    </row>
    <row r="220" spans="1:25" x14ac:dyDescent="0.25">
      <c r="A220" s="4" t="s">
        <v>1079</v>
      </c>
      <c r="B220" s="7" t="s">
        <v>563</v>
      </c>
      <c r="C220" s="2" t="s">
        <v>1080</v>
      </c>
      <c r="D220">
        <f>VLOOKUP(B220,'Model allocations'!$A$1:$L$316,6,FALSE)</f>
        <v>74773.640848413983</v>
      </c>
      <c r="E220" s="31">
        <f>VLOOKUP(B220,'Initial adjusted formula count'!$A$1:$P$316,12,FALSE)</f>
        <v>0.213720316622691</v>
      </c>
      <c r="F220">
        <f>VLOOKUP(B220,'Model allocations'!$A$1:$L$316,11,FALSE)</f>
        <v>67344.455625457282</v>
      </c>
      <c r="G220" s="30">
        <f t="shared" si="74"/>
        <v>0.9</v>
      </c>
      <c r="H220">
        <f t="shared" si="75"/>
        <v>67296.27676357259</v>
      </c>
      <c r="I220">
        <f t="shared" si="57"/>
        <v>0</v>
      </c>
      <c r="J220">
        <f t="shared" si="58"/>
        <v>67344.455625457282</v>
      </c>
      <c r="K220">
        <f t="shared" si="59"/>
        <v>67289.343956662051</v>
      </c>
      <c r="L220">
        <f t="shared" si="60"/>
        <v>67289.343956662051</v>
      </c>
      <c r="M220">
        <f t="shared" si="61"/>
        <v>67296.27676357259</v>
      </c>
      <c r="N220" s="29">
        <f t="shared" si="62"/>
        <v>0</v>
      </c>
      <c r="O220" s="29">
        <f t="shared" si="63"/>
        <v>0</v>
      </c>
      <c r="P220" s="29">
        <f t="shared" si="64"/>
        <v>67296.27676357259</v>
      </c>
      <c r="Q220">
        <f t="shared" si="65"/>
        <v>0</v>
      </c>
      <c r="R220" s="29">
        <f t="shared" si="66"/>
        <v>0</v>
      </c>
      <c r="S220" s="29">
        <f t="shared" si="67"/>
        <v>0</v>
      </c>
      <c r="T220" s="29">
        <f t="shared" si="68"/>
        <v>67296.27676357259</v>
      </c>
      <c r="U220">
        <f t="shared" si="69"/>
        <v>0</v>
      </c>
      <c r="V220" s="29">
        <f t="shared" si="70"/>
        <v>0</v>
      </c>
      <c r="W220" s="29">
        <f t="shared" si="71"/>
        <v>0</v>
      </c>
      <c r="X220" s="29">
        <f t="shared" si="72"/>
        <v>67296.27676357259</v>
      </c>
      <c r="Y220">
        <f t="shared" si="73"/>
        <v>0</v>
      </c>
    </row>
    <row r="221" spans="1:25" x14ac:dyDescent="0.25">
      <c r="A221" s="4" t="s">
        <v>1081</v>
      </c>
      <c r="B221" s="7" t="s">
        <v>198</v>
      </c>
      <c r="C221" s="2" t="s">
        <v>1082</v>
      </c>
      <c r="D221">
        <f>VLOOKUP(B221,'Model allocations'!$A$1:$L$316,6,FALSE)</f>
        <v>1097464.3073262309</v>
      </c>
      <c r="E221" s="31">
        <f>VLOOKUP(B221,'Initial adjusted formula count'!$A$1:$P$316,12,FALSE)</f>
        <v>8.0586778433987399E-2</v>
      </c>
      <c r="F221">
        <f>VLOOKUP(B221,'Model allocations'!$A$1:$L$316,11,FALSE)</f>
        <v>933613.4208630725</v>
      </c>
      <c r="G221" s="30">
        <f t="shared" si="74"/>
        <v>0.85</v>
      </c>
      <c r="H221">
        <f t="shared" si="75"/>
        <v>932844.66122729622</v>
      </c>
      <c r="I221">
        <f t="shared" si="57"/>
        <v>0</v>
      </c>
      <c r="J221">
        <f t="shared" si="58"/>
        <v>933613.4208630725</v>
      </c>
      <c r="K221">
        <f t="shared" si="59"/>
        <v>932849.39369624003</v>
      </c>
      <c r="L221">
        <f t="shared" si="60"/>
        <v>932849.39369624003</v>
      </c>
      <c r="M221">
        <f t="shared" si="61"/>
        <v>0</v>
      </c>
      <c r="N221" s="29">
        <f t="shared" si="62"/>
        <v>932849.39369624003</v>
      </c>
      <c r="O221" s="29">
        <f t="shared" si="63"/>
        <v>932785.11366228049</v>
      </c>
      <c r="P221" s="29">
        <f t="shared" si="64"/>
        <v>932785.11366228049</v>
      </c>
      <c r="Q221">
        <f t="shared" si="65"/>
        <v>932844.66122729622</v>
      </c>
      <c r="R221" s="29">
        <f t="shared" si="66"/>
        <v>0</v>
      </c>
      <c r="S221" s="29">
        <f t="shared" si="67"/>
        <v>0</v>
      </c>
      <c r="T221" s="29">
        <f t="shared" si="68"/>
        <v>932844.66122729622</v>
      </c>
      <c r="U221">
        <f t="shared" si="69"/>
        <v>0</v>
      </c>
      <c r="V221" s="29">
        <f t="shared" si="70"/>
        <v>0</v>
      </c>
      <c r="W221" s="29">
        <f t="shared" si="71"/>
        <v>0</v>
      </c>
      <c r="X221" s="29">
        <f t="shared" si="72"/>
        <v>932844.66122729622</v>
      </c>
      <c r="Y221">
        <f t="shared" si="73"/>
        <v>0</v>
      </c>
    </row>
    <row r="222" spans="1:25" x14ac:dyDescent="0.25">
      <c r="A222" s="4" t="s">
        <v>1083</v>
      </c>
      <c r="B222" s="7" t="s">
        <v>200</v>
      </c>
      <c r="C222" s="2" t="s">
        <v>1084</v>
      </c>
      <c r="D222">
        <f>VLOOKUP(B222,'Model allocations'!$A$1:$L$316,6,FALSE)</f>
        <v>0</v>
      </c>
      <c r="E222" s="31">
        <f>VLOOKUP(B222,'Initial adjusted formula count'!$A$1:$P$316,12,FALSE)</f>
        <v>3.9120985269258599E-2</v>
      </c>
      <c r="F222">
        <f>VLOOKUP(B222,'Model allocations'!$A$1:$L$316,11,FALSE)</f>
        <v>0</v>
      </c>
      <c r="G222" s="30">
        <f t="shared" si="74"/>
        <v>0.85</v>
      </c>
      <c r="H222">
        <f t="shared" si="75"/>
        <v>0</v>
      </c>
      <c r="I222">
        <f t="shared" si="57"/>
        <v>0</v>
      </c>
      <c r="J222">
        <f t="shared" si="58"/>
        <v>0</v>
      </c>
      <c r="K222">
        <f t="shared" si="59"/>
        <v>0</v>
      </c>
      <c r="L222">
        <f t="shared" si="60"/>
        <v>0</v>
      </c>
      <c r="M222">
        <f t="shared" si="61"/>
        <v>0</v>
      </c>
      <c r="N222" s="29">
        <f t="shared" si="62"/>
        <v>0</v>
      </c>
      <c r="O222" s="29">
        <f t="shared" si="63"/>
        <v>0</v>
      </c>
      <c r="P222" s="29">
        <f t="shared" si="64"/>
        <v>0</v>
      </c>
      <c r="Q222">
        <f t="shared" si="65"/>
        <v>0</v>
      </c>
      <c r="R222" s="29">
        <f t="shared" si="66"/>
        <v>0</v>
      </c>
      <c r="S222" s="29">
        <f t="shared" si="67"/>
        <v>0</v>
      </c>
      <c r="T222" s="29">
        <f t="shared" si="68"/>
        <v>0</v>
      </c>
      <c r="U222">
        <f t="shared" si="69"/>
        <v>0</v>
      </c>
      <c r="V222" s="29">
        <f t="shared" si="70"/>
        <v>0</v>
      </c>
      <c r="W222" s="29">
        <f t="shared" si="71"/>
        <v>0</v>
      </c>
      <c r="X222" s="29">
        <f t="shared" si="72"/>
        <v>0</v>
      </c>
      <c r="Y222">
        <f t="shared" si="73"/>
        <v>0</v>
      </c>
    </row>
    <row r="223" spans="1:25" x14ac:dyDescent="0.25">
      <c r="A223" s="4" t="s">
        <v>1085</v>
      </c>
      <c r="B223" s="7" t="s">
        <v>202</v>
      </c>
      <c r="C223" s="2" t="s">
        <v>1086</v>
      </c>
      <c r="D223">
        <f>VLOOKUP(B223,'Model allocations'!$A$1:$L$316,6,FALSE)</f>
        <v>28369.690038557383</v>
      </c>
      <c r="E223" s="31">
        <f>VLOOKUP(B223,'Initial adjusted formula count'!$A$1:$P$316,12,FALSE)</f>
        <v>0.12980769230769201</v>
      </c>
      <c r="F223">
        <f>VLOOKUP(B223,'Model allocations'!$A$1:$L$316,11,FALSE)</f>
        <v>30504.244676788421</v>
      </c>
      <c r="G223" s="30">
        <f t="shared" si="74"/>
        <v>0.85</v>
      </c>
      <c r="H223">
        <f t="shared" si="75"/>
        <v>24114.236532773775</v>
      </c>
      <c r="I223">
        <f t="shared" si="57"/>
        <v>0</v>
      </c>
      <c r="J223">
        <f t="shared" si="58"/>
        <v>30504.244676788421</v>
      </c>
      <c r="K223">
        <f t="shared" si="59"/>
        <v>30479.281377080042</v>
      </c>
      <c r="L223">
        <f t="shared" si="60"/>
        <v>30479.281377080042</v>
      </c>
      <c r="M223">
        <f t="shared" si="61"/>
        <v>0</v>
      </c>
      <c r="N223" s="29">
        <f t="shared" si="62"/>
        <v>30479.281377080042</v>
      </c>
      <c r="O223" s="29">
        <f t="shared" si="63"/>
        <v>30477.181135331244</v>
      </c>
      <c r="P223" s="29">
        <f t="shared" si="64"/>
        <v>30477.181135331244</v>
      </c>
      <c r="Q223">
        <f t="shared" si="65"/>
        <v>0</v>
      </c>
      <c r="R223" s="29">
        <f t="shared" si="66"/>
        <v>30477.181135331244</v>
      </c>
      <c r="S223" s="29">
        <f t="shared" si="67"/>
        <v>30477.144554982351</v>
      </c>
      <c r="T223" s="29">
        <f t="shared" si="68"/>
        <v>30477.144554982351</v>
      </c>
      <c r="U223">
        <f t="shared" si="69"/>
        <v>0</v>
      </c>
      <c r="V223" s="29">
        <f t="shared" si="70"/>
        <v>30477.144554982351</v>
      </c>
      <c r="W223" s="29">
        <f t="shared" si="71"/>
        <v>30477.144554982351</v>
      </c>
      <c r="X223" s="29">
        <f t="shared" si="72"/>
        <v>30477.144554982351</v>
      </c>
      <c r="Y223">
        <f t="shared" si="73"/>
        <v>0</v>
      </c>
    </row>
    <row r="224" spans="1:25" x14ac:dyDescent="0.25">
      <c r="A224" s="4" t="s">
        <v>1087</v>
      </c>
      <c r="B224" s="7" t="s">
        <v>295</v>
      </c>
      <c r="C224" s="2" t="s">
        <v>1088</v>
      </c>
      <c r="D224">
        <f>VLOOKUP(B224,'Model allocations'!$A$1:$L$316,6,FALSE)</f>
        <v>137609.5141828745</v>
      </c>
      <c r="E224" s="31">
        <f>VLOOKUP(B224,'Initial adjusted formula count'!$A$1:$P$316,12,FALSE)</f>
        <v>0.103750608865076</v>
      </c>
      <c r="F224">
        <f>VLOOKUP(B224,'Model allocations'!$A$1:$L$316,11,FALSE)</f>
        <v>120322.2984473321</v>
      </c>
      <c r="G224" s="30">
        <f t="shared" si="74"/>
        <v>0.85</v>
      </c>
      <c r="H224">
        <f t="shared" si="75"/>
        <v>116968.08705544332</v>
      </c>
      <c r="I224">
        <f t="shared" si="57"/>
        <v>0</v>
      </c>
      <c r="J224">
        <f t="shared" si="58"/>
        <v>120322.2984473321</v>
      </c>
      <c r="K224">
        <f t="shared" si="59"/>
        <v>120223.83209848238</v>
      </c>
      <c r="L224">
        <f t="shared" si="60"/>
        <v>120223.83209848238</v>
      </c>
      <c r="M224">
        <f t="shared" si="61"/>
        <v>0</v>
      </c>
      <c r="N224" s="29">
        <f t="shared" si="62"/>
        <v>120223.83209848238</v>
      </c>
      <c r="O224" s="29">
        <f t="shared" si="63"/>
        <v>120215.54781158434</v>
      </c>
      <c r="P224" s="29">
        <f t="shared" si="64"/>
        <v>120215.54781158434</v>
      </c>
      <c r="Q224">
        <f t="shared" si="65"/>
        <v>0</v>
      </c>
      <c r="R224" s="29">
        <f t="shared" si="66"/>
        <v>120215.54781158434</v>
      </c>
      <c r="S224" s="29">
        <f t="shared" si="67"/>
        <v>120215.40352243038</v>
      </c>
      <c r="T224" s="29">
        <f t="shared" si="68"/>
        <v>120215.40352243038</v>
      </c>
      <c r="U224">
        <f t="shared" si="69"/>
        <v>0</v>
      </c>
      <c r="V224" s="29">
        <f t="shared" si="70"/>
        <v>120215.40352243038</v>
      </c>
      <c r="W224" s="29">
        <f t="shared" si="71"/>
        <v>120215.40352243038</v>
      </c>
      <c r="X224" s="29">
        <f t="shared" si="72"/>
        <v>120215.40352243038</v>
      </c>
      <c r="Y224">
        <f t="shared" si="73"/>
        <v>0</v>
      </c>
    </row>
    <row r="225" spans="1:25" x14ac:dyDescent="0.25">
      <c r="A225" s="4" t="s">
        <v>1089</v>
      </c>
      <c r="B225" s="7" t="s">
        <v>204</v>
      </c>
      <c r="C225" s="2" t="s">
        <v>1090</v>
      </c>
      <c r="D225">
        <f>VLOOKUP(B225,'Model allocations'!$A$1:$L$316,6,FALSE)</f>
        <v>0</v>
      </c>
      <c r="E225" s="31">
        <f>VLOOKUP(B225,'Initial adjusted formula count'!$A$1:$P$316,12,FALSE)</f>
        <v>3.3876389966382203E-2</v>
      </c>
      <c r="F225">
        <f>VLOOKUP(B225,'Model allocations'!$A$1:$L$316,11,FALSE)</f>
        <v>0</v>
      </c>
      <c r="G225" s="30">
        <f t="shared" si="74"/>
        <v>0.85</v>
      </c>
      <c r="H225">
        <f t="shared" si="75"/>
        <v>0</v>
      </c>
      <c r="I225">
        <f t="shared" si="57"/>
        <v>0</v>
      </c>
      <c r="J225">
        <f t="shared" si="58"/>
        <v>0</v>
      </c>
      <c r="K225">
        <f t="shared" si="59"/>
        <v>0</v>
      </c>
      <c r="L225">
        <f t="shared" si="60"/>
        <v>0</v>
      </c>
      <c r="M225">
        <f t="shared" si="61"/>
        <v>0</v>
      </c>
      <c r="N225" s="29">
        <f t="shared" si="62"/>
        <v>0</v>
      </c>
      <c r="O225" s="29">
        <f t="shared" si="63"/>
        <v>0</v>
      </c>
      <c r="P225" s="29">
        <f t="shared" si="64"/>
        <v>0</v>
      </c>
      <c r="Q225">
        <f t="shared" si="65"/>
        <v>0</v>
      </c>
      <c r="R225" s="29">
        <f t="shared" si="66"/>
        <v>0</v>
      </c>
      <c r="S225" s="29">
        <f t="shared" si="67"/>
        <v>0</v>
      </c>
      <c r="T225" s="29">
        <f t="shared" si="68"/>
        <v>0</v>
      </c>
      <c r="U225">
        <f t="shared" si="69"/>
        <v>0</v>
      </c>
      <c r="V225" s="29">
        <f t="shared" si="70"/>
        <v>0</v>
      </c>
      <c r="W225" s="29">
        <f t="shared" si="71"/>
        <v>0</v>
      </c>
      <c r="X225" s="29">
        <f t="shared" si="72"/>
        <v>0</v>
      </c>
      <c r="Y225">
        <f t="shared" si="73"/>
        <v>0</v>
      </c>
    </row>
    <row r="226" spans="1:25" x14ac:dyDescent="0.25">
      <c r="A226" s="4" t="s">
        <v>1091</v>
      </c>
      <c r="B226" s="7" t="s">
        <v>565</v>
      </c>
      <c r="C226" s="2" t="s">
        <v>1092</v>
      </c>
      <c r="D226">
        <f>VLOOKUP(B226,'Model allocations'!$A$1:$L$316,6,FALSE)</f>
        <v>146139.0295247882</v>
      </c>
      <c r="E226" s="31">
        <f>VLOOKUP(B226,'Initial adjusted formula count'!$A$1:$P$316,12,FALSE)</f>
        <v>0.105622489959839</v>
      </c>
      <c r="F226">
        <f>VLOOKUP(B226,'Model allocations'!$A$1:$L$316,11,FALSE)</f>
        <v>148566.96944435837</v>
      </c>
      <c r="G226" s="30">
        <f t="shared" si="74"/>
        <v>0.85</v>
      </c>
      <c r="H226">
        <f t="shared" si="75"/>
        <v>124218.17509606997</v>
      </c>
      <c r="I226">
        <f t="shared" si="57"/>
        <v>0</v>
      </c>
      <c r="J226">
        <f t="shared" si="58"/>
        <v>148566.96944435837</v>
      </c>
      <c r="K226">
        <f t="shared" si="59"/>
        <v>148445.388929112</v>
      </c>
      <c r="L226">
        <f t="shared" si="60"/>
        <v>148445.388929112</v>
      </c>
      <c r="M226">
        <f t="shared" si="61"/>
        <v>0</v>
      </c>
      <c r="N226" s="29">
        <f t="shared" si="62"/>
        <v>148445.388929112</v>
      </c>
      <c r="O226" s="29">
        <f t="shared" si="63"/>
        <v>148435.15997392806</v>
      </c>
      <c r="P226" s="29">
        <f t="shared" si="64"/>
        <v>148435.15997392806</v>
      </c>
      <c r="Q226">
        <f t="shared" si="65"/>
        <v>0</v>
      </c>
      <c r="R226" s="29">
        <f t="shared" si="66"/>
        <v>148435.15997392806</v>
      </c>
      <c r="S226" s="29">
        <f t="shared" si="67"/>
        <v>148434.98181408067</v>
      </c>
      <c r="T226" s="29">
        <f t="shared" si="68"/>
        <v>148434.98181408067</v>
      </c>
      <c r="U226">
        <f t="shared" si="69"/>
        <v>0</v>
      </c>
      <c r="V226" s="29">
        <f t="shared" si="70"/>
        <v>148434.98181408067</v>
      </c>
      <c r="W226" s="29">
        <f t="shared" si="71"/>
        <v>148434.98181408067</v>
      </c>
      <c r="X226" s="29">
        <f t="shared" si="72"/>
        <v>148434.98181408067</v>
      </c>
      <c r="Y226">
        <f t="shared" si="73"/>
        <v>0</v>
      </c>
    </row>
    <row r="227" spans="1:25" x14ac:dyDescent="0.25">
      <c r="A227" s="4" t="s">
        <v>1093</v>
      </c>
      <c r="B227" s="7" t="s">
        <v>297</v>
      </c>
      <c r="C227" s="2" t="s">
        <v>1094</v>
      </c>
      <c r="D227">
        <f>VLOOKUP(B227,'Model allocations'!$A$1:$L$316,6,FALSE)</f>
        <v>0</v>
      </c>
      <c r="E227" s="31">
        <f>VLOOKUP(B227,'Initial adjusted formula count'!$A$1:$P$316,12,FALSE)</f>
        <v>0.116279069767442</v>
      </c>
      <c r="F227">
        <f>VLOOKUP(B227,'Model allocations'!$A$1:$L$316,11,FALSE)</f>
        <v>0</v>
      </c>
      <c r="G227" s="30">
        <f t="shared" si="74"/>
        <v>0.85</v>
      </c>
      <c r="H227">
        <f t="shared" si="75"/>
        <v>0</v>
      </c>
      <c r="I227">
        <f t="shared" si="57"/>
        <v>0</v>
      </c>
      <c r="J227">
        <f t="shared" si="58"/>
        <v>0</v>
      </c>
      <c r="K227">
        <f t="shared" si="59"/>
        <v>0</v>
      </c>
      <c r="L227">
        <f t="shared" si="60"/>
        <v>0</v>
      </c>
      <c r="M227">
        <f t="shared" si="61"/>
        <v>0</v>
      </c>
      <c r="N227" s="29">
        <f t="shared" si="62"/>
        <v>0</v>
      </c>
      <c r="O227" s="29">
        <f t="shared" si="63"/>
        <v>0</v>
      </c>
      <c r="P227" s="29">
        <f t="shared" si="64"/>
        <v>0</v>
      </c>
      <c r="Q227">
        <f t="shared" si="65"/>
        <v>0</v>
      </c>
      <c r="R227" s="29">
        <f t="shared" si="66"/>
        <v>0</v>
      </c>
      <c r="S227" s="29">
        <f t="shared" si="67"/>
        <v>0</v>
      </c>
      <c r="T227" s="29">
        <f t="shared" si="68"/>
        <v>0</v>
      </c>
      <c r="U227">
        <f t="shared" si="69"/>
        <v>0</v>
      </c>
      <c r="V227" s="29">
        <f t="shared" si="70"/>
        <v>0</v>
      </c>
      <c r="W227" s="29">
        <f t="shared" si="71"/>
        <v>0</v>
      </c>
      <c r="X227" s="29">
        <f t="shared" si="72"/>
        <v>0</v>
      </c>
      <c r="Y227">
        <f t="shared" si="73"/>
        <v>0</v>
      </c>
    </row>
    <row r="228" spans="1:25" x14ac:dyDescent="0.25">
      <c r="A228" s="4" t="s">
        <v>1095</v>
      </c>
      <c r="B228" s="7" t="s">
        <v>567</v>
      </c>
      <c r="C228" s="2" t="s">
        <v>1096</v>
      </c>
      <c r="D228">
        <f>VLOOKUP(B228,'Model allocations'!$A$1:$L$316,6,FALSE)</f>
        <v>30358.279436657092</v>
      </c>
      <c r="E228" s="31">
        <f>VLOOKUP(B228,'Initial adjusted formula count'!$A$1:$P$316,12,FALSE)</f>
        <v>0.11740890688259099</v>
      </c>
      <c r="F228">
        <f>VLOOKUP(B228,'Model allocations'!$A$1:$L$316,11,FALSE)</f>
        <v>25823.01154838589</v>
      </c>
      <c r="G228" s="30">
        <f t="shared" si="74"/>
        <v>0.85</v>
      </c>
      <c r="H228">
        <f t="shared" si="75"/>
        <v>25804.537521158527</v>
      </c>
      <c r="I228">
        <f t="shared" si="57"/>
        <v>0</v>
      </c>
      <c r="J228">
        <f t="shared" si="58"/>
        <v>25823.01154838589</v>
      </c>
      <c r="K228">
        <f t="shared" si="59"/>
        <v>25801.879158992688</v>
      </c>
      <c r="L228">
        <f t="shared" si="60"/>
        <v>25801.879158992688</v>
      </c>
      <c r="M228">
        <f t="shared" si="61"/>
        <v>25804.537521158527</v>
      </c>
      <c r="N228" s="29">
        <f t="shared" si="62"/>
        <v>0</v>
      </c>
      <c r="O228" s="29">
        <f t="shared" si="63"/>
        <v>0</v>
      </c>
      <c r="P228" s="29">
        <f t="shared" si="64"/>
        <v>25804.537521158527</v>
      </c>
      <c r="Q228">
        <f t="shared" si="65"/>
        <v>0</v>
      </c>
      <c r="R228" s="29">
        <f t="shared" si="66"/>
        <v>0</v>
      </c>
      <c r="S228" s="29">
        <f t="shared" si="67"/>
        <v>0</v>
      </c>
      <c r="T228" s="29">
        <f t="shared" si="68"/>
        <v>25804.537521158527</v>
      </c>
      <c r="U228">
        <f t="shared" si="69"/>
        <v>0</v>
      </c>
      <c r="V228" s="29">
        <f t="shared" si="70"/>
        <v>0</v>
      </c>
      <c r="W228" s="29">
        <f t="shared" si="71"/>
        <v>0</v>
      </c>
      <c r="X228" s="29">
        <f t="shared" si="72"/>
        <v>25804.537521158527</v>
      </c>
      <c r="Y228">
        <f t="shared" si="73"/>
        <v>0</v>
      </c>
    </row>
    <row r="229" spans="1:25" x14ac:dyDescent="0.25">
      <c r="A229" s="4" t="s">
        <v>1097</v>
      </c>
      <c r="B229" s="7" t="s">
        <v>569</v>
      </c>
      <c r="C229" s="2" t="s">
        <v>1098</v>
      </c>
      <c r="D229">
        <f>VLOOKUP(B229,'Model allocations'!$A$1:$L$316,6,FALSE)</f>
        <v>137771.62268479104</v>
      </c>
      <c r="E229" s="31">
        <f>VLOOKUP(B229,'Initial adjusted formula count'!$A$1:$P$316,12,FALSE)</f>
        <v>0.146951219512195</v>
      </c>
      <c r="F229">
        <f>VLOOKUP(B229,'Model allocations'!$A$1:$L$316,11,FALSE)</f>
        <v>136139.3142056668</v>
      </c>
      <c r="G229" s="30">
        <f t="shared" si="74"/>
        <v>0.85</v>
      </c>
      <c r="H229">
        <f t="shared" si="75"/>
        <v>117105.87928207239</v>
      </c>
      <c r="I229">
        <f t="shared" si="57"/>
        <v>0</v>
      </c>
      <c r="J229">
        <f t="shared" si="58"/>
        <v>136139.3142056668</v>
      </c>
      <c r="K229">
        <f t="shared" si="59"/>
        <v>136027.90392363493</v>
      </c>
      <c r="L229">
        <f t="shared" si="60"/>
        <v>136027.90392363493</v>
      </c>
      <c r="M229">
        <f t="shared" si="61"/>
        <v>0</v>
      </c>
      <c r="N229" s="29">
        <f t="shared" si="62"/>
        <v>136027.90392363493</v>
      </c>
      <c r="O229" s="29">
        <f t="shared" si="63"/>
        <v>136018.53062249679</v>
      </c>
      <c r="P229" s="29">
        <f t="shared" si="64"/>
        <v>136018.53062249679</v>
      </c>
      <c r="Q229">
        <f t="shared" si="65"/>
        <v>0</v>
      </c>
      <c r="R229" s="29">
        <f t="shared" si="66"/>
        <v>136018.53062249679</v>
      </c>
      <c r="S229" s="29">
        <f t="shared" si="67"/>
        <v>136018.3673657545</v>
      </c>
      <c r="T229" s="29">
        <f t="shared" si="68"/>
        <v>136018.3673657545</v>
      </c>
      <c r="U229">
        <f t="shared" si="69"/>
        <v>0</v>
      </c>
      <c r="V229" s="29">
        <f t="shared" si="70"/>
        <v>136018.3673657545</v>
      </c>
      <c r="W229" s="29">
        <f t="shared" si="71"/>
        <v>136018.3673657545</v>
      </c>
      <c r="X229" s="29">
        <f t="shared" si="72"/>
        <v>136018.3673657545</v>
      </c>
      <c r="Y229">
        <f t="shared" si="73"/>
        <v>0</v>
      </c>
    </row>
    <row r="230" spans="1:25" x14ac:dyDescent="0.25">
      <c r="A230" s="4" t="s">
        <v>1099</v>
      </c>
      <c r="B230" s="7" t="s">
        <v>206</v>
      </c>
      <c r="C230" s="2" t="s">
        <v>1100</v>
      </c>
      <c r="D230">
        <f>VLOOKUP(B230,'Model allocations'!$A$1:$L$316,6,FALSE)</f>
        <v>48902.554626971949</v>
      </c>
      <c r="E230" s="31">
        <f>VLOOKUP(B230,'Initial adjusted formula count'!$A$1:$P$316,12,FALSE)</f>
        <v>8.7310826542491296E-2</v>
      </c>
      <c r="F230">
        <f>VLOOKUP(B230,'Model allocations'!$A$1:$L$316,11,FALSE)</f>
        <v>42367.006495539463</v>
      </c>
      <c r="G230" s="30">
        <f t="shared" si="74"/>
        <v>0.85</v>
      </c>
      <c r="H230">
        <f t="shared" si="75"/>
        <v>41567.171432926152</v>
      </c>
      <c r="I230">
        <f t="shared" si="57"/>
        <v>0</v>
      </c>
      <c r="J230">
        <f t="shared" si="58"/>
        <v>42367.006495539463</v>
      </c>
      <c r="K230">
        <f t="shared" si="59"/>
        <v>42332.335245944487</v>
      </c>
      <c r="L230">
        <f t="shared" si="60"/>
        <v>42332.335245944487</v>
      </c>
      <c r="M230">
        <f t="shared" si="61"/>
        <v>0</v>
      </c>
      <c r="N230" s="29">
        <f t="shared" si="62"/>
        <v>42332.335245944487</v>
      </c>
      <c r="O230" s="29">
        <f t="shared" si="63"/>
        <v>42329.418243515604</v>
      </c>
      <c r="P230" s="29">
        <f t="shared" si="64"/>
        <v>42329.418243515604</v>
      </c>
      <c r="Q230">
        <f t="shared" si="65"/>
        <v>0</v>
      </c>
      <c r="R230" s="29">
        <f t="shared" si="66"/>
        <v>42329.418243515604</v>
      </c>
      <c r="S230" s="29">
        <f t="shared" si="67"/>
        <v>42329.367437475477</v>
      </c>
      <c r="T230" s="29">
        <f t="shared" si="68"/>
        <v>42329.367437475477</v>
      </c>
      <c r="U230">
        <f t="shared" si="69"/>
        <v>0</v>
      </c>
      <c r="V230" s="29">
        <f t="shared" si="70"/>
        <v>42329.367437475477</v>
      </c>
      <c r="W230" s="29">
        <f t="shared" si="71"/>
        <v>42329.367437475477</v>
      </c>
      <c r="X230" s="29">
        <f t="shared" si="72"/>
        <v>42329.367437475477</v>
      </c>
      <c r="Y230">
        <f t="shared" si="73"/>
        <v>0</v>
      </c>
    </row>
    <row r="231" spans="1:25" x14ac:dyDescent="0.25">
      <c r="A231" s="4" t="s">
        <v>1101</v>
      </c>
      <c r="B231" s="7" t="s">
        <v>571</v>
      </c>
      <c r="C231" s="2" t="s">
        <v>1102</v>
      </c>
      <c r="D231">
        <f>VLOOKUP(B231,'Model allocations'!$A$1:$L$316,6,FALSE)</f>
        <v>10527.985249291687</v>
      </c>
      <c r="E231" s="31">
        <f>VLOOKUP(B231,'Initial adjusted formula count'!$A$1:$P$316,12,FALSE)</f>
        <v>0.155963302752294</v>
      </c>
      <c r="F231">
        <f>VLOOKUP(B231,'Model allocations'!$A$1:$L$316,11,FALSE)</f>
        <v>9610.7294661451524</v>
      </c>
      <c r="G231" s="30">
        <f t="shared" si="74"/>
        <v>0.9</v>
      </c>
      <c r="H231">
        <f t="shared" si="75"/>
        <v>9475.1867243625184</v>
      </c>
      <c r="I231">
        <f t="shared" si="57"/>
        <v>0</v>
      </c>
      <c r="J231">
        <f t="shared" si="58"/>
        <v>9610.7294661451524</v>
      </c>
      <c r="K231">
        <f t="shared" si="59"/>
        <v>9602.864478087864</v>
      </c>
      <c r="L231">
        <f t="shared" si="60"/>
        <v>9602.864478087864</v>
      </c>
      <c r="M231">
        <f t="shared" si="61"/>
        <v>0</v>
      </c>
      <c r="N231" s="29">
        <f t="shared" si="62"/>
        <v>9602.864478087864</v>
      </c>
      <c r="O231" s="29">
        <f t="shared" si="63"/>
        <v>9602.2027716442171</v>
      </c>
      <c r="P231" s="29">
        <f t="shared" si="64"/>
        <v>9602.2027716442171</v>
      </c>
      <c r="Q231">
        <f t="shared" si="65"/>
        <v>0</v>
      </c>
      <c r="R231" s="29">
        <f t="shared" si="66"/>
        <v>9602.2027716442171</v>
      </c>
      <c r="S231" s="29">
        <f t="shared" si="67"/>
        <v>9602.1912465649784</v>
      </c>
      <c r="T231" s="29">
        <f t="shared" si="68"/>
        <v>9602.1912465649784</v>
      </c>
      <c r="U231">
        <f t="shared" si="69"/>
        <v>0</v>
      </c>
      <c r="V231" s="29">
        <f t="shared" si="70"/>
        <v>9602.1912465649784</v>
      </c>
      <c r="W231" s="29">
        <f t="shared" si="71"/>
        <v>9602.1912465649784</v>
      </c>
      <c r="X231" s="29">
        <f t="shared" si="72"/>
        <v>9602.1912465649784</v>
      </c>
      <c r="Y231">
        <f t="shared" si="73"/>
        <v>0</v>
      </c>
    </row>
    <row r="232" spans="1:25" x14ac:dyDescent="0.25">
      <c r="A232" s="8" t="s">
        <v>50</v>
      </c>
      <c r="B232" s="7" t="s">
        <v>81</v>
      </c>
      <c r="C232" s="2" t="s">
        <v>1103</v>
      </c>
      <c r="D232">
        <f>VLOOKUP(B232,'Model allocations'!$A$1:$L$316,6,FALSE)</f>
        <v>16716.056073046999</v>
      </c>
      <c r="E232" s="31">
        <f>VLOOKUP(B232,'Initial adjusted formula count'!$A$1:$P$316,12,FALSE)</f>
        <v>0.120764644973055</v>
      </c>
      <c r="F232">
        <f>VLOOKUP(B232,'Model allocations'!$A$1:$L$316,11,FALSE)</f>
        <v>14993.474624731874</v>
      </c>
      <c r="G232" s="30">
        <f t="shared" si="74"/>
        <v>0.85</v>
      </c>
      <c r="H232">
        <f t="shared" si="75"/>
        <v>14208.647662089948</v>
      </c>
      <c r="I232">
        <f t="shared" si="57"/>
        <v>0</v>
      </c>
      <c r="J232">
        <f t="shared" si="58"/>
        <v>14993.474624731874</v>
      </c>
      <c r="K232">
        <f t="shared" si="59"/>
        <v>14981.204640515154</v>
      </c>
      <c r="L232">
        <f t="shared" si="60"/>
        <v>14981.204640515154</v>
      </c>
      <c r="M232">
        <f t="shared" si="61"/>
        <v>0</v>
      </c>
      <c r="N232" s="29">
        <f t="shared" si="62"/>
        <v>14981.204640515154</v>
      </c>
      <c r="O232" s="29">
        <f t="shared" si="63"/>
        <v>14980.172327743603</v>
      </c>
      <c r="P232" s="29">
        <f t="shared" si="64"/>
        <v>14980.172327743603</v>
      </c>
      <c r="Q232">
        <f t="shared" si="65"/>
        <v>0</v>
      </c>
      <c r="R232" s="29">
        <f t="shared" si="66"/>
        <v>14980.172327743603</v>
      </c>
      <c r="S232" s="29">
        <f t="shared" si="67"/>
        <v>14980.154347736601</v>
      </c>
      <c r="T232" s="29">
        <f t="shared" si="68"/>
        <v>14980.154347736601</v>
      </c>
      <c r="U232">
        <f t="shared" si="69"/>
        <v>0</v>
      </c>
      <c r="V232" s="29">
        <f t="shared" si="70"/>
        <v>14980.154347736601</v>
      </c>
      <c r="W232" s="29">
        <f t="shared" si="71"/>
        <v>14980.154347736601</v>
      </c>
      <c r="X232" s="29">
        <f t="shared" si="72"/>
        <v>14980.154347736601</v>
      </c>
      <c r="Y232">
        <f t="shared" si="73"/>
        <v>0</v>
      </c>
    </row>
    <row r="233" spans="1:25" x14ac:dyDescent="0.25">
      <c r="A233" s="4" t="s">
        <v>46</v>
      </c>
      <c r="B233" s="7" t="s">
        <v>80</v>
      </c>
      <c r="C233" s="2" t="s">
        <v>1104</v>
      </c>
      <c r="D233">
        <f>VLOOKUP(B233,'Model allocations'!$A$1:$L$316,6,FALSE)</f>
        <v>0</v>
      </c>
      <c r="E233" s="31">
        <f>VLOOKUP(B233,'Initial adjusted formula count'!$A$1:$P$316,12,FALSE)</f>
        <v>0.104075599186366</v>
      </c>
      <c r="F233">
        <f>VLOOKUP(B233,'Model allocations'!$A$1:$L$316,11,FALSE)</f>
        <v>0</v>
      </c>
      <c r="G233" s="30">
        <f t="shared" si="74"/>
        <v>0.85</v>
      </c>
      <c r="H233">
        <f t="shared" si="75"/>
        <v>0</v>
      </c>
      <c r="I233">
        <f t="shared" si="57"/>
        <v>0</v>
      </c>
      <c r="J233">
        <f t="shared" si="58"/>
        <v>0</v>
      </c>
      <c r="K233">
        <f t="shared" si="59"/>
        <v>0</v>
      </c>
      <c r="L233">
        <f t="shared" si="60"/>
        <v>0</v>
      </c>
      <c r="M233">
        <f t="shared" si="61"/>
        <v>0</v>
      </c>
      <c r="N233" s="29">
        <f t="shared" si="62"/>
        <v>0</v>
      </c>
      <c r="O233" s="29">
        <f t="shared" si="63"/>
        <v>0</v>
      </c>
      <c r="P233" s="29">
        <f t="shared" si="64"/>
        <v>0</v>
      </c>
      <c r="Q233">
        <f t="shared" si="65"/>
        <v>0</v>
      </c>
      <c r="R233" s="29">
        <f t="shared" si="66"/>
        <v>0</v>
      </c>
      <c r="S233" s="29">
        <f t="shared" si="67"/>
        <v>0</v>
      </c>
      <c r="T233" s="29">
        <f t="shared" si="68"/>
        <v>0</v>
      </c>
      <c r="U233">
        <f t="shared" si="69"/>
        <v>0</v>
      </c>
      <c r="V233" s="29">
        <f t="shared" si="70"/>
        <v>0</v>
      </c>
      <c r="W233" s="29">
        <f t="shared" si="71"/>
        <v>0</v>
      </c>
      <c r="X233" s="29">
        <f t="shared" si="72"/>
        <v>0</v>
      </c>
      <c r="Y233">
        <f t="shared" si="73"/>
        <v>0</v>
      </c>
    </row>
    <row r="234" spans="1:25" x14ac:dyDescent="0.25">
      <c r="A234" s="4" t="s">
        <v>24</v>
      </c>
      <c r="B234" s="7" t="s">
        <v>59</v>
      </c>
      <c r="C234" s="2" t="s">
        <v>1105</v>
      </c>
      <c r="D234">
        <f>VLOOKUP(B234,'Model allocations'!$A$1:$L$316,6,FALSE)</f>
        <v>6576728.5892542154</v>
      </c>
      <c r="E234" s="31">
        <f>VLOOKUP(B234,'Initial adjusted formula count'!$A$1:$P$316,12,FALSE)</f>
        <v>8.5865311603711206E-2</v>
      </c>
      <c r="F234">
        <f>VLOOKUP(B234,'Model allocations'!$A$1:$L$316,11,FALSE)</f>
        <v>5899276.2401499748</v>
      </c>
      <c r="G234" s="30">
        <f t="shared" si="74"/>
        <v>0.85</v>
      </c>
      <c r="H234">
        <f t="shared" si="75"/>
        <v>5590219.3008660832</v>
      </c>
      <c r="I234">
        <f t="shared" si="57"/>
        <v>0</v>
      </c>
      <c r="J234">
        <f t="shared" si="58"/>
        <v>5899276.2401499748</v>
      </c>
      <c r="K234">
        <f t="shared" si="59"/>
        <v>5894448.538221743</v>
      </c>
      <c r="L234">
        <f t="shared" si="60"/>
        <v>5894448.538221743</v>
      </c>
      <c r="M234">
        <f t="shared" si="61"/>
        <v>0</v>
      </c>
      <c r="N234" s="29">
        <f t="shared" si="62"/>
        <v>5894448.538221743</v>
      </c>
      <c r="O234" s="29">
        <f t="shared" si="63"/>
        <v>5894042.3683139635</v>
      </c>
      <c r="P234" s="29">
        <f t="shared" si="64"/>
        <v>5894042.3683139635</v>
      </c>
      <c r="Q234">
        <f t="shared" si="65"/>
        <v>0</v>
      </c>
      <c r="R234" s="29">
        <f t="shared" si="66"/>
        <v>5894042.3683139635</v>
      </c>
      <c r="S234" s="29">
        <f t="shared" si="67"/>
        <v>5894035.2939679055</v>
      </c>
      <c r="T234" s="29">
        <f t="shared" si="68"/>
        <v>5894035.2939679055</v>
      </c>
      <c r="U234">
        <f t="shared" si="69"/>
        <v>0</v>
      </c>
      <c r="V234" s="29">
        <f t="shared" si="70"/>
        <v>5894035.2939679055</v>
      </c>
      <c r="W234" s="29">
        <f t="shared" si="71"/>
        <v>5894035.2939679055</v>
      </c>
      <c r="X234" s="29">
        <f t="shared" si="72"/>
        <v>5894035.2939679055</v>
      </c>
      <c r="Y234">
        <f t="shared" si="73"/>
        <v>0</v>
      </c>
    </row>
    <row r="235" spans="1:25" x14ac:dyDescent="0.25">
      <c r="A235" s="4" t="s">
        <v>1106</v>
      </c>
      <c r="B235" s="7" t="s">
        <v>299</v>
      </c>
      <c r="C235" s="2" t="s">
        <v>1107</v>
      </c>
      <c r="D235">
        <f>VLOOKUP(B235,'Model allocations'!$A$1:$L$316,6,FALSE)</f>
        <v>325258.85170497623</v>
      </c>
      <c r="E235" s="31">
        <f>VLOOKUP(B235,'Initial adjusted formula count'!$A$1:$P$316,12,FALSE)</f>
        <v>9.0155849279936903E-2</v>
      </c>
      <c r="F235">
        <f>VLOOKUP(B235,'Model allocations'!$A$1:$L$316,11,FALSE)</f>
        <v>276667.95482653379</v>
      </c>
      <c r="G235" s="30">
        <f t="shared" si="74"/>
        <v>0.85</v>
      </c>
      <c r="H235">
        <f t="shared" si="75"/>
        <v>276470.0239492298</v>
      </c>
      <c r="I235">
        <f t="shared" si="57"/>
        <v>0</v>
      </c>
      <c r="J235">
        <f t="shared" si="58"/>
        <v>276667.95482653379</v>
      </c>
      <c r="K235">
        <f t="shared" si="59"/>
        <v>276441.54223545938</v>
      </c>
      <c r="L235">
        <f t="shared" si="60"/>
        <v>276441.54223545938</v>
      </c>
      <c r="M235">
        <f t="shared" si="61"/>
        <v>276470.0239492298</v>
      </c>
      <c r="N235" s="29">
        <f t="shared" si="62"/>
        <v>0</v>
      </c>
      <c r="O235" s="29">
        <f t="shared" si="63"/>
        <v>0</v>
      </c>
      <c r="P235" s="29">
        <f t="shared" si="64"/>
        <v>276470.0239492298</v>
      </c>
      <c r="Q235">
        <f t="shared" si="65"/>
        <v>0</v>
      </c>
      <c r="R235" s="29">
        <f t="shared" si="66"/>
        <v>0</v>
      </c>
      <c r="S235" s="29">
        <f t="shared" si="67"/>
        <v>0</v>
      </c>
      <c r="T235" s="29">
        <f t="shared" si="68"/>
        <v>276470.0239492298</v>
      </c>
      <c r="U235">
        <f t="shared" si="69"/>
        <v>0</v>
      </c>
      <c r="V235" s="29">
        <f t="shared" si="70"/>
        <v>0</v>
      </c>
      <c r="W235" s="29">
        <f t="shared" si="71"/>
        <v>0</v>
      </c>
      <c r="X235" s="29">
        <f t="shared" si="72"/>
        <v>276470.0239492298</v>
      </c>
      <c r="Y235">
        <f t="shared" si="73"/>
        <v>0</v>
      </c>
    </row>
    <row r="236" spans="1:25" x14ac:dyDescent="0.25">
      <c r="A236" s="4" t="s">
        <v>1108</v>
      </c>
      <c r="B236" s="7" t="s">
        <v>573</v>
      </c>
      <c r="C236" s="2" t="s">
        <v>1109</v>
      </c>
      <c r="D236">
        <f>VLOOKUP(B236,'Model allocations'!$A$1:$L$316,6,FALSE)</f>
        <v>287728.98420055583</v>
      </c>
      <c r="E236" s="31">
        <f>VLOOKUP(B236,'Initial adjusted formula count'!$A$1:$P$316,12,FALSE)</f>
        <v>0.130539499036609</v>
      </c>
      <c r="F236">
        <f>VLOOKUP(B236,'Model allocations'!$A$1:$L$316,11,FALSE)</f>
        <v>306172.23360776505</v>
      </c>
      <c r="G236" s="30">
        <f t="shared" si="74"/>
        <v>0.85</v>
      </c>
      <c r="H236">
        <f t="shared" si="75"/>
        <v>244569.63657047244</v>
      </c>
      <c r="I236">
        <f t="shared" si="57"/>
        <v>0</v>
      </c>
      <c r="J236">
        <f t="shared" si="58"/>
        <v>306172.23360776505</v>
      </c>
      <c r="K236">
        <f t="shared" si="59"/>
        <v>305921.6760440254</v>
      </c>
      <c r="L236">
        <f t="shared" si="60"/>
        <v>305921.6760440254</v>
      </c>
      <c r="M236">
        <f t="shared" si="61"/>
        <v>0</v>
      </c>
      <c r="N236" s="29">
        <f t="shared" si="62"/>
        <v>305921.6760440254</v>
      </c>
      <c r="O236" s="29">
        <f t="shared" si="63"/>
        <v>305900.59583980602</v>
      </c>
      <c r="P236" s="29">
        <f t="shared" si="64"/>
        <v>305900.59583980602</v>
      </c>
      <c r="Q236">
        <f t="shared" si="65"/>
        <v>0</v>
      </c>
      <c r="R236" s="29">
        <f t="shared" si="66"/>
        <v>305900.59583980602</v>
      </c>
      <c r="S236" s="29">
        <f t="shared" si="67"/>
        <v>305900.22868148936</v>
      </c>
      <c r="T236" s="29">
        <f t="shared" si="68"/>
        <v>305900.22868148936</v>
      </c>
      <c r="U236">
        <f t="shared" si="69"/>
        <v>0</v>
      </c>
      <c r="V236" s="29">
        <f t="shared" si="70"/>
        <v>305900.22868148936</v>
      </c>
      <c r="W236" s="29">
        <f t="shared" si="71"/>
        <v>305900.22868148936</v>
      </c>
      <c r="X236" s="29">
        <f t="shared" si="72"/>
        <v>305900.22868148936</v>
      </c>
      <c r="Y236">
        <f t="shared" si="73"/>
        <v>0</v>
      </c>
    </row>
    <row r="237" spans="1:25" x14ac:dyDescent="0.25">
      <c r="A237" s="4" t="s">
        <v>1110</v>
      </c>
      <c r="B237" s="7" t="s">
        <v>575</v>
      </c>
      <c r="C237" s="2" t="s">
        <v>1111</v>
      </c>
      <c r="D237">
        <f>VLOOKUP(B237,'Model allocations'!$A$1:$L$316,6,FALSE)</f>
        <v>66555.239578596578</v>
      </c>
      <c r="E237" s="31">
        <f>VLOOKUP(B237,'Initial adjusted formula count'!$A$1:$P$316,12,FALSE)</f>
        <v>0.341614906832298</v>
      </c>
      <c r="F237">
        <f>VLOOKUP(B237,'Model allocations'!$A$1:$L$316,11,FALSE)</f>
        <v>109387.23284747836</v>
      </c>
      <c r="G237" s="30">
        <f t="shared" si="74"/>
        <v>0.95</v>
      </c>
      <c r="H237">
        <f t="shared" si="75"/>
        <v>63227.477599666745</v>
      </c>
      <c r="I237">
        <f t="shared" si="57"/>
        <v>0</v>
      </c>
      <c r="J237">
        <f t="shared" si="58"/>
        <v>109387.23284747836</v>
      </c>
      <c r="K237">
        <f t="shared" si="59"/>
        <v>109297.71526371992</v>
      </c>
      <c r="L237">
        <f t="shared" si="60"/>
        <v>109297.71526371992</v>
      </c>
      <c r="M237">
        <f t="shared" si="61"/>
        <v>0</v>
      </c>
      <c r="N237" s="29">
        <f t="shared" si="62"/>
        <v>109297.71526371992</v>
      </c>
      <c r="O237" s="29">
        <f t="shared" si="63"/>
        <v>109290.18386487213</v>
      </c>
      <c r="P237" s="29">
        <f t="shared" si="64"/>
        <v>109290.18386487213</v>
      </c>
      <c r="Q237">
        <f t="shared" si="65"/>
        <v>0</v>
      </c>
      <c r="R237" s="29">
        <f t="shared" si="66"/>
        <v>109290.18386487213</v>
      </c>
      <c r="S237" s="29">
        <f t="shared" si="67"/>
        <v>109290.05268892647</v>
      </c>
      <c r="T237" s="29">
        <f t="shared" si="68"/>
        <v>109290.05268892647</v>
      </c>
      <c r="U237">
        <f t="shared" si="69"/>
        <v>0</v>
      </c>
      <c r="V237" s="29">
        <f t="shared" si="70"/>
        <v>109290.05268892647</v>
      </c>
      <c r="W237" s="29">
        <f t="shared" si="71"/>
        <v>109290.05268892647</v>
      </c>
      <c r="X237" s="29">
        <f t="shared" si="72"/>
        <v>109290.05268892647</v>
      </c>
      <c r="Y237">
        <f t="shared" si="73"/>
        <v>0</v>
      </c>
    </row>
    <row r="238" spans="1:25" x14ac:dyDescent="0.25">
      <c r="A238" s="4" t="s">
        <v>1112</v>
      </c>
      <c r="B238" s="7" t="s">
        <v>577</v>
      </c>
      <c r="C238" s="2" t="s">
        <v>1113</v>
      </c>
      <c r="D238">
        <f>VLOOKUP(B238,'Model allocations'!$A$1:$L$316,6,FALSE)</f>
        <v>261571.80381868707</v>
      </c>
      <c r="E238" s="31">
        <f>VLOOKUP(B238,'Initial adjusted formula count'!$A$1:$P$316,12,FALSE)</f>
        <v>0.12733720180528699</v>
      </c>
      <c r="F238">
        <f>VLOOKUP(B238,'Model allocations'!$A$1:$L$316,11,FALSE)</f>
        <v>223132.9008765078</v>
      </c>
      <c r="G238" s="30">
        <f t="shared" si="74"/>
        <v>0.85</v>
      </c>
      <c r="H238">
        <f t="shared" si="75"/>
        <v>222336.033245884</v>
      </c>
      <c r="I238">
        <f t="shared" si="57"/>
        <v>0</v>
      </c>
      <c r="J238">
        <f t="shared" si="58"/>
        <v>223132.9008765078</v>
      </c>
      <c r="K238">
        <f t="shared" si="59"/>
        <v>222950.29896197427</v>
      </c>
      <c r="L238">
        <f t="shared" si="60"/>
        <v>222950.29896197427</v>
      </c>
      <c r="M238">
        <f t="shared" si="61"/>
        <v>0</v>
      </c>
      <c r="N238" s="29">
        <f t="shared" si="62"/>
        <v>222950.29896197427</v>
      </c>
      <c r="O238" s="29">
        <f t="shared" si="63"/>
        <v>222934.93608251549</v>
      </c>
      <c r="P238" s="29">
        <f t="shared" si="64"/>
        <v>222934.93608251549</v>
      </c>
      <c r="Q238">
        <f t="shared" si="65"/>
        <v>0</v>
      </c>
      <c r="R238" s="29">
        <f t="shared" si="66"/>
        <v>222934.93608251549</v>
      </c>
      <c r="S238" s="29">
        <f t="shared" si="67"/>
        <v>222934.66850403749</v>
      </c>
      <c r="T238" s="29">
        <f t="shared" si="68"/>
        <v>222934.66850403749</v>
      </c>
      <c r="U238">
        <f t="shared" si="69"/>
        <v>0</v>
      </c>
      <c r="V238" s="29">
        <f t="shared" si="70"/>
        <v>222934.66850403749</v>
      </c>
      <c r="W238" s="29">
        <f t="shared" si="71"/>
        <v>222934.66850403749</v>
      </c>
      <c r="X238" s="29">
        <f t="shared" si="72"/>
        <v>222934.66850403749</v>
      </c>
      <c r="Y238">
        <f t="shared" si="73"/>
        <v>0</v>
      </c>
    </row>
    <row r="239" spans="1:25" x14ac:dyDescent="0.25">
      <c r="A239" s="4" t="s">
        <v>1114</v>
      </c>
      <c r="B239" s="7" t="s">
        <v>208</v>
      </c>
      <c r="C239" s="2" t="s">
        <v>1115</v>
      </c>
      <c r="D239">
        <f>VLOOKUP(B239,'Model allocations'!$A$1:$L$316,6,FALSE)</f>
        <v>0</v>
      </c>
      <c r="E239" s="31">
        <f>VLOOKUP(B239,'Initial adjusted formula count'!$A$1:$P$316,12,FALSE)</f>
        <v>9.0909090909090898E-2</v>
      </c>
      <c r="F239">
        <f>VLOOKUP(B239,'Model allocations'!$A$1:$L$316,11,FALSE)</f>
        <v>0</v>
      </c>
      <c r="G239" s="30">
        <f t="shared" si="74"/>
        <v>0.85</v>
      </c>
      <c r="H239">
        <f t="shared" si="75"/>
        <v>0</v>
      </c>
      <c r="I239">
        <f t="shared" si="57"/>
        <v>0</v>
      </c>
      <c r="J239">
        <f t="shared" si="58"/>
        <v>0</v>
      </c>
      <c r="K239">
        <f t="shared" si="59"/>
        <v>0</v>
      </c>
      <c r="L239">
        <f t="shared" si="60"/>
        <v>0</v>
      </c>
      <c r="M239">
        <f t="shared" si="61"/>
        <v>0</v>
      </c>
      <c r="N239" s="29">
        <f t="shared" si="62"/>
        <v>0</v>
      </c>
      <c r="O239" s="29">
        <f t="shared" si="63"/>
        <v>0</v>
      </c>
      <c r="P239" s="29">
        <f t="shared" si="64"/>
        <v>0</v>
      </c>
      <c r="Q239">
        <f t="shared" si="65"/>
        <v>0</v>
      </c>
      <c r="R239" s="29">
        <f t="shared" si="66"/>
        <v>0</v>
      </c>
      <c r="S239" s="29">
        <f t="shared" si="67"/>
        <v>0</v>
      </c>
      <c r="T239" s="29">
        <f t="shared" si="68"/>
        <v>0</v>
      </c>
      <c r="U239">
        <f t="shared" si="69"/>
        <v>0</v>
      </c>
      <c r="V239" s="29">
        <f t="shared" si="70"/>
        <v>0</v>
      </c>
      <c r="W239" s="29">
        <f t="shared" si="71"/>
        <v>0</v>
      </c>
      <c r="X239" s="29">
        <f t="shared" si="72"/>
        <v>0</v>
      </c>
      <c r="Y239">
        <f t="shared" si="73"/>
        <v>0</v>
      </c>
    </row>
    <row r="240" spans="1:25" x14ac:dyDescent="0.25">
      <c r="A240" s="4" t="s">
        <v>1116</v>
      </c>
      <c r="B240" s="7" t="s">
        <v>579</v>
      </c>
      <c r="C240" s="2" t="s">
        <v>1117</v>
      </c>
      <c r="D240">
        <f>VLOOKUP(B240,'Model allocations'!$A$1:$L$316,6,FALSE)</f>
        <v>475425.68896452303</v>
      </c>
      <c r="E240" s="31">
        <f>VLOOKUP(B240,'Initial adjusted formula count'!$A$1:$P$316,12,FALSE)</f>
        <v>0.211978307003065</v>
      </c>
      <c r="F240">
        <f>VLOOKUP(B240,'Model allocations'!$A$1:$L$316,11,FALSE)</f>
        <v>608779.50957629853</v>
      </c>
      <c r="G240" s="30">
        <f t="shared" si="74"/>
        <v>0.9</v>
      </c>
      <c r="H240">
        <f t="shared" si="75"/>
        <v>427883.12006807071</v>
      </c>
      <c r="I240">
        <f t="shared" si="57"/>
        <v>0</v>
      </c>
      <c r="J240">
        <f t="shared" si="58"/>
        <v>608779.50957629853</v>
      </c>
      <c r="K240">
        <f t="shared" si="59"/>
        <v>608281.31184955919</v>
      </c>
      <c r="L240">
        <f t="shared" si="60"/>
        <v>608281.31184955919</v>
      </c>
      <c r="M240">
        <f t="shared" si="61"/>
        <v>0</v>
      </c>
      <c r="N240" s="29">
        <f t="shared" si="62"/>
        <v>608281.31184955919</v>
      </c>
      <c r="O240" s="29">
        <f t="shared" si="63"/>
        <v>608239.39689131745</v>
      </c>
      <c r="P240" s="29">
        <f t="shared" si="64"/>
        <v>608239.39689131745</v>
      </c>
      <c r="Q240">
        <f t="shared" si="65"/>
        <v>0</v>
      </c>
      <c r="R240" s="29">
        <f t="shared" si="66"/>
        <v>608239.39689131745</v>
      </c>
      <c r="S240" s="29">
        <f t="shared" si="67"/>
        <v>608238.66684974136</v>
      </c>
      <c r="T240" s="29">
        <f t="shared" si="68"/>
        <v>608238.66684974136</v>
      </c>
      <c r="U240">
        <f t="shared" si="69"/>
        <v>0</v>
      </c>
      <c r="V240" s="29">
        <f t="shared" si="70"/>
        <v>608238.66684974136</v>
      </c>
      <c r="W240" s="29">
        <f t="shared" si="71"/>
        <v>608238.66684974136</v>
      </c>
      <c r="X240" s="29">
        <f t="shared" si="72"/>
        <v>608238.66684974136</v>
      </c>
      <c r="Y240">
        <f t="shared" si="73"/>
        <v>0</v>
      </c>
    </row>
    <row r="241" spans="1:25" x14ac:dyDescent="0.25">
      <c r="A241" s="4" t="s">
        <v>1118</v>
      </c>
      <c r="B241" s="7" t="s">
        <v>210</v>
      </c>
      <c r="C241" s="2" t="s">
        <v>1119</v>
      </c>
      <c r="D241">
        <f>VLOOKUP(B241,'Model allocations'!$A$1:$L$316,6,FALSE)</f>
        <v>383259.55602998938</v>
      </c>
      <c r="E241" s="31">
        <f>VLOOKUP(B241,'Initial adjusted formula count'!$A$1:$P$316,12,FALSE)</f>
        <v>6.5839694656488604E-2</v>
      </c>
      <c r="F241">
        <f>VLOOKUP(B241,'Model allocations'!$A$1:$L$316,11,FALSE)</f>
        <v>389776.45975896297</v>
      </c>
      <c r="G241" s="30">
        <f t="shared" si="74"/>
        <v>0.85</v>
      </c>
      <c r="H241">
        <f t="shared" si="75"/>
        <v>325770.62262549094</v>
      </c>
      <c r="I241">
        <f t="shared" si="57"/>
        <v>0</v>
      </c>
      <c r="J241">
        <f t="shared" si="58"/>
        <v>389776.45975896297</v>
      </c>
      <c r="K241">
        <f t="shared" si="59"/>
        <v>389457.48426268925</v>
      </c>
      <c r="L241">
        <f t="shared" si="60"/>
        <v>389457.48426268925</v>
      </c>
      <c r="M241">
        <f t="shared" si="61"/>
        <v>0</v>
      </c>
      <c r="N241" s="29">
        <f t="shared" si="62"/>
        <v>389457.48426268925</v>
      </c>
      <c r="O241" s="29">
        <f t="shared" si="63"/>
        <v>389430.64784034347</v>
      </c>
      <c r="P241" s="29">
        <f t="shared" si="64"/>
        <v>389430.64784034347</v>
      </c>
      <c r="Q241">
        <f t="shared" si="65"/>
        <v>0</v>
      </c>
      <c r="R241" s="29">
        <f t="shared" si="66"/>
        <v>389430.64784034347</v>
      </c>
      <c r="S241" s="29">
        <f t="shared" si="67"/>
        <v>389430.1804247743</v>
      </c>
      <c r="T241" s="29">
        <f t="shared" si="68"/>
        <v>389430.1804247743</v>
      </c>
      <c r="U241">
        <f t="shared" si="69"/>
        <v>0</v>
      </c>
      <c r="V241" s="29">
        <f t="shared" si="70"/>
        <v>389430.1804247743</v>
      </c>
      <c r="W241" s="29">
        <f t="shared" si="71"/>
        <v>389430.1804247743</v>
      </c>
      <c r="X241" s="29">
        <f t="shared" si="72"/>
        <v>389430.1804247743</v>
      </c>
      <c r="Y241">
        <f t="shared" si="73"/>
        <v>0</v>
      </c>
    </row>
    <row r="242" spans="1:25" x14ac:dyDescent="0.25">
      <c r="A242" s="4" t="s">
        <v>1120</v>
      </c>
      <c r="B242" s="7" t="s">
        <v>301</v>
      </c>
      <c r="C242" s="2" t="s">
        <v>1121</v>
      </c>
      <c r="D242">
        <f>VLOOKUP(B242,'Model allocations'!$A$1:$L$316,6,FALSE)</f>
        <v>9098.1496980412903</v>
      </c>
      <c r="E242" s="31">
        <f>VLOOKUP(B242,'Initial adjusted formula count'!$A$1:$P$316,12,FALSE)</f>
        <v>0.13934426229508201</v>
      </c>
      <c r="F242">
        <f>VLOOKUP(B242,'Model allocations'!$A$1:$L$316,11,FALSE)</f>
        <v>9603.188138988944</v>
      </c>
      <c r="G242" s="30">
        <f t="shared" si="74"/>
        <v>0.85</v>
      </c>
      <c r="H242">
        <f t="shared" si="75"/>
        <v>7733.4272433350961</v>
      </c>
      <c r="I242">
        <f t="shared" si="57"/>
        <v>0</v>
      </c>
      <c r="J242">
        <f t="shared" si="58"/>
        <v>9603.188138988944</v>
      </c>
      <c r="K242">
        <f t="shared" si="59"/>
        <v>9595.3293224140834</v>
      </c>
      <c r="L242">
        <f t="shared" si="60"/>
        <v>9595.3293224140834</v>
      </c>
      <c r="M242">
        <f t="shared" si="61"/>
        <v>0</v>
      </c>
      <c r="N242" s="29">
        <f t="shared" si="62"/>
        <v>9595.3293224140834</v>
      </c>
      <c r="O242" s="29">
        <f t="shared" si="63"/>
        <v>9594.6681351968691</v>
      </c>
      <c r="P242" s="29">
        <f t="shared" si="64"/>
        <v>9594.6681351968691</v>
      </c>
      <c r="Q242">
        <f t="shared" si="65"/>
        <v>0</v>
      </c>
      <c r="R242" s="29">
        <f t="shared" si="66"/>
        <v>9594.6681351968691</v>
      </c>
      <c r="S242" s="29">
        <f t="shared" si="67"/>
        <v>9594.6566191611073</v>
      </c>
      <c r="T242" s="29">
        <f t="shared" si="68"/>
        <v>9594.6566191611073</v>
      </c>
      <c r="U242">
        <f t="shared" si="69"/>
        <v>0</v>
      </c>
      <c r="V242" s="29">
        <f t="shared" si="70"/>
        <v>9594.6566191611073</v>
      </c>
      <c r="W242" s="29">
        <f t="shared" si="71"/>
        <v>9594.6566191611073</v>
      </c>
      <c r="X242" s="29">
        <f t="shared" si="72"/>
        <v>9594.6566191611073</v>
      </c>
      <c r="Y242">
        <f t="shared" si="73"/>
        <v>0</v>
      </c>
    </row>
    <row r="243" spans="1:25" x14ac:dyDescent="0.25">
      <c r="A243" s="4" t="s">
        <v>1122</v>
      </c>
      <c r="B243" s="7" t="s">
        <v>212</v>
      </c>
      <c r="C243" s="2" t="s">
        <v>1123</v>
      </c>
      <c r="D243">
        <f>VLOOKUP(B243,'Model allocations'!$A$1:$L$316,6,FALSE)</f>
        <v>0</v>
      </c>
      <c r="E243" s="31">
        <f>VLOOKUP(B243,'Initial adjusted formula count'!$A$1:$P$316,12,FALSE)</f>
        <v>7.2463768115942004E-2</v>
      </c>
      <c r="F243">
        <f>VLOOKUP(B243,'Model allocations'!$A$1:$L$316,11,FALSE)</f>
        <v>0</v>
      </c>
      <c r="G243" s="30">
        <f t="shared" si="74"/>
        <v>0.85</v>
      </c>
      <c r="H243">
        <f t="shared" si="75"/>
        <v>0</v>
      </c>
      <c r="I243">
        <f t="shared" si="57"/>
        <v>0</v>
      </c>
      <c r="J243">
        <f t="shared" si="58"/>
        <v>0</v>
      </c>
      <c r="K243">
        <f t="shared" si="59"/>
        <v>0</v>
      </c>
      <c r="L243">
        <f t="shared" si="60"/>
        <v>0</v>
      </c>
      <c r="M243">
        <f t="shared" si="61"/>
        <v>0</v>
      </c>
      <c r="N243" s="29">
        <f t="shared" si="62"/>
        <v>0</v>
      </c>
      <c r="O243" s="29">
        <f t="shared" si="63"/>
        <v>0</v>
      </c>
      <c r="P243" s="29">
        <f t="shared" si="64"/>
        <v>0</v>
      </c>
      <c r="Q243">
        <f t="shared" si="65"/>
        <v>0</v>
      </c>
      <c r="R243" s="29">
        <f t="shared" si="66"/>
        <v>0</v>
      </c>
      <c r="S243" s="29">
        <f t="shared" si="67"/>
        <v>0</v>
      </c>
      <c r="T243" s="29">
        <f t="shared" si="68"/>
        <v>0</v>
      </c>
      <c r="U243">
        <f t="shared" si="69"/>
        <v>0</v>
      </c>
      <c r="V243" s="29">
        <f t="shared" si="70"/>
        <v>0</v>
      </c>
      <c r="W243" s="29">
        <f t="shared" si="71"/>
        <v>0</v>
      </c>
      <c r="X243" s="29">
        <f t="shared" si="72"/>
        <v>0</v>
      </c>
      <c r="Y243">
        <f t="shared" si="73"/>
        <v>0</v>
      </c>
    </row>
    <row r="244" spans="1:25" x14ac:dyDescent="0.25">
      <c r="A244" s="4" t="s">
        <v>1124</v>
      </c>
      <c r="B244" s="7" t="s">
        <v>214</v>
      </c>
      <c r="C244" s="2" t="s">
        <v>1125</v>
      </c>
      <c r="D244">
        <f>VLOOKUP(B244,'Model allocations'!$A$1:$L$316,6,FALSE)</f>
        <v>327533.38912948652</v>
      </c>
      <c r="E244" s="31">
        <f>VLOOKUP(B244,'Initial adjusted formula count'!$A$1:$P$316,12,FALSE)</f>
        <v>5.1329224542360399E-2</v>
      </c>
      <c r="F244">
        <f>VLOOKUP(B244,'Model allocations'!$A$1:$L$316,11,FALSE)</f>
        <v>315210.5283268136</v>
      </c>
      <c r="G244" s="30">
        <f t="shared" si="74"/>
        <v>0.85</v>
      </c>
      <c r="H244">
        <f t="shared" si="75"/>
        <v>278403.38076006353</v>
      </c>
      <c r="I244">
        <f t="shared" si="57"/>
        <v>0</v>
      </c>
      <c r="J244">
        <f t="shared" si="58"/>
        <v>315210.5283268136</v>
      </c>
      <c r="K244">
        <f t="shared" si="59"/>
        <v>314952.57422982698</v>
      </c>
      <c r="L244">
        <f t="shared" si="60"/>
        <v>314952.57422982698</v>
      </c>
      <c r="M244">
        <f t="shared" si="61"/>
        <v>0</v>
      </c>
      <c r="N244" s="29">
        <f t="shared" si="62"/>
        <v>314952.57422982698</v>
      </c>
      <c r="O244" s="29">
        <f t="shared" si="63"/>
        <v>314930.87173175608</v>
      </c>
      <c r="P244" s="29">
        <f t="shared" si="64"/>
        <v>314930.87173175608</v>
      </c>
      <c r="Q244">
        <f t="shared" si="65"/>
        <v>0</v>
      </c>
      <c r="R244" s="29">
        <f t="shared" si="66"/>
        <v>314930.87173175608</v>
      </c>
      <c r="S244" s="29">
        <f t="shared" si="67"/>
        <v>314930.49373481754</v>
      </c>
      <c r="T244" s="29">
        <f t="shared" si="68"/>
        <v>314930.49373481754</v>
      </c>
      <c r="U244">
        <f t="shared" si="69"/>
        <v>0</v>
      </c>
      <c r="V244" s="29">
        <f t="shared" si="70"/>
        <v>314930.49373481754</v>
      </c>
      <c r="W244" s="29">
        <f t="shared" si="71"/>
        <v>314930.49373481754</v>
      </c>
      <c r="X244" s="29">
        <f t="shared" si="72"/>
        <v>314930.49373481754</v>
      </c>
      <c r="Y244">
        <f t="shared" si="73"/>
        <v>0</v>
      </c>
    </row>
    <row r="245" spans="1:25" x14ac:dyDescent="0.25">
      <c r="A245" s="8" t="s">
        <v>1126</v>
      </c>
      <c r="B245" s="7" t="s">
        <v>216</v>
      </c>
      <c r="C245" s="2" t="s">
        <v>1127</v>
      </c>
      <c r="D245">
        <f>VLOOKUP(B245,'Model allocations'!$A$1:$L$316,6,FALSE)</f>
        <v>0</v>
      </c>
      <c r="E245" s="31">
        <f>VLOOKUP(B245,'Initial adjusted formula count'!$A$1:$P$316,12,FALSE)</f>
        <v>2.5588796944621298E-2</v>
      </c>
      <c r="F245">
        <f>VLOOKUP(B245,'Model allocations'!$A$1:$L$316,11,FALSE)</f>
        <v>0</v>
      </c>
      <c r="G245" s="30">
        <f t="shared" si="74"/>
        <v>0.85</v>
      </c>
      <c r="H245">
        <f t="shared" si="75"/>
        <v>0</v>
      </c>
      <c r="I245">
        <f t="shared" si="57"/>
        <v>0</v>
      </c>
      <c r="J245">
        <f t="shared" si="58"/>
        <v>0</v>
      </c>
      <c r="K245">
        <f t="shared" si="59"/>
        <v>0</v>
      </c>
      <c r="L245">
        <f t="shared" si="60"/>
        <v>0</v>
      </c>
      <c r="M245">
        <f t="shared" si="61"/>
        <v>0</v>
      </c>
      <c r="N245" s="29">
        <f t="shared" si="62"/>
        <v>0</v>
      </c>
      <c r="O245" s="29">
        <f t="shared" si="63"/>
        <v>0</v>
      </c>
      <c r="P245" s="29">
        <f t="shared" si="64"/>
        <v>0</v>
      </c>
      <c r="Q245">
        <f t="shared" si="65"/>
        <v>0</v>
      </c>
      <c r="R245" s="29">
        <f t="shared" si="66"/>
        <v>0</v>
      </c>
      <c r="S245" s="29">
        <f t="shared" si="67"/>
        <v>0</v>
      </c>
      <c r="T245" s="29">
        <f t="shared" si="68"/>
        <v>0</v>
      </c>
      <c r="U245">
        <f t="shared" si="69"/>
        <v>0</v>
      </c>
      <c r="V245" s="29">
        <f t="shared" si="70"/>
        <v>0</v>
      </c>
      <c r="W245" s="29">
        <f t="shared" si="71"/>
        <v>0</v>
      </c>
      <c r="X245" s="29">
        <f t="shared" si="72"/>
        <v>0</v>
      </c>
      <c r="Y245">
        <f t="shared" si="73"/>
        <v>0</v>
      </c>
    </row>
    <row r="246" spans="1:25" x14ac:dyDescent="0.25">
      <c r="A246" s="4" t="s">
        <v>1128</v>
      </c>
      <c r="B246" s="7" t="s">
        <v>581</v>
      </c>
      <c r="C246" s="2" t="s">
        <v>1129</v>
      </c>
      <c r="D246">
        <f>VLOOKUP(B246,'Model allocations'!$A$1:$L$316,6,FALSE)</f>
        <v>202340.71690560295</v>
      </c>
      <c r="E246" s="31">
        <f>VLOOKUP(B246,'Initial adjusted formula count'!$A$1:$P$316,12,FALSE)</f>
        <v>0.24711696869851699</v>
      </c>
      <c r="F246">
        <f>VLOOKUP(B246,'Model allocations'!$A$1:$L$316,11,FALSE)</f>
        <v>182237.01930600349</v>
      </c>
      <c r="G246" s="30">
        <f t="shared" si="74"/>
        <v>0.9</v>
      </c>
      <c r="H246">
        <f t="shared" si="75"/>
        <v>182106.64521504266</v>
      </c>
      <c r="I246">
        <f t="shared" si="57"/>
        <v>0</v>
      </c>
      <c r="J246">
        <f t="shared" si="58"/>
        <v>182237.01930600349</v>
      </c>
      <c r="K246">
        <f t="shared" si="59"/>
        <v>182087.88473869656</v>
      </c>
      <c r="L246">
        <f t="shared" si="60"/>
        <v>182087.88473869656</v>
      </c>
      <c r="M246">
        <f t="shared" si="61"/>
        <v>182106.64521504266</v>
      </c>
      <c r="N246" s="29">
        <f t="shared" si="62"/>
        <v>0</v>
      </c>
      <c r="O246" s="29">
        <f t="shared" si="63"/>
        <v>0</v>
      </c>
      <c r="P246" s="29">
        <f t="shared" si="64"/>
        <v>182106.64521504266</v>
      </c>
      <c r="Q246">
        <f t="shared" si="65"/>
        <v>0</v>
      </c>
      <c r="R246" s="29">
        <f t="shared" si="66"/>
        <v>0</v>
      </c>
      <c r="S246" s="29">
        <f t="shared" si="67"/>
        <v>0</v>
      </c>
      <c r="T246" s="29">
        <f t="shared" si="68"/>
        <v>182106.64521504266</v>
      </c>
      <c r="U246">
        <f t="shared" si="69"/>
        <v>0</v>
      </c>
      <c r="V246" s="29">
        <f t="shared" si="70"/>
        <v>0</v>
      </c>
      <c r="W246" s="29">
        <f t="shared" si="71"/>
        <v>0</v>
      </c>
      <c r="X246" s="29">
        <f t="shared" si="72"/>
        <v>182106.64521504266</v>
      </c>
      <c r="Y246">
        <f t="shared" si="73"/>
        <v>0</v>
      </c>
    </row>
    <row r="247" spans="1:25" x14ac:dyDescent="0.25">
      <c r="A247" s="4" t="s">
        <v>1130</v>
      </c>
      <c r="B247" s="7" t="s">
        <v>583</v>
      </c>
      <c r="C247" s="2" t="s">
        <v>1131</v>
      </c>
      <c r="D247">
        <f>VLOOKUP(B247,'Model allocations'!$A$1:$L$316,6,FALSE)</f>
        <v>61834.904512131849</v>
      </c>
      <c r="E247" s="31">
        <f>VLOOKUP(B247,'Initial adjusted formula count'!$A$1:$P$316,12,FALSE)</f>
        <v>0.17318435754189901</v>
      </c>
      <c r="F247">
        <f>VLOOKUP(B247,'Model allocations'!$A$1:$L$316,11,FALSE)</f>
        <v>55651.414060918665</v>
      </c>
      <c r="G247" s="30">
        <f t="shared" si="74"/>
        <v>0.9</v>
      </c>
      <c r="H247">
        <f t="shared" si="75"/>
        <v>55651.414060918665</v>
      </c>
      <c r="I247">
        <f t="shared" si="57"/>
        <v>0</v>
      </c>
      <c r="J247">
        <f t="shared" si="58"/>
        <v>55651.414060918665</v>
      </c>
      <c r="K247">
        <f t="shared" si="59"/>
        <v>55605.871450599421</v>
      </c>
      <c r="L247">
        <f t="shared" si="60"/>
        <v>55605.871450599421</v>
      </c>
      <c r="M247">
        <f t="shared" si="61"/>
        <v>55651.414060918665</v>
      </c>
      <c r="N247" s="29">
        <f t="shared" si="62"/>
        <v>0</v>
      </c>
      <c r="O247" s="29">
        <f t="shared" si="63"/>
        <v>0</v>
      </c>
      <c r="P247" s="29">
        <f t="shared" si="64"/>
        <v>55651.414060918665</v>
      </c>
      <c r="Q247">
        <f t="shared" si="65"/>
        <v>0</v>
      </c>
      <c r="R247" s="29">
        <f t="shared" si="66"/>
        <v>0</v>
      </c>
      <c r="S247" s="29">
        <f t="shared" si="67"/>
        <v>0</v>
      </c>
      <c r="T247" s="29">
        <f t="shared" si="68"/>
        <v>55651.414060918665</v>
      </c>
      <c r="U247">
        <f t="shared" si="69"/>
        <v>0</v>
      </c>
      <c r="V247" s="29">
        <f t="shared" si="70"/>
        <v>0</v>
      </c>
      <c r="W247" s="29">
        <f t="shared" si="71"/>
        <v>0</v>
      </c>
      <c r="X247" s="29">
        <f t="shared" si="72"/>
        <v>55651.414060918665</v>
      </c>
      <c r="Y247">
        <f t="shared" si="73"/>
        <v>0</v>
      </c>
    </row>
    <row r="248" spans="1:25" x14ac:dyDescent="0.25">
      <c r="A248" s="4" t="s">
        <v>1132</v>
      </c>
      <c r="B248" s="7" t="s">
        <v>218</v>
      </c>
      <c r="C248" s="2" t="s">
        <v>1133</v>
      </c>
      <c r="D248">
        <f>VLOOKUP(B248,'Model allocations'!$A$1:$L$316,6,FALSE)</f>
        <v>664043.08378385974</v>
      </c>
      <c r="E248" s="31">
        <f>VLOOKUP(B248,'Initial adjusted formula count'!$A$1:$P$316,12,FALSE)</f>
        <v>8.3006312915884603E-2</v>
      </c>
      <c r="F248">
        <f>VLOOKUP(B248,'Model allocations'!$A$1:$L$316,11,FALSE)</f>
        <v>629291.26981374621</v>
      </c>
      <c r="G248" s="30">
        <f t="shared" si="74"/>
        <v>0.85</v>
      </c>
      <c r="H248">
        <f t="shared" si="75"/>
        <v>564436.62121628074</v>
      </c>
      <c r="I248">
        <f t="shared" si="57"/>
        <v>0</v>
      </c>
      <c r="J248">
        <f t="shared" si="58"/>
        <v>629291.26981374621</v>
      </c>
      <c r="K248">
        <f t="shared" si="59"/>
        <v>628776.28618642886</v>
      </c>
      <c r="L248">
        <f t="shared" si="60"/>
        <v>628776.28618642886</v>
      </c>
      <c r="M248">
        <f t="shared" si="61"/>
        <v>0</v>
      </c>
      <c r="N248" s="29">
        <f t="shared" si="62"/>
        <v>628776.28618642886</v>
      </c>
      <c r="O248" s="29">
        <f t="shared" si="63"/>
        <v>628732.95897701848</v>
      </c>
      <c r="P248" s="29">
        <f t="shared" si="64"/>
        <v>628732.95897701848</v>
      </c>
      <c r="Q248">
        <f t="shared" si="65"/>
        <v>0</v>
      </c>
      <c r="R248" s="29">
        <f t="shared" si="66"/>
        <v>628732.95897701848</v>
      </c>
      <c r="S248" s="29">
        <f t="shared" si="67"/>
        <v>628732.20433796907</v>
      </c>
      <c r="T248" s="29">
        <f t="shared" si="68"/>
        <v>628732.20433796907</v>
      </c>
      <c r="U248">
        <f t="shared" si="69"/>
        <v>0</v>
      </c>
      <c r="V248" s="29">
        <f t="shared" si="70"/>
        <v>628732.20433796907</v>
      </c>
      <c r="W248" s="29">
        <f t="shared" si="71"/>
        <v>628732.20433796907</v>
      </c>
      <c r="X248" s="29">
        <f t="shared" si="72"/>
        <v>628732.20433796907</v>
      </c>
      <c r="Y248">
        <f t="shared" si="73"/>
        <v>0</v>
      </c>
    </row>
    <row r="249" spans="1:25" x14ac:dyDescent="0.25">
      <c r="A249" s="4" t="s">
        <v>1134</v>
      </c>
      <c r="B249" s="7" t="s">
        <v>220</v>
      </c>
      <c r="C249" s="2" t="s">
        <v>1135</v>
      </c>
      <c r="D249">
        <f>VLOOKUP(B249,'Model allocations'!$A$1:$L$316,6,FALSE)</f>
        <v>85295.153419137103</v>
      </c>
      <c r="E249" s="31">
        <f>VLOOKUP(B249,'Initial adjusted formula count'!$A$1:$P$316,12,FALSE)</f>
        <v>8.1468732071141706E-2</v>
      </c>
      <c r="F249">
        <f>VLOOKUP(B249,'Model allocations'!$A$1:$L$316,11,FALSE)</f>
        <v>80214.865631554727</v>
      </c>
      <c r="G249" s="30">
        <f t="shared" si="74"/>
        <v>0.85</v>
      </c>
      <c r="H249">
        <f t="shared" si="75"/>
        <v>72500.880406266529</v>
      </c>
      <c r="I249">
        <f t="shared" si="57"/>
        <v>0</v>
      </c>
      <c r="J249">
        <f t="shared" si="58"/>
        <v>80214.865631554727</v>
      </c>
      <c r="K249">
        <f t="shared" si="59"/>
        <v>80149.221398988244</v>
      </c>
      <c r="L249">
        <f t="shared" si="60"/>
        <v>80149.221398988244</v>
      </c>
      <c r="M249">
        <f t="shared" si="61"/>
        <v>0</v>
      </c>
      <c r="N249" s="29">
        <f t="shared" si="62"/>
        <v>80149.221398988244</v>
      </c>
      <c r="O249" s="29">
        <f t="shared" si="63"/>
        <v>80143.698541056219</v>
      </c>
      <c r="P249" s="29">
        <f t="shared" si="64"/>
        <v>80143.698541056219</v>
      </c>
      <c r="Q249">
        <f t="shared" si="65"/>
        <v>0</v>
      </c>
      <c r="R249" s="29">
        <f t="shared" si="66"/>
        <v>80143.698541056219</v>
      </c>
      <c r="S249" s="29">
        <f t="shared" si="67"/>
        <v>80143.602348286906</v>
      </c>
      <c r="T249" s="29">
        <f t="shared" si="68"/>
        <v>80143.602348286906</v>
      </c>
      <c r="U249">
        <f t="shared" si="69"/>
        <v>0</v>
      </c>
      <c r="V249" s="29">
        <f t="shared" si="70"/>
        <v>80143.602348286906</v>
      </c>
      <c r="W249" s="29">
        <f t="shared" si="71"/>
        <v>80143.602348286906</v>
      </c>
      <c r="X249" s="29">
        <f t="shared" si="72"/>
        <v>80143.602348286906</v>
      </c>
      <c r="Y249">
        <f t="shared" si="73"/>
        <v>0</v>
      </c>
    </row>
    <row r="250" spans="1:25" x14ac:dyDescent="0.25">
      <c r="A250" s="4" t="s">
        <v>1136</v>
      </c>
      <c r="B250" s="7" t="s">
        <v>585</v>
      </c>
      <c r="C250" s="2" t="s">
        <v>1137</v>
      </c>
      <c r="D250">
        <f>VLOOKUP(B250,'Model allocations'!$A$1:$L$316,6,FALSE)</f>
        <v>44941.760451083115</v>
      </c>
      <c r="E250" s="31">
        <f>VLOOKUP(B250,'Initial adjusted formula count'!$A$1:$P$316,12,FALSE)</f>
        <v>0.207182320441989</v>
      </c>
      <c r="F250">
        <f>VLOOKUP(B250,'Model allocations'!$A$1:$L$316,11,FALSE)</f>
        <v>50247.439171735794</v>
      </c>
      <c r="G250" s="30">
        <f t="shared" si="74"/>
        <v>0.9</v>
      </c>
      <c r="H250">
        <f t="shared" si="75"/>
        <v>40447.584405974805</v>
      </c>
      <c r="I250">
        <f t="shared" si="57"/>
        <v>0</v>
      </c>
      <c r="J250">
        <f t="shared" si="58"/>
        <v>50247.439171735794</v>
      </c>
      <c r="K250">
        <f t="shared" si="59"/>
        <v>50206.31893103115</v>
      </c>
      <c r="L250">
        <f t="shared" si="60"/>
        <v>50206.31893103115</v>
      </c>
      <c r="M250">
        <f t="shared" si="61"/>
        <v>0</v>
      </c>
      <c r="N250" s="29">
        <f t="shared" si="62"/>
        <v>50206.31893103115</v>
      </c>
      <c r="O250" s="29">
        <f t="shared" si="63"/>
        <v>50202.859354482483</v>
      </c>
      <c r="P250" s="29">
        <f t="shared" si="64"/>
        <v>50202.859354482483</v>
      </c>
      <c r="Q250">
        <f t="shared" si="65"/>
        <v>0</v>
      </c>
      <c r="R250" s="29">
        <f t="shared" si="66"/>
        <v>50202.859354482483</v>
      </c>
      <c r="S250" s="29">
        <f t="shared" si="67"/>
        <v>50202.799098315671</v>
      </c>
      <c r="T250" s="29">
        <f t="shared" si="68"/>
        <v>50202.799098315671</v>
      </c>
      <c r="U250">
        <f t="shared" si="69"/>
        <v>0</v>
      </c>
      <c r="V250" s="29">
        <f t="shared" si="70"/>
        <v>50202.799098315671</v>
      </c>
      <c r="W250" s="29">
        <f t="shared" si="71"/>
        <v>50202.799098315671</v>
      </c>
      <c r="X250" s="29">
        <f t="shared" si="72"/>
        <v>50202.799098315671</v>
      </c>
      <c r="Y250">
        <f t="shared" si="73"/>
        <v>0</v>
      </c>
    </row>
    <row r="251" spans="1:25" x14ac:dyDescent="0.25">
      <c r="A251" s="4" t="s">
        <v>32</v>
      </c>
      <c r="B251" s="7" t="s">
        <v>61</v>
      </c>
      <c r="C251" s="2" t="s">
        <v>1138</v>
      </c>
      <c r="D251">
        <f>VLOOKUP(B251,'Model allocations'!$A$1:$L$316,6,FALSE)</f>
        <v>5112653.2319499152</v>
      </c>
      <c r="E251" s="31">
        <f>VLOOKUP(B251,'Initial adjusted formula count'!$A$1:$P$316,12,FALSE)</f>
        <v>0.116013323751325</v>
      </c>
      <c r="F251">
        <f>VLOOKUP(B251,'Model allocations'!$A$1:$L$316,11,FALSE)</f>
        <v>4330780.6940169102</v>
      </c>
      <c r="G251" s="30">
        <f t="shared" si="74"/>
        <v>0.85</v>
      </c>
      <c r="H251">
        <f t="shared" si="75"/>
        <v>4345755.2471574275</v>
      </c>
      <c r="I251">
        <f t="shared" si="57"/>
        <v>4345755.2471574275</v>
      </c>
      <c r="J251">
        <f t="shared" si="58"/>
        <v>0</v>
      </c>
      <c r="K251">
        <f t="shared" si="59"/>
        <v>0</v>
      </c>
      <c r="L251">
        <f t="shared" si="60"/>
        <v>4345755.2471574275</v>
      </c>
      <c r="M251">
        <f t="shared" si="61"/>
        <v>0</v>
      </c>
      <c r="N251" s="29">
        <f t="shared" si="62"/>
        <v>0</v>
      </c>
      <c r="O251" s="29">
        <f t="shared" si="63"/>
        <v>0</v>
      </c>
      <c r="P251" s="29">
        <f t="shared" si="64"/>
        <v>4345755.2471574275</v>
      </c>
      <c r="Q251">
        <f t="shared" si="65"/>
        <v>0</v>
      </c>
      <c r="R251" s="29">
        <f t="shared" si="66"/>
        <v>0</v>
      </c>
      <c r="S251" s="29">
        <f t="shared" si="67"/>
        <v>0</v>
      </c>
      <c r="T251" s="29">
        <f t="shared" si="68"/>
        <v>4345755.2471574275</v>
      </c>
      <c r="U251">
        <f t="shared" si="69"/>
        <v>0</v>
      </c>
      <c r="V251" s="29">
        <f t="shared" si="70"/>
        <v>0</v>
      </c>
      <c r="W251" s="29">
        <f t="shared" si="71"/>
        <v>0</v>
      </c>
      <c r="X251" s="29">
        <f t="shared" si="72"/>
        <v>4345755.2471574275</v>
      </c>
      <c r="Y251">
        <f t="shared" si="73"/>
        <v>0</v>
      </c>
    </row>
    <row r="252" spans="1:25" x14ac:dyDescent="0.25">
      <c r="A252" s="4" t="s">
        <v>35</v>
      </c>
      <c r="B252" s="7" t="s">
        <v>78</v>
      </c>
      <c r="C252" s="2" t="s">
        <v>1139</v>
      </c>
      <c r="D252">
        <f>VLOOKUP(B252,'Model allocations'!$A$1:$L$316,6,FALSE)</f>
        <v>100668.64155153101</v>
      </c>
      <c r="E252" s="31">
        <f>VLOOKUP(B252,'Initial adjusted formula count'!$A$1:$P$316,12,FALSE)</f>
        <v>0.100417652703664</v>
      </c>
      <c r="F252">
        <f>VLOOKUP(B252,'Model allocations'!$A$1:$L$316,11,FALSE)</f>
        <v>109898.99212413108</v>
      </c>
      <c r="G252" s="30">
        <f t="shared" si="74"/>
        <v>0.85</v>
      </c>
      <c r="H252">
        <f t="shared" si="75"/>
        <v>85568.345318801352</v>
      </c>
      <c r="I252">
        <f t="shared" si="57"/>
        <v>0</v>
      </c>
      <c r="J252">
        <f t="shared" si="58"/>
        <v>109898.99212413108</v>
      </c>
      <c r="K252">
        <f t="shared" si="59"/>
        <v>109809.05573963403</v>
      </c>
      <c r="L252">
        <f t="shared" si="60"/>
        <v>109809.05573963403</v>
      </c>
      <c r="M252">
        <f t="shared" si="61"/>
        <v>0</v>
      </c>
      <c r="N252" s="29">
        <f t="shared" si="62"/>
        <v>109809.05573963403</v>
      </c>
      <c r="O252" s="29">
        <f t="shared" si="63"/>
        <v>109801.48910574897</v>
      </c>
      <c r="P252" s="29">
        <f t="shared" si="64"/>
        <v>109801.48910574897</v>
      </c>
      <c r="Q252">
        <f t="shared" si="65"/>
        <v>0</v>
      </c>
      <c r="R252" s="29">
        <f t="shared" si="66"/>
        <v>109801.48910574897</v>
      </c>
      <c r="S252" s="29">
        <f t="shared" si="67"/>
        <v>109801.35731610731</v>
      </c>
      <c r="T252" s="29">
        <f t="shared" si="68"/>
        <v>109801.35731610731</v>
      </c>
      <c r="U252">
        <f t="shared" si="69"/>
        <v>0</v>
      </c>
      <c r="V252" s="29">
        <f t="shared" si="70"/>
        <v>109801.35731610731</v>
      </c>
      <c r="W252" s="29">
        <f t="shared" si="71"/>
        <v>109801.35731610731</v>
      </c>
      <c r="X252" s="29">
        <f t="shared" si="72"/>
        <v>109801.35731610731</v>
      </c>
      <c r="Y252">
        <f t="shared" si="73"/>
        <v>0</v>
      </c>
    </row>
    <row r="253" spans="1:25" x14ac:dyDescent="0.25">
      <c r="A253" s="4" t="s">
        <v>1140</v>
      </c>
      <c r="B253" s="7" t="s">
        <v>587</v>
      </c>
      <c r="C253" s="2" t="s">
        <v>1141</v>
      </c>
      <c r="D253">
        <f>VLOOKUP(B253,'Model allocations'!$A$1:$L$316,6,FALSE)</f>
        <v>11926.988223554987</v>
      </c>
      <c r="E253" s="31">
        <f>VLOOKUP(B253,'Initial adjusted formula count'!$A$1:$P$316,12,FALSE)</f>
        <v>0.27906976744186002</v>
      </c>
      <c r="F253">
        <f>VLOOKUP(B253,'Model allocations'!$A$1:$L$316,11,FALSE)</f>
        <v>30241.526869509573</v>
      </c>
      <c r="G253" s="30">
        <f t="shared" si="74"/>
        <v>0.9</v>
      </c>
      <c r="H253">
        <f t="shared" si="75"/>
        <v>10734.289401199489</v>
      </c>
      <c r="I253">
        <f t="shared" si="57"/>
        <v>0</v>
      </c>
      <c r="J253">
        <f t="shared" si="58"/>
        <v>30241.526869509573</v>
      </c>
      <c r="K253">
        <f t="shared" si="59"/>
        <v>30216.778566219931</v>
      </c>
      <c r="L253">
        <f t="shared" si="60"/>
        <v>30216.778566219931</v>
      </c>
      <c r="M253">
        <f t="shared" si="61"/>
        <v>0</v>
      </c>
      <c r="N253" s="29">
        <f t="shared" si="62"/>
        <v>30216.778566219931</v>
      </c>
      <c r="O253" s="29">
        <f t="shared" si="63"/>
        <v>30214.696412803194</v>
      </c>
      <c r="P253" s="29">
        <f t="shared" si="64"/>
        <v>30214.696412803194</v>
      </c>
      <c r="Q253">
        <f t="shared" si="65"/>
        <v>0</v>
      </c>
      <c r="R253" s="29">
        <f t="shared" si="66"/>
        <v>30214.696412803194</v>
      </c>
      <c r="S253" s="29">
        <f t="shared" si="67"/>
        <v>30214.660147502556</v>
      </c>
      <c r="T253" s="29">
        <f t="shared" si="68"/>
        <v>30214.660147502556</v>
      </c>
      <c r="U253">
        <f t="shared" si="69"/>
        <v>0</v>
      </c>
      <c r="V253" s="29">
        <f t="shared" si="70"/>
        <v>30214.660147502556</v>
      </c>
      <c r="W253" s="29">
        <f t="shared" si="71"/>
        <v>30214.660147502556</v>
      </c>
      <c r="X253" s="29">
        <f t="shared" si="72"/>
        <v>30214.660147502556</v>
      </c>
      <c r="Y253">
        <f t="shared" si="73"/>
        <v>0</v>
      </c>
    </row>
    <row r="254" spans="1:25" x14ac:dyDescent="0.25">
      <c r="A254" s="4" t="s">
        <v>1142</v>
      </c>
      <c r="B254" s="7" t="s">
        <v>589</v>
      </c>
      <c r="C254" s="2" t="s">
        <v>1143</v>
      </c>
      <c r="D254">
        <f>VLOOKUP(B254,'Model allocations'!$A$1:$L$316,6,FALSE)</f>
        <v>13647.224547061936</v>
      </c>
      <c r="E254" s="31">
        <f>VLOOKUP(B254,'Initial adjusted formula count'!$A$1:$P$316,12,FALSE)</f>
        <v>0.117283950617284</v>
      </c>
      <c r="F254">
        <f>VLOOKUP(B254,'Model allocations'!$A$1:$L$316,11,FALSE)</f>
        <v>11608.44565705736</v>
      </c>
      <c r="G254" s="30">
        <f t="shared" si="74"/>
        <v>0.85</v>
      </c>
      <c r="H254">
        <f t="shared" si="75"/>
        <v>11600.140865002646</v>
      </c>
      <c r="I254">
        <f t="shared" si="57"/>
        <v>0</v>
      </c>
      <c r="J254">
        <f t="shared" si="58"/>
        <v>11608.44565705736</v>
      </c>
      <c r="K254">
        <f t="shared" si="59"/>
        <v>11598.945828061233</v>
      </c>
      <c r="L254">
        <f t="shared" si="60"/>
        <v>11598.945828061233</v>
      </c>
      <c r="M254">
        <f t="shared" si="61"/>
        <v>11600.140865002646</v>
      </c>
      <c r="N254" s="29">
        <f t="shared" si="62"/>
        <v>0</v>
      </c>
      <c r="O254" s="29">
        <f t="shared" si="63"/>
        <v>0</v>
      </c>
      <c r="P254" s="29">
        <f t="shared" si="64"/>
        <v>11600.140865002646</v>
      </c>
      <c r="Q254">
        <f t="shared" si="65"/>
        <v>0</v>
      </c>
      <c r="R254" s="29">
        <f t="shared" si="66"/>
        <v>0</v>
      </c>
      <c r="S254" s="29">
        <f t="shared" si="67"/>
        <v>0</v>
      </c>
      <c r="T254" s="29">
        <f t="shared" si="68"/>
        <v>11600.140865002646</v>
      </c>
      <c r="U254">
        <f t="shared" si="69"/>
        <v>0</v>
      </c>
      <c r="V254" s="29">
        <f t="shared" si="70"/>
        <v>0</v>
      </c>
      <c r="W254" s="29">
        <f t="shared" si="71"/>
        <v>0</v>
      </c>
      <c r="X254" s="29">
        <f t="shared" si="72"/>
        <v>11600.140865002646</v>
      </c>
      <c r="Y254">
        <f t="shared" si="73"/>
        <v>0</v>
      </c>
    </row>
    <row r="255" spans="1:25" x14ac:dyDescent="0.25">
      <c r="A255" s="4" t="s">
        <v>1144</v>
      </c>
      <c r="B255" s="7" t="s">
        <v>222</v>
      </c>
      <c r="C255" s="2" t="s">
        <v>1145</v>
      </c>
      <c r="D255">
        <f>VLOOKUP(B255,'Model allocations'!$A$1:$L$316,6,FALSE)</f>
        <v>243375.5044226046</v>
      </c>
      <c r="E255" s="31">
        <f>VLOOKUP(B255,'Initial adjusted formula count'!$A$1:$P$316,12,FALSE)</f>
        <v>7.4352854782449102E-2</v>
      </c>
      <c r="F255">
        <f>VLOOKUP(B255,'Model allocations'!$A$1:$L$316,11,FALSE)</f>
        <v>228781.83507591311</v>
      </c>
      <c r="G255" s="30">
        <f t="shared" si="74"/>
        <v>0.85</v>
      </c>
      <c r="H255">
        <f t="shared" si="75"/>
        <v>206869.17875921392</v>
      </c>
      <c r="I255">
        <f t="shared" si="57"/>
        <v>0</v>
      </c>
      <c r="J255">
        <f t="shared" si="58"/>
        <v>228781.83507591311</v>
      </c>
      <c r="K255">
        <f t="shared" si="59"/>
        <v>228594.61032810024</v>
      </c>
      <c r="L255">
        <f t="shared" si="60"/>
        <v>228594.61032810024</v>
      </c>
      <c r="M255">
        <f t="shared" si="61"/>
        <v>0</v>
      </c>
      <c r="N255" s="29">
        <f t="shared" si="62"/>
        <v>228594.61032810024</v>
      </c>
      <c r="O255" s="29">
        <f t="shared" si="63"/>
        <v>228578.85851498425</v>
      </c>
      <c r="P255" s="29">
        <f t="shared" si="64"/>
        <v>228578.85851498425</v>
      </c>
      <c r="Q255">
        <f t="shared" si="65"/>
        <v>0</v>
      </c>
      <c r="R255" s="29">
        <f t="shared" si="66"/>
        <v>228578.85851498425</v>
      </c>
      <c r="S255" s="29">
        <f t="shared" si="67"/>
        <v>228578.58416236754</v>
      </c>
      <c r="T255" s="29">
        <f t="shared" si="68"/>
        <v>228578.58416236754</v>
      </c>
      <c r="U255">
        <f t="shared" si="69"/>
        <v>0</v>
      </c>
      <c r="V255" s="29">
        <f t="shared" si="70"/>
        <v>228578.58416236754</v>
      </c>
      <c r="W255" s="29">
        <f t="shared" si="71"/>
        <v>228578.58416236754</v>
      </c>
      <c r="X255" s="29">
        <f t="shared" si="72"/>
        <v>228578.58416236754</v>
      </c>
      <c r="Y255">
        <f t="shared" si="73"/>
        <v>0</v>
      </c>
    </row>
    <row r="256" spans="1:25" x14ac:dyDescent="0.25">
      <c r="A256" s="4" t="s">
        <v>1146</v>
      </c>
      <c r="B256" s="7" t="s">
        <v>224</v>
      </c>
      <c r="C256" s="2" t="s">
        <v>1147</v>
      </c>
      <c r="D256">
        <f>VLOOKUP(B256,'Model allocations'!$A$1:$L$316,6,FALSE)</f>
        <v>0</v>
      </c>
      <c r="E256" s="31">
        <f>VLOOKUP(B256,'Initial adjusted formula count'!$A$1:$P$316,12,FALSE)</f>
        <v>0.08</v>
      </c>
      <c r="F256">
        <f>VLOOKUP(B256,'Model allocations'!$A$1:$L$316,11,FALSE)</f>
        <v>0</v>
      </c>
      <c r="G256" s="30">
        <f t="shared" si="74"/>
        <v>0.85</v>
      </c>
      <c r="H256">
        <f t="shared" si="75"/>
        <v>0</v>
      </c>
      <c r="I256">
        <f t="shared" si="57"/>
        <v>0</v>
      </c>
      <c r="J256">
        <f t="shared" si="58"/>
        <v>0</v>
      </c>
      <c r="K256">
        <f t="shared" si="59"/>
        <v>0</v>
      </c>
      <c r="L256">
        <f t="shared" si="60"/>
        <v>0</v>
      </c>
      <c r="M256">
        <f t="shared" si="61"/>
        <v>0</v>
      </c>
      <c r="N256" s="29">
        <f t="shared" si="62"/>
        <v>0</v>
      </c>
      <c r="O256" s="29">
        <f t="shared" si="63"/>
        <v>0</v>
      </c>
      <c r="P256" s="29">
        <f t="shared" si="64"/>
        <v>0</v>
      </c>
      <c r="Q256">
        <f t="shared" si="65"/>
        <v>0</v>
      </c>
      <c r="R256" s="29">
        <f t="shared" si="66"/>
        <v>0</v>
      </c>
      <c r="S256" s="29">
        <f t="shared" si="67"/>
        <v>0</v>
      </c>
      <c r="T256" s="29">
        <f t="shared" si="68"/>
        <v>0</v>
      </c>
      <c r="U256">
        <f t="shared" si="69"/>
        <v>0</v>
      </c>
      <c r="V256" s="29">
        <f t="shared" si="70"/>
        <v>0</v>
      </c>
      <c r="W256" s="29">
        <f t="shared" si="71"/>
        <v>0</v>
      </c>
      <c r="X256" s="29">
        <f t="shared" si="72"/>
        <v>0</v>
      </c>
      <c r="Y256">
        <f t="shared" si="73"/>
        <v>0</v>
      </c>
    </row>
    <row r="257" spans="1:25" x14ac:dyDescent="0.25">
      <c r="A257" s="4" t="s">
        <v>1148</v>
      </c>
      <c r="B257" s="7" t="s">
        <v>591</v>
      </c>
      <c r="C257" s="2" t="s">
        <v>1149</v>
      </c>
      <c r="D257">
        <f>VLOOKUP(B257,'Model allocations'!$A$1:$L$316,6,FALSE)</f>
        <v>0</v>
      </c>
      <c r="E257" s="31">
        <f>VLOOKUP(B257,'Initial adjusted formula count'!$A$1:$P$316,12,FALSE)</f>
        <v>0.3125</v>
      </c>
      <c r="F257">
        <f>VLOOKUP(B257,'Model allocations'!$A$1:$L$316,11,FALSE)</f>
        <v>0</v>
      </c>
      <c r="G257" s="30">
        <f t="shared" si="74"/>
        <v>0.95</v>
      </c>
      <c r="H257">
        <f t="shared" si="75"/>
        <v>0</v>
      </c>
      <c r="I257">
        <f t="shared" si="57"/>
        <v>0</v>
      </c>
      <c r="J257">
        <f t="shared" si="58"/>
        <v>0</v>
      </c>
      <c r="K257">
        <f t="shared" si="59"/>
        <v>0</v>
      </c>
      <c r="L257">
        <f t="shared" si="60"/>
        <v>0</v>
      </c>
      <c r="M257">
        <f t="shared" si="61"/>
        <v>0</v>
      </c>
      <c r="N257" s="29">
        <f t="shared" si="62"/>
        <v>0</v>
      </c>
      <c r="O257" s="29">
        <f t="shared" si="63"/>
        <v>0</v>
      </c>
      <c r="P257" s="29">
        <f t="shared" si="64"/>
        <v>0</v>
      </c>
      <c r="Q257">
        <f t="shared" si="65"/>
        <v>0</v>
      </c>
      <c r="R257" s="29">
        <f t="shared" si="66"/>
        <v>0</v>
      </c>
      <c r="S257" s="29">
        <f t="shared" si="67"/>
        <v>0</v>
      </c>
      <c r="T257" s="29">
        <f t="shared" si="68"/>
        <v>0</v>
      </c>
      <c r="U257">
        <f t="shared" si="69"/>
        <v>0</v>
      </c>
      <c r="V257" s="29">
        <f t="shared" si="70"/>
        <v>0</v>
      </c>
      <c r="W257" s="29">
        <f t="shared" si="71"/>
        <v>0</v>
      </c>
      <c r="X257" s="29">
        <f t="shared" si="72"/>
        <v>0</v>
      </c>
      <c r="Y257">
        <f t="shared" si="73"/>
        <v>0</v>
      </c>
    </row>
    <row r="258" spans="1:25" x14ac:dyDescent="0.25">
      <c r="A258" s="4" t="s">
        <v>1150</v>
      </c>
      <c r="B258" s="7" t="s">
        <v>226</v>
      </c>
      <c r="C258" s="2" t="s">
        <v>1151</v>
      </c>
      <c r="D258">
        <f>VLOOKUP(B258,'Model allocations'!$A$1:$L$316,6,FALSE)</f>
        <v>0</v>
      </c>
      <c r="E258" s="31">
        <f>VLOOKUP(B258,'Initial adjusted formula count'!$A$1:$P$316,12,FALSE)</f>
        <v>6.6666666666666693E-2</v>
      </c>
      <c r="F258">
        <f>VLOOKUP(B258,'Model allocations'!$A$1:$L$316,11,FALSE)</f>
        <v>0</v>
      </c>
      <c r="G258" s="30">
        <f t="shared" si="74"/>
        <v>0.85</v>
      </c>
      <c r="H258">
        <f t="shared" si="75"/>
        <v>0</v>
      </c>
      <c r="I258">
        <f t="shared" si="57"/>
        <v>0</v>
      </c>
      <c r="J258">
        <f t="shared" si="58"/>
        <v>0</v>
      </c>
      <c r="K258">
        <f t="shared" si="59"/>
        <v>0</v>
      </c>
      <c r="L258">
        <f t="shared" si="60"/>
        <v>0</v>
      </c>
      <c r="M258">
        <f t="shared" si="61"/>
        <v>0</v>
      </c>
      <c r="N258" s="29">
        <f t="shared" si="62"/>
        <v>0</v>
      </c>
      <c r="O258" s="29">
        <f t="shared" si="63"/>
        <v>0</v>
      </c>
      <c r="P258" s="29">
        <f t="shared" si="64"/>
        <v>0</v>
      </c>
      <c r="Q258">
        <f t="shared" si="65"/>
        <v>0</v>
      </c>
      <c r="R258" s="29">
        <f t="shared" si="66"/>
        <v>0</v>
      </c>
      <c r="S258" s="29">
        <f t="shared" si="67"/>
        <v>0</v>
      </c>
      <c r="T258" s="29">
        <f t="shared" si="68"/>
        <v>0</v>
      </c>
      <c r="U258">
        <f t="shared" si="69"/>
        <v>0</v>
      </c>
      <c r="V258" s="29">
        <f t="shared" si="70"/>
        <v>0</v>
      </c>
      <c r="W258" s="29">
        <f t="shared" si="71"/>
        <v>0</v>
      </c>
      <c r="X258" s="29">
        <f t="shared" si="72"/>
        <v>0</v>
      </c>
      <c r="Y258">
        <f t="shared" si="73"/>
        <v>0</v>
      </c>
    </row>
    <row r="259" spans="1:25" x14ac:dyDescent="0.25">
      <c r="A259" s="4" t="s">
        <v>1152</v>
      </c>
      <c r="B259" s="7" t="s">
        <v>228</v>
      </c>
      <c r="C259" s="2" t="s">
        <v>1153</v>
      </c>
      <c r="D259">
        <f>VLOOKUP(B259,'Model allocations'!$A$1:$L$316,6,FALSE)</f>
        <v>142158.58903189519</v>
      </c>
      <c r="E259" s="31">
        <f>VLOOKUP(B259,'Initial adjusted formula count'!$A$1:$P$316,12,FALSE)</f>
        <v>6.6716829696513699E-2</v>
      </c>
      <c r="F259">
        <f>VLOOKUP(B259,'Model allocations'!$A$1:$L$316,11,FALSE)</f>
        <v>150261.64970417999</v>
      </c>
      <c r="G259" s="30">
        <f t="shared" si="74"/>
        <v>0.85</v>
      </c>
      <c r="H259">
        <f t="shared" si="75"/>
        <v>120834.80067711091</v>
      </c>
      <c r="I259">
        <f t="shared" ref="I259:I315" si="76">IF(F259&lt;H259,H259,0)</f>
        <v>0</v>
      </c>
      <c r="J259">
        <f t="shared" ref="J259:J315" si="77">IF(I259=0,F259,0)</f>
        <v>150261.64970417999</v>
      </c>
      <c r="K259">
        <f t="shared" ref="K259:K315" si="78">(J259/$J$3)*($F$3-$I$3)</f>
        <v>150138.68233894982</v>
      </c>
      <c r="L259">
        <f t="shared" ref="L259:L315" si="79">I259+K259</f>
        <v>150138.68233894982</v>
      </c>
      <c r="M259">
        <f t="shared" ref="M259:M315" si="80">IF(L259&lt;H259,H259,0)</f>
        <v>0</v>
      </c>
      <c r="N259" s="29">
        <f t="shared" ref="N259:N315" si="81">IF($I259+$M259=0,L259,0)</f>
        <v>150138.68233894982</v>
      </c>
      <c r="O259" s="29">
        <f t="shared" ref="O259:O315" si="82">((N259/$N$3)*($F$3-$I$3-$M$3))</f>
        <v>150128.3367036687</v>
      </c>
      <c r="P259" s="29">
        <f t="shared" ref="P259:P315" si="83">$I259+$M259+O259</f>
        <v>150128.3367036687</v>
      </c>
      <c r="Q259">
        <f t="shared" ref="Q259:Q315" si="84">IF(P259&lt;H259,H259,0)</f>
        <v>0</v>
      </c>
      <c r="R259" s="29">
        <f t="shared" ref="R259:R315" si="85">IF($I259+$M259+$Q259=0,P259,0)</f>
        <v>150128.3367036687</v>
      </c>
      <c r="S259" s="29">
        <f t="shared" ref="S259:S315" si="86">((R259/$R$3)*($F$3-$I$3-$M$3-$Q$3))</f>
        <v>150128.1565115797</v>
      </c>
      <c r="T259" s="29">
        <f t="shared" ref="T259:T315" si="87">$I259+$M259+$Q259+S259</f>
        <v>150128.1565115797</v>
      </c>
      <c r="U259">
        <f t="shared" ref="U259:U315" si="88">IF(T259&lt;H259,H259,0)</f>
        <v>0</v>
      </c>
      <c r="V259" s="29">
        <f t="shared" ref="V259:V315" si="89">IF($I259+$M259+$Q259+U259=0,T259,0)</f>
        <v>150128.1565115797</v>
      </c>
      <c r="W259" s="29">
        <f t="shared" ref="W259:W315" si="90">((V259/$V$3)*($F$3-$I$3-$M$3-$Q$3-$U$3))</f>
        <v>150128.1565115797</v>
      </c>
      <c r="X259" s="29">
        <f t="shared" ref="X259:X315" si="91">$I259+$M259+$Q259+$U259+W259</f>
        <v>150128.1565115797</v>
      </c>
      <c r="Y259">
        <f t="shared" ref="Y259:Y315" si="92">IF(X259&lt;H259,H259,0)</f>
        <v>0</v>
      </c>
    </row>
    <row r="260" spans="1:25" x14ac:dyDescent="0.25">
      <c r="A260" s="4" t="s">
        <v>1154</v>
      </c>
      <c r="B260" s="7" t="s">
        <v>593</v>
      </c>
      <c r="C260" s="2" t="s">
        <v>1155</v>
      </c>
      <c r="D260">
        <f>VLOOKUP(B260,'Model allocations'!$A$1:$L$316,6,FALSE)</f>
        <v>0</v>
      </c>
      <c r="E260" s="31">
        <f>VLOOKUP(B260,'Initial adjusted formula count'!$A$1:$P$316,12,FALSE)</f>
        <v>1.88679245283019E-2</v>
      </c>
      <c r="F260">
        <f>VLOOKUP(B260,'Model allocations'!$A$1:$L$316,11,FALSE)</f>
        <v>0</v>
      </c>
      <c r="G260" s="30">
        <f t="shared" ref="G260:G315" si="93">IF(E260&lt;0.15,0.85,IF(AND(E260&gt;=0.15,E260&lt;0.3),0.9,0.95))</f>
        <v>0.85</v>
      </c>
      <c r="H260">
        <f t="shared" ref="H260:H315" si="94">IF(F260 = 0, 0, D260*G260)</f>
        <v>0</v>
      </c>
      <c r="I260">
        <f t="shared" si="76"/>
        <v>0</v>
      </c>
      <c r="J260">
        <f t="shared" si="77"/>
        <v>0</v>
      </c>
      <c r="K260">
        <f t="shared" si="78"/>
        <v>0</v>
      </c>
      <c r="L260">
        <f t="shared" si="79"/>
        <v>0</v>
      </c>
      <c r="M260">
        <f t="shared" si="80"/>
        <v>0</v>
      </c>
      <c r="N260" s="29">
        <f t="shared" si="81"/>
        <v>0</v>
      </c>
      <c r="O260" s="29">
        <f t="shared" si="82"/>
        <v>0</v>
      </c>
      <c r="P260" s="29">
        <f t="shared" si="83"/>
        <v>0</v>
      </c>
      <c r="Q260">
        <f t="shared" si="84"/>
        <v>0</v>
      </c>
      <c r="R260" s="29">
        <f t="shared" si="85"/>
        <v>0</v>
      </c>
      <c r="S260" s="29">
        <f t="shared" si="86"/>
        <v>0</v>
      </c>
      <c r="T260" s="29">
        <f t="shared" si="87"/>
        <v>0</v>
      </c>
      <c r="U260">
        <f t="shared" si="88"/>
        <v>0</v>
      </c>
      <c r="V260" s="29">
        <f t="shared" si="89"/>
        <v>0</v>
      </c>
      <c r="W260" s="29">
        <f t="shared" si="90"/>
        <v>0</v>
      </c>
      <c r="X260" s="29">
        <f t="shared" si="91"/>
        <v>0</v>
      </c>
      <c r="Y260">
        <f t="shared" si="92"/>
        <v>0</v>
      </c>
    </row>
    <row r="261" spans="1:25" x14ac:dyDescent="0.25">
      <c r="A261" s="4" t="s">
        <v>1156</v>
      </c>
      <c r="B261" s="7" t="s">
        <v>595</v>
      </c>
      <c r="C261" s="2" t="s">
        <v>1157</v>
      </c>
      <c r="D261">
        <f>VLOOKUP(B261,'Model allocations'!$A$1:$L$316,6,FALSE)</f>
        <v>80840.756190411703</v>
      </c>
      <c r="E261" s="31">
        <f>VLOOKUP(B261,'Initial adjusted formula count'!$A$1:$P$316,12,FALSE)</f>
        <v>0.133333333333333</v>
      </c>
      <c r="F261">
        <f>VLOOKUP(B261,'Model allocations'!$A$1:$L$316,11,FALSE)</f>
        <v>68763.83706266855</v>
      </c>
      <c r="G261" s="30">
        <f t="shared" si="93"/>
        <v>0.85</v>
      </c>
      <c r="H261">
        <f t="shared" si="94"/>
        <v>68714.642761849944</v>
      </c>
      <c r="I261">
        <f t="shared" si="76"/>
        <v>0</v>
      </c>
      <c r="J261">
        <f t="shared" si="77"/>
        <v>68763.83706266855</v>
      </c>
      <c r="K261">
        <f t="shared" si="78"/>
        <v>68707.563836044457</v>
      </c>
      <c r="L261">
        <f t="shared" si="79"/>
        <v>68707.563836044457</v>
      </c>
      <c r="M261">
        <f t="shared" si="80"/>
        <v>68714.642761849944</v>
      </c>
      <c r="N261" s="29">
        <f t="shared" si="81"/>
        <v>0</v>
      </c>
      <c r="O261" s="29">
        <f t="shared" si="82"/>
        <v>0</v>
      </c>
      <c r="P261" s="29">
        <f t="shared" si="83"/>
        <v>68714.642761849944</v>
      </c>
      <c r="Q261">
        <f t="shared" si="84"/>
        <v>0</v>
      </c>
      <c r="R261" s="29">
        <f t="shared" si="85"/>
        <v>0</v>
      </c>
      <c r="S261" s="29">
        <f t="shared" si="86"/>
        <v>0</v>
      </c>
      <c r="T261" s="29">
        <f t="shared" si="87"/>
        <v>68714.642761849944</v>
      </c>
      <c r="U261">
        <f t="shared" si="88"/>
        <v>0</v>
      </c>
      <c r="V261" s="29">
        <f t="shared" si="89"/>
        <v>0</v>
      </c>
      <c r="W261" s="29">
        <f t="shared" si="90"/>
        <v>0</v>
      </c>
      <c r="X261" s="29">
        <f t="shared" si="91"/>
        <v>68714.642761849944</v>
      </c>
      <c r="Y261">
        <f t="shared" si="92"/>
        <v>0</v>
      </c>
    </row>
    <row r="262" spans="1:25" x14ac:dyDescent="0.25">
      <c r="A262" s="4" t="s">
        <v>1158</v>
      </c>
      <c r="B262" s="7" t="s">
        <v>230</v>
      </c>
      <c r="C262" s="2" t="s">
        <v>1159</v>
      </c>
      <c r="D262">
        <f>VLOOKUP(B262,'Model allocations'!$A$1:$L$316,6,FALSE)</f>
        <v>122825.02092355747</v>
      </c>
      <c r="E262" s="31">
        <f>VLOOKUP(B262,'Initial adjusted formula count'!$A$1:$P$316,12,FALSE)</f>
        <v>8.1689029202841407E-2</v>
      </c>
      <c r="F262">
        <f>VLOOKUP(B262,'Model allocations'!$A$1:$L$316,11,FALSE)</f>
        <v>116932.93792768894</v>
      </c>
      <c r="G262" s="30">
        <f t="shared" si="93"/>
        <v>0.85</v>
      </c>
      <c r="H262">
        <f t="shared" si="94"/>
        <v>104401.26778502385</v>
      </c>
      <c r="I262">
        <f t="shared" si="76"/>
        <v>0</v>
      </c>
      <c r="J262">
        <f t="shared" si="77"/>
        <v>116932.93792768894</v>
      </c>
      <c r="K262">
        <f t="shared" si="78"/>
        <v>116837.2452788068</v>
      </c>
      <c r="L262">
        <f t="shared" si="79"/>
        <v>116837.2452788068</v>
      </c>
      <c r="M262">
        <f t="shared" si="80"/>
        <v>0</v>
      </c>
      <c r="N262" s="29">
        <f t="shared" si="81"/>
        <v>116837.2452788068</v>
      </c>
      <c r="O262" s="29">
        <f t="shared" si="82"/>
        <v>116829.19435210308</v>
      </c>
      <c r="P262" s="29">
        <f t="shared" si="83"/>
        <v>116829.19435210308</v>
      </c>
      <c r="Q262">
        <f t="shared" si="84"/>
        <v>0</v>
      </c>
      <c r="R262" s="29">
        <f t="shared" si="85"/>
        <v>116829.19435210308</v>
      </c>
      <c r="S262" s="29">
        <f t="shared" si="86"/>
        <v>116829.05412743232</v>
      </c>
      <c r="T262" s="29">
        <f t="shared" si="87"/>
        <v>116829.05412743232</v>
      </c>
      <c r="U262">
        <f t="shared" si="88"/>
        <v>0</v>
      </c>
      <c r="V262" s="29">
        <f t="shared" si="89"/>
        <v>116829.05412743232</v>
      </c>
      <c r="W262" s="29">
        <f t="shared" si="90"/>
        <v>116829.05412743232</v>
      </c>
      <c r="X262" s="29">
        <f t="shared" si="91"/>
        <v>116829.05412743232</v>
      </c>
      <c r="Y262">
        <f t="shared" si="92"/>
        <v>0</v>
      </c>
    </row>
    <row r="263" spans="1:25" x14ac:dyDescent="0.25">
      <c r="A263" s="4" t="s">
        <v>25</v>
      </c>
      <c r="B263" s="7" t="s">
        <v>72</v>
      </c>
      <c r="C263" s="2" t="s">
        <v>1160</v>
      </c>
      <c r="D263">
        <f>VLOOKUP(B263,'Model allocations'!$A$1:$L$316,6,FALSE)</f>
        <v>102300.83025466157</v>
      </c>
      <c r="E263" s="31">
        <f>VLOOKUP(B263,'Initial adjusted formula count'!$A$1:$P$316,12,FALSE)</f>
        <v>0.118556300717947</v>
      </c>
      <c r="F263">
        <f>VLOOKUP(B263,'Model allocations'!$A$1:$L$316,11,FALSE)</f>
        <v>99609.469528237794</v>
      </c>
      <c r="G263" s="30">
        <f t="shared" si="93"/>
        <v>0.85</v>
      </c>
      <c r="H263">
        <f t="shared" si="94"/>
        <v>86955.70571646234</v>
      </c>
      <c r="I263">
        <f t="shared" si="76"/>
        <v>0</v>
      </c>
      <c r="J263">
        <f t="shared" si="77"/>
        <v>99609.469528237794</v>
      </c>
      <c r="K263">
        <f t="shared" si="78"/>
        <v>99527.953625517606</v>
      </c>
      <c r="L263">
        <f t="shared" si="79"/>
        <v>99527.953625517606</v>
      </c>
      <c r="M263">
        <f t="shared" si="80"/>
        <v>0</v>
      </c>
      <c r="N263" s="29">
        <f t="shared" si="81"/>
        <v>99527.953625517606</v>
      </c>
      <c r="O263" s="29">
        <f t="shared" si="82"/>
        <v>99521.095433528419</v>
      </c>
      <c r="P263" s="29">
        <f t="shared" si="83"/>
        <v>99521.095433528419</v>
      </c>
      <c r="Q263">
        <f t="shared" si="84"/>
        <v>0</v>
      </c>
      <c r="R263" s="29">
        <f t="shared" si="85"/>
        <v>99521.095433528419</v>
      </c>
      <c r="S263" s="29">
        <f t="shared" si="86"/>
        <v>99520.975982967124</v>
      </c>
      <c r="T263" s="29">
        <f t="shared" si="87"/>
        <v>99520.975982967124</v>
      </c>
      <c r="U263">
        <f t="shared" si="88"/>
        <v>0</v>
      </c>
      <c r="V263" s="29">
        <f t="shared" si="89"/>
        <v>99520.975982967124</v>
      </c>
      <c r="W263" s="29">
        <f t="shared" si="90"/>
        <v>99520.975982967124</v>
      </c>
      <c r="X263" s="29">
        <f t="shared" si="91"/>
        <v>99520.975982967124</v>
      </c>
      <c r="Y263">
        <f t="shared" si="92"/>
        <v>0</v>
      </c>
    </row>
    <row r="264" spans="1:25" x14ac:dyDescent="0.25">
      <c r="A264" s="4" t="s">
        <v>27</v>
      </c>
      <c r="B264" s="7" t="s">
        <v>73</v>
      </c>
      <c r="C264" s="2" t="s">
        <v>1161</v>
      </c>
      <c r="D264">
        <f>VLOOKUP(B264,'Model allocations'!$A$1:$L$316,6,FALSE)</f>
        <v>36461.089314891666</v>
      </c>
      <c r="E264" s="31">
        <f>VLOOKUP(B264,'Initial adjusted formula count'!$A$1:$P$316,12,FALSE)</f>
        <v>0.110844701876119</v>
      </c>
      <c r="F264">
        <f>VLOOKUP(B264,'Model allocations'!$A$1:$L$316,11,FALSE)</f>
        <v>25263.27125716173</v>
      </c>
      <c r="G264" s="30">
        <f t="shared" si="93"/>
        <v>0.85</v>
      </c>
      <c r="H264">
        <f t="shared" si="94"/>
        <v>30991.925917657914</v>
      </c>
      <c r="I264">
        <f t="shared" si="76"/>
        <v>30991.925917657914</v>
      </c>
      <c r="J264">
        <f t="shared" si="77"/>
        <v>0</v>
      </c>
      <c r="K264">
        <f t="shared" si="78"/>
        <v>0</v>
      </c>
      <c r="L264">
        <f t="shared" si="79"/>
        <v>30991.925917657914</v>
      </c>
      <c r="M264">
        <f t="shared" si="80"/>
        <v>0</v>
      </c>
      <c r="N264" s="29">
        <f t="shared" si="81"/>
        <v>0</v>
      </c>
      <c r="O264" s="29">
        <f t="shared" si="82"/>
        <v>0</v>
      </c>
      <c r="P264" s="29">
        <f t="shared" si="83"/>
        <v>30991.925917657914</v>
      </c>
      <c r="Q264">
        <f t="shared" si="84"/>
        <v>0</v>
      </c>
      <c r="R264" s="29">
        <f t="shared" si="85"/>
        <v>0</v>
      </c>
      <c r="S264" s="29">
        <f t="shared" si="86"/>
        <v>0</v>
      </c>
      <c r="T264" s="29">
        <f t="shared" si="87"/>
        <v>30991.925917657914</v>
      </c>
      <c r="U264">
        <f t="shared" si="88"/>
        <v>0</v>
      </c>
      <c r="V264" s="29">
        <f t="shared" si="89"/>
        <v>0</v>
      </c>
      <c r="W264" s="29">
        <f t="shared" si="90"/>
        <v>0</v>
      </c>
      <c r="X264" s="29">
        <f t="shared" si="91"/>
        <v>30991.925917657914</v>
      </c>
      <c r="Y264">
        <f t="shared" si="92"/>
        <v>0</v>
      </c>
    </row>
    <row r="265" spans="1:25" x14ac:dyDescent="0.25">
      <c r="A265" s="4" t="s">
        <v>1162</v>
      </c>
      <c r="B265" s="7" t="s">
        <v>597</v>
      </c>
      <c r="C265" s="2" t="s">
        <v>1163</v>
      </c>
      <c r="D265">
        <f>VLOOKUP(B265,'Model allocations'!$A$1:$L$316,6,FALSE)</f>
        <v>18637.019453799265</v>
      </c>
      <c r="E265" s="31">
        <f>VLOOKUP(B265,'Initial adjusted formula count'!$A$1:$P$316,12,FALSE)</f>
        <v>0.23008849557522101</v>
      </c>
      <c r="F265">
        <f>VLOOKUP(B265,'Model allocations'!$A$1:$L$316,11,FALSE)</f>
        <v>18674.091330703432</v>
      </c>
      <c r="G265" s="30">
        <f t="shared" si="93"/>
        <v>0.9</v>
      </c>
      <c r="H265">
        <f t="shared" si="94"/>
        <v>16773.317508419339</v>
      </c>
      <c r="I265">
        <f t="shared" si="76"/>
        <v>0</v>
      </c>
      <c r="J265">
        <f t="shared" si="77"/>
        <v>18674.091330703432</v>
      </c>
      <c r="K265">
        <f t="shared" si="78"/>
        <v>18658.809295576539</v>
      </c>
      <c r="L265">
        <f t="shared" si="79"/>
        <v>18658.809295576539</v>
      </c>
      <c r="M265">
        <f t="shared" si="80"/>
        <v>0</v>
      </c>
      <c r="N265" s="29">
        <f t="shared" si="81"/>
        <v>18658.809295576539</v>
      </c>
      <c r="O265" s="29">
        <f t="shared" si="82"/>
        <v>18657.523569388293</v>
      </c>
      <c r="P265" s="29">
        <f t="shared" si="83"/>
        <v>18657.523569388293</v>
      </c>
      <c r="Q265">
        <f t="shared" si="84"/>
        <v>0</v>
      </c>
      <c r="R265" s="29">
        <f t="shared" si="85"/>
        <v>18657.523569388293</v>
      </c>
      <c r="S265" s="29">
        <f t="shared" si="86"/>
        <v>18657.50117562692</v>
      </c>
      <c r="T265" s="29">
        <f t="shared" si="87"/>
        <v>18657.50117562692</v>
      </c>
      <c r="U265">
        <f t="shared" si="88"/>
        <v>0</v>
      </c>
      <c r="V265" s="29">
        <f t="shared" si="89"/>
        <v>18657.50117562692</v>
      </c>
      <c r="W265" s="29">
        <f t="shared" si="90"/>
        <v>18657.50117562692</v>
      </c>
      <c r="X265" s="29">
        <f t="shared" si="91"/>
        <v>18657.50117562692</v>
      </c>
      <c r="Y265">
        <f t="shared" si="92"/>
        <v>0</v>
      </c>
    </row>
    <row r="266" spans="1:25" x14ac:dyDescent="0.25">
      <c r="A266" s="4" t="s">
        <v>1164</v>
      </c>
      <c r="B266" s="7" t="s">
        <v>232</v>
      </c>
      <c r="C266" s="2" t="s">
        <v>1165</v>
      </c>
      <c r="D266">
        <f>VLOOKUP(B266,'Model allocations'!$A$1:$L$316,6,FALSE)</f>
        <v>318435.23943144525</v>
      </c>
      <c r="E266" s="31">
        <f>VLOOKUP(B266,'Initial adjusted formula count'!$A$1:$P$316,12,FALSE)</f>
        <v>6.0631539611360197E-2</v>
      </c>
      <c r="F266">
        <f>VLOOKUP(B266,'Model allocations'!$A$1:$L$316,11,FALSE)</f>
        <v>366615.82954140147</v>
      </c>
      <c r="G266" s="30">
        <f t="shared" si="93"/>
        <v>0.85</v>
      </c>
      <c r="H266">
        <f t="shared" si="94"/>
        <v>270669.95351672848</v>
      </c>
      <c r="I266">
        <f t="shared" si="76"/>
        <v>0</v>
      </c>
      <c r="J266">
        <f t="shared" si="77"/>
        <v>366615.82954140147</v>
      </c>
      <c r="K266">
        <f t="shared" si="78"/>
        <v>366315.80766157294</v>
      </c>
      <c r="L266">
        <f t="shared" si="79"/>
        <v>366315.80766157294</v>
      </c>
      <c r="M266">
        <f t="shared" si="80"/>
        <v>0</v>
      </c>
      <c r="N266" s="29">
        <f t="shared" si="81"/>
        <v>366315.80766157294</v>
      </c>
      <c r="O266" s="29">
        <f t="shared" si="82"/>
        <v>366290.56586722168</v>
      </c>
      <c r="P266" s="29">
        <f t="shared" si="83"/>
        <v>366290.56586722168</v>
      </c>
      <c r="Q266">
        <f t="shared" si="84"/>
        <v>0</v>
      </c>
      <c r="R266" s="29">
        <f t="shared" si="85"/>
        <v>366290.56586722168</v>
      </c>
      <c r="S266" s="29">
        <f t="shared" si="86"/>
        <v>366290.12622562109</v>
      </c>
      <c r="T266" s="29">
        <f t="shared" si="87"/>
        <v>366290.12622562109</v>
      </c>
      <c r="U266">
        <f t="shared" si="88"/>
        <v>0</v>
      </c>
      <c r="V266" s="29">
        <f t="shared" si="89"/>
        <v>366290.12622562109</v>
      </c>
      <c r="W266" s="29">
        <f t="shared" si="90"/>
        <v>366290.12622562109</v>
      </c>
      <c r="X266" s="29">
        <f t="shared" si="91"/>
        <v>366290.12622562109</v>
      </c>
      <c r="Y266">
        <f t="shared" si="92"/>
        <v>0</v>
      </c>
    </row>
    <row r="267" spans="1:25" x14ac:dyDescent="0.25">
      <c r="A267" s="4" t="s">
        <v>1166</v>
      </c>
      <c r="B267" s="7" t="s">
        <v>599</v>
      </c>
      <c r="C267" s="2" t="s">
        <v>1167</v>
      </c>
      <c r="D267">
        <f>VLOOKUP(B267,'Model allocations'!$A$1:$L$316,6,FALSE)</f>
        <v>922609.2428169999</v>
      </c>
      <c r="E267" s="31">
        <f>VLOOKUP(B267,'Initial adjusted formula count'!$A$1:$P$316,12,FALSE)</f>
        <v>0.22602628589972401</v>
      </c>
      <c r="F267">
        <f>VLOOKUP(B267,'Model allocations'!$A$1:$L$316,11,FALSE)</f>
        <v>985174.12437627779</v>
      </c>
      <c r="G267" s="30">
        <f t="shared" si="93"/>
        <v>0.9</v>
      </c>
      <c r="H267">
        <f t="shared" si="94"/>
        <v>830348.31853529997</v>
      </c>
      <c r="I267">
        <f t="shared" si="76"/>
        <v>0</v>
      </c>
      <c r="J267">
        <f t="shared" si="77"/>
        <v>985174.12437627779</v>
      </c>
      <c r="K267">
        <f t="shared" si="78"/>
        <v>984367.90225236269</v>
      </c>
      <c r="L267">
        <f t="shared" si="79"/>
        <v>984367.90225236269</v>
      </c>
      <c r="M267">
        <f t="shared" si="80"/>
        <v>0</v>
      </c>
      <c r="N267" s="29">
        <f t="shared" si="81"/>
        <v>984367.90225236269</v>
      </c>
      <c r="O267" s="29">
        <f t="shared" si="82"/>
        <v>984300.0722225497</v>
      </c>
      <c r="P267" s="29">
        <f t="shared" si="83"/>
        <v>984300.0722225497</v>
      </c>
      <c r="Q267">
        <f t="shared" si="84"/>
        <v>0</v>
      </c>
      <c r="R267" s="29">
        <f t="shared" si="85"/>
        <v>984300.0722225497</v>
      </c>
      <c r="S267" s="29">
        <f t="shared" si="86"/>
        <v>984298.89081276325</v>
      </c>
      <c r="T267" s="29">
        <f t="shared" si="87"/>
        <v>984298.89081276325</v>
      </c>
      <c r="U267">
        <f t="shared" si="88"/>
        <v>0</v>
      </c>
      <c r="V267" s="29">
        <f t="shared" si="89"/>
        <v>984298.89081276325</v>
      </c>
      <c r="W267" s="29">
        <f t="shared" si="90"/>
        <v>984298.89081276325</v>
      </c>
      <c r="X267" s="29">
        <f t="shared" si="91"/>
        <v>984298.89081276325</v>
      </c>
      <c r="Y267">
        <f t="shared" si="92"/>
        <v>0</v>
      </c>
    </row>
    <row r="268" spans="1:25" x14ac:dyDescent="0.25">
      <c r="A268" s="4" t="s">
        <v>11</v>
      </c>
      <c r="B268" s="7" t="s">
        <v>67</v>
      </c>
      <c r="C268" s="2" t="s">
        <v>1168</v>
      </c>
      <c r="D268">
        <f>VLOOKUP(B268,'Model allocations'!$A$1:$L$316,6,FALSE)</f>
        <v>11329.565875478922</v>
      </c>
      <c r="E268" s="31">
        <f>VLOOKUP(B268,'Initial adjusted formula count'!$A$1:$P$316,12,FALSE)</f>
        <v>0.20287569859097099</v>
      </c>
      <c r="F268">
        <f>VLOOKUP(B268,'Model allocations'!$A$1:$L$316,11,FALSE)</f>
        <v>11701.841707217232</v>
      </c>
      <c r="G268" s="30">
        <f t="shared" si="93"/>
        <v>0.9</v>
      </c>
      <c r="H268">
        <f t="shared" si="94"/>
        <v>10196.609287931031</v>
      </c>
      <c r="I268">
        <f t="shared" si="76"/>
        <v>0</v>
      </c>
      <c r="J268">
        <f t="shared" si="77"/>
        <v>11701.841707217232</v>
      </c>
      <c r="K268">
        <f t="shared" si="78"/>
        <v>11692.265447100897</v>
      </c>
      <c r="L268">
        <f t="shared" si="79"/>
        <v>11692.265447100897</v>
      </c>
      <c r="M268">
        <f t="shared" si="80"/>
        <v>0</v>
      </c>
      <c r="N268" s="29">
        <f t="shared" si="81"/>
        <v>11692.265447100897</v>
      </c>
      <c r="O268" s="29">
        <f t="shared" si="82"/>
        <v>11691.459765899748</v>
      </c>
      <c r="P268" s="29">
        <f t="shared" si="83"/>
        <v>11691.459765899748</v>
      </c>
      <c r="Q268">
        <f t="shared" si="84"/>
        <v>0</v>
      </c>
      <c r="R268" s="29">
        <f t="shared" si="85"/>
        <v>11691.459765899748</v>
      </c>
      <c r="S268" s="29">
        <f t="shared" si="86"/>
        <v>11691.44573318211</v>
      </c>
      <c r="T268" s="29">
        <f t="shared" si="87"/>
        <v>11691.44573318211</v>
      </c>
      <c r="U268">
        <f t="shared" si="88"/>
        <v>0</v>
      </c>
      <c r="V268" s="29">
        <f t="shared" si="89"/>
        <v>11691.44573318211</v>
      </c>
      <c r="W268" s="29">
        <f t="shared" si="90"/>
        <v>11691.44573318211</v>
      </c>
      <c r="X268" s="29">
        <f t="shared" si="91"/>
        <v>11691.44573318211</v>
      </c>
      <c r="Y268">
        <f t="shared" si="92"/>
        <v>0</v>
      </c>
    </row>
    <row r="269" spans="1:25" x14ac:dyDescent="0.25">
      <c r="A269" s="4" t="s">
        <v>39</v>
      </c>
      <c r="B269" s="7" t="s">
        <v>62</v>
      </c>
      <c r="C269" s="2" t="s">
        <v>1169</v>
      </c>
      <c r="D269">
        <f>VLOOKUP(B269,'Model allocations'!$A$1:$L$316,6,FALSE)</f>
        <v>4175223.1760836504</v>
      </c>
      <c r="E269" s="31">
        <f>VLOOKUP(B269,'Initial adjusted formula count'!$A$1:$P$316,12,FALSE)</f>
        <v>0.14818460413962301</v>
      </c>
      <c r="F269">
        <f>VLOOKUP(B269,'Model allocations'!$A$1:$L$316,11,FALSE)</f>
        <v>4715911.3340943456</v>
      </c>
      <c r="G269" s="30">
        <f t="shared" si="93"/>
        <v>0.85</v>
      </c>
      <c r="H269">
        <f t="shared" si="94"/>
        <v>3548939.6996711027</v>
      </c>
      <c r="I269">
        <f t="shared" si="76"/>
        <v>0</v>
      </c>
      <c r="J269">
        <f t="shared" si="77"/>
        <v>4715911.3340943456</v>
      </c>
      <c r="K269">
        <f t="shared" si="78"/>
        <v>4712052.0446977867</v>
      </c>
      <c r="L269">
        <f t="shared" si="79"/>
        <v>4712052.0446977867</v>
      </c>
      <c r="M269">
        <f t="shared" si="80"/>
        <v>0</v>
      </c>
      <c r="N269" s="29">
        <f t="shared" si="81"/>
        <v>4712052.0446977867</v>
      </c>
      <c r="O269" s="29">
        <f t="shared" si="82"/>
        <v>4711727.3504143376</v>
      </c>
      <c r="P269" s="29">
        <f t="shared" si="83"/>
        <v>4711727.3504143376</v>
      </c>
      <c r="Q269">
        <f t="shared" si="84"/>
        <v>0</v>
      </c>
      <c r="R269" s="29">
        <f t="shared" si="85"/>
        <v>4711727.3504143376</v>
      </c>
      <c r="S269" s="29">
        <f t="shared" si="86"/>
        <v>4711721.6951462338</v>
      </c>
      <c r="T269" s="29">
        <f t="shared" si="87"/>
        <v>4711721.6951462338</v>
      </c>
      <c r="U269">
        <f t="shared" si="88"/>
        <v>0</v>
      </c>
      <c r="V269" s="29">
        <f t="shared" si="89"/>
        <v>4711721.6951462338</v>
      </c>
      <c r="W269" s="29">
        <f t="shared" si="90"/>
        <v>4711721.6951462338</v>
      </c>
      <c r="X269" s="29">
        <f t="shared" si="91"/>
        <v>4711721.6951462338</v>
      </c>
      <c r="Y269">
        <f t="shared" si="92"/>
        <v>0</v>
      </c>
    </row>
    <row r="270" spans="1:25" x14ac:dyDescent="0.25">
      <c r="A270" s="4" t="s">
        <v>1170</v>
      </c>
      <c r="B270" s="7" t="s">
        <v>601</v>
      </c>
      <c r="C270" s="2" t="s">
        <v>1171</v>
      </c>
      <c r="D270">
        <f>VLOOKUP(B270,'Model allocations'!$A$1:$L$316,6,FALSE)</f>
        <v>60939.680982094593</v>
      </c>
      <c r="E270" s="31">
        <f>VLOOKUP(B270,'Initial adjusted formula count'!$A$1:$P$316,12,FALSE)</f>
        <v>0.134110787172012</v>
      </c>
      <c r="F270">
        <f>VLOOKUP(B270,'Model allocations'!$A$1:$L$316,11,FALSE)</f>
        <v>51798.728834780406</v>
      </c>
      <c r="G270" s="30">
        <f t="shared" si="93"/>
        <v>0.85</v>
      </c>
      <c r="H270">
        <f t="shared" si="94"/>
        <v>51798.728834780406</v>
      </c>
      <c r="I270">
        <f t="shared" si="76"/>
        <v>0</v>
      </c>
      <c r="J270">
        <f t="shared" si="77"/>
        <v>51798.728834780406</v>
      </c>
      <c r="K270">
        <f t="shared" si="78"/>
        <v>51756.339088497007</v>
      </c>
      <c r="L270">
        <f t="shared" si="79"/>
        <v>51756.339088497007</v>
      </c>
      <c r="M270">
        <f t="shared" si="80"/>
        <v>51798.728834780406</v>
      </c>
      <c r="N270" s="29">
        <f t="shared" si="81"/>
        <v>0</v>
      </c>
      <c r="O270" s="29">
        <f t="shared" si="82"/>
        <v>0</v>
      </c>
      <c r="P270" s="29">
        <f t="shared" si="83"/>
        <v>51798.728834780406</v>
      </c>
      <c r="Q270">
        <f t="shared" si="84"/>
        <v>0</v>
      </c>
      <c r="R270" s="29">
        <f t="shared" si="85"/>
        <v>0</v>
      </c>
      <c r="S270" s="29">
        <f t="shared" si="86"/>
        <v>0</v>
      </c>
      <c r="T270" s="29">
        <f t="shared" si="87"/>
        <v>51798.728834780406</v>
      </c>
      <c r="U270">
        <f t="shared" si="88"/>
        <v>0</v>
      </c>
      <c r="V270" s="29">
        <f t="shared" si="89"/>
        <v>0</v>
      </c>
      <c r="W270" s="29">
        <f t="shared" si="90"/>
        <v>0</v>
      </c>
      <c r="X270" s="29">
        <f t="shared" si="91"/>
        <v>51798.728834780406</v>
      </c>
      <c r="Y270">
        <f t="shared" si="92"/>
        <v>0</v>
      </c>
    </row>
    <row r="271" spans="1:25" x14ac:dyDescent="0.25">
      <c r="A271" s="4" t="s">
        <v>1172</v>
      </c>
      <c r="B271" s="7" t="s">
        <v>234</v>
      </c>
      <c r="C271" s="2" t="s">
        <v>1173</v>
      </c>
      <c r="D271">
        <f>VLOOKUP(B271,'Model allocations'!$A$1:$L$316,6,FALSE)</f>
        <v>0</v>
      </c>
      <c r="E271" s="31">
        <f>VLOOKUP(B271,'Initial adjusted formula count'!$A$1:$P$316,12,FALSE)</f>
        <v>4.37099054039361E-2</v>
      </c>
      <c r="F271">
        <f>VLOOKUP(B271,'Model allocations'!$A$1:$L$316,11,FALSE)</f>
        <v>0</v>
      </c>
      <c r="G271" s="30">
        <f t="shared" si="93"/>
        <v>0.85</v>
      </c>
      <c r="H271">
        <f t="shared" si="94"/>
        <v>0</v>
      </c>
      <c r="I271">
        <f t="shared" si="76"/>
        <v>0</v>
      </c>
      <c r="J271">
        <f t="shared" si="77"/>
        <v>0</v>
      </c>
      <c r="K271">
        <f t="shared" si="78"/>
        <v>0</v>
      </c>
      <c r="L271">
        <f t="shared" si="79"/>
        <v>0</v>
      </c>
      <c r="M271">
        <f t="shared" si="80"/>
        <v>0</v>
      </c>
      <c r="N271" s="29">
        <f t="shared" si="81"/>
        <v>0</v>
      </c>
      <c r="O271" s="29">
        <f t="shared" si="82"/>
        <v>0</v>
      </c>
      <c r="P271" s="29">
        <f t="shared" si="83"/>
        <v>0</v>
      </c>
      <c r="Q271">
        <f t="shared" si="84"/>
        <v>0</v>
      </c>
      <c r="R271" s="29">
        <f t="shared" si="85"/>
        <v>0</v>
      </c>
      <c r="S271" s="29">
        <f t="shared" si="86"/>
        <v>0</v>
      </c>
      <c r="T271" s="29">
        <f t="shared" si="87"/>
        <v>0</v>
      </c>
      <c r="U271">
        <f t="shared" si="88"/>
        <v>0</v>
      </c>
      <c r="V271" s="29">
        <f t="shared" si="89"/>
        <v>0</v>
      </c>
      <c r="W271" s="29">
        <f t="shared" si="90"/>
        <v>0</v>
      </c>
      <c r="X271" s="29">
        <f t="shared" si="91"/>
        <v>0</v>
      </c>
      <c r="Y271">
        <f t="shared" si="92"/>
        <v>0</v>
      </c>
    </row>
    <row r="272" spans="1:25" x14ac:dyDescent="0.25">
      <c r="A272" s="4" t="s">
        <v>1174</v>
      </c>
      <c r="B272" s="7" t="s">
        <v>236</v>
      </c>
      <c r="C272" s="2" t="s">
        <v>1175</v>
      </c>
      <c r="D272">
        <f>VLOOKUP(B272,'Model allocations'!$A$1:$L$316,6,FALSE)</f>
        <v>14402.882916702147</v>
      </c>
      <c r="E272" s="31">
        <f>VLOOKUP(B272,'Initial adjusted formula count'!$A$1:$P$316,12,FALSE)</f>
        <v>0.100591715976331</v>
      </c>
      <c r="F272">
        <f>VLOOKUP(B272,'Model allocations'!$A$1:$L$316,11,FALSE)</f>
        <v>12242.450479196825</v>
      </c>
      <c r="G272" s="30">
        <f t="shared" si="93"/>
        <v>0.85</v>
      </c>
      <c r="H272">
        <f t="shared" si="94"/>
        <v>12242.450479196825</v>
      </c>
      <c r="I272">
        <f t="shared" si="76"/>
        <v>0</v>
      </c>
      <c r="J272">
        <f t="shared" si="77"/>
        <v>12242.450479196825</v>
      </c>
      <c r="K272">
        <f t="shared" si="78"/>
        <v>12232.431809214488</v>
      </c>
      <c r="L272">
        <f t="shared" si="79"/>
        <v>12232.431809214488</v>
      </c>
      <c r="M272">
        <f t="shared" si="80"/>
        <v>12242.450479196825</v>
      </c>
      <c r="N272" s="29">
        <f t="shared" si="81"/>
        <v>0</v>
      </c>
      <c r="O272" s="29">
        <f t="shared" si="82"/>
        <v>0</v>
      </c>
      <c r="P272" s="29">
        <f t="shared" si="83"/>
        <v>12242.450479196825</v>
      </c>
      <c r="Q272">
        <f t="shared" si="84"/>
        <v>0</v>
      </c>
      <c r="R272" s="29">
        <f t="shared" si="85"/>
        <v>0</v>
      </c>
      <c r="S272" s="29">
        <f t="shared" si="86"/>
        <v>0</v>
      </c>
      <c r="T272" s="29">
        <f t="shared" si="87"/>
        <v>12242.450479196825</v>
      </c>
      <c r="U272">
        <f t="shared" si="88"/>
        <v>0</v>
      </c>
      <c r="V272" s="29">
        <f t="shared" si="89"/>
        <v>0</v>
      </c>
      <c r="W272" s="29">
        <f t="shared" si="90"/>
        <v>0</v>
      </c>
      <c r="X272" s="29">
        <f t="shared" si="91"/>
        <v>12242.450479196825</v>
      </c>
      <c r="Y272">
        <f t="shared" si="92"/>
        <v>0</v>
      </c>
    </row>
    <row r="273" spans="1:25" x14ac:dyDescent="0.25">
      <c r="A273" s="4" t="s">
        <v>1176</v>
      </c>
      <c r="B273" s="7" t="s">
        <v>303</v>
      </c>
      <c r="C273" s="2" t="s">
        <v>1177</v>
      </c>
      <c r="D273">
        <f>VLOOKUP(B273,'Model allocations'!$A$1:$L$316,6,FALSE)</f>
        <v>93764.229788452358</v>
      </c>
      <c r="E273" s="31">
        <f>VLOOKUP(B273,'Initial adjusted formula count'!$A$1:$P$316,12,FALSE)</f>
        <v>9.03693931398417E-2</v>
      </c>
      <c r="F273">
        <f>VLOOKUP(B273,'Model allocations'!$A$1:$L$316,11,FALSE)</f>
        <v>79699.595320184497</v>
      </c>
      <c r="G273" s="30">
        <f t="shared" si="93"/>
        <v>0.85</v>
      </c>
      <c r="H273">
        <f t="shared" si="94"/>
        <v>79699.595320184497</v>
      </c>
      <c r="I273">
        <f t="shared" si="76"/>
        <v>0</v>
      </c>
      <c r="J273">
        <f t="shared" si="77"/>
        <v>79699.595320184497</v>
      </c>
      <c r="K273">
        <f t="shared" si="78"/>
        <v>79634.372761629289</v>
      </c>
      <c r="L273">
        <f t="shared" si="79"/>
        <v>79634.372761629289</v>
      </c>
      <c r="M273">
        <f t="shared" si="80"/>
        <v>79699.595320184497</v>
      </c>
      <c r="N273" s="29">
        <f t="shared" si="81"/>
        <v>0</v>
      </c>
      <c r="O273" s="29">
        <f t="shared" si="82"/>
        <v>0</v>
      </c>
      <c r="P273" s="29">
        <f t="shared" si="83"/>
        <v>79699.595320184497</v>
      </c>
      <c r="Q273">
        <f t="shared" si="84"/>
        <v>0</v>
      </c>
      <c r="R273" s="29">
        <f t="shared" si="85"/>
        <v>0</v>
      </c>
      <c r="S273" s="29">
        <f t="shared" si="86"/>
        <v>0</v>
      </c>
      <c r="T273" s="29">
        <f t="shared" si="87"/>
        <v>79699.595320184497</v>
      </c>
      <c r="U273">
        <f t="shared" si="88"/>
        <v>0</v>
      </c>
      <c r="V273" s="29">
        <f t="shared" si="89"/>
        <v>0</v>
      </c>
      <c r="W273" s="29">
        <f t="shared" si="90"/>
        <v>0</v>
      </c>
      <c r="X273" s="29">
        <f t="shared" si="91"/>
        <v>79699.595320184497</v>
      </c>
      <c r="Y273">
        <f t="shared" si="92"/>
        <v>0</v>
      </c>
    </row>
    <row r="274" spans="1:25" x14ac:dyDescent="0.25">
      <c r="A274" s="4" t="s">
        <v>1178</v>
      </c>
      <c r="B274" s="7" t="s">
        <v>238</v>
      </c>
      <c r="C274" s="2" t="s">
        <v>1179</v>
      </c>
      <c r="D274">
        <f>VLOOKUP(B274,'Model allocations'!$A$1:$L$316,6,FALSE)</f>
        <v>17627.665039955002</v>
      </c>
      <c r="E274" s="31">
        <f>VLOOKUP(B274,'Initial adjusted formula count'!$A$1:$P$316,12,FALSE)</f>
        <v>0.137440758293839</v>
      </c>
      <c r="F274">
        <f>VLOOKUP(B274,'Model allocations'!$A$1:$L$316,11,FALSE)</f>
        <v>16381.909178275258</v>
      </c>
      <c r="G274" s="30">
        <f t="shared" si="93"/>
        <v>0.85</v>
      </c>
      <c r="H274">
        <f t="shared" si="94"/>
        <v>14983.515283961751</v>
      </c>
      <c r="I274">
        <f t="shared" si="76"/>
        <v>0</v>
      </c>
      <c r="J274">
        <f t="shared" si="77"/>
        <v>16381.909178275258</v>
      </c>
      <c r="K274">
        <f t="shared" si="78"/>
        <v>16368.502961765202</v>
      </c>
      <c r="L274">
        <f t="shared" si="79"/>
        <v>16368.502961765202</v>
      </c>
      <c r="M274">
        <f t="shared" si="80"/>
        <v>0</v>
      </c>
      <c r="N274" s="29">
        <f t="shared" si="81"/>
        <v>16368.502961765202</v>
      </c>
      <c r="O274" s="29">
        <f t="shared" si="82"/>
        <v>16367.375054159367</v>
      </c>
      <c r="P274" s="29">
        <f t="shared" si="83"/>
        <v>16367.375054159367</v>
      </c>
      <c r="Q274">
        <f t="shared" si="84"/>
        <v>0</v>
      </c>
      <c r="R274" s="29">
        <f t="shared" si="85"/>
        <v>16367.375054159367</v>
      </c>
      <c r="S274" s="29">
        <f t="shared" si="86"/>
        <v>16367.355409157184</v>
      </c>
      <c r="T274" s="29">
        <f t="shared" si="87"/>
        <v>16367.355409157184</v>
      </c>
      <c r="U274">
        <f t="shared" si="88"/>
        <v>0</v>
      </c>
      <c r="V274" s="29">
        <f t="shared" si="89"/>
        <v>16367.355409157184</v>
      </c>
      <c r="W274" s="29">
        <f t="shared" si="90"/>
        <v>16367.355409157184</v>
      </c>
      <c r="X274" s="29">
        <f t="shared" si="91"/>
        <v>16367.355409157184</v>
      </c>
      <c r="Y274">
        <f t="shared" si="92"/>
        <v>0</v>
      </c>
    </row>
    <row r="275" spans="1:25" x14ac:dyDescent="0.25">
      <c r="A275" s="4" t="s">
        <v>1180</v>
      </c>
      <c r="B275" s="7" t="s">
        <v>240</v>
      </c>
      <c r="C275" s="2" t="s">
        <v>1181</v>
      </c>
      <c r="D275">
        <f>VLOOKUP(B275,'Model allocations'!$A$1:$L$316,6,FALSE)</f>
        <v>43216.211065696123</v>
      </c>
      <c r="E275" s="31">
        <f>VLOOKUP(B275,'Initial adjusted formula count'!$A$1:$P$316,12,FALSE)</f>
        <v>8.3428571428571394E-2</v>
      </c>
      <c r="F275">
        <f>VLOOKUP(B275,'Model allocations'!$A$1:$L$316,11,FALSE)</f>
        <v>41237.219655658417</v>
      </c>
      <c r="G275" s="30">
        <f t="shared" si="93"/>
        <v>0.85</v>
      </c>
      <c r="H275">
        <f t="shared" si="94"/>
        <v>36733.779405841706</v>
      </c>
      <c r="I275">
        <f t="shared" si="76"/>
        <v>0</v>
      </c>
      <c r="J275">
        <f t="shared" si="77"/>
        <v>41237.219655658417</v>
      </c>
      <c r="K275">
        <f t="shared" si="78"/>
        <v>41203.472972719312</v>
      </c>
      <c r="L275">
        <f t="shared" si="79"/>
        <v>41203.472972719312</v>
      </c>
      <c r="M275">
        <f t="shared" si="80"/>
        <v>0</v>
      </c>
      <c r="N275" s="29">
        <f t="shared" si="81"/>
        <v>41203.472972719312</v>
      </c>
      <c r="O275" s="29">
        <f t="shared" si="82"/>
        <v>41200.633757021867</v>
      </c>
      <c r="P275" s="29">
        <f t="shared" si="83"/>
        <v>41200.633757021867</v>
      </c>
      <c r="Q275">
        <f t="shared" si="84"/>
        <v>0</v>
      </c>
      <c r="R275" s="29">
        <f t="shared" si="85"/>
        <v>41200.633757021867</v>
      </c>
      <c r="S275" s="29">
        <f t="shared" si="86"/>
        <v>41200.584305809476</v>
      </c>
      <c r="T275" s="29">
        <f t="shared" si="87"/>
        <v>41200.584305809476</v>
      </c>
      <c r="U275">
        <f t="shared" si="88"/>
        <v>0</v>
      </c>
      <c r="V275" s="29">
        <f t="shared" si="89"/>
        <v>41200.584305809476</v>
      </c>
      <c r="W275" s="29">
        <f t="shared" si="90"/>
        <v>41200.584305809476</v>
      </c>
      <c r="X275" s="29">
        <f t="shared" si="91"/>
        <v>41200.584305809476</v>
      </c>
      <c r="Y275">
        <f t="shared" si="92"/>
        <v>0</v>
      </c>
    </row>
    <row r="276" spans="1:25" x14ac:dyDescent="0.25">
      <c r="A276" s="8" t="s">
        <v>1182</v>
      </c>
      <c r="B276" s="7" t="s">
        <v>603</v>
      </c>
      <c r="C276" s="2" t="s">
        <v>1183</v>
      </c>
      <c r="D276">
        <f>VLOOKUP(B276,'Model allocations'!$A$1:$L$316,6,FALSE)</f>
        <v>232394.48307314407</v>
      </c>
      <c r="E276" s="31">
        <f>VLOOKUP(B276,'Initial adjusted formula count'!$A$1:$P$316,12,FALSE)</f>
        <v>0.25296803652967997</v>
      </c>
      <c r="F276">
        <f>VLOOKUP(B276,'Model allocations'!$A$1:$L$316,11,FALSE)</f>
        <v>216337.72731636575</v>
      </c>
      <c r="G276" s="30">
        <f t="shared" si="93"/>
        <v>0.9</v>
      </c>
      <c r="H276">
        <f t="shared" si="94"/>
        <v>209155.03476582968</v>
      </c>
      <c r="I276">
        <f t="shared" si="76"/>
        <v>0</v>
      </c>
      <c r="J276">
        <f t="shared" si="77"/>
        <v>216337.72731636575</v>
      </c>
      <c r="K276">
        <f t="shared" si="78"/>
        <v>216160.68626576936</v>
      </c>
      <c r="L276">
        <f t="shared" si="79"/>
        <v>216160.68626576936</v>
      </c>
      <c r="M276">
        <f t="shared" si="80"/>
        <v>0</v>
      </c>
      <c r="N276" s="29">
        <f t="shared" si="81"/>
        <v>216160.68626576936</v>
      </c>
      <c r="O276" s="29">
        <f t="shared" si="82"/>
        <v>216145.79123946847</v>
      </c>
      <c r="P276" s="29">
        <f t="shared" si="83"/>
        <v>216145.79123946847</v>
      </c>
      <c r="Q276">
        <f t="shared" si="84"/>
        <v>0</v>
      </c>
      <c r="R276" s="29">
        <f t="shared" si="85"/>
        <v>216145.79123946847</v>
      </c>
      <c r="S276" s="29">
        <f t="shared" si="86"/>
        <v>216145.53180968657</v>
      </c>
      <c r="T276" s="29">
        <f t="shared" si="87"/>
        <v>216145.53180968657</v>
      </c>
      <c r="U276">
        <f t="shared" si="88"/>
        <v>0</v>
      </c>
      <c r="V276" s="29">
        <f t="shared" si="89"/>
        <v>216145.53180968657</v>
      </c>
      <c r="W276" s="29">
        <f t="shared" si="90"/>
        <v>216145.53180968657</v>
      </c>
      <c r="X276" s="29">
        <f t="shared" si="91"/>
        <v>216145.53180968657</v>
      </c>
      <c r="Y276">
        <f t="shared" si="92"/>
        <v>0</v>
      </c>
    </row>
    <row r="277" spans="1:25" x14ac:dyDescent="0.25">
      <c r="A277" s="4" t="s">
        <v>1184</v>
      </c>
      <c r="B277" s="7" t="s">
        <v>605</v>
      </c>
      <c r="C277" s="2" t="s">
        <v>1185</v>
      </c>
      <c r="D277">
        <f>VLOOKUP(B277,'Model allocations'!$A$1:$L$316,6,FALSE)</f>
        <v>440007.44514158223</v>
      </c>
      <c r="E277" s="31">
        <f>VLOOKUP(B277,'Initial adjusted formula count'!$A$1:$P$316,12,FALSE)</f>
        <v>0.20956521739130399</v>
      </c>
      <c r="F277">
        <f>VLOOKUP(B277,'Model allocations'!$A$1:$L$316,11,FALSE)</f>
        <v>487004.5029655766</v>
      </c>
      <c r="G277" s="30">
        <f t="shared" si="93"/>
        <v>0.9</v>
      </c>
      <c r="H277">
        <f t="shared" si="94"/>
        <v>396006.700627424</v>
      </c>
      <c r="I277">
        <f t="shared" si="76"/>
        <v>0</v>
      </c>
      <c r="J277">
        <f t="shared" si="77"/>
        <v>487004.5029655766</v>
      </c>
      <c r="K277">
        <f t="shared" si="78"/>
        <v>486605.96041860734</v>
      </c>
      <c r="L277">
        <f t="shared" si="79"/>
        <v>486605.96041860734</v>
      </c>
      <c r="M277">
        <f t="shared" si="80"/>
        <v>0</v>
      </c>
      <c r="N277" s="29">
        <f t="shared" si="81"/>
        <v>486605.96041860734</v>
      </c>
      <c r="O277" s="29">
        <f t="shared" si="82"/>
        <v>486572.42976738751</v>
      </c>
      <c r="P277" s="29">
        <f t="shared" si="83"/>
        <v>486572.42976738751</v>
      </c>
      <c r="Q277">
        <f t="shared" si="84"/>
        <v>0</v>
      </c>
      <c r="R277" s="29">
        <f t="shared" si="85"/>
        <v>486572.42976738751</v>
      </c>
      <c r="S277" s="29">
        <f t="shared" si="86"/>
        <v>486571.84575703688</v>
      </c>
      <c r="T277" s="29">
        <f t="shared" si="87"/>
        <v>486571.84575703688</v>
      </c>
      <c r="U277">
        <f t="shared" si="88"/>
        <v>0</v>
      </c>
      <c r="V277" s="29">
        <f t="shared" si="89"/>
        <v>486571.84575703688</v>
      </c>
      <c r="W277" s="29">
        <f t="shared" si="90"/>
        <v>486571.84575703688</v>
      </c>
      <c r="X277" s="29">
        <f t="shared" si="91"/>
        <v>486571.84575703688</v>
      </c>
      <c r="Y277">
        <f t="shared" si="92"/>
        <v>0</v>
      </c>
    </row>
    <row r="278" spans="1:25" x14ac:dyDescent="0.25">
      <c r="A278" s="4" t="s">
        <v>1186</v>
      </c>
      <c r="B278" s="7" t="s">
        <v>242</v>
      </c>
      <c r="C278" s="2" t="s">
        <v>1187</v>
      </c>
      <c r="D278">
        <f>VLOOKUP(B278,'Model allocations'!$A$1:$L$316,6,FALSE)</f>
        <v>13647.224547061936</v>
      </c>
      <c r="E278" s="31">
        <f>VLOOKUP(B278,'Initial adjusted formula count'!$A$1:$P$316,12,FALSE)</f>
        <v>9.6330275229357804E-2</v>
      </c>
      <c r="F278">
        <f>VLOOKUP(B278,'Model allocations'!$A$1:$L$316,11,FALSE)</f>
        <v>11862.761818751051</v>
      </c>
      <c r="G278" s="30">
        <f t="shared" si="93"/>
        <v>0.85</v>
      </c>
      <c r="H278">
        <f t="shared" si="94"/>
        <v>11600.140865002646</v>
      </c>
      <c r="I278">
        <f t="shared" si="76"/>
        <v>0</v>
      </c>
      <c r="J278">
        <f t="shared" si="77"/>
        <v>11862.761818751051</v>
      </c>
      <c r="K278">
        <f t="shared" si="78"/>
        <v>11853.053868864459</v>
      </c>
      <c r="L278">
        <f t="shared" si="79"/>
        <v>11853.053868864459</v>
      </c>
      <c r="M278">
        <f t="shared" si="80"/>
        <v>0</v>
      </c>
      <c r="N278" s="29">
        <f t="shared" si="81"/>
        <v>11853.053868864459</v>
      </c>
      <c r="O278" s="29">
        <f t="shared" si="82"/>
        <v>11852.23710818437</v>
      </c>
      <c r="P278" s="29">
        <f t="shared" si="83"/>
        <v>11852.23710818437</v>
      </c>
      <c r="Q278">
        <f t="shared" si="84"/>
        <v>0</v>
      </c>
      <c r="R278" s="29">
        <f t="shared" si="85"/>
        <v>11852.23710818437</v>
      </c>
      <c r="S278" s="29">
        <f t="shared" si="86"/>
        <v>11852.222882493134</v>
      </c>
      <c r="T278" s="29">
        <f t="shared" si="87"/>
        <v>11852.222882493134</v>
      </c>
      <c r="U278">
        <f t="shared" si="88"/>
        <v>0</v>
      </c>
      <c r="V278" s="29">
        <f t="shared" si="89"/>
        <v>11852.222882493134</v>
      </c>
      <c r="W278" s="29">
        <f t="shared" si="90"/>
        <v>11852.222882493134</v>
      </c>
      <c r="X278" s="29">
        <f t="shared" si="91"/>
        <v>11852.222882493134</v>
      </c>
      <c r="Y278">
        <f t="shared" si="92"/>
        <v>0</v>
      </c>
    </row>
    <row r="279" spans="1:25" x14ac:dyDescent="0.25">
      <c r="A279" s="4" t="s">
        <v>1188</v>
      </c>
      <c r="B279" s="7" t="s">
        <v>244</v>
      </c>
      <c r="C279" s="2" t="s">
        <v>1189</v>
      </c>
      <c r="D279">
        <f>VLOOKUP(B279,'Model allocations'!$A$1:$L$316,6,FALSE)</f>
        <v>41510.307997313401</v>
      </c>
      <c r="E279" s="31">
        <f>VLOOKUP(B279,'Initial adjusted formula count'!$A$1:$P$316,12,FALSE)</f>
        <v>0.102564102564103</v>
      </c>
      <c r="F279">
        <f>VLOOKUP(B279,'Model allocations'!$A$1:$L$316,11,FALSE)</f>
        <v>45191.473595242096</v>
      </c>
      <c r="G279" s="30">
        <f t="shared" si="93"/>
        <v>0.85</v>
      </c>
      <c r="H279">
        <f t="shared" si="94"/>
        <v>35283.76179771639</v>
      </c>
      <c r="I279">
        <f t="shared" si="76"/>
        <v>0</v>
      </c>
      <c r="J279">
        <f t="shared" si="77"/>
        <v>45191.473595242096</v>
      </c>
      <c r="K279">
        <f t="shared" si="78"/>
        <v>45154.490929007457</v>
      </c>
      <c r="L279">
        <f t="shared" si="79"/>
        <v>45154.490929007457</v>
      </c>
      <c r="M279">
        <f t="shared" si="80"/>
        <v>0</v>
      </c>
      <c r="N279" s="29">
        <f t="shared" si="81"/>
        <v>45154.490929007457</v>
      </c>
      <c r="O279" s="29">
        <f t="shared" si="82"/>
        <v>45151.37945974998</v>
      </c>
      <c r="P279" s="29">
        <f t="shared" si="83"/>
        <v>45151.37945974998</v>
      </c>
      <c r="Q279">
        <f t="shared" si="84"/>
        <v>0</v>
      </c>
      <c r="R279" s="29">
        <f t="shared" si="85"/>
        <v>45151.37945974998</v>
      </c>
      <c r="S279" s="29">
        <f t="shared" si="86"/>
        <v>45151.32526664051</v>
      </c>
      <c r="T279" s="29">
        <f t="shared" si="87"/>
        <v>45151.32526664051</v>
      </c>
      <c r="U279">
        <f t="shared" si="88"/>
        <v>0</v>
      </c>
      <c r="V279" s="29">
        <f t="shared" si="89"/>
        <v>45151.32526664051</v>
      </c>
      <c r="W279" s="29">
        <f t="shared" si="90"/>
        <v>45151.32526664051</v>
      </c>
      <c r="X279" s="29">
        <f t="shared" si="91"/>
        <v>45151.32526664051</v>
      </c>
      <c r="Y279">
        <f t="shared" si="92"/>
        <v>0</v>
      </c>
    </row>
    <row r="280" spans="1:25" x14ac:dyDescent="0.25">
      <c r="A280" s="4" t="s">
        <v>1190</v>
      </c>
      <c r="B280" s="7" t="s">
        <v>607</v>
      </c>
      <c r="C280" s="2" t="s">
        <v>1191</v>
      </c>
      <c r="D280">
        <f>VLOOKUP(B280,'Model allocations'!$A$1:$L$316,6,FALSE)</f>
        <v>31502.14430744333</v>
      </c>
      <c r="E280" s="31">
        <f>VLOOKUP(B280,'Initial adjusted formula count'!$A$1:$P$316,12,FALSE)</f>
        <v>0.173267326732673</v>
      </c>
      <c r="F280">
        <f>VLOOKUP(B280,'Model allocations'!$A$1:$L$316,11,FALSE)</f>
        <v>28372.227637279313</v>
      </c>
      <c r="G280" s="30">
        <f t="shared" si="93"/>
        <v>0.9</v>
      </c>
      <c r="H280">
        <f t="shared" si="94"/>
        <v>28351.929876698996</v>
      </c>
      <c r="I280">
        <f t="shared" si="76"/>
        <v>0</v>
      </c>
      <c r="J280">
        <f t="shared" si="77"/>
        <v>28372.227637279313</v>
      </c>
      <c r="K280">
        <f t="shared" si="78"/>
        <v>28349.009084274367</v>
      </c>
      <c r="L280">
        <f t="shared" si="79"/>
        <v>28349.009084274367</v>
      </c>
      <c r="M280">
        <f t="shared" si="80"/>
        <v>28351.929876698996</v>
      </c>
      <c r="N280" s="29">
        <f t="shared" si="81"/>
        <v>0</v>
      </c>
      <c r="O280" s="29">
        <f t="shared" si="82"/>
        <v>0</v>
      </c>
      <c r="P280" s="29">
        <f t="shared" si="83"/>
        <v>28351.929876698996</v>
      </c>
      <c r="Q280">
        <f t="shared" si="84"/>
        <v>0</v>
      </c>
      <c r="R280" s="29">
        <f t="shared" si="85"/>
        <v>0</v>
      </c>
      <c r="S280" s="29">
        <f t="shared" si="86"/>
        <v>0</v>
      </c>
      <c r="T280" s="29">
        <f t="shared" si="87"/>
        <v>28351.929876698996</v>
      </c>
      <c r="U280">
        <f t="shared" si="88"/>
        <v>0</v>
      </c>
      <c r="V280" s="29">
        <f t="shared" si="89"/>
        <v>0</v>
      </c>
      <c r="W280" s="29">
        <f t="shared" si="90"/>
        <v>0</v>
      </c>
      <c r="X280" s="29">
        <f t="shared" si="91"/>
        <v>28351.929876698996</v>
      </c>
      <c r="Y280">
        <f t="shared" si="92"/>
        <v>0</v>
      </c>
    </row>
    <row r="281" spans="1:25" x14ac:dyDescent="0.25">
      <c r="A281" s="4" t="s">
        <v>43</v>
      </c>
      <c r="B281" s="7" t="s">
        <v>60</v>
      </c>
      <c r="C281" s="2" t="s">
        <v>1192</v>
      </c>
      <c r="D281">
        <f>VLOOKUP(B281,'Model allocations'!$A$1:$L$316,6,FALSE)</f>
        <v>347697.11648243648</v>
      </c>
      <c r="E281" s="31">
        <f>VLOOKUP(B281,'Initial adjusted formula count'!$A$1:$P$316,12,FALSE)</f>
        <v>0.210333702778842</v>
      </c>
      <c r="F281">
        <f>VLOOKUP(B281,'Model allocations'!$A$1:$L$316,11,FALSE)</f>
        <v>311970.9803739161</v>
      </c>
      <c r="G281" s="30">
        <f t="shared" si="93"/>
        <v>0.9</v>
      </c>
      <c r="H281">
        <f t="shared" si="94"/>
        <v>312927.40483419283</v>
      </c>
      <c r="I281">
        <f t="shared" si="76"/>
        <v>312927.40483419283</v>
      </c>
      <c r="J281">
        <f t="shared" si="77"/>
        <v>0</v>
      </c>
      <c r="K281">
        <f t="shared" si="78"/>
        <v>0</v>
      </c>
      <c r="L281">
        <f t="shared" si="79"/>
        <v>312927.40483419283</v>
      </c>
      <c r="M281">
        <f t="shared" si="80"/>
        <v>0</v>
      </c>
      <c r="N281" s="29">
        <f t="shared" si="81"/>
        <v>0</v>
      </c>
      <c r="O281" s="29">
        <f t="shared" si="82"/>
        <v>0</v>
      </c>
      <c r="P281" s="29">
        <f t="shared" si="83"/>
        <v>312927.40483419283</v>
      </c>
      <c r="Q281">
        <f t="shared" si="84"/>
        <v>0</v>
      </c>
      <c r="R281" s="29">
        <f t="shared" si="85"/>
        <v>0</v>
      </c>
      <c r="S281" s="29">
        <f t="shared" si="86"/>
        <v>0</v>
      </c>
      <c r="T281" s="29">
        <f t="shared" si="87"/>
        <v>312927.40483419283</v>
      </c>
      <c r="U281">
        <f t="shared" si="88"/>
        <v>0</v>
      </c>
      <c r="V281" s="29">
        <f t="shared" si="89"/>
        <v>0</v>
      </c>
      <c r="W281" s="29">
        <f t="shared" si="90"/>
        <v>0</v>
      </c>
      <c r="X281" s="29">
        <f t="shared" si="91"/>
        <v>312927.40483419283</v>
      </c>
      <c r="Y281">
        <f t="shared" si="92"/>
        <v>0</v>
      </c>
    </row>
    <row r="282" spans="1:25" x14ac:dyDescent="0.25">
      <c r="A282" s="4" t="s">
        <v>1193</v>
      </c>
      <c r="B282" s="7" t="s">
        <v>246</v>
      </c>
      <c r="C282" s="2" t="s">
        <v>1194</v>
      </c>
      <c r="D282">
        <f>VLOOKUP(B282,'Model allocations'!$A$1:$L$316,6,FALSE)</f>
        <v>363925.98792165169</v>
      </c>
      <c r="E282" s="31">
        <f>VLOOKUP(B282,'Initial adjusted formula count'!$A$1:$P$316,12,FALSE)</f>
        <v>7.9849558802256596E-2</v>
      </c>
      <c r="F282">
        <f>VLOOKUP(B282,'Model allocations'!$A$1:$L$316,11,FALSE)</f>
        <v>311821.16780717048</v>
      </c>
      <c r="G282" s="30">
        <f t="shared" si="93"/>
        <v>0.85</v>
      </c>
      <c r="H282">
        <f t="shared" si="94"/>
        <v>309337.08973340393</v>
      </c>
      <c r="I282">
        <f t="shared" si="76"/>
        <v>0</v>
      </c>
      <c r="J282">
        <f t="shared" si="77"/>
        <v>311821.16780717048</v>
      </c>
      <c r="K282">
        <f t="shared" si="78"/>
        <v>311565.98741015146</v>
      </c>
      <c r="L282">
        <f t="shared" si="79"/>
        <v>311565.98741015146</v>
      </c>
      <c r="M282">
        <f t="shared" si="80"/>
        <v>0</v>
      </c>
      <c r="N282" s="29">
        <f t="shared" si="81"/>
        <v>311565.98741015146</v>
      </c>
      <c r="O282" s="29">
        <f t="shared" si="82"/>
        <v>311544.51827227487</v>
      </c>
      <c r="P282" s="29">
        <f t="shared" si="83"/>
        <v>311544.51827227487</v>
      </c>
      <c r="Q282">
        <f t="shared" si="84"/>
        <v>0</v>
      </c>
      <c r="R282" s="29">
        <f t="shared" si="85"/>
        <v>311544.51827227487</v>
      </c>
      <c r="S282" s="29">
        <f t="shared" si="86"/>
        <v>311544.14433981956</v>
      </c>
      <c r="T282" s="29">
        <f t="shared" si="87"/>
        <v>311544.14433981956</v>
      </c>
      <c r="U282">
        <f t="shared" si="88"/>
        <v>0</v>
      </c>
      <c r="V282" s="29">
        <f t="shared" si="89"/>
        <v>311544.14433981956</v>
      </c>
      <c r="W282" s="29">
        <f t="shared" si="90"/>
        <v>311544.14433981956</v>
      </c>
      <c r="X282" s="29">
        <f t="shared" si="91"/>
        <v>311544.14433981956</v>
      </c>
      <c r="Y282">
        <f t="shared" si="92"/>
        <v>0</v>
      </c>
    </row>
    <row r="283" spans="1:25" x14ac:dyDescent="0.25">
      <c r="A283" s="4" t="s">
        <v>1195</v>
      </c>
      <c r="B283" s="7" t="s">
        <v>609</v>
      </c>
      <c r="C283" s="2" t="s">
        <v>1196</v>
      </c>
      <c r="D283">
        <f>VLOOKUP(B283,'Model allocations'!$A$1:$L$316,6,FALSE)</f>
        <v>235022.97652403562</v>
      </c>
      <c r="E283" s="31">
        <f>VLOOKUP(B283,'Initial adjusted formula count'!$A$1:$P$316,12,FALSE)</f>
        <v>0.314285714285714</v>
      </c>
      <c r="F283">
        <f>VLOOKUP(B283,'Model allocations'!$A$1:$L$316,11,FALSE)</f>
        <v>233078.20259294825</v>
      </c>
      <c r="G283" s="30">
        <f t="shared" si="93"/>
        <v>0.95</v>
      </c>
      <c r="H283">
        <f t="shared" si="94"/>
        <v>223271.82769783383</v>
      </c>
      <c r="I283">
        <f t="shared" si="76"/>
        <v>0</v>
      </c>
      <c r="J283">
        <f t="shared" si="77"/>
        <v>233078.20259294825</v>
      </c>
      <c r="K283">
        <f t="shared" si="78"/>
        <v>232887.46189149938</v>
      </c>
      <c r="L283">
        <f t="shared" si="79"/>
        <v>232887.46189149938</v>
      </c>
      <c r="M283">
        <f t="shared" si="80"/>
        <v>0</v>
      </c>
      <c r="N283" s="29">
        <f t="shared" si="81"/>
        <v>232887.46189149938</v>
      </c>
      <c r="O283" s="29">
        <f t="shared" si="82"/>
        <v>232871.41427002876</v>
      </c>
      <c r="P283" s="29">
        <f t="shared" si="83"/>
        <v>232871.41427002876</v>
      </c>
      <c r="Q283">
        <f t="shared" si="84"/>
        <v>0</v>
      </c>
      <c r="R283" s="29">
        <f t="shared" si="85"/>
        <v>232871.41427002876</v>
      </c>
      <c r="S283" s="29">
        <f t="shared" si="86"/>
        <v>232871.13476525623</v>
      </c>
      <c r="T283" s="29">
        <f t="shared" si="87"/>
        <v>232871.13476525623</v>
      </c>
      <c r="U283">
        <f t="shared" si="88"/>
        <v>0</v>
      </c>
      <c r="V283" s="29">
        <f t="shared" si="89"/>
        <v>232871.13476525623</v>
      </c>
      <c r="W283" s="29">
        <f t="shared" si="90"/>
        <v>232871.13476525623</v>
      </c>
      <c r="X283" s="29">
        <f t="shared" si="91"/>
        <v>232871.13476525623</v>
      </c>
      <c r="Y283">
        <f t="shared" si="92"/>
        <v>0</v>
      </c>
    </row>
    <row r="284" spans="1:25" x14ac:dyDescent="0.25">
      <c r="A284" s="4" t="s">
        <v>1197</v>
      </c>
      <c r="B284" s="7" t="s">
        <v>248</v>
      </c>
      <c r="C284" s="2" t="s">
        <v>1198</v>
      </c>
      <c r="D284">
        <f>VLOOKUP(B284,'Model allocations'!$A$1:$L$316,6,FALSE)</f>
        <v>270101.31916060083</v>
      </c>
      <c r="E284" s="31">
        <f>VLOOKUP(B284,'Initial adjusted formula count'!$A$1:$P$316,12,FALSE)</f>
        <v>9.6267875828391997E-2</v>
      </c>
      <c r="F284">
        <f>VLOOKUP(B284,'Model allocations'!$A$1:$L$316,11,FALSE)</f>
        <v>311821.16780717048</v>
      </c>
      <c r="G284" s="30">
        <f t="shared" si="93"/>
        <v>0.85</v>
      </c>
      <c r="H284">
        <f t="shared" si="94"/>
        <v>229586.12128651069</v>
      </c>
      <c r="I284">
        <f t="shared" si="76"/>
        <v>0</v>
      </c>
      <c r="J284">
        <f t="shared" si="77"/>
        <v>311821.16780717048</v>
      </c>
      <c r="K284">
        <f t="shared" si="78"/>
        <v>311565.98741015146</v>
      </c>
      <c r="L284">
        <f t="shared" si="79"/>
        <v>311565.98741015146</v>
      </c>
      <c r="M284">
        <f t="shared" si="80"/>
        <v>0</v>
      </c>
      <c r="N284" s="29">
        <f t="shared" si="81"/>
        <v>311565.98741015146</v>
      </c>
      <c r="O284" s="29">
        <f t="shared" si="82"/>
        <v>311544.51827227487</v>
      </c>
      <c r="P284" s="29">
        <f t="shared" si="83"/>
        <v>311544.51827227487</v>
      </c>
      <c r="Q284">
        <f t="shared" si="84"/>
        <v>0</v>
      </c>
      <c r="R284" s="29">
        <f t="shared" si="85"/>
        <v>311544.51827227487</v>
      </c>
      <c r="S284" s="29">
        <f t="shared" si="86"/>
        <v>311544.14433981956</v>
      </c>
      <c r="T284" s="29">
        <f t="shared" si="87"/>
        <v>311544.14433981956</v>
      </c>
      <c r="U284">
        <f t="shared" si="88"/>
        <v>0</v>
      </c>
      <c r="V284" s="29">
        <f t="shared" si="89"/>
        <v>311544.14433981956</v>
      </c>
      <c r="W284" s="29">
        <f t="shared" si="90"/>
        <v>311544.14433981956</v>
      </c>
      <c r="X284" s="29">
        <f t="shared" si="91"/>
        <v>311544.14433981956</v>
      </c>
      <c r="Y284">
        <f t="shared" si="92"/>
        <v>0</v>
      </c>
    </row>
    <row r="285" spans="1:25" x14ac:dyDescent="0.25">
      <c r="A285" s="4" t="s">
        <v>1199</v>
      </c>
      <c r="B285" s="7" t="s">
        <v>611</v>
      </c>
      <c r="C285" s="2" t="s">
        <v>1200</v>
      </c>
      <c r="D285">
        <f>VLOOKUP(B285,'Model allocations'!$A$1:$L$316,6,FALSE)</f>
        <v>62847.885735233744</v>
      </c>
      <c r="E285" s="31">
        <f>VLOOKUP(B285,'Initial adjusted formula count'!$A$1:$P$316,12,FALSE)</f>
        <v>0.243055555555556</v>
      </c>
      <c r="F285">
        <f>VLOOKUP(B285,'Model allocations'!$A$1:$L$316,11,FALSE)</f>
        <v>56603.591907883318</v>
      </c>
      <c r="G285" s="30">
        <f t="shared" si="93"/>
        <v>0.9</v>
      </c>
      <c r="H285">
        <f t="shared" si="94"/>
        <v>56563.097161710371</v>
      </c>
      <c r="I285">
        <f t="shared" si="76"/>
        <v>0</v>
      </c>
      <c r="J285">
        <f t="shared" si="77"/>
        <v>56603.591907883318</v>
      </c>
      <c r="K285">
        <f t="shared" si="78"/>
        <v>56557.270078107198</v>
      </c>
      <c r="L285">
        <f t="shared" si="79"/>
        <v>56557.270078107198</v>
      </c>
      <c r="M285">
        <f t="shared" si="80"/>
        <v>56563.097161710371</v>
      </c>
      <c r="N285" s="29">
        <f t="shared" si="81"/>
        <v>0</v>
      </c>
      <c r="O285" s="29">
        <f t="shared" si="82"/>
        <v>0</v>
      </c>
      <c r="P285" s="29">
        <f t="shared" si="83"/>
        <v>56563.097161710371</v>
      </c>
      <c r="Q285">
        <f t="shared" si="84"/>
        <v>0</v>
      </c>
      <c r="R285" s="29">
        <f t="shared" si="85"/>
        <v>0</v>
      </c>
      <c r="S285" s="29">
        <f t="shared" si="86"/>
        <v>0</v>
      </c>
      <c r="T285" s="29">
        <f t="shared" si="87"/>
        <v>56563.097161710371</v>
      </c>
      <c r="U285">
        <f t="shared" si="88"/>
        <v>0</v>
      </c>
      <c r="V285" s="29">
        <f t="shared" si="89"/>
        <v>0</v>
      </c>
      <c r="W285" s="29">
        <f t="shared" si="90"/>
        <v>0</v>
      </c>
      <c r="X285" s="29">
        <f t="shared" si="91"/>
        <v>56563.097161710371</v>
      </c>
      <c r="Y285">
        <f t="shared" si="92"/>
        <v>0</v>
      </c>
    </row>
    <row r="286" spans="1:25" x14ac:dyDescent="0.25">
      <c r="A286" s="4" t="s">
        <v>49</v>
      </c>
      <c r="B286" s="7" t="s">
        <v>63</v>
      </c>
      <c r="C286" s="2" t="s">
        <v>1201</v>
      </c>
      <c r="D286">
        <f>VLOOKUP(B286,'Model allocations'!$A$1:$L$316,6,FALSE)</f>
        <v>2268139.3730487283</v>
      </c>
      <c r="E286" s="31">
        <f>VLOOKUP(B286,'Initial adjusted formula count'!$A$1:$P$316,12,FALSE)</f>
        <v>0.11281099129941199</v>
      </c>
      <c r="F286">
        <f>VLOOKUP(B286,'Model allocations'!$A$1:$L$316,11,FALSE)</f>
        <v>2295151.24926783</v>
      </c>
      <c r="G286" s="30">
        <f t="shared" si="93"/>
        <v>0.85</v>
      </c>
      <c r="H286">
        <f t="shared" si="94"/>
        <v>1927918.467091419</v>
      </c>
      <c r="I286">
        <f t="shared" si="76"/>
        <v>0</v>
      </c>
      <c r="J286">
        <f t="shared" si="77"/>
        <v>2295151.24926783</v>
      </c>
      <c r="K286">
        <f t="shared" si="78"/>
        <v>2293273.0008758893</v>
      </c>
      <c r="L286">
        <f t="shared" si="79"/>
        <v>2293273.0008758893</v>
      </c>
      <c r="M286">
        <f t="shared" si="80"/>
        <v>0</v>
      </c>
      <c r="N286" s="29">
        <f t="shared" si="81"/>
        <v>2293273.0008758893</v>
      </c>
      <c r="O286" s="29">
        <f t="shared" si="82"/>
        <v>2293114.9778687768</v>
      </c>
      <c r="P286" s="29">
        <f t="shared" si="83"/>
        <v>2293114.9778687768</v>
      </c>
      <c r="Q286">
        <f t="shared" si="84"/>
        <v>0</v>
      </c>
      <c r="R286" s="29">
        <f t="shared" si="85"/>
        <v>2293114.9778687768</v>
      </c>
      <c r="S286" s="29">
        <f t="shared" si="86"/>
        <v>2293112.2255490799</v>
      </c>
      <c r="T286" s="29">
        <f t="shared" si="87"/>
        <v>2293112.2255490799</v>
      </c>
      <c r="U286">
        <f t="shared" si="88"/>
        <v>0</v>
      </c>
      <c r="V286" s="29">
        <f t="shared" si="89"/>
        <v>2293112.2255490799</v>
      </c>
      <c r="W286" s="29">
        <f t="shared" si="90"/>
        <v>2293112.2255490799</v>
      </c>
      <c r="X286" s="29">
        <f t="shared" si="91"/>
        <v>2293112.2255490799</v>
      </c>
      <c r="Y286">
        <f t="shared" si="92"/>
        <v>0</v>
      </c>
    </row>
    <row r="287" spans="1:25" x14ac:dyDescent="0.25">
      <c r="A287" s="4" t="s">
        <v>1202</v>
      </c>
      <c r="B287" s="7" t="s">
        <v>250</v>
      </c>
      <c r="C287" s="2" t="s">
        <v>1203</v>
      </c>
      <c r="D287">
        <f>VLOOKUP(B287,'Model allocations'!$A$1:$L$316,6,FALSE)</f>
        <v>64824.31659854421</v>
      </c>
      <c r="E287" s="31">
        <f>VLOOKUP(B287,'Initial adjusted formula count'!$A$1:$P$316,12,FALSE)</f>
        <v>7.9608938547486005E-2</v>
      </c>
      <c r="F287">
        <f>VLOOKUP(B287,'Model allocations'!$A$1:$L$316,11,FALSE)</f>
        <v>64397.849873219981</v>
      </c>
      <c r="G287" s="30">
        <f t="shared" si="93"/>
        <v>0.85</v>
      </c>
      <c r="H287">
        <f t="shared" si="94"/>
        <v>55100.66910876258</v>
      </c>
      <c r="I287">
        <f t="shared" si="76"/>
        <v>0</v>
      </c>
      <c r="J287">
        <f t="shared" si="77"/>
        <v>64397.849873219981</v>
      </c>
      <c r="K287">
        <f t="shared" si="78"/>
        <v>64345.149573835624</v>
      </c>
      <c r="L287">
        <f t="shared" si="79"/>
        <v>64345.149573835624</v>
      </c>
      <c r="M287">
        <f t="shared" si="80"/>
        <v>0</v>
      </c>
      <c r="N287" s="29">
        <f t="shared" si="81"/>
        <v>64345.149573835624</v>
      </c>
      <c r="O287" s="29">
        <f t="shared" si="82"/>
        <v>64340.715730143718</v>
      </c>
      <c r="P287" s="29">
        <f t="shared" si="83"/>
        <v>64340.715730143718</v>
      </c>
      <c r="Q287">
        <f t="shared" si="84"/>
        <v>0</v>
      </c>
      <c r="R287" s="29">
        <f t="shared" si="85"/>
        <v>64340.715730143718</v>
      </c>
      <c r="S287" s="29">
        <f t="shared" si="86"/>
        <v>64340.638504962721</v>
      </c>
      <c r="T287" s="29">
        <f t="shared" si="87"/>
        <v>64340.638504962721</v>
      </c>
      <c r="U287">
        <f t="shared" si="88"/>
        <v>0</v>
      </c>
      <c r="V287" s="29">
        <f t="shared" si="89"/>
        <v>64340.638504962721</v>
      </c>
      <c r="W287" s="29">
        <f t="shared" si="90"/>
        <v>64340.638504962721</v>
      </c>
      <c r="X287" s="29">
        <f t="shared" si="91"/>
        <v>64340.638504962721</v>
      </c>
      <c r="Y287">
        <f t="shared" si="92"/>
        <v>0</v>
      </c>
    </row>
    <row r="288" spans="1:25" x14ac:dyDescent="0.25">
      <c r="A288" s="4" t="s">
        <v>1204</v>
      </c>
      <c r="B288" s="7" t="s">
        <v>613</v>
      </c>
      <c r="C288" s="2" t="s">
        <v>1205</v>
      </c>
      <c r="D288">
        <f>VLOOKUP(B288,'Model allocations'!$A$1:$L$316,6,FALSE)</f>
        <v>68770.780356794188</v>
      </c>
      <c r="E288" s="31">
        <f>VLOOKUP(B288,'Initial adjusted formula count'!$A$1:$P$316,12,FALSE)</f>
        <v>0.158</v>
      </c>
      <c r="F288">
        <f>VLOOKUP(B288,'Model allocations'!$A$1:$L$316,11,FALSE)</f>
        <v>61893.702321114768</v>
      </c>
      <c r="G288" s="30">
        <f t="shared" si="93"/>
        <v>0.9</v>
      </c>
      <c r="H288">
        <f t="shared" si="94"/>
        <v>61893.702321114768</v>
      </c>
      <c r="I288">
        <f t="shared" si="76"/>
        <v>0</v>
      </c>
      <c r="J288">
        <f t="shared" si="77"/>
        <v>61893.702321114768</v>
      </c>
      <c r="K288">
        <f t="shared" si="78"/>
        <v>61843.051303281864</v>
      </c>
      <c r="L288">
        <f t="shared" si="79"/>
        <v>61843.051303281864</v>
      </c>
      <c r="M288">
        <f t="shared" si="80"/>
        <v>61893.702321114768</v>
      </c>
      <c r="N288" s="29">
        <f t="shared" si="81"/>
        <v>0</v>
      </c>
      <c r="O288" s="29">
        <f t="shared" si="82"/>
        <v>0</v>
      </c>
      <c r="P288" s="29">
        <f t="shared" si="83"/>
        <v>61893.702321114768</v>
      </c>
      <c r="Q288">
        <f t="shared" si="84"/>
        <v>0</v>
      </c>
      <c r="R288" s="29">
        <f t="shared" si="85"/>
        <v>0</v>
      </c>
      <c r="S288" s="29">
        <f t="shared" si="86"/>
        <v>0</v>
      </c>
      <c r="T288" s="29">
        <f t="shared" si="87"/>
        <v>61893.702321114768</v>
      </c>
      <c r="U288">
        <f t="shared" si="88"/>
        <v>0</v>
      </c>
      <c r="V288" s="29">
        <f t="shared" si="89"/>
        <v>0</v>
      </c>
      <c r="W288" s="29">
        <f t="shared" si="90"/>
        <v>0</v>
      </c>
      <c r="X288" s="29">
        <f t="shared" si="91"/>
        <v>61893.702321114768</v>
      </c>
      <c r="Y288">
        <f t="shared" si="92"/>
        <v>0</v>
      </c>
    </row>
    <row r="289" spans="1:25" x14ac:dyDescent="0.25">
      <c r="A289" s="4" t="s">
        <v>1206</v>
      </c>
      <c r="B289" s="7" t="s">
        <v>615</v>
      </c>
      <c r="C289" s="2" t="s">
        <v>1207</v>
      </c>
      <c r="D289">
        <f>VLOOKUP(B289,'Model allocations'!$A$1:$L$316,6,FALSE)</f>
        <v>193034.39697549067</v>
      </c>
      <c r="E289" s="31">
        <f>VLOOKUP(B289,'Initial adjusted formula count'!$A$1:$P$316,12,FALSE)</f>
        <v>0.176558603491272</v>
      </c>
      <c r="F289">
        <f>VLOOKUP(B289,'Model allocations'!$A$1:$L$316,11,FALSE)</f>
        <v>217605.84243245475</v>
      </c>
      <c r="G289" s="30">
        <f t="shared" si="93"/>
        <v>0.9</v>
      </c>
      <c r="H289">
        <f t="shared" si="94"/>
        <v>173730.9572779416</v>
      </c>
      <c r="I289">
        <f t="shared" si="76"/>
        <v>0</v>
      </c>
      <c r="J289">
        <f t="shared" si="77"/>
        <v>217605.84243245475</v>
      </c>
      <c r="K289">
        <f t="shared" si="78"/>
        <v>217427.76361357255</v>
      </c>
      <c r="L289">
        <f t="shared" si="79"/>
        <v>217427.76361357255</v>
      </c>
      <c r="M289">
        <f t="shared" si="80"/>
        <v>0</v>
      </c>
      <c r="N289" s="29">
        <f t="shared" si="81"/>
        <v>217427.76361357255</v>
      </c>
      <c r="O289" s="29">
        <f t="shared" si="82"/>
        <v>217412.7812765273</v>
      </c>
      <c r="P289" s="29">
        <f t="shared" si="83"/>
        <v>217412.7812765273</v>
      </c>
      <c r="Q289">
        <f t="shared" si="84"/>
        <v>0</v>
      </c>
      <c r="R289" s="29">
        <f t="shared" si="85"/>
        <v>217412.7812765273</v>
      </c>
      <c r="S289" s="29">
        <f t="shared" si="86"/>
        <v>217412.52032603594</v>
      </c>
      <c r="T289" s="29">
        <f t="shared" si="87"/>
        <v>217412.52032603594</v>
      </c>
      <c r="U289">
        <f t="shared" si="88"/>
        <v>0</v>
      </c>
      <c r="V289" s="29">
        <f t="shared" si="89"/>
        <v>217412.52032603594</v>
      </c>
      <c r="W289" s="29">
        <f t="shared" si="90"/>
        <v>217412.52032603594</v>
      </c>
      <c r="X289" s="29">
        <f t="shared" si="91"/>
        <v>217412.52032603594</v>
      </c>
      <c r="Y289">
        <f t="shared" si="92"/>
        <v>0</v>
      </c>
    </row>
    <row r="290" spans="1:25" x14ac:dyDescent="0.25">
      <c r="A290" s="4" t="s">
        <v>1208</v>
      </c>
      <c r="B290" s="7" t="s">
        <v>617</v>
      </c>
      <c r="C290" s="2" t="s">
        <v>1209</v>
      </c>
      <c r="D290">
        <f>VLOOKUP(B290,'Model allocations'!$A$1:$L$316,6,FALSE)</f>
        <v>21039.47117672049</v>
      </c>
      <c r="E290" s="31">
        <f>VLOOKUP(B290,'Initial adjusted formula count'!$A$1:$P$316,12,FALSE)</f>
        <v>5.4945054945054903E-2</v>
      </c>
      <c r="F290">
        <f>VLOOKUP(B290,'Model allocations'!$A$1:$L$316,11,FALSE)</f>
        <v>17896.353721296764</v>
      </c>
      <c r="G290" s="30">
        <f t="shared" si="93"/>
        <v>0.85</v>
      </c>
      <c r="H290">
        <f t="shared" si="94"/>
        <v>17883.550500212415</v>
      </c>
      <c r="I290">
        <f t="shared" si="76"/>
        <v>0</v>
      </c>
      <c r="J290">
        <f t="shared" si="77"/>
        <v>17896.353721296764</v>
      </c>
      <c r="K290">
        <f t="shared" si="78"/>
        <v>17881.708151594397</v>
      </c>
      <c r="L290">
        <f t="shared" si="79"/>
        <v>17881.708151594397</v>
      </c>
      <c r="M290">
        <f t="shared" si="80"/>
        <v>17883.550500212415</v>
      </c>
      <c r="N290" s="29">
        <f t="shared" si="81"/>
        <v>0</v>
      </c>
      <c r="O290" s="29">
        <f t="shared" si="82"/>
        <v>0</v>
      </c>
      <c r="P290" s="29">
        <f t="shared" si="83"/>
        <v>17883.550500212415</v>
      </c>
      <c r="Q290">
        <f t="shared" si="84"/>
        <v>0</v>
      </c>
      <c r="R290" s="29">
        <f t="shared" si="85"/>
        <v>0</v>
      </c>
      <c r="S290" s="29">
        <f t="shared" si="86"/>
        <v>0</v>
      </c>
      <c r="T290" s="29">
        <f t="shared" si="87"/>
        <v>17883.550500212415</v>
      </c>
      <c r="U290">
        <f t="shared" si="88"/>
        <v>0</v>
      </c>
      <c r="V290" s="29">
        <f t="shared" si="89"/>
        <v>0</v>
      </c>
      <c r="W290" s="29">
        <f t="shared" si="90"/>
        <v>0</v>
      </c>
      <c r="X290" s="29">
        <f t="shared" si="91"/>
        <v>17883.550500212415</v>
      </c>
      <c r="Y290">
        <f t="shared" si="92"/>
        <v>0</v>
      </c>
    </row>
    <row r="291" spans="1:25" x14ac:dyDescent="0.25">
      <c r="A291" s="4" t="s">
        <v>1210</v>
      </c>
      <c r="B291" s="7" t="s">
        <v>619</v>
      </c>
      <c r="C291" s="2" t="s">
        <v>1211</v>
      </c>
      <c r="D291">
        <f>VLOOKUP(B291,'Model allocations'!$A$1:$L$316,6,FALSE)</f>
        <v>711077.26233753958</v>
      </c>
      <c r="E291" s="31">
        <f>VLOOKUP(B291,'Initial adjusted formula count'!$A$1:$P$316,12,FALSE)</f>
        <v>0.134801016088061</v>
      </c>
      <c r="F291">
        <f>VLOOKUP(B291,'Model allocations'!$A$1:$L$316,11,FALSE)</f>
        <v>604848.38725625945</v>
      </c>
      <c r="G291" s="30">
        <f t="shared" si="93"/>
        <v>0.85</v>
      </c>
      <c r="H291">
        <f t="shared" si="94"/>
        <v>604415.67298690858</v>
      </c>
      <c r="I291">
        <f t="shared" si="76"/>
        <v>0</v>
      </c>
      <c r="J291">
        <f t="shared" si="77"/>
        <v>604848.38725625945</v>
      </c>
      <c r="K291">
        <f t="shared" si="78"/>
        <v>604353.40658294037</v>
      </c>
      <c r="L291">
        <f t="shared" si="79"/>
        <v>604353.40658294037</v>
      </c>
      <c r="M291">
        <f t="shared" si="80"/>
        <v>604415.67298690858</v>
      </c>
      <c r="N291" s="29">
        <f t="shared" si="81"/>
        <v>0</v>
      </c>
      <c r="O291" s="29">
        <f t="shared" si="82"/>
        <v>0</v>
      </c>
      <c r="P291" s="29">
        <f t="shared" si="83"/>
        <v>604415.67298690858</v>
      </c>
      <c r="Q291">
        <f t="shared" si="84"/>
        <v>0</v>
      </c>
      <c r="R291" s="29">
        <f t="shared" si="85"/>
        <v>0</v>
      </c>
      <c r="S291" s="29">
        <f t="shared" si="86"/>
        <v>0</v>
      </c>
      <c r="T291" s="29">
        <f t="shared" si="87"/>
        <v>604415.67298690858</v>
      </c>
      <c r="U291">
        <f t="shared" si="88"/>
        <v>0</v>
      </c>
      <c r="V291" s="29">
        <f t="shared" si="89"/>
        <v>0</v>
      </c>
      <c r="W291" s="29">
        <f t="shared" si="90"/>
        <v>0</v>
      </c>
      <c r="X291" s="29">
        <f t="shared" si="91"/>
        <v>604415.67298690858</v>
      </c>
      <c r="Y291">
        <f t="shared" si="92"/>
        <v>0</v>
      </c>
    </row>
    <row r="292" spans="1:25" x14ac:dyDescent="0.25">
      <c r="A292" s="4" t="s">
        <v>1212</v>
      </c>
      <c r="B292" s="7" t="s">
        <v>620</v>
      </c>
      <c r="C292" s="2" t="s">
        <v>1213</v>
      </c>
      <c r="D292">
        <f>VLOOKUP(B292,'Model allocations'!$A$1:$L$316,6,FALSE)</f>
        <v>584714.20366057509</v>
      </c>
      <c r="E292" s="31">
        <f>VLOOKUP(B292,'Initial adjusted formula count'!$A$1:$P$316,12,FALSE)</f>
        <v>0.25252234073219898</v>
      </c>
      <c r="F292">
        <f>VLOOKUP(B292,'Model allocations'!$A$1:$L$316,11,FALSE)</f>
        <v>683182.34215577587</v>
      </c>
      <c r="G292" s="30">
        <f t="shared" si="93"/>
        <v>0.9</v>
      </c>
      <c r="H292">
        <f t="shared" si="94"/>
        <v>526242.78329451755</v>
      </c>
      <c r="I292">
        <f t="shared" si="76"/>
        <v>0</v>
      </c>
      <c r="J292">
        <f t="shared" si="77"/>
        <v>683182.34215577587</v>
      </c>
      <c r="K292">
        <f t="shared" si="78"/>
        <v>682623.2565025033</v>
      </c>
      <c r="L292">
        <f t="shared" si="79"/>
        <v>682623.2565025033</v>
      </c>
      <c r="M292">
        <f t="shared" si="80"/>
        <v>0</v>
      </c>
      <c r="N292" s="29">
        <f t="shared" si="81"/>
        <v>682623.2565025033</v>
      </c>
      <c r="O292" s="29">
        <f t="shared" si="82"/>
        <v>682576.21884947375</v>
      </c>
      <c r="P292" s="29">
        <f t="shared" si="83"/>
        <v>682576.21884947375</v>
      </c>
      <c r="Q292">
        <f t="shared" si="84"/>
        <v>0</v>
      </c>
      <c r="R292" s="29">
        <f t="shared" si="85"/>
        <v>682576.21884947375</v>
      </c>
      <c r="S292" s="29">
        <f t="shared" si="86"/>
        <v>682575.39958485344</v>
      </c>
      <c r="T292" s="29">
        <f t="shared" si="87"/>
        <v>682575.39958485344</v>
      </c>
      <c r="U292">
        <f t="shared" si="88"/>
        <v>0</v>
      </c>
      <c r="V292" s="29">
        <f t="shared" si="89"/>
        <v>682575.39958485344</v>
      </c>
      <c r="W292" s="29">
        <f t="shared" si="90"/>
        <v>682575.39958485344</v>
      </c>
      <c r="X292" s="29">
        <f t="shared" si="91"/>
        <v>682575.39958485344</v>
      </c>
      <c r="Y292">
        <f t="shared" si="92"/>
        <v>0</v>
      </c>
    </row>
    <row r="293" spans="1:25" x14ac:dyDescent="0.25">
      <c r="A293" s="4" t="s">
        <v>1214</v>
      </c>
      <c r="B293" s="7" t="s">
        <v>622</v>
      </c>
      <c r="C293" s="2" t="s">
        <v>1215</v>
      </c>
      <c r="D293">
        <f>VLOOKUP(B293,'Model allocations'!$A$1:$L$316,6,FALSE)</f>
        <v>147799.88253630677</v>
      </c>
      <c r="E293" s="31">
        <f>VLOOKUP(B293,'Initial adjusted formula count'!$A$1:$P$316,12,FALSE)</f>
        <v>0.19351100811124</v>
      </c>
      <c r="F293">
        <f>VLOOKUP(B293,'Model allocations'!$A$1:$L$316,11,FALSE)</f>
        <v>133115.12610563531</v>
      </c>
      <c r="G293" s="30">
        <f t="shared" si="93"/>
        <v>0.9</v>
      </c>
      <c r="H293">
        <f t="shared" si="94"/>
        <v>133019.8942826761</v>
      </c>
      <c r="I293">
        <f t="shared" si="76"/>
        <v>0</v>
      </c>
      <c r="J293">
        <f t="shared" si="77"/>
        <v>133115.12610563531</v>
      </c>
      <c r="K293">
        <f t="shared" si="78"/>
        <v>133006.19068291289</v>
      </c>
      <c r="L293">
        <f t="shared" si="79"/>
        <v>133006.19068291289</v>
      </c>
      <c r="M293">
        <f t="shared" si="80"/>
        <v>133019.8942826761</v>
      </c>
      <c r="N293" s="29">
        <f t="shared" si="81"/>
        <v>0</v>
      </c>
      <c r="O293" s="29">
        <f t="shared" si="82"/>
        <v>0</v>
      </c>
      <c r="P293" s="29">
        <f t="shared" si="83"/>
        <v>133019.8942826761</v>
      </c>
      <c r="Q293">
        <f t="shared" si="84"/>
        <v>0</v>
      </c>
      <c r="R293" s="29">
        <f t="shared" si="85"/>
        <v>0</v>
      </c>
      <c r="S293" s="29">
        <f t="shared" si="86"/>
        <v>0</v>
      </c>
      <c r="T293" s="29">
        <f t="shared" si="87"/>
        <v>133019.8942826761</v>
      </c>
      <c r="U293">
        <f t="shared" si="88"/>
        <v>0</v>
      </c>
      <c r="V293" s="29">
        <f t="shared" si="89"/>
        <v>0</v>
      </c>
      <c r="W293" s="29">
        <f t="shared" si="90"/>
        <v>0</v>
      </c>
      <c r="X293" s="29">
        <f t="shared" si="91"/>
        <v>133019.8942826761</v>
      </c>
      <c r="Y293">
        <f t="shared" si="92"/>
        <v>0</v>
      </c>
    </row>
    <row r="294" spans="1:25" x14ac:dyDescent="0.25">
      <c r="A294" s="4" t="s">
        <v>1216</v>
      </c>
      <c r="B294" s="7" t="s">
        <v>252</v>
      </c>
      <c r="C294" s="2" t="s">
        <v>1217</v>
      </c>
      <c r="D294">
        <f>VLOOKUP(B294,'Model allocations'!$A$1:$L$316,6,FALSE)</f>
        <v>145001.76081253309</v>
      </c>
      <c r="E294" s="31">
        <f>VLOOKUP(B294,'Initial adjusted formula count'!$A$1:$P$316,12,FALSE)</f>
        <v>7.3478144274604404E-2</v>
      </c>
      <c r="F294">
        <f>VLOOKUP(B294,'Model allocations'!$A$1:$L$316,11,FALSE)</f>
        <v>154780.7970637042</v>
      </c>
      <c r="G294" s="30">
        <f t="shared" si="93"/>
        <v>0.85</v>
      </c>
      <c r="H294">
        <f t="shared" si="94"/>
        <v>123251.49669065312</v>
      </c>
      <c r="I294">
        <f t="shared" si="76"/>
        <v>0</v>
      </c>
      <c r="J294">
        <f t="shared" si="77"/>
        <v>154780.7970637042</v>
      </c>
      <c r="K294">
        <f t="shared" si="78"/>
        <v>154654.13143185058</v>
      </c>
      <c r="L294">
        <f t="shared" si="79"/>
        <v>154654.13143185058</v>
      </c>
      <c r="M294">
        <f t="shared" si="80"/>
        <v>0</v>
      </c>
      <c r="N294" s="29">
        <f t="shared" si="81"/>
        <v>154654.13143185058</v>
      </c>
      <c r="O294" s="29">
        <f t="shared" si="82"/>
        <v>154643.4746496437</v>
      </c>
      <c r="P294" s="29">
        <f t="shared" si="83"/>
        <v>154643.4746496437</v>
      </c>
      <c r="Q294">
        <f t="shared" si="84"/>
        <v>0</v>
      </c>
      <c r="R294" s="29">
        <f t="shared" si="85"/>
        <v>154643.4746496437</v>
      </c>
      <c r="S294" s="29">
        <f t="shared" si="86"/>
        <v>154643.28903824373</v>
      </c>
      <c r="T294" s="29">
        <f t="shared" si="87"/>
        <v>154643.28903824373</v>
      </c>
      <c r="U294">
        <f t="shared" si="88"/>
        <v>0</v>
      </c>
      <c r="V294" s="29">
        <f t="shared" si="89"/>
        <v>154643.28903824373</v>
      </c>
      <c r="W294" s="29">
        <f t="shared" si="90"/>
        <v>154643.28903824373</v>
      </c>
      <c r="X294" s="29">
        <f t="shared" si="91"/>
        <v>154643.28903824373</v>
      </c>
      <c r="Y294">
        <f t="shared" si="92"/>
        <v>0</v>
      </c>
    </row>
    <row r="295" spans="1:25" x14ac:dyDescent="0.25">
      <c r="A295" s="4" t="s">
        <v>1218</v>
      </c>
      <c r="B295" s="7" t="s">
        <v>624</v>
      </c>
      <c r="C295" s="2" t="s">
        <v>1219</v>
      </c>
      <c r="D295">
        <f>VLOOKUP(B295,'Model allocations'!$A$1:$L$316,6,FALSE)</f>
        <v>0</v>
      </c>
      <c r="E295" s="31">
        <f>VLOOKUP(B295,'Initial adjusted formula count'!$A$1:$P$316,12,FALSE)</f>
        <v>7.5757575757575801E-2</v>
      </c>
      <c r="F295">
        <f>VLOOKUP(B295,'Model allocations'!$A$1:$L$316,11,FALSE)</f>
        <v>0</v>
      </c>
      <c r="G295" s="30">
        <f t="shared" si="93"/>
        <v>0.85</v>
      </c>
      <c r="H295">
        <f t="shared" si="94"/>
        <v>0</v>
      </c>
      <c r="I295">
        <f t="shared" si="76"/>
        <v>0</v>
      </c>
      <c r="J295">
        <f t="shared" si="77"/>
        <v>0</v>
      </c>
      <c r="K295">
        <f t="shared" si="78"/>
        <v>0</v>
      </c>
      <c r="L295">
        <f t="shared" si="79"/>
        <v>0</v>
      </c>
      <c r="M295">
        <f t="shared" si="80"/>
        <v>0</v>
      </c>
      <c r="N295" s="29">
        <f t="shared" si="81"/>
        <v>0</v>
      </c>
      <c r="O295" s="29">
        <f t="shared" si="82"/>
        <v>0</v>
      </c>
      <c r="P295" s="29">
        <f t="shared" si="83"/>
        <v>0</v>
      </c>
      <c r="Q295">
        <f t="shared" si="84"/>
        <v>0</v>
      </c>
      <c r="R295" s="29">
        <f t="shared" si="85"/>
        <v>0</v>
      </c>
      <c r="S295" s="29">
        <f t="shared" si="86"/>
        <v>0</v>
      </c>
      <c r="T295" s="29">
        <f t="shared" si="87"/>
        <v>0</v>
      </c>
      <c r="U295">
        <f t="shared" si="88"/>
        <v>0</v>
      </c>
      <c r="V295" s="29">
        <f t="shared" si="89"/>
        <v>0</v>
      </c>
      <c r="W295" s="29">
        <f t="shared" si="90"/>
        <v>0</v>
      </c>
      <c r="X295" s="29">
        <f t="shared" si="91"/>
        <v>0</v>
      </c>
      <c r="Y295">
        <f t="shared" si="92"/>
        <v>0</v>
      </c>
    </row>
    <row r="296" spans="1:25" x14ac:dyDescent="0.25">
      <c r="A296" s="4" t="s">
        <v>1220</v>
      </c>
      <c r="B296" s="7" t="s">
        <v>626</v>
      </c>
      <c r="C296" s="2" t="s">
        <v>1221</v>
      </c>
      <c r="D296">
        <f>VLOOKUP(B296,'Model allocations'!$A$1:$L$316,6,FALSE)</f>
        <v>22176.739888975648</v>
      </c>
      <c r="E296" s="31">
        <f>VLOOKUP(B296,'Initial adjusted formula count'!$A$1:$P$316,12,FALSE)</f>
        <v>0.13803680981595101</v>
      </c>
      <c r="F296">
        <f>VLOOKUP(B296,'Model allocations'!$A$1:$L$316,11,FALSE)</f>
        <v>25420.203897323681</v>
      </c>
      <c r="G296" s="30">
        <f t="shared" si="93"/>
        <v>0.85</v>
      </c>
      <c r="H296">
        <f t="shared" si="94"/>
        <v>18850.228905629301</v>
      </c>
      <c r="I296">
        <f t="shared" si="76"/>
        <v>0</v>
      </c>
      <c r="J296">
        <f t="shared" si="77"/>
        <v>25420.203897323681</v>
      </c>
      <c r="K296">
        <f t="shared" si="78"/>
        <v>25399.401147566696</v>
      </c>
      <c r="L296">
        <f t="shared" si="79"/>
        <v>25399.401147566696</v>
      </c>
      <c r="M296">
        <f t="shared" si="80"/>
        <v>0</v>
      </c>
      <c r="N296" s="29">
        <f t="shared" si="81"/>
        <v>25399.401147566696</v>
      </c>
      <c r="O296" s="29">
        <f t="shared" si="82"/>
        <v>25397.650946109366</v>
      </c>
      <c r="P296" s="29">
        <f t="shared" si="83"/>
        <v>25397.650946109366</v>
      </c>
      <c r="Q296">
        <f t="shared" si="84"/>
        <v>0</v>
      </c>
      <c r="R296" s="29">
        <f t="shared" si="85"/>
        <v>25397.650946109366</v>
      </c>
      <c r="S296" s="29">
        <f t="shared" si="86"/>
        <v>25397.620462485291</v>
      </c>
      <c r="T296" s="29">
        <f t="shared" si="87"/>
        <v>25397.620462485291</v>
      </c>
      <c r="U296">
        <f t="shared" si="88"/>
        <v>0</v>
      </c>
      <c r="V296" s="29">
        <f t="shared" si="89"/>
        <v>25397.620462485291</v>
      </c>
      <c r="W296" s="29">
        <f t="shared" si="90"/>
        <v>25397.620462485291</v>
      </c>
      <c r="X296" s="29">
        <f t="shared" si="91"/>
        <v>25397.620462485291</v>
      </c>
      <c r="Y296">
        <f t="shared" si="92"/>
        <v>0</v>
      </c>
    </row>
    <row r="297" spans="1:25" x14ac:dyDescent="0.25">
      <c r="A297" s="4" t="s">
        <v>1222</v>
      </c>
      <c r="B297" s="7" t="s">
        <v>628</v>
      </c>
      <c r="C297" s="2" t="s">
        <v>1223</v>
      </c>
      <c r="D297">
        <f>VLOOKUP(B297,'Model allocations'!$A$1:$L$316,6,FALSE)</f>
        <v>68459.041618770614</v>
      </c>
      <c r="E297" s="31">
        <f>VLOOKUP(B297,'Initial adjusted formula count'!$A$1:$P$316,12,FALSE)</f>
        <v>0.22539682539682501</v>
      </c>
      <c r="F297">
        <f>VLOOKUP(B297,'Model allocations'!$A$1:$L$316,11,FALSE)</f>
        <v>61657.247636276101</v>
      </c>
      <c r="G297" s="30">
        <f t="shared" si="93"/>
        <v>0.9</v>
      </c>
      <c r="H297">
        <f t="shared" si="94"/>
        <v>61613.137456893557</v>
      </c>
      <c r="I297">
        <f t="shared" si="76"/>
        <v>0</v>
      </c>
      <c r="J297">
        <f t="shared" si="77"/>
        <v>61657.247636276101</v>
      </c>
      <c r="K297">
        <f t="shared" si="78"/>
        <v>61606.790122305611</v>
      </c>
      <c r="L297">
        <f t="shared" si="79"/>
        <v>61606.790122305611</v>
      </c>
      <c r="M297">
        <f t="shared" si="80"/>
        <v>61613.137456893557</v>
      </c>
      <c r="N297" s="29">
        <f t="shared" si="81"/>
        <v>0</v>
      </c>
      <c r="O297" s="29">
        <f t="shared" si="82"/>
        <v>0</v>
      </c>
      <c r="P297" s="29">
        <f t="shared" si="83"/>
        <v>61613.137456893557</v>
      </c>
      <c r="Q297">
        <f t="shared" si="84"/>
        <v>0</v>
      </c>
      <c r="R297" s="29">
        <f t="shared" si="85"/>
        <v>0</v>
      </c>
      <c r="S297" s="29">
        <f t="shared" si="86"/>
        <v>0</v>
      </c>
      <c r="T297" s="29">
        <f t="shared" si="87"/>
        <v>61613.137456893557</v>
      </c>
      <c r="U297">
        <f t="shared" si="88"/>
        <v>0</v>
      </c>
      <c r="V297" s="29">
        <f t="shared" si="89"/>
        <v>0</v>
      </c>
      <c r="W297" s="29">
        <f t="shared" si="90"/>
        <v>0</v>
      </c>
      <c r="X297" s="29">
        <f t="shared" si="91"/>
        <v>61613.137456893557</v>
      </c>
      <c r="Y297">
        <f t="shared" si="92"/>
        <v>0</v>
      </c>
    </row>
    <row r="298" spans="1:25" x14ac:dyDescent="0.25">
      <c r="A298" s="4" t="s">
        <v>53</v>
      </c>
      <c r="B298" s="7" t="s">
        <v>64</v>
      </c>
      <c r="C298" s="2" t="s">
        <v>1224</v>
      </c>
      <c r="D298">
        <f>VLOOKUP(B298,'Model allocations'!$A$1:$L$316,6,FALSE)</f>
        <v>719108.69232323871</v>
      </c>
      <c r="E298" s="31">
        <f>VLOOKUP(B298,'Initial adjusted formula count'!$A$1:$P$316,12,FALSE)</f>
        <v>0.123566627364634</v>
      </c>
      <c r="F298">
        <f>VLOOKUP(B298,'Model allocations'!$A$1:$L$316,11,FALSE)</f>
        <v>663578.30666265381</v>
      </c>
      <c r="G298" s="30">
        <f t="shared" si="93"/>
        <v>0.85</v>
      </c>
      <c r="H298">
        <f t="shared" si="94"/>
        <v>611242.38847475289</v>
      </c>
      <c r="I298">
        <f t="shared" si="76"/>
        <v>0</v>
      </c>
      <c r="J298">
        <f t="shared" si="77"/>
        <v>663578.30666265381</v>
      </c>
      <c r="K298">
        <f t="shared" si="78"/>
        <v>663035.26406891912</v>
      </c>
      <c r="L298">
        <f t="shared" si="79"/>
        <v>663035.26406891912</v>
      </c>
      <c r="M298">
        <f t="shared" si="80"/>
        <v>0</v>
      </c>
      <c r="N298" s="29">
        <f t="shared" si="81"/>
        <v>663035.26406891912</v>
      </c>
      <c r="O298" s="29">
        <f t="shared" si="82"/>
        <v>662989.57616948045</v>
      </c>
      <c r="P298" s="29">
        <f t="shared" si="83"/>
        <v>662989.57616948045</v>
      </c>
      <c r="Q298">
        <f t="shared" si="84"/>
        <v>0</v>
      </c>
      <c r="R298" s="29">
        <f t="shared" si="85"/>
        <v>662989.57616948045</v>
      </c>
      <c r="S298" s="29">
        <f t="shared" si="86"/>
        <v>662988.78041380015</v>
      </c>
      <c r="T298" s="29">
        <f t="shared" si="87"/>
        <v>662988.78041380015</v>
      </c>
      <c r="U298">
        <f t="shared" si="88"/>
        <v>0</v>
      </c>
      <c r="V298" s="29">
        <f t="shared" si="89"/>
        <v>662988.78041380015</v>
      </c>
      <c r="W298" s="29">
        <f t="shared" si="90"/>
        <v>662988.78041380015</v>
      </c>
      <c r="X298" s="29">
        <f t="shared" si="91"/>
        <v>662988.78041380015</v>
      </c>
      <c r="Y298">
        <f t="shared" si="92"/>
        <v>0</v>
      </c>
    </row>
    <row r="299" spans="1:25" x14ac:dyDescent="0.25">
      <c r="A299" s="4" t="s">
        <v>1225</v>
      </c>
      <c r="B299" s="7" t="s">
        <v>305</v>
      </c>
      <c r="C299" s="2" t="s">
        <v>1226</v>
      </c>
      <c r="D299">
        <f>VLOOKUP(B299,'Model allocations'!$A$1:$L$316,6,FALSE)</f>
        <v>209166.35875885526</v>
      </c>
      <c r="E299" s="31">
        <f>VLOOKUP(B299,'Initial adjusted formula count'!$A$1:$P$316,12,FALSE)</f>
        <v>8.4472049689440998E-2</v>
      </c>
      <c r="F299">
        <f>VLOOKUP(B299,'Model allocations'!$A$1:$L$316,11,FALSE)</f>
        <v>178185.4426450482</v>
      </c>
      <c r="G299" s="30">
        <f t="shared" si="93"/>
        <v>0.85</v>
      </c>
      <c r="H299">
        <f t="shared" si="94"/>
        <v>177791.40494502697</v>
      </c>
      <c r="I299">
        <f t="shared" si="76"/>
        <v>0</v>
      </c>
      <c r="J299">
        <f t="shared" si="77"/>
        <v>178185.4426450482</v>
      </c>
      <c r="K299">
        <f t="shared" si="78"/>
        <v>178039.62370556782</v>
      </c>
      <c r="L299">
        <f t="shared" si="79"/>
        <v>178039.62370556782</v>
      </c>
      <c r="M299">
        <f t="shared" si="80"/>
        <v>0</v>
      </c>
      <c r="N299" s="29">
        <f t="shared" si="81"/>
        <v>178039.62370556782</v>
      </c>
      <c r="O299" s="29">
        <f t="shared" si="82"/>
        <v>178027.35549471268</v>
      </c>
      <c r="P299" s="29">
        <f t="shared" si="83"/>
        <v>178027.35549471268</v>
      </c>
      <c r="Q299">
        <f t="shared" si="84"/>
        <v>0</v>
      </c>
      <c r="R299" s="29">
        <f t="shared" si="85"/>
        <v>178027.35549471268</v>
      </c>
      <c r="S299" s="29">
        <f t="shared" si="86"/>
        <v>178027.14181672366</v>
      </c>
      <c r="T299" s="29">
        <f t="shared" si="87"/>
        <v>178027.14181672366</v>
      </c>
      <c r="U299">
        <f t="shared" si="88"/>
        <v>0</v>
      </c>
      <c r="V299" s="29">
        <f t="shared" si="89"/>
        <v>178027.14181672366</v>
      </c>
      <c r="W299" s="29">
        <f t="shared" si="90"/>
        <v>178027.14181672366</v>
      </c>
      <c r="X299" s="29">
        <f t="shared" si="91"/>
        <v>178027.14181672366</v>
      </c>
      <c r="Y299">
        <f t="shared" si="92"/>
        <v>0</v>
      </c>
    </row>
    <row r="300" spans="1:25" x14ac:dyDescent="0.25">
      <c r="A300" s="4" t="s">
        <v>1227</v>
      </c>
      <c r="B300" s="7" t="s">
        <v>254</v>
      </c>
      <c r="C300" s="2" t="s">
        <v>1228</v>
      </c>
      <c r="D300">
        <f>VLOOKUP(B300,'Model allocations'!$A$1:$L$316,6,FALSE)</f>
        <v>428750.30452019587</v>
      </c>
      <c r="E300" s="31">
        <f>VLOOKUP(B300,'Initial adjusted formula count'!$A$1:$P$316,12,FALSE)</f>
        <v>0.12175999999999999</v>
      </c>
      <c r="F300">
        <f>VLOOKUP(B300,'Model allocations'!$A$1:$L$316,11,FALSE)</f>
        <v>449655.16227265878</v>
      </c>
      <c r="G300" s="30">
        <f t="shared" si="93"/>
        <v>0.85</v>
      </c>
      <c r="H300">
        <f t="shared" si="94"/>
        <v>364437.75884216645</v>
      </c>
      <c r="I300">
        <f t="shared" si="76"/>
        <v>0</v>
      </c>
      <c r="J300">
        <f t="shared" si="77"/>
        <v>449655.16227265878</v>
      </c>
      <c r="K300">
        <f t="shared" si="78"/>
        <v>449287.18474362412</v>
      </c>
      <c r="L300">
        <f t="shared" si="79"/>
        <v>449287.18474362412</v>
      </c>
      <c r="M300">
        <f t="shared" si="80"/>
        <v>0</v>
      </c>
      <c r="N300" s="29">
        <f t="shared" si="81"/>
        <v>449287.18474362412</v>
      </c>
      <c r="O300" s="29">
        <f t="shared" si="82"/>
        <v>449256.22562451224</v>
      </c>
      <c r="P300" s="29">
        <f t="shared" si="83"/>
        <v>449256.22562451224</v>
      </c>
      <c r="Q300">
        <f t="shared" si="84"/>
        <v>0</v>
      </c>
      <c r="R300" s="29">
        <f t="shared" si="85"/>
        <v>449256.22562451224</v>
      </c>
      <c r="S300" s="29">
        <f t="shared" si="86"/>
        <v>449255.68640307302</v>
      </c>
      <c r="T300" s="29">
        <f t="shared" si="87"/>
        <v>449255.68640307302</v>
      </c>
      <c r="U300">
        <f t="shared" si="88"/>
        <v>0</v>
      </c>
      <c r="V300" s="29">
        <f t="shared" si="89"/>
        <v>449255.68640307302</v>
      </c>
      <c r="W300" s="29">
        <f t="shared" si="90"/>
        <v>449255.68640307302</v>
      </c>
      <c r="X300" s="29">
        <f t="shared" si="91"/>
        <v>449255.68640307302</v>
      </c>
      <c r="Y300">
        <f t="shared" si="92"/>
        <v>0</v>
      </c>
    </row>
    <row r="301" spans="1:25" x14ac:dyDescent="0.25">
      <c r="A301" s="4" t="s">
        <v>13</v>
      </c>
      <c r="B301" s="7" t="s">
        <v>68</v>
      </c>
      <c r="C301" s="2" t="s">
        <v>1229</v>
      </c>
      <c r="D301">
        <f>VLOOKUP(B301,'Model allocations'!$A$1:$L$316,6,FALSE)</f>
        <v>0</v>
      </c>
      <c r="E301" s="31">
        <f>VLOOKUP(B301,'Initial adjusted formula count'!$A$1:$P$316,12,FALSE)</f>
        <v>6.5912500308918501E-2</v>
      </c>
      <c r="F301">
        <f>VLOOKUP(B301,'Model allocations'!$A$1:$L$316,11,FALSE)</f>
        <v>0</v>
      </c>
      <c r="G301" s="30">
        <f t="shared" si="93"/>
        <v>0.85</v>
      </c>
      <c r="H301">
        <f t="shared" si="94"/>
        <v>0</v>
      </c>
      <c r="I301">
        <f t="shared" si="76"/>
        <v>0</v>
      </c>
      <c r="J301">
        <f t="shared" si="77"/>
        <v>0</v>
      </c>
      <c r="K301">
        <f t="shared" si="78"/>
        <v>0</v>
      </c>
      <c r="L301">
        <f t="shared" si="79"/>
        <v>0</v>
      </c>
      <c r="M301">
        <f t="shared" si="80"/>
        <v>0</v>
      </c>
      <c r="N301" s="29">
        <f t="shared" si="81"/>
        <v>0</v>
      </c>
      <c r="O301" s="29">
        <f t="shared" si="82"/>
        <v>0</v>
      </c>
      <c r="P301" s="29">
        <f t="shared" si="83"/>
        <v>0</v>
      </c>
      <c r="Q301">
        <f t="shared" si="84"/>
        <v>0</v>
      </c>
      <c r="R301" s="29">
        <f t="shared" si="85"/>
        <v>0</v>
      </c>
      <c r="S301" s="29">
        <f t="shared" si="86"/>
        <v>0</v>
      </c>
      <c r="T301" s="29">
        <f t="shared" si="87"/>
        <v>0</v>
      </c>
      <c r="U301">
        <f t="shared" si="88"/>
        <v>0</v>
      </c>
      <c r="V301" s="29">
        <f t="shared" si="89"/>
        <v>0</v>
      </c>
      <c r="W301" s="29">
        <f t="shared" si="90"/>
        <v>0</v>
      </c>
      <c r="X301" s="29">
        <f t="shared" si="91"/>
        <v>0</v>
      </c>
      <c r="Y301">
        <f t="shared" si="92"/>
        <v>0</v>
      </c>
    </row>
    <row r="302" spans="1:25" x14ac:dyDescent="0.25">
      <c r="A302" s="4" t="s">
        <v>1230</v>
      </c>
      <c r="B302" s="7" t="s">
        <v>630</v>
      </c>
      <c r="C302" s="2" t="s">
        <v>1231</v>
      </c>
      <c r="D302">
        <f>VLOOKUP(B302,'Model allocations'!$A$1:$L$316,6,FALSE)</f>
        <v>64964.342808740621</v>
      </c>
      <c r="E302" s="31">
        <f>VLOOKUP(B302,'Initial adjusted formula count'!$A$1:$P$316,12,FALSE)</f>
        <v>0.166320166320166</v>
      </c>
      <c r="F302">
        <f>VLOOKUP(B302,'Model allocations'!$A$1:$L$316,11,FALSE)</f>
        <v>58509.76696974659</v>
      </c>
      <c r="G302" s="30">
        <f t="shared" si="93"/>
        <v>0.9</v>
      </c>
      <c r="H302">
        <f t="shared" si="94"/>
        <v>58467.908527866559</v>
      </c>
      <c r="I302">
        <f t="shared" si="76"/>
        <v>0</v>
      </c>
      <c r="J302">
        <f t="shared" si="77"/>
        <v>58509.76696974659</v>
      </c>
      <c r="K302">
        <f t="shared" si="78"/>
        <v>58461.885212167952</v>
      </c>
      <c r="L302">
        <f t="shared" si="79"/>
        <v>58461.885212167952</v>
      </c>
      <c r="M302">
        <f t="shared" si="80"/>
        <v>58467.908527866559</v>
      </c>
      <c r="N302" s="29">
        <f t="shared" si="81"/>
        <v>0</v>
      </c>
      <c r="O302" s="29">
        <f t="shared" si="82"/>
        <v>0</v>
      </c>
      <c r="P302" s="29">
        <f t="shared" si="83"/>
        <v>58467.908527866559</v>
      </c>
      <c r="Q302">
        <f t="shared" si="84"/>
        <v>0</v>
      </c>
      <c r="R302" s="29">
        <f t="shared" si="85"/>
        <v>0</v>
      </c>
      <c r="S302" s="29">
        <f t="shared" si="86"/>
        <v>0</v>
      </c>
      <c r="T302" s="29">
        <f t="shared" si="87"/>
        <v>58467.908527866559</v>
      </c>
      <c r="U302">
        <f t="shared" si="88"/>
        <v>0</v>
      </c>
      <c r="V302" s="29">
        <f t="shared" si="89"/>
        <v>0</v>
      </c>
      <c r="W302" s="29">
        <f t="shared" si="90"/>
        <v>0</v>
      </c>
      <c r="X302" s="29">
        <f t="shared" si="91"/>
        <v>58467.908527866559</v>
      </c>
      <c r="Y302">
        <f t="shared" si="92"/>
        <v>0</v>
      </c>
    </row>
    <row r="303" spans="1:25" x14ac:dyDescent="0.25">
      <c r="A303" s="4" t="s">
        <v>1232</v>
      </c>
      <c r="B303" s="7" t="s">
        <v>255</v>
      </c>
      <c r="C303" s="2" t="s">
        <v>1233</v>
      </c>
      <c r="D303">
        <f>VLOOKUP(B303,'Model allocations'!$A$1:$L$316,6,FALSE)</f>
        <v>0</v>
      </c>
      <c r="E303" s="31">
        <f>VLOOKUP(B303,'Initial adjusted formula count'!$A$1:$P$316,12,FALSE)</f>
        <v>5.1731418918918901E-2</v>
      </c>
      <c r="F303">
        <f>VLOOKUP(B303,'Model allocations'!$A$1:$L$316,11,FALSE)</f>
        <v>138398.88788542894</v>
      </c>
      <c r="G303" s="30">
        <f t="shared" si="93"/>
        <v>0.85</v>
      </c>
      <c r="H303">
        <f t="shared" si="94"/>
        <v>0</v>
      </c>
      <c r="I303">
        <f t="shared" si="76"/>
        <v>0</v>
      </c>
      <c r="J303">
        <f t="shared" si="77"/>
        <v>138398.88788542894</v>
      </c>
      <c r="K303">
        <f t="shared" si="78"/>
        <v>138285.62847008536</v>
      </c>
      <c r="L303">
        <f t="shared" si="79"/>
        <v>138285.62847008536</v>
      </c>
      <c r="M303">
        <f t="shared" si="80"/>
        <v>0</v>
      </c>
      <c r="N303" s="29">
        <f t="shared" si="81"/>
        <v>138285.62847008536</v>
      </c>
      <c r="O303" s="29">
        <f t="shared" si="82"/>
        <v>138276.09959548435</v>
      </c>
      <c r="P303" s="29">
        <f t="shared" si="83"/>
        <v>138276.09959548435</v>
      </c>
      <c r="Q303">
        <f t="shared" si="84"/>
        <v>0</v>
      </c>
      <c r="R303" s="29">
        <f t="shared" si="85"/>
        <v>138276.09959548435</v>
      </c>
      <c r="S303" s="29">
        <f t="shared" si="86"/>
        <v>138275.93362908659</v>
      </c>
      <c r="T303" s="29">
        <f t="shared" si="87"/>
        <v>138275.93362908659</v>
      </c>
      <c r="U303">
        <f t="shared" si="88"/>
        <v>0</v>
      </c>
      <c r="V303" s="29">
        <f t="shared" si="89"/>
        <v>138275.93362908659</v>
      </c>
      <c r="W303" s="29">
        <f t="shared" si="90"/>
        <v>138275.93362908659</v>
      </c>
      <c r="X303" s="29">
        <f t="shared" si="91"/>
        <v>138275.93362908659</v>
      </c>
      <c r="Y303">
        <f t="shared" si="92"/>
        <v>0</v>
      </c>
    </row>
    <row r="304" spans="1:25" x14ac:dyDescent="0.25">
      <c r="A304" s="4" t="s">
        <v>1234</v>
      </c>
      <c r="B304" s="7" t="s">
        <v>306</v>
      </c>
      <c r="C304" s="2" t="s">
        <v>1235</v>
      </c>
      <c r="D304">
        <f>VLOOKUP(B304,'Model allocations'!$A$1:$L$316,6,FALSE)</f>
        <v>85863.787775264675</v>
      </c>
      <c r="E304" s="31">
        <f>VLOOKUP(B304,'Initial adjusted formula count'!$A$1:$P$316,12,FALSE)</f>
        <v>0.113821138211382</v>
      </c>
      <c r="F304">
        <f>VLOOKUP(B304,'Model allocations'!$A$1:$L$316,11,FALSE)</f>
        <v>79085.078791673659</v>
      </c>
      <c r="G304" s="30">
        <f t="shared" si="93"/>
        <v>0.85</v>
      </c>
      <c r="H304">
        <f t="shared" si="94"/>
        <v>72984.219608974978</v>
      </c>
      <c r="I304">
        <f t="shared" si="76"/>
        <v>0</v>
      </c>
      <c r="J304">
        <f t="shared" si="77"/>
        <v>79085.078791673659</v>
      </c>
      <c r="K304">
        <f t="shared" si="78"/>
        <v>79020.359125763032</v>
      </c>
      <c r="L304">
        <f t="shared" si="79"/>
        <v>79020.359125763032</v>
      </c>
      <c r="M304">
        <f t="shared" si="80"/>
        <v>0</v>
      </c>
      <c r="N304" s="29">
        <f t="shared" si="81"/>
        <v>79020.359125763032</v>
      </c>
      <c r="O304" s="29">
        <f t="shared" si="82"/>
        <v>79014.914054562454</v>
      </c>
      <c r="P304" s="29">
        <f t="shared" si="83"/>
        <v>79014.914054562454</v>
      </c>
      <c r="Q304">
        <f t="shared" si="84"/>
        <v>0</v>
      </c>
      <c r="R304" s="29">
        <f t="shared" si="85"/>
        <v>79014.914054562454</v>
      </c>
      <c r="S304" s="29">
        <f t="shared" si="86"/>
        <v>79014.819216620876</v>
      </c>
      <c r="T304" s="29">
        <f t="shared" si="87"/>
        <v>79014.819216620876</v>
      </c>
      <c r="U304">
        <f t="shared" si="88"/>
        <v>0</v>
      </c>
      <c r="V304" s="29">
        <f t="shared" si="89"/>
        <v>79014.819216620876</v>
      </c>
      <c r="W304" s="29">
        <f t="shared" si="90"/>
        <v>79014.819216620876</v>
      </c>
      <c r="X304" s="29">
        <f t="shared" si="91"/>
        <v>79014.819216620876</v>
      </c>
      <c r="Y304">
        <f t="shared" si="92"/>
        <v>0</v>
      </c>
    </row>
    <row r="305" spans="1:25" x14ac:dyDescent="0.25">
      <c r="A305" s="4" t="s">
        <v>1237</v>
      </c>
      <c r="B305" s="7" t="s">
        <v>257</v>
      </c>
      <c r="C305" s="2" t="s">
        <v>1238</v>
      </c>
      <c r="D305">
        <f>VLOOKUP(B305,'Model allocations'!$A$1:$L$316,6,FALSE)</f>
        <v>16490.396327699844</v>
      </c>
      <c r="E305" s="31">
        <f>VLOOKUP(B305,'Initial adjusted formula count'!$A$1:$P$316,12,FALSE)</f>
        <v>0.172566371681416</v>
      </c>
      <c r="F305">
        <f>VLOOKUP(B305,'Model allocations'!$A$1:$L$316,11,FALSE)</f>
        <v>23636.213987809497</v>
      </c>
      <c r="G305" s="30">
        <f t="shared" si="93"/>
        <v>0.9</v>
      </c>
      <c r="H305">
        <f t="shared" si="94"/>
        <v>14841.35669492986</v>
      </c>
      <c r="I305">
        <f t="shared" si="76"/>
        <v>0</v>
      </c>
      <c r="J305">
        <f t="shared" si="77"/>
        <v>23636.213987809497</v>
      </c>
      <c r="K305">
        <f t="shared" si="78"/>
        <v>23616.871175030461</v>
      </c>
      <c r="L305">
        <f t="shared" si="79"/>
        <v>23616.871175030461</v>
      </c>
      <c r="M305">
        <f t="shared" si="80"/>
        <v>0</v>
      </c>
      <c r="N305" s="29">
        <f t="shared" si="81"/>
        <v>23616.871175030461</v>
      </c>
      <c r="O305" s="29">
        <f t="shared" si="82"/>
        <v>23615.243802711408</v>
      </c>
      <c r="P305" s="29">
        <f t="shared" si="83"/>
        <v>23615.243802711408</v>
      </c>
      <c r="Q305">
        <f t="shared" si="84"/>
        <v>0</v>
      </c>
      <c r="R305" s="29">
        <f t="shared" si="85"/>
        <v>23615.243802711408</v>
      </c>
      <c r="S305" s="29">
        <f t="shared" si="86"/>
        <v>23615.215458428069</v>
      </c>
      <c r="T305" s="29">
        <f t="shared" si="87"/>
        <v>23615.215458428069</v>
      </c>
      <c r="U305">
        <f t="shared" si="88"/>
        <v>0</v>
      </c>
      <c r="V305" s="29">
        <f t="shared" si="89"/>
        <v>23615.215458428069</v>
      </c>
      <c r="W305" s="29">
        <f t="shared" si="90"/>
        <v>23615.215458428069</v>
      </c>
      <c r="X305" s="29">
        <f t="shared" si="91"/>
        <v>23615.215458428069</v>
      </c>
      <c r="Y305">
        <f t="shared" si="92"/>
        <v>0</v>
      </c>
    </row>
    <row r="306" spans="1:25" x14ac:dyDescent="0.25">
      <c r="A306" s="4" t="s">
        <v>1239</v>
      </c>
      <c r="B306" s="7" t="s">
        <v>632</v>
      </c>
      <c r="C306" s="2" t="s">
        <v>1240</v>
      </c>
      <c r="D306">
        <f>VLOOKUP(B306,'Model allocations'!$A$1:$L$316,6,FALSE)</f>
        <v>24933.148748039624</v>
      </c>
      <c r="E306" s="31">
        <f>VLOOKUP(B306,'Initial adjusted formula count'!$A$1:$P$316,12,FALSE)</f>
        <v>0.124590163934426</v>
      </c>
      <c r="F306">
        <f>VLOOKUP(B306,'Model allocations'!$A$1:$L$316,11,FALSE)</f>
        <v>21465.949957739998</v>
      </c>
      <c r="G306" s="30">
        <f t="shared" si="93"/>
        <v>0.85</v>
      </c>
      <c r="H306">
        <f t="shared" si="94"/>
        <v>21193.17643583368</v>
      </c>
      <c r="I306">
        <f t="shared" si="76"/>
        <v>0</v>
      </c>
      <c r="J306">
        <f t="shared" si="77"/>
        <v>21465.949957739998</v>
      </c>
      <c r="K306">
        <f t="shared" si="78"/>
        <v>21448.383191278546</v>
      </c>
      <c r="L306">
        <f t="shared" si="79"/>
        <v>21448.383191278546</v>
      </c>
      <c r="M306">
        <f t="shared" si="80"/>
        <v>0</v>
      </c>
      <c r="N306" s="29">
        <f t="shared" si="81"/>
        <v>21448.383191278546</v>
      </c>
      <c r="O306" s="29">
        <f t="shared" si="82"/>
        <v>21446.905243381243</v>
      </c>
      <c r="P306" s="29">
        <f t="shared" si="83"/>
        <v>21446.905243381243</v>
      </c>
      <c r="Q306">
        <f t="shared" si="84"/>
        <v>0</v>
      </c>
      <c r="R306" s="29">
        <f t="shared" si="85"/>
        <v>21446.905243381243</v>
      </c>
      <c r="S306" s="29">
        <f t="shared" si="86"/>
        <v>21446.879501654246</v>
      </c>
      <c r="T306" s="29">
        <f t="shared" si="87"/>
        <v>21446.879501654246</v>
      </c>
      <c r="U306">
        <f t="shared" si="88"/>
        <v>0</v>
      </c>
      <c r="V306" s="29">
        <f t="shared" si="89"/>
        <v>21446.879501654246</v>
      </c>
      <c r="W306" s="29">
        <f t="shared" si="90"/>
        <v>21446.879501654246</v>
      </c>
      <c r="X306" s="29">
        <f t="shared" si="91"/>
        <v>21446.879501654246</v>
      </c>
      <c r="Y306">
        <f t="shared" si="92"/>
        <v>0</v>
      </c>
    </row>
    <row r="307" spans="1:25" x14ac:dyDescent="0.25">
      <c r="A307" s="4" t="s">
        <v>1241</v>
      </c>
      <c r="B307" s="7" t="s">
        <v>634</v>
      </c>
      <c r="C307" s="2" t="s">
        <v>1242</v>
      </c>
      <c r="D307">
        <f>VLOOKUP(B307,'Model allocations'!$A$1:$L$316,6,FALSE)</f>
        <v>9098.1496980412903</v>
      </c>
      <c r="E307" s="31">
        <f>VLOOKUP(B307,'Initial adjusted formula count'!$A$1:$P$316,12,FALSE)</f>
        <v>0.22522522522522501</v>
      </c>
      <c r="F307">
        <f>VLOOKUP(B307,'Model allocations'!$A$1:$L$316,11,FALSE)</f>
        <v>17581.220275815493</v>
      </c>
      <c r="G307" s="30">
        <f t="shared" si="93"/>
        <v>0.9</v>
      </c>
      <c r="H307">
        <f t="shared" si="94"/>
        <v>8188.3347282371615</v>
      </c>
      <c r="I307">
        <f t="shared" si="76"/>
        <v>0</v>
      </c>
      <c r="J307">
        <f t="shared" si="77"/>
        <v>17581.220275815493</v>
      </c>
      <c r="K307">
        <f t="shared" si="78"/>
        <v>17566.832597128985</v>
      </c>
      <c r="L307">
        <f t="shared" si="79"/>
        <v>17566.832597128985</v>
      </c>
      <c r="M307">
        <f t="shared" si="80"/>
        <v>0</v>
      </c>
      <c r="N307" s="29">
        <f t="shared" si="81"/>
        <v>17566.832597128985</v>
      </c>
      <c r="O307" s="29">
        <f t="shared" si="82"/>
        <v>17565.622115990729</v>
      </c>
      <c r="P307" s="29">
        <f t="shared" si="83"/>
        <v>17565.622115990729</v>
      </c>
      <c r="Q307">
        <f t="shared" si="84"/>
        <v>0</v>
      </c>
      <c r="R307" s="29">
        <f t="shared" si="85"/>
        <v>17565.622115990729</v>
      </c>
      <c r="S307" s="29">
        <f t="shared" si="86"/>
        <v>17565.601032788098</v>
      </c>
      <c r="T307" s="29">
        <f t="shared" si="87"/>
        <v>17565.601032788098</v>
      </c>
      <c r="U307">
        <f t="shared" si="88"/>
        <v>0</v>
      </c>
      <c r="V307" s="29">
        <f t="shared" si="89"/>
        <v>17565.601032788098</v>
      </c>
      <c r="W307" s="29">
        <f t="shared" si="90"/>
        <v>17565.601032788098</v>
      </c>
      <c r="X307" s="29">
        <f t="shared" si="91"/>
        <v>17565.601032788098</v>
      </c>
      <c r="Y307">
        <f t="shared" si="92"/>
        <v>0</v>
      </c>
    </row>
    <row r="308" spans="1:25" x14ac:dyDescent="0.25">
      <c r="A308" s="4" t="s">
        <v>1243</v>
      </c>
      <c r="B308" s="7" t="s">
        <v>636</v>
      </c>
      <c r="C308" s="2" t="s">
        <v>1244</v>
      </c>
      <c r="D308">
        <f>VLOOKUP(B308,'Model allocations'!$A$1:$L$316,6,FALSE)</f>
        <v>56863.435612758076</v>
      </c>
      <c r="E308" s="31">
        <f>VLOOKUP(B308,'Initial adjusted formula count'!$A$1:$P$316,12,FALSE)</f>
        <v>0.102040816326531</v>
      </c>
      <c r="F308">
        <f>VLOOKUP(B308,'Model allocations'!$A$1:$L$316,11,FALSE)</f>
        <v>48368.523571072335</v>
      </c>
      <c r="G308" s="30">
        <f t="shared" si="93"/>
        <v>0.85</v>
      </c>
      <c r="H308">
        <f t="shared" si="94"/>
        <v>48333.920270844363</v>
      </c>
      <c r="I308">
        <f t="shared" si="76"/>
        <v>0</v>
      </c>
      <c r="J308">
        <f t="shared" si="77"/>
        <v>48368.523571072335</v>
      </c>
      <c r="K308">
        <f t="shared" si="78"/>
        <v>48328.940950255128</v>
      </c>
      <c r="L308">
        <f t="shared" si="79"/>
        <v>48328.940950255128</v>
      </c>
      <c r="M308">
        <f t="shared" si="80"/>
        <v>48333.920270844363</v>
      </c>
      <c r="N308" s="29">
        <f t="shared" si="81"/>
        <v>0</v>
      </c>
      <c r="O308" s="29">
        <f t="shared" si="82"/>
        <v>0</v>
      </c>
      <c r="P308" s="29">
        <f t="shared" si="83"/>
        <v>48333.920270844363</v>
      </c>
      <c r="Q308">
        <f t="shared" si="84"/>
        <v>0</v>
      </c>
      <c r="R308" s="29">
        <f t="shared" si="85"/>
        <v>0</v>
      </c>
      <c r="S308" s="29">
        <f t="shared" si="86"/>
        <v>0</v>
      </c>
      <c r="T308" s="29">
        <f t="shared" si="87"/>
        <v>48333.920270844363</v>
      </c>
      <c r="U308">
        <f t="shared" si="88"/>
        <v>0</v>
      </c>
      <c r="V308" s="29">
        <f t="shared" si="89"/>
        <v>0</v>
      </c>
      <c r="W308" s="29">
        <f t="shared" si="90"/>
        <v>0</v>
      </c>
      <c r="X308" s="29">
        <f t="shared" si="91"/>
        <v>48333.920270844363</v>
      </c>
      <c r="Y308">
        <f t="shared" si="92"/>
        <v>0</v>
      </c>
    </row>
    <row r="309" spans="1:25" x14ac:dyDescent="0.25">
      <c r="A309" s="4" t="s">
        <v>1245</v>
      </c>
      <c r="B309" s="7" t="s">
        <v>638</v>
      </c>
      <c r="C309" s="2" t="s">
        <v>1246</v>
      </c>
      <c r="D309">
        <f>VLOOKUP(B309,'Model allocations'!$A$1:$L$316,6,FALSE)</f>
        <v>18095.679546765808</v>
      </c>
      <c r="E309" s="31">
        <f>VLOOKUP(B309,'Initial adjusted formula count'!$A$1:$P$316,12,FALSE)</f>
        <v>0.15862068965517201</v>
      </c>
      <c r="F309">
        <f>VLOOKUP(B309,'Model allocations'!$A$1:$L$316,11,FALSE)</f>
        <v>16297.771172065555</v>
      </c>
      <c r="G309" s="30">
        <f t="shared" si="93"/>
        <v>0.9</v>
      </c>
      <c r="H309">
        <f t="shared" si="94"/>
        <v>16286.111592089228</v>
      </c>
      <c r="I309">
        <f t="shared" si="76"/>
        <v>0</v>
      </c>
      <c r="J309">
        <f t="shared" si="77"/>
        <v>16297.771172065555</v>
      </c>
      <c r="K309">
        <f t="shared" si="78"/>
        <v>16284.433810309587</v>
      </c>
      <c r="L309">
        <f t="shared" si="79"/>
        <v>16284.433810309587</v>
      </c>
      <c r="M309">
        <f t="shared" si="80"/>
        <v>16286.111592089228</v>
      </c>
      <c r="N309" s="29">
        <f t="shared" si="81"/>
        <v>0</v>
      </c>
      <c r="O309" s="29">
        <f t="shared" si="82"/>
        <v>0</v>
      </c>
      <c r="P309" s="29">
        <f t="shared" si="83"/>
        <v>16286.111592089228</v>
      </c>
      <c r="Q309">
        <f t="shared" si="84"/>
        <v>0</v>
      </c>
      <c r="R309" s="29">
        <f t="shared" si="85"/>
        <v>0</v>
      </c>
      <c r="S309" s="29">
        <f t="shared" si="86"/>
        <v>0</v>
      </c>
      <c r="T309" s="29">
        <f t="shared" si="87"/>
        <v>16286.111592089228</v>
      </c>
      <c r="U309">
        <f t="shared" si="88"/>
        <v>0</v>
      </c>
      <c r="V309" s="29">
        <f t="shared" si="89"/>
        <v>0</v>
      </c>
      <c r="W309" s="29">
        <f t="shared" si="90"/>
        <v>0</v>
      </c>
      <c r="X309" s="29">
        <f t="shared" si="91"/>
        <v>16286.111592089228</v>
      </c>
      <c r="Y309">
        <f t="shared" si="92"/>
        <v>0</v>
      </c>
    </row>
    <row r="310" spans="1:25" x14ac:dyDescent="0.25">
      <c r="A310" s="4" t="s">
        <v>1247</v>
      </c>
      <c r="B310" s="7" t="s">
        <v>640</v>
      </c>
      <c r="C310" s="2" t="s">
        <v>1248</v>
      </c>
      <c r="D310">
        <f>VLOOKUP(B310,'Model allocations'!$A$1:$L$316,6,FALSE)</f>
        <v>50602.941942100253</v>
      </c>
      <c r="E310" s="31">
        <f>VLOOKUP(B310,'Initial adjusted formula count'!$A$1:$P$316,12,FALSE)</f>
        <v>0.47727272727272702</v>
      </c>
      <c r="F310">
        <f>VLOOKUP(B310,'Model allocations'!$A$1:$L$316,11,FALSE)</f>
        <v>48107.211199875994</v>
      </c>
      <c r="G310" s="30">
        <f t="shared" si="93"/>
        <v>0.95</v>
      </c>
      <c r="H310">
        <f t="shared" si="94"/>
        <v>48072.794844995238</v>
      </c>
      <c r="I310">
        <f t="shared" si="76"/>
        <v>0</v>
      </c>
      <c r="J310">
        <f t="shared" si="77"/>
        <v>48107.211199875994</v>
      </c>
      <c r="K310">
        <f t="shared" si="78"/>
        <v>48067.842425331946</v>
      </c>
      <c r="L310">
        <f t="shared" si="79"/>
        <v>48067.842425331946</v>
      </c>
      <c r="M310">
        <f t="shared" si="80"/>
        <v>48072.794844995238</v>
      </c>
      <c r="N310" s="29">
        <f t="shared" si="81"/>
        <v>0</v>
      </c>
      <c r="O310" s="29">
        <f t="shared" si="82"/>
        <v>0</v>
      </c>
      <c r="P310" s="29">
        <f t="shared" si="83"/>
        <v>48072.794844995238</v>
      </c>
      <c r="Q310">
        <f t="shared" si="84"/>
        <v>0</v>
      </c>
      <c r="R310" s="29">
        <f t="shared" si="85"/>
        <v>0</v>
      </c>
      <c r="S310" s="29">
        <f t="shared" si="86"/>
        <v>0</v>
      </c>
      <c r="T310" s="29">
        <f t="shared" si="87"/>
        <v>48072.794844995238</v>
      </c>
      <c r="U310">
        <f t="shared" si="88"/>
        <v>0</v>
      </c>
      <c r="V310" s="29">
        <f t="shared" si="89"/>
        <v>0</v>
      </c>
      <c r="W310" s="29">
        <f t="shared" si="90"/>
        <v>0</v>
      </c>
      <c r="X310" s="29">
        <f t="shared" si="91"/>
        <v>48072.794844995238</v>
      </c>
      <c r="Y310">
        <f t="shared" si="92"/>
        <v>0</v>
      </c>
    </row>
    <row r="311" spans="1:25" x14ac:dyDescent="0.25">
      <c r="A311" s="4" t="s">
        <v>1249</v>
      </c>
      <c r="B311" s="7" t="s">
        <v>642</v>
      </c>
      <c r="C311" s="2" t="s">
        <v>1250</v>
      </c>
      <c r="D311">
        <f>VLOOKUP(B311,'Model allocations'!$A$1:$L$316,6,FALSE)</f>
        <v>151825.37308606409</v>
      </c>
      <c r="E311" s="31">
        <f>VLOOKUP(B311,'Initial adjusted formula count'!$A$1:$P$316,12,FALSE)</f>
        <v>8.0506895266492698E-2</v>
      </c>
      <c r="F311">
        <f>VLOOKUP(B311,'Model allocations'!$A$1:$L$316,11,FALSE)</f>
        <v>129143.95793476315</v>
      </c>
      <c r="G311" s="30">
        <f t="shared" si="93"/>
        <v>0.85</v>
      </c>
      <c r="H311">
        <f t="shared" si="94"/>
        <v>129051.56712315447</v>
      </c>
      <c r="I311">
        <f t="shared" si="76"/>
        <v>0</v>
      </c>
      <c r="J311">
        <f t="shared" si="77"/>
        <v>129143.95793476315</v>
      </c>
      <c r="K311">
        <f t="shared" si="78"/>
        <v>129038.2723371812</v>
      </c>
      <c r="L311">
        <f t="shared" si="79"/>
        <v>129038.2723371812</v>
      </c>
      <c r="M311">
        <f t="shared" si="80"/>
        <v>129051.56712315447</v>
      </c>
      <c r="N311" s="29">
        <f t="shared" si="81"/>
        <v>0</v>
      </c>
      <c r="O311" s="29">
        <f t="shared" si="82"/>
        <v>0</v>
      </c>
      <c r="P311" s="29">
        <f t="shared" si="83"/>
        <v>129051.56712315447</v>
      </c>
      <c r="Q311">
        <f t="shared" si="84"/>
        <v>0</v>
      </c>
      <c r="R311" s="29">
        <f t="shared" si="85"/>
        <v>0</v>
      </c>
      <c r="S311" s="29">
        <f t="shared" si="86"/>
        <v>0</v>
      </c>
      <c r="T311" s="29">
        <f t="shared" si="87"/>
        <v>129051.56712315447</v>
      </c>
      <c r="U311">
        <f t="shared" si="88"/>
        <v>0</v>
      </c>
      <c r="V311" s="29">
        <f t="shared" si="89"/>
        <v>0</v>
      </c>
      <c r="W311" s="29">
        <f t="shared" si="90"/>
        <v>0</v>
      </c>
      <c r="X311" s="29">
        <f t="shared" si="91"/>
        <v>129051.56712315447</v>
      </c>
      <c r="Y311">
        <f t="shared" si="92"/>
        <v>0</v>
      </c>
    </row>
    <row r="312" spans="1:25" x14ac:dyDescent="0.25">
      <c r="A312" s="4" t="s">
        <v>1251</v>
      </c>
      <c r="B312" s="7" t="s">
        <v>644</v>
      </c>
      <c r="C312" s="2" t="s">
        <v>1252</v>
      </c>
      <c r="D312">
        <f>VLOOKUP(B312,'Model allocations'!$A$1:$L$316,6,FALSE)</f>
        <v>4222394.4114253521</v>
      </c>
      <c r="E312" s="31">
        <f>VLOOKUP(B312,'Initial adjusted formula count'!$A$1:$P$316,12,FALSE)</f>
        <v>0.28777635665996698</v>
      </c>
      <c r="F312">
        <f>VLOOKUP(B312,'Model allocations'!$A$1:$L$316,11,FALSE)</f>
        <v>4504177.6838957863</v>
      </c>
      <c r="G312" s="30">
        <f t="shared" si="93"/>
        <v>0.9</v>
      </c>
      <c r="H312">
        <f t="shared" si="94"/>
        <v>3800154.9702828168</v>
      </c>
      <c r="I312">
        <f t="shared" si="76"/>
        <v>0</v>
      </c>
      <c r="J312">
        <f t="shared" si="77"/>
        <v>4504177.6838957863</v>
      </c>
      <c r="K312">
        <f t="shared" si="78"/>
        <v>4500491.6677805129</v>
      </c>
      <c r="L312">
        <f t="shared" si="79"/>
        <v>4500491.6677805129</v>
      </c>
      <c r="M312">
        <f t="shared" si="80"/>
        <v>0</v>
      </c>
      <c r="N312" s="29">
        <f t="shared" si="81"/>
        <v>4500491.6677805129</v>
      </c>
      <c r="O312" s="29">
        <f t="shared" si="82"/>
        <v>4500181.5515289567</v>
      </c>
      <c r="P312" s="29">
        <f t="shared" si="83"/>
        <v>4500181.5515289567</v>
      </c>
      <c r="Q312">
        <f t="shared" si="84"/>
        <v>0</v>
      </c>
      <c r="R312" s="29">
        <f t="shared" si="85"/>
        <v>4500181.5515289567</v>
      </c>
      <c r="S312" s="29">
        <f t="shared" si="86"/>
        <v>4500176.1501694769</v>
      </c>
      <c r="T312" s="29">
        <f t="shared" si="87"/>
        <v>4500176.1501694769</v>
      </c>
      <c r="U312">
        <f t="shared" si="88"/>
        <v>0</v>
      </c>
      <c r="V312" s="29">
        <f t="shared" si="89"/>
        <v>4500176.1501694769</v>
      </c>
      <c r="W312" s="29">
        <f t="shared" si="90"/>
        <v>4500176.1501694769</v>
      </c>
      <c r="X312" s="29">
        <f t="shared" si="91"/>
        <v>4500176.1501694769</v>
      </c>
      <c r="Y312">
        <f t="shared" si="92"/>
        <v>0</v>
      </c>
    </row>
    <row r="313" spans="1:25" x14ac:dyDescent="0.25">
      <c r="A313" s="4" t="s">
        <v>1253</v>
      </c>
      <c r="B313" s="7" t="s">
        <v>646</v>
      </c>
      <c r="C313" s="2" t="s">
        <v>1254</v>
      </c>
      <c r="D313">
        <f>VLOOKUP(B313,'Model allocations'!$A$1:$L$316,6,FALSE)</f>
        <v>306493.91795276606</v>
      </c>
      <c r="E313" s="31">
        <f>VLOOKUP(B313,'Initial adjusted formula count'!$A$1:$P$316,12,FALSE)</f>
        <v>8.4590763603109298E-2</v>
      </c>
      <c r="F313">
        <f>VLOOKUP(B313,'Model allocations'!$A$1:$L$316,11,FALSE)</f>
        <v>313515.84806699213</v>
      </c>
      <c r="G313" s="30">
        <f t="shared" si="93"/>
        <v>0.85</v>
      </c>
      <c r="H313">
        <f t="shared" si="94"/>
        <v>260519.83025985115</v>
      </c>
      <c r="I313">
        <f t="shared" si="76"/>
        <v>0</v>
      </c>
      <c r="J313">
        <f t="shared" si="77"/>
        <v>313515.84806699213</v>
      </c>
      <c r="K313">
        <f t="shared" si="78"/>
        <v>313259.28081998933</v>
      </c>
      <c r="L313">
        <f t="shared" si="79"/>
        <v>313259.28081998933</v>
      </c>
      <c r="M313">
        <f t="shared" si="80"/>
        <v>0</v>
      </c>
      <c r="N313" s="29">
        <f t="shared" si="81"/>
        <v>313259.28081998933</v>
      </c>
      <c r="O313" s="29">
        <f t="shared" si="82"/>
        <v>313237.69500201556</v>
      </c>
      <c r="P313" s="29">
        <f t="shared" si="83"/>
        <v>313237.69500201556</v>
      </c>
      <c r="Q313">
        <f t="shared" si="84"/>
        <v>0</v>
      </c>
      <c r="R313" s="29">
        <f t="shared" si="85"/>
        <v>313237.69500201556</v>
      </c>
      <c r="S313" s="29">
        <f t="shared" si="86"/>
        <v>313237.31903731864</v>
      </c>
      <c r="T313" s="29">
        <f t="shared" si="87"/>
        <v>313237.31903731864</v>
      </c>
      <c r="U313">
        <f t="shared" si="88"/>
        <v>0</v>
      </c>
      <c r="V313" s="29">
        <f t="shared" si="89"/>
        <v>313237.31903731864</v>
      </c>
      <c r="W313" s="29">
        <f t="shared" si="90"/>
        <v>313237.31903731864</v>
      </c>
      <c r="X313" s="29">
        <f t="shared" si="91"/>
        <v>313237.31903731864</v>
      </c>
      <c r="Y313">
        <f t="shared" si="92"/>
        <v>0</v>
      </c>
    </row>
    <row r="314" spans="1:25" x14ac:dyDescent="0.25">
      <c r="A314" s="4" t="s">
        <v>1255</v>
      </c>
      <c r="B314" s="7" t="s">
        <v>648</v>
      </c>
      <c r="C314" s="2" t="s">
        <v>1256</v>
      </c>
      <c r="D314">
        <f>VLOOKUP(B314,'Model allocations'!$A$1:$L$316,6,FALSE)</f>
        <v>90981.496980412921</v>
      </c>
      <c r="E314" s="31">
        <f>VLOOKUP(B314,'Initial adjusted formula count'!$A$1:$P$316,12,FALSE)</f>
        <v>0.112876254180602</v>
      </c>
      <c r="F314">
        <f>VLOOKUP(B314,'Model allocations'!$A$1:$L$316,11,FALSE)</f>
        <v>77389.63771371574</v>
      </c>
      <c r="G314" s="30">
        <f t="shared" si="93"/>
        <v>0.85</v>
      </c>
      <c r="H314">
        <f t="shared" si="94"/>
        <v>77334.272433350983</v>
      </c>
      <c r="I314">
        <f t="shared" si="76"/>
        <v>0</v>
      </c>
      <c r="J314">
        <f t="shared" si="77"/>
        <v>77389.63771371574</v>
      </c>
      <c r="K314">
        <f t="shared" si="78"/>
        <v>77326.305520408205</v>
      </c>
      <c r="L314">
        <f t="shared" si="79"/>
        <v>77326.305520408205</v>
      </c>
      <c r="M314">
        <f t="shared" si="80"/>
        <v>77334.272433350983</v>
      </c>
      <c r="N314" s="29">
        <f t="shared" si="81"/>
        <v>0</v>
      </c>
      <c r="O314" s="29">
        <f t="shared" si="82"/>
        <v>0</v>
      </c>
      <c r="P314" s="29">
        <f t="shared" si="83"/>
        <v>77334.272433350983</v>
      </c>
      <c r="Q314">
        <f t="shared" si="84"/>
        <v>0</v>
      </c>
      <c r="R314" s="29">
        <f t="shared" si="85"/>
        <v>0</v>
      </c>
      <c r="S314" s="29">
        <f t="shared" si="86"/>
        <v>0</v>
      </c>
      <c r="T314" s="29">
        <f t="shared" si="87"/>
        <v>77334.272433350983</v>
      </c>
      <c r="U314">
        <f t="shared" si="88"/>
        <v>0</v>
      </c>
      <c r="V314" s="29">
        <f t="shared" si="89"/>
        <v>0</v>
      </c>
      <c r="W314" s="29">
        <f t="shared" si="90"/>
        <v>0</v>
      </c>
      <c r="X314" s="29">
        <f t="shared" si="91"/>
        <v>77334.272433350983</v>
      </c>
      <c r="Y314">
        <f t="shared" si="92"/>
        <v>0</v>
      </c>
    </row>
    <row r="315" spans="1:25" x14ac:dyDescent="0.25">
      <c r="A315" s="1"/>
      <c r="B315" s="7" t="s">
        <v>650</v>
      </c>
      <c r="C315" s="2" t="s">
        <v>651</v>
      </c>
      <c r="D315">
        <f>VLOOKUP(B315,'Model allocations'!$A$1:$L$316,6,FALSE)</f>
        <v>520958.44262796786</v>
      </c>
      <c r="E315" s="31">
        <f>VLOOKUP(B315,'Initial adjusted formula count'!$A$1:$P$316,12,FALSE)</f>
        <v>1</v>
      </c>
      <c r="F315">
        <f>VLOOKUP(B315,'Model allocations'!$A$1:$L$316,11,FALSE)</f>
        <v>494910.52049656946</v>
      </c>
      <c r="G315" s="30">
        <f t="shared" si="93"/>
        <v>0.95</v>
      </c>
      <c r="H315">
        <f t="shared" si="94"/>
        <v>494910.52049656946</v>
      </c>
      <c r="I315">
        <f t="shared" si="76"/>
        <v>0</v>
      </c>
      <c r="J315">
        <f t="shared" si="77"/>
        <v>494910.52049656946</v>
      </c>
      <c r="K315">
        <f t="shared" si="78"/>
        <v>494505.50802099792</v>
      </c>
      <c r="L315">
        <f t="shared" si="79"/>
        <v>494505.50802099792</v>
      </c>
      <c r="M315">
        <f t="shared" si="80"/>
        <v>494910.52049656946</v>
      </c>
      <c r="N315" s="29">
        <f t="shared" si="81"/>
        <v>0</v>
      </c>
      <c r="O315" s="29">
        <f t="shared" si="82"/>
        <v>0</v>
      </c>
      <c r="P315" s="29">
        <f t="shared" si="83"/>
        <v>494910.52049656946</v>
      </c>
      <c r="Q315">
        <f t="shared" si="84"/>
        <v>0</v>
      </c>
      <c r="R315" s="29">
        <f t="shared" si="85"/>
        <v>0</v>
      </c>
      <c r="S315" s="29">
        <f t="shared" si="86"/>
        <v>0</v>
      </c>
      <c r="T315" s="29">
        <f t="shared" si="87"/>
        <v>494910.52049656946</v>
      </c>
      <c r="U315">
        <f t="shared" si="88"/>
        <v>0</v>
      </c>
      <c r="V315" s="29">
        <f t="shared" si="89"/>
        <v>0</v>
      </c>
      <c r="W315" s="29">
        <f t="shared" si="90"/>
        <v>0</v>
      </c>
      <c r="X315" s="29">
        <f t="shared" si="91"/>
        <v>494910.52049656946</v>
      </c>
      <c r="Y315">
        <f t="shared" si="92"/>
        <v>0</v>
      </c>
    </row>
    <row r="316" spans="1:25" x14ac:dyDescent="0.25">
      <c r="A316" t="s">
        <v>1425</v>
      </c>
      <c r="B316" t="s">
        <v>1418</v>
      </c>
      <c r="C316" t="s">
        <v>1419</v>
      </c>
      <c r="D316">
        <f>VLOOKUP(B316,'Model allocations'!$A$1:$L$316,6,FALSE)</f>
        <v>57681.690985409907</v>
      </c>
      <c r="E316" s="31">
        <f>VLOOKUP(B316,'Initial adjusted formula count'!$A$1:$P$316,12,FALSE)</f>
        <v>0.16428460450292401</v>
      </c>
      <c r="F316">
        <f>VLOOKUP(B316,'Model allocations'!$A$1:$L$316,11,FALSE)</f>
        <v>56630.88213251908</v>
      </c>
      <c r="G316" s="30">
        <f t="shared" ref="G316:G317" si="95">IF(E316&lt;0.15,0.85,IF(AND(E316&gt;=0.15,E316&lt;0.3),0.9,0.95))</f>
        <v>0.9</v>
      </c>
      <c r="H316">
        <f t="shared" ref="H316:H317" si="96">IF(F316 = 0, 0, D316*G316)</f>
        <v>51913.521886868919</v>
      </c>
      <c r="I316">
        <f t="shared" ref="I316:I317" si="97">IF(F316&lt;H316,H316,0)</f>
        <v>0</v>
      </c>
      <c r="J316">
        <f t="shared" ref="J316:J317" si="98">IF(I316=0,F316,0)</f>
        <v>56630.88213251908</v>
      </c>
      <c r="K316">
        <f t="shared" ref="K316:K317" si="99">(J316/$J$3)*($F$3-$I$3)</f>
        <v>56584.537969652469</v>
      </c>
      <c r="L316">
        <f t="shared" ref="L316:L317" si="100">I316+K316</f>
        <v>56584.537969652469</v>
      </c>
      <c r="M316">
        <f t="shared" ref="M316:M317" si="101">IF(L316&lt;H316,H316,0)</f>
        <v>0</v>
      </c>
      <c r="N316" s="29">
        <f t="shared" ref="N316:N317" si="102">IF($I316+$M316=0,L316,0)</f>
        <v>56584.537969652469</v>
      </c>
      <c r="O316" s="29">
        <f t="shared" ref="O316:O317" si="103">((N316/$N$3)*($F$3-$I$3-$M$3))</f>
        <v>56580.638887928391</v>
      </c>
      <c r="P316" s="29">
        <f t="shared" ref="P316:P317" si="104">$I316+$M316+O316</f>
        <v>56580.638887928391</v>
      </c>
      <c r="Q316">
        <f t="shared" ref="Q316:Q317" si="105">IF(P316&lt;H316,H316,0)</f>
        <v>0</v>
      </c>
      <c r="R316" s="29">
        <f t="shared" ref="R316:R317" si="106">IF($I316+$M316+$Q316=0,P316,0)</f>
        <v>56580.638887928391</v>
      </c>
      <c r="S316" s="29">
        <f t="shared" ref="S316:S317" si="107">((R316/$R$3)*($F$3-$I$3-$M$3-$Q$3))</f>
        <v>56580.570976808202</v>
      </c>
      <c r="T316" s="29">
        <f t="shared" ref="T316:T317" si="108">$I316+$M316+$Q316+S316</f>
        <v>56580.570976808202</v>
      </c>
      <c r="U316">
        <f t="shared" ref="U316:U317" si="109">IF(T316&lt;H316,H316,0)</f>
        <v>0</v>
      </c>
      <c r="V316" s="29">
        <f t="shared" ref="V316:V317" si="110">IF($I316+$M316+$Q316+U316=0,T316,0)</f>
        <v>56580.570976808202</v>
      </c>
      <c r="W316" s="29">
        <f t="shared" ref="W316:W317" si="111">((V316/$V$3)*($F$3-$I$3-$M$3-$Q$3-$U$3))</f>
        <v>56580.570976808202</v>
      </c>
      <c r="X316" s="29">
        <f t="shared" ref="X316:X317" si="112">$I316+$M316+$Q316+$U316+W316</f>
        <v>56580.570976808202</v>
      </c>
      <c r="Y316">
        <f t="shared" ref="Y316:Y317" si="113">IF(X316&lt;H316,H316,0)</f>
        <v>0</v>
      </c>
    </row>
    <row r="317" spans="1:25" x14ac:dyDescent="0.25">
      <c r="A317" t="s">
        <v>1426</v>
      </c>
      <c r="B317" t="s">
        <v>1420</v>
      </c>
      <c r="C317" t="s">
        <v>1421</v>
      </c>
      <c r="D317">
        <f>VLOOKUP(B317,'Model allocations'!$A$1:$L$316,6,FALSE)</f>
        <v>0</v>
      </c>
      <c r="E317" s="31">
        <f>VLOOKUP(B317,'Initial adjusted formula count'!$A$1:$P$316,12,FALSE)</f>
        <v>0.10607705301687299</v>
      </c>
      <c r="F317">
        <f>VLOOKUP(B317,'Model allocations'!$A$1:$L$316,11,FALSE)</f>
        <v>10535.955141703478</v>
      </c>
      <c r="G317" s="30">
        <f t="shared" si="95"/>
        <v>0.85</v>
      </c>
      <c r="H317">
        <f t="shared" si="96"/>
        <v>0</v>
      </c>
      <c r="I317">
        <f t="shared" si="97"/>
        <v>0</v>
      </c>
      <c r="J317">
        <f t="shared" si="98"/>
        <v>10535.955141703478</v>
      </c>
      <c r="K317">
        <f t="shared" si="99"/>
        <v>10527.332990632269</v>
      </c>
      <c r="L317">
        <f t="shared" si="100"/>
        <v>10527.332990632269</v>
      </c>
      <c r="M317">
        <f t="shared" si="101"/>
        <v>0</v>
      </c>
      <c r="N317" s="29">
        <f t="shared" si="102"/>
        <v>10527.332990632269</v>
      </c>
      <c r="O317" s="29">
        <f t="shared" si="103"/>
        <v>10526.607581657665</v>
      </c>
      <c r="P317" s="29">
        <f t="shared" si="104"/>
        <v>10526.607581657665</v>
      </c>
      <c r="Q317">
        <f t="shared" si="105"/>
        <v>0</v>
      </c>
      <c r="R317" s="29">
        <f t="shared" si="106"/>
        <v>10526.607581657665</v>
      </c>
      <c r="S317" s="29">
        <f t="shared" si="107"/>
        <v>10526.594947058151</v>
      </c>
      <c r="T317" s="29">
        <f t="shared" si="108"/>
        <v>10526.594947058151</v>
      </c>
      <c r="U317">
        <f t="shared" si="109"/>
        <v>0</v>
      </c>
      <c r="V317" s="29">
        <f t="shared" si="110"/>
        <v>10526.594947058151</v>
      </c>
      <c r="W317" s="29">
        <f t="shared" si="111"/>
        <v>10526.594947058151</v>
      </c>
      <c r="X317" s="29">
        <f t="shared" si="112"/>
        <v>10526.594947058151</v>
      </c>
      <c r="Y317">
        <f t="shared" si="113"/>
        <v>0</v>
      </c>
    </row>
  </sheetData>
  <sheetProtection algorithmName="SHA-512" hashValue="7WRE1z++WaZpDgqeL3PHjNIrkwwxY2X11/trNj8EtsBCPYLdpza3eH4QG7eyEVht4VBO6aQnUEQN+BHEdb+sDw==" saltValue="UmXIIZNwxayKo8E1jKRobA==" spinCount="100000" sheet="1" objects="1" scenarios="1"/>
  <autoFilter ref="A3:Y317" xr:uid="{B34A506B-0783-4864-A67B-A0D4F556461E}"/>
  <conditionalFormatting sqref="B1:B315">
    <cfRule type="duplicateValues" dxfId="0" priority="19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AFD0-3ECD-4CC2-8DF5-17977764E11A}">
  <sheetPr>
    <tabColor rgb="FFFF0000"/>
  </sheetPr>
  <dimension ref="A1:L315"/>
  <sheetViews>
    <sheetView topLeftCell="B1" workbookViewId="0">
      <selection activeCell="B3" sqref="B3"/>
    </sheetView>
    <sheetView workbookViewId="1"/>
  </sheetViews>
  <sheetFormatPr defaultRowHeight="15" x14ac:dyDescent="0.25"/>
  <cols>
    <col min="1" max="1" width="8.28515625" bestFit="1" customWidth="1"/>
    <col min="2" max="2" width="47.5703125" bestFit="1" customWidth="1"/>
    <col min="3" max="3" width="26.5703125" bestFit="1" customWidth="1"/>
    <col min="4" max="4" width="25.7109375" bestFit="1" customWidth="1"/>
    <col min="5" max="5" width="29.42578125" bestFit="1" customWidth="1"/>
    <col min="6" max="6" width="25.42578125" bestFit="1" customWidth="1"/>
    <col min="7" max="7" width="25.85546875" bestFit="1" customWidth="1"/>
    <col min="8" max="8" width="17.28515625" bestFit="1" customWidth="1"/>
    <col min="9" max="9" width="17.7109375" bestFit="1" customWidth="1"/>
    <col min="10" max="10" width="20.85546875" bestFit="1" customWidth="1"/>
    <col min="11" max="11" width="16.85546875" bestFit="1" customWidth="1"/>
    <col min="12" max="12" width="22.85546875" bestFit="1" customWidth="1"/>
    <col min="13" max="13" width="16.85546875" bestFit="1" customWidth="1"/>
    <col min="14" max="16" width="22.85546875" customWidth="1"/>
    <col min="17" max="17" width="47.5703125" bestFit="1" customWidth="1"/>
  </cols>
  <sheetData>
    <row r="1" spans="1:12" x14ac:dyDescent="0.25">
      <c r="A1" t="s">
        <v>4</v>
      </c>
      <c r="B1" t="s">
        <v>1277</v>
      </c>
      <c r="C1" t="s">
        <v>1334</v>
      </c>
      <c r="D1" t="s">
        <v>1335</v>
      </c>
      <c r="E1" t="s">
        <v>1336</v>
      </c>
      <c r="F1" t="s">
        <v>1337</v>
      </c>
      <c r="G1" t="s">
        <v>1355</v>
      </c>
      <c r="H1" t="s">
        <v>83</v>
      </c>
      <c r="I1" t="s">
        <v>84</v>
      </c>
      <c r="J1" t="s">
        <v>85</v>
      </c>
      <c r="K1" t="s">
        <v>86</v>
      </c>
      <c r="L1" t="s">
        <v>1338</v>
      </c>
    </row>
    <row r="2" spans="1:12" x14ac:dyDescent="0.25">
      <c r="A2" t="s">
        <v>308</v>
      </c>
      <c r="B2" t="s">
        <v>1381</v>
      </c>
      <c r="C2">
        <v>634938.69375755591</v>
      </c>
      <c r="D2">
        <v>167295.88148094981</v>
      </c>
      <c r="E2">
        <v>392655.00860822888</v>
      </c>
      <c r="F2">
        <v>539711.39546573057</v>
      </c>
      <c r="G2">
        <v>1734600.9793124651</v>
      </c>
      <c r="H2">
        <v>638001.50844131853</v>
      </c>
      <c r="I2">
        <v>172122.16183293046</v>
      </c>
      <c r="J2">
        <v>367722.46401768707</v>
      </c>
      <c r="K2">
        <v>487991.51299356774</v>
      </c>
      <c r="L2">
        <v>1665837.6472855038</v>
      </c>
    </row>
    <row r="3" spans="1:12" x14ac:dyDescent="0.25">
      <c r="A3" t="s">
        <v>259</v>
      </c>
      <c r="B3" t="s">
        <v>260</v>
      </c>
      <c r="C3">
        <v>59960.521512423416</v>
      </c>
      <c r="D3">
        <v>0</v>
      </c>
      <c r="E3">
        <v>28924.902902532685</v>
      </c>
      <c r="F3">
        <v>39235.770572803085</v>
      </c>
      <c r="G3">
        <v>128121.19498775918</v>
      </c>
      <c r="H3">
        <v>50994.761653411639</v>
      </c>
      <c r="I3">
        <v>0</v>
      </c>
      <c r="J3">
        <v>24603.239078092218</v>
      </c>
      <c r="K3">
        <v>33374.281264039921</v>
      </c>
      <c r="L3">
        <v>108972.28199554377</v>
      </c>
    </row>
    <row r="4" spans="1:12" x14ac:dyDescent="0.25">
      <c r="A4" t="s">
        <v>261</v>
      </c>
      <c r="B4" t="s">
        <v>262</v>
      </c>
      <c r="C4">
        <v>15641.875177153936</v>
      </c>
      <c r="D4">
        <v>4208.2731321928313</v>
      </c>
      <c r="E4">
        <v>8355.4612451861758</v>
      </c>
      <c r="F4">
        <v>11333.934691181523</v>
      </c>
      <c r="G4">
        <v>39539.544245714467</v>
      </c>
      <c r="H4">
        <v>13302.981300889993</v>
      </c>
      <c r="I4">
        <v>3581.3238500886937</v>
      </c>
      <c r="J4">
        <v>7107.0734901256892</v>
      </c>
      <c r="K4">
        <v>9640.7415654007837</v>
      </c>
      <c r="L4">
        <v>33632.120206505162</v>
      </c>
    </row>
    <row r="5" spans="1:12" x14ac:dyDescent="0.25">
      <c r="A5" t="s">
        <v>88</v>
      </c>
      <c r="B5" t="s">
        <v>89</v>
      </c>
      <c r="C5">
        <v>202475.38423760375</v>
      </c>
      <c r="D5">
        <v>0</v>
      </c>
      <c r="E5">
        <v>97673.947482465446</v>
      </c>
      <c r="F5">
        <v>132491.80497772634</v>
      </c>
      <c r="G5">
        <v>432641.13669779547</v>
      </c>
      <c r="H5">
        <v>179520.42444417794</v>
      </c>
      <c r="I5">
        <v>0</v>
      </c>
      <c r="J5">
        <v>86836.952960064838</v>
      </c>
      <c r="K5">
        <v>115238.25766786736</v>
      </c>
      <c r="L5">
        <v>381595.6350721101</v>
      </c>
    </row>
    <row r="6" spans="1:12" x14ac:dyDescent="0.25">
      <c r="A6" t="s">
        <v>90</v>
      </c>
      <c r="B6" t="s">
        <v>91</v>
      </c>
      <c r="C6">
        <v>471863.23451081035</v>
      </c>
      <c r="D6">
        <v>0</v>
      </c>
      <c r="E6">
        <v>227626.40979819203</v>
      </c>
      <c r="F6">
        <v>308768.45537727629</v>
      </c>
      <c r="G6">
        <v>1008258.0996862787</v>
      </c>
      <c r="H6">
        <v>474321.1214480974</v>
      </c>
      <c r="I6">
        <v>0</v>
      </c>
      <c r="J6">
        <v>229436.85120330853</v>
      </c>
      <c r="K6">
        <v>304477.55334794358</v>
      </c>
      <c r="L6">
        <v>1008235.5259993495</v>
      </c>
    </row>
    <row r="7" spans="1:12" x14ac:dyDescent="0.25">
      <c r="A7" t="s">
        <v>309</v>
      </c>
      <c r="B7" t="s">
        <v>310</v>
      </c>
      <c r="C7">
        <v>37358.131662173764</v>
      </c>
      <c r="D7">
        <v>0</v>
      </c>
      <c r="E7">
        <v>18159.578573091469</v>
      </c>
      <c r="F7">
        <v>25040.854196024917</v>
      </c>
      <c r="G7">
        <v>80558.564431290142</v>
      </c>
      <c r="H7">
        <v>31643.188053258044</v>
      </c>
      <c r="I7">
        <v>0</v>
      </c>
      <c r="J7">
        <v>15381.576491901384</v>
      </c>
      <c r="K7">
        <v>21210.173611046324</v>
      </c>
      <c r="L7">
        <v>68234.938156205753</v>
      </c>
    </row>
    <row r="8" spans="1:12" x14ac:dyDescent="0.25">
      <c r="A8" t="s">
        <v>311</v>
      </c>
      <c r="B8" t="s">
        <v>312</v>
      </c>
      <c r="C8">
        <v>2441870.5137668084</v>
      </c>
      <c r="D8">
        <v>656958.1945256585</v>
      </c>
      <c r="E8">
        <v>1736961.3793716549</v>
      </c>
      <c r="F8">
        <v>2356136.4546146314</v>
      </c>
      <c r="G8">
        <v>7191926.5422787536</v>
      </c>
      <c r="H8">
        <v>2618006.1898109275</v>
      </c>
      <c r="I8">
        <v>706294.38821099047</v>
      </c>
      <c r="J8">
        <v>1904240.7307198523</v>
      </c>
      <c r="K8">
        <v>2527050.7141039437</v>
      </c>
      <c r="L8">
        <v>7755592.0228457144</v>
      </c>
    </row>
    <row r="9" spans="1:12" x14ac:dyDescent="0.25">
      <c r="A9" t="s">
        <v>92</v>
      </c>
      <c r="B9" t="s">
        <v>93</v>
      </c>
      <c r="C9">
        <v>130348.95980961616</v>
      </c>
      <c r="D9">
        <v>0</v>
      </c>
      <c r="E9">
        <v>0</v>
      </c>
      <c r="F9">
        <v>0</v>
      </c>
      <c r="G9">
        <v>130348.95980961616</v>
      </c>
      <c r="H9">
        <v>132000.31209130722</v>
      </c>
      <c r="I9">
        <v>0</v>
      </c>
      <c r="J9">
        <v>0</v>
      </c>
      <c r="K9">
        <v>0</v>
      </c>
      <c r="L9">
        <v>132000.31209130722</v>
      </c>
    </row>
    <row r="10" spans="1:12" x14ac:dyDescent="0.25">
      <c r="A10" t="s">
        <v>94</v>
      </c>
      <c r="B10" t="s">
        <v>95</v>
      </c>
      <c r="C10">
        <v>782093.7588576969</v>
      </c>
      <c r="D10">
        <v>0</v>
      </c>
      <c r="E10">
        <v>421087.8980520881</v>
      </c>
      <c r="F10">
        <v>571193.210730155</v>
      </c>
      <c r="G10">
        <v>1774374.86763994</v>
      </c>
      <c r="H10">
        <v>903762.13678515039</v>
      </c>
      <c r="I10">
        <v>0</v>
      </c>
      <c r="J10">
        <v>508677.24895724229</v>
      </c>
      <c r="K10">
        <v>675047.63682892884</v>
      </c>
      <c r="L10">
        <v>2087487.0225713216</v>
      </c>
    </row>
    <row r="11" spans="1:12" x14ac:dyDescent="0.25">
      <c r="A11" t="s">
        <v>96</v>
      </c>
      <c r="B11" t="s">
        <v>97</v>
      </c>
      <c r="C11">
        <v>1272205.8477418532</v>
      </c>
      <c r="D11">
        <v>0</v>
      </c>
      <c r="E11">
        <v>775732.35972661898</v>
      </c>
      <c r="F11">
        <v>1052257.8760140883</v>
      </c>
      <c r="G11">
        <v>3100196.0834825607</v>
      </c>
      <c r="H11">
        <v>1241682.9357388967</v>
      </c>
      <c r="I11">
        <v>0</v>
      </c>
      <c r="J11">
        <v>753863.9396680136</v>
      </c>
      <c r="K11">
        <v>1000426.2467146718</v>
      </c>
      <c r="L11">
        <v>2995973.1221215818</v>
      </c>
    </row>
    <row r="12" spans="1:12" x14ac:dyDescent="0.25">
      <c r="A12" t="s">
        <v>56</v>
      </c>
      <c r="B12" t="s">
        <v>1383</v>
      </c>
      <c r="C12">
        <v>1163351.4977555396</v>
      </c>
      <c r="D12">
        <v>0</v>
      </c>
      <c r="E12">
        <v>697854.1687955613</v>
      </c>
      <c r="F12">
        <v>946618.42608084786</v>
      </c>
      <c r="G12">
        <v>2807824.0926319491</v>
      </c>
      <c r="H12">
        <v>987144.67958517023</v>
      </c>
      <c r="I12">
        <v>0</v>
      </c>
      <c r="J12">
        <v>592235.92122073937</v>
      </c>
      <c r="K12">
        <v>803367.72515000845</v>
      </c>
      <c r="L12">
        <v>2382748.3259559181</v>
      </c>
    </row>
    <row r="13" spans="1:12" x14ac:dyDescent="0.25">
      <c r="A13" t="s">
        <v>98</v>
      </c>
      <c r="B13" t="s">
        <v>99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 t="s">
        <v>263</v>
      </c>
      <c r="B14" t="s">
        <v>264</v>
      </c>
      <c r="C14">
        <v>2180303.6010821783</v>
      </c>
      <c r="D14">
        <v>0</v>
      </c>
      <c r="E14">
        <v>1484602.0815843407</v>
      </c>
      <c r="F14">
        <v>2013818.5722258273</v>
      </c>
      <c r="G14">
        <v>5678724.2548923455</v>
      </c>
      <c r="H14">
        <v>2450805.7944952725</v>
      </c>
      <c r="I14">
        <v>0</v>
      </c>
      <c r="J14">
        <v>1742485.6222648299</v>
      </c>
      <c r="K14">
        <v>2312391.2145265439</v>
      </c>
      <c r="L14">
        <v>6505682.6312866462</v>
      </c>
    </row>
    <row r="15" spans="1:12" x14ac:dyDescent="0.25">
      <c r="A15" t="s">
        <v>313</v>
      </c>
      <c r="B15" t="s">
        <v>314</v>
      </c>
      <c r="C15">
        <v>0</v>
      </c>
      <c r="D15">
        <v>2428.0895098544547</v>
      </c>
      <c r="E15">
        <v>0</v>
      </c>
      <c r="F15">
        <v>0</v>
      </c>
      <c r="G15">
        <v>2428.0895098544547</v>
      </c>
      <c r="H15">
        <v>8800.02080608715</v>
      </c>
      <c r="I15">
        <v>2063.8760833762863</v>
      </c>
      <c r="J15">
        <v>4256.7133803953338</v>
      </c>
      <c r="K15">
        <v>5648.934199405262</v>
      </c>
      <c r="L15">
        <v>20769.544469264034</v>
      </c>
    </row>
    <row r="16" spans="1:12" x14ac:dyDescent="0.25">
      <c r="A16" t="s">
        <v>315</v>
      </c>
      <c r="B16" t="s">
        <v>316</v>
      </c>
      <c r="C16">
        <v>266780.87107701442</v>
      </c>
      <c r="D16">
        <v>59470.207143212981</v>
      </c>
      <c r="E16">
        <v>128694.85784170337</v>
      </c>
      <c r="F16">
        <v>174570.74733116728</v>
      </c>
      <c r="G16">
        <v>629516.68339309795</v>
      </c>
      <c r="H16">
        <v>227071.48929817911</v>
      </c>
      <c r="I16">
        <v>50549.676071731032</v>
      </c>
      <c r="J16">
        <v>109554.27494674444</v>
      </c>
      <c r="K16">
        <v>148610.31810264091</v>
      </c>
      <c r="L16">
        <v>535785.75841929554</v>
      </c>
    </row>
    <row r="17" spans="1:12" x14ac:dyDescent="0.25">
      <c r="A17" t="s">
        <v>317</v>
      </c>
      <c r="B17" t="s">
        <v>318</v>
      </c>
      <c r="C17">
        <v>20855.833569538583</v>
      </c>
      <c r="D17">
        <v>0</v>
      </c>
      <c r="E17">
        <v>10060.835792185288</v>
      </c>
      <c r="F17">
        <v>13647.224547061936</v>
      </c>
      <c r="G17">
        <v>44563.893908785809</v>
      </c>
      <c r="H17">
        <v>21120.049934609171</v>
      </c>
      <c r="I17">
        <v>0</v>
      </c>
      <c r="J17">
        <v>10216.1121129488</v>
      </c>
      <c r="K17">
        <v>13557.442078572629</v>
      </c>
      <c r="L17">
        <v>44893.604126130595</v>
      </c>
    </row>
    <row r="18" spans="1:12" x14ac:dyDescent="0.25">
      <c r="A18" t="s">
        <v>55</v>
      </c>
      <c r="B18" t="s">
        <v>9</v>
      </c>
      <c r="C18">
        <v>737211.79124382534</v>
      </c>
      <c r="D18">
        <v>194243.15712184162</v>
      </c>
      <c r="E18">
        <v>412275.3155510567</v>
      </c>
      <c r="F18">
        <v>566679.8614407694</v>
      </c>
      <c r="G18">
        <v>1910410.1253574931</v>
      </c>
      <c r="H18">
        <v>722273.74341563671</v>
      </c>
      <c r="I18">
        <v>194857.40473495636</v>
      </c>
      <c r="J18">
        <v>392428.39669004199</v>
      </c>
      <c r="K18">
        <v>520777.88490289944</v>
      </c>
      <c r="L18">
        <v>1830337.4297435344</v>
      </c>
    </row>
    <row r="19" spans="1:12" x14ac:dyDescent="0.25">
      <c r="A19" t="s">
        <v>319</v>
      </c>
      <c r="B19" t="s">
        <v>320</v>
      </c>
      <c r="C19">
        <v>210296.32182618076</v>
      </c>
      <c r="D19">
        <v>56577.894332814707</v>
      </c>
      <c r="E19">
        <v>141162.50755631138</v>
      </c>
      <c r="F19">
        <v>191482.74338635895</v>
      </c>
      <c r="G19">
        <v>599519.4671016658</v>
      </c>
      <c r="H19">
        <v>189371.85145972818</v>
      </c>
      <c r="I19">
        <v>50981.198336556678</v>
      </c>
      <c r="J19">
        <v>127134.47243129089</v>
      </c>
      <c r="K19">
        <v>172457.84702614218</v>
      </c>
      <c r="L19">
        <v>539945.36925371794</v>
      </c>
    </row>
    <row r="20" spans="1:12" x14ac:dyDescent="0.25">
      <c r="A20" t="s">
        <v>321</v>
      </c>
      <c r="B20" t="s">
        <v>322</v>
      </c>
      <c r="C20">
        <v>136995.75234602395</v>
      </c>
      <c r="D20">
        <v>36237.907527216048</v>
      </c>
      <c r="E20">
        <v>99289.881649412011</v>
      </c>
      <c r="F20">
        <v>136914.16017812517</v>
      </c>
      <c r="G20">
        <v>409437.70170077716</v>
      </c>
      <c r="H20">
        <v>116446.38949412035</v>
      </c>
      <c r="I20">
        <v>30839.177597985978</v>
      </c>
      <c r="J20">
        <v>84396.399402000214</v>
      </c>
      <c r="K20">
        <v>116377.03615140638</v>
      </c>
      <c r="L20">
        <v>348059.00264551293</v>
      </c>
    </row>
    <row r="21" spans="1:12" x14ac:dyDescent="0.25">
      <c r="A21" t="s">
        <v>323</v>
      </c>
      <c r="B21" t="s">
        <v>324</v>
      </c>
      <c r="C21">
        <v>22593.819700333479</v>
      </c>
      <c r="D21">
        <v>6078.6167465007529</v>
      </c>
      <c r="E21">
        <v>14837.885130639725</v>
      </c>
      <c r="F21">
        <v>20460.459290849209</v>
      </c>
      <c r="G21">
        <v>63970.780868323171</v>
      </c>
      <c r="H21">
        <v>19215.417434618885</v>
      </c>
      <c r="I21">
        <v>5173.0233390170006</v>
      </c>
      <c r="J21">
        <v>12612.202361043766</v>
      </c>
      <c r="K21">
        <v>17391.390397221829</v>
      </c>
      <c r="L21">
        <v>54392.033531901485</v>
      </c>
    </row>
    <row r="22" spans="1:12" x14ac:dyDescent="0.25">
      <c r="A22" t="s">
        <v>325</v>
      </c>
      <c r="B22" t="s">
        <v>326</v>
      </c>
      <c r="C22">
        <v>348466.21922437387</v>
      </c>
      <c r="D22">
        <v>0</v>
      </c>
      <c r="E22">
        <v>168099.79802776244</v>
      </c>
      <c r="F22">
        <v>228022.37680715989</v>
      </c>
      <c r="G22">
        <v>744588.39405929623</v>
      </c>
      <c r="H22">
        <v>317680.75109974627</v>
      </c>
      <c r="I22">
        <v>0</v>
      </c>
      <c r="J22">
        <v>153667.35303227158</v>
      </c>
      <c r="K22">
        <v>203926.52459852997</v>
      </c>
      <c r="L22">
        <v>675274.62873054785</v>
      </c>
    </row>
    <row r="23" spans="1:12" x14ac:dyDescent="0.25">
      <c r="A23" t="s">
        <v>100</v>
      </c>
      <c r="B23" t="s">
        <v>101</v>
      </c>
      <c r="C23">
        <v>235497.1207227064</v>
      </c>
      <c r="D23">
        <v>0</v>
      </c>
      <c r="E23">
        <v>0</v>
      </c>
      <c r="F23">
        <v>0</v>
      </c>
      <c r="G23">
        <v>235497.1207227064</v>
      </c>
      <c r="H23">
        <v>248160.58673165765</v>
      </c>
      <c r="I23">
        <v>0</v>
      </c>
      <c r="J23">
        <v>0</v>
      </c>
      <c r="K23">
        <v>0</v>
      </c>
      <c r="L23">
        <v>248160.58673165765</v>
      </c>
    </row>
    <row r="24" spans="1:12" x14ac:dyDescent="0.25">
      <c r="A24" t="s">
        <v>327</v>
      </c>
      <c r="B24" t="s">
        <v>328</v>
      </c>
      <c r="C24">
        <v>86723.333781519803</v>
      </c>
      <c r="D24">
        <v>22850.169177885848</v>
      </c>
      <c r="E24">
        <v>53810.286992687623</v>
      </c>
      <c r="F24">
        <v>74200.816137153233</v>
      </c>
      <c r="G24">
        <v>237584.60608924652</v>
      </c>
      <c r="H24">
        <v>73714.833714291832</v>
      </c>
      <c r="I24">
        <v>19422.643801202968</v>
      </c>
      <c r="J24">
        <v>45738.743943784481</v>
      </c>
      <c r="K24">
        <v>63070.693716580245</v>
      </c>
      <c r="L24">
        <v>201946.91517585953</v>
      </c>
    </row>
    <row r="25" spans="1:12" x14ac:dyDescent="0.25">
      <c r="A25" t="s">
        <v>102</v>
      </c>
      <c r="B25" t="s">
        <v>103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 t="s">
        <v>329</v>
      </c>
      <c r="B26" t="s">
        <v>330</v>
      </c>
      <c r="C26">
        <v>133824.9320712059</v>
      </c>
      <c r="D26">
        <v>0</v>
      </c>
      <c r="E26">
        <v>64557.029666522227</v>
      </c>
      <c r="F26">
        <v>87569.690843647462</v>
      </c>
      <c r="G26">
        <v>285951.65258137556</v>
      </c>
      <c r="H26">
        <v>113814.39557428104</v>
      </c>
      <c r="I26">
        <v>0</v>
      </c>
      <c r="J26">
        <v>54911.577072843502</v>
      </c>
      <c r="K26">
        <v>74487.526299451405</v>
      </c>
      <c r="L26">
        <v>243213.49894657597</v>
      </c>
    </row>
    <row r="27" spans="1:12" x14ac:dyDescent="0.25">
      <c r="A27" t="s">
        <v>331</v>
      </c>
      <c r="B27" t="s">
        <v>332</v>
      </c>
      <c r="C27">
        <v>144252.84885597508</v>
      </c>
      <c r="D27">
        <v>0</v>
      </c>
      <c r="E27">
        <v>69587.447562614863</v>
      </c>
      <c r="F27">
        <v>94393.303117178395</v>
      </c>
      <c r="G27">
        <v>308233.59953576833</v>
      </c>
      <c r="H27">
        <v>122683.04977487432</v>
      </c>
      <c r="I27">
        <v>0</v>
      </c>
      <c r="J27">
        <v>59190.401260337792</v>
      </c>
      <c r="K27">
        <v>80291.749127980074</v>
      </c>
      <c r="L27">
        <v>262165.20016319217</v>
      </c>
    </row>
    <row r="28" spans="1:12" x14ac:dyDescent="0.25">
      <c r="A28" t="s">
        <v>104</v>
      </c>
      <c r="B28" t="s">
        <v>105</v>
      </c>
      <c r="C28">
        <v>168584.65468710352</v>
      </c>
      <c r="D28">
        <v>0</v>
      </c>
      <c r="E28">
        <v>81325.089320164378</v>
      </c>
      <c r="F28">
        <v>110315.06508875065</v>
      </c>
      <c r="G28">
        <v>360224.80909601855</v>
      </c>
      <c r="H28">
        <v>143440.33913922054</v>
      </c>
      <c r="I28">
        <v>0</v>
      </c>
      <c r="J28">
        <v>69384.428100443954</v>
      </c>
      <c r="K28">
        <v>93834.935727880322</v>
      </c>
      <c r="L28">
        <v>306659.70296754484</v>
      </c>
    </row>
    <row r="29" spans="1:12" x14ac:dyDescent="0.25">
      <c r="A29" t="s">
        <v>66</v>
      </c>
      <c r="B29" t="s">
        <v>1394</v>
      </c>
      <c r="C29">
        <v>72796.56563564828</v>
      </c>
      <c r="D29">
        <v>0</v>
      </c>
      <c r="E29">
        <v>40704.489288154939</v>
      </c>
      <c r="F29">
        <v>55947.849526081147</v>
      </c>
      <c r="G29">
        <v>169448.90444988437</v>
      </c>
      <c r="H29">
        <v>68458.725312170121</v>
      </c>
      <c r="I29">
        <v>0</v>
      </c>
      <c r="J29">
        <v>37195.243574345477</v>
      </c>
      <c r="K29">
        <v>49360.495928625358</v>
      </c>
      <c r="L29">
        <v>155014.46481514093</v>
      </c>
    </row>
    <row r="30" spans="1:12" x14ac:dyDescent="0.25">
      <c r="A30" t="s">
        <v>333</v>
      </c>
      <c r="B30" t="s">
        <v>334</v>
      </c>
      <c r="C30">
        <v>20906.517965187813</v>
      </c>
      <c r="D30">
        <v>5611.0308429237757</v>
      </c>
      <c r="E30">
        <v>15264.804293868739</v>
      </c>
      <c r="F30">
        <v>20981.748981521883</v>
      </c>
      <c r="G30">
        <v>62764.102083502221</v>
      </c>
      <c r="H30">
        <v>31680.074901913747</v>
      </c>
      <c r="I30">
        <v>8546.7556220489623</v>
      </c>
      <c r="J30">
        <v>29459.244739599875</v>
      </c>
      <c r="K30">
        <v>39094.324711785041</v>
      </c>
      <c r="L30">
        <v>108780.39997534762</v>
      </c>
    </row>
    <row r="31" spans="1:12" x14ac:dyDescent="0.25">
      <c r="A31" t="s">
        <v>106</v>
      </c>
      <c r="B31" t="s">
        <v>107</v>
      </c>
      <c r="C31">
        <v>683897.54246778612</v>
      </c>
      <c r="D31">
        <v>0</v>
      </c>
      <c r="E31">
        <v>350033.24526977964</v>
      </c>
      <c r="F31">
        <v>474809.68736652989</v>
      </c>
      <c r="G31">
        <v>1508740.4751040956</v>
      </c>
      <c r="H31">
        <v>728641.72274401644</v>
      </c>
      <c r="I31">
        <v>0</v>
      </c>
      <c r="J31">
        <v>381614.3545524418</v>
      </c>
      <c r="K31">
        <v>506426.95097668166</v>
      </c>
      <c r="L31">
        <v>1616683.0282731398</v>
      </c>
    </row>
    <row r="32" spans="1:12" x14ac:dyDescent="0.25">
      <c r="A32" t="s">
        <v>265</v>
      </c>
      <c r="B32" t="s">
        <v>266</v>
      </c>
      <c r="C32">
        <v>1355095.1078629245</v>
      </c>
      <c r="D32">
        <v>0</v>
      </c>
      <c r="E32">
        <v>851476.57932692498</v>
      </c>
      <c r="F32">
        <v>1170369.9246415028</v>
      </c>
      <c r="G32">
        <v>3376941.6118313521</v>
      </c>
      <c r="H32">
        <v>1151669.4530269518</v>
      </c>
      <c r="I32">
        <v>0</v>
      </c>
      <c r="J32">
        <v>723653.6835596743</v>
      </c>
      <c r="K32">
        <v>994675.04762582306</v>
      </c>
      <c r="L32">
        <v>2869998.184212449</v>
      </c>
    </row>
    <row r="33" spans="1:12" x14ac:dyDescent="0.25">
      <c r="A33" t="s">
        <v>335</v>
      </c>
      <c r="B33" t="s">
        <v>336</v>
      </c>
      <c r="C33">
        <v>746465.04317640187</v>
      </c>
      <c r="D33">
        <v>200828.14558631339</v>
      </c>
      <c r="E33">
        <v>417869.31092172075</v>
      </c>
      <c r="F33">
        <v>566827.29300724296</v>
      </c>
      <c r="G33">
        <v>1931989.792691679</v>
      </c>
      <c r="H33">
        <v>688161.62703601539</v>
      </c>
      <c r="I33">
        <v>185654.52490117465</v>
      </c>
      <c r="J33">
        <v>376682.33308331954</v>
      </c>
      <c r="K33">
        <v>510969.39275413041</v>
      </c>
      <c r="L33">
        <v>1761467.87777464</v>
      </c>
    </row>
    <row r="34" spans="1:12" x14ac:dyDescent="0.25">
      <c r="A34" t="s">
        <v>337</v>
      </c>
      <c r="B34" t="s">
        <v>338</v>
      </c>
      <c r="C34">
        <v>348466.21922437387</v>
      </c>
      <c r="D34">
        <v>0</v>
      </c>
      <c r="E34">
        <v>168099.79802776244</v>
      </c>
      <c r="F34">
        <v>228022.37680715989</v>
      </c>
      <c r="G34">
        <v>744588.39405929623</v>
      </c>
      <c r="H34">
        <v>295697.61421799846</v>
      </c>
      <c r="I34">
        <v>0</v>
      </c>
      <c r="J34">
        <v>142664.04747359347</v>
      </c>
      <c r="K34">
        <v>193523.70765236858</v>
      </c>
      <c r="L34">
        <v>631885.36934396054</v>
      </c>
    </row>
    <row r="35" spans="1:12" x14ac:dyDescent="0.25">
      <c r="A35" t="s">
        <v>267</v>
      </c>
      <c r="B35" t="s">
        <v>268</v>
      </c>
      <c r="C35">
        <v>640617.00727896474</v>
      </c>
      <c r="D35">
        <v>0</v>
      </c>
      <c r="E35">
        <v>338806.51893102983</v>
      </c>
      <c r="F35">
        <v>465695.67461598007</v>
      </c>
      <c r="G35">
        <v>1445119.2008259746</v>
      </c>
      <c r="H35">
        <v>544440.56355708325</v>
      </c>
      <c r="I35">
        <v>0</v>
      </c>
      <c r="J35">
        <v>287957.22674287937</v>
      </c>
      <c r="K35">
        <v>395802.40484059427</v>
      </c>
      <c r="L35">
        <v>1228200.1951405569</v>
      </c>
    </row>
    <row r="36" spans="1:12" x14ac:dyDescent="0.25">
      <c r="A36" t="s">
        <v>339</v>
      </c>
      <c r="B36" t="s">
        <v>340</v>
      </c>
      <c r="C36">
        <v>140036.72205738933</v>
      </c>
      <c r="D36">
        <v>35770.321623639065</v>
      </c>
      <c r="E36">
        <v>78700.719305723978</v>
      </c>
      <c r="F36">
        <v>103703.32233418374</v>
      </c>
      <c r="G36">
        <v>358211.08532093611</v>
      </c>
      <c r="H36">
        <v>119031.21374878092</v>
      </c>
      <c r="I36">
        <v>30441.252725753897</v>
      </c>
      <c r="J36">
        <v>66895.611409865378</v>
      </c>
      <c r="K36">
        <v>88147.823984056173</v>
      </c>
      <c r="L36">
        <v>304515.90186845639</v>
      </c>
    </row>
    <row r="37" spans="1:12" x14ac:dyDescent="0.25">
      <c r="A37" t="s">
        <v>108</v>
      </c>
      <c r="B37" t="s">
        <v>109</v>
      </c>
      <c r="C37">
        <v>132086.94594041104</v>
      </c>
      <c r="D37">
        <v>33831.380503972068</v>
      </c>
      <c r="E37">
        <v>68459.040839028879</v>
      </c>
      <c r="F37">
        <v>94400.475933401656</v>
      </c>
      <c r="G37">
        <v>328777.84321681364</v>
      </c>
      <c r="H37">
        <v>162800.38491261227</v>
      </c>
      <c r="I37">
        <v>43920.827502196051</v>
      </c>
      <c r="J37">
        <v>81903.677554989466</v>
      </c>
      <c r="K37">
        <v>108691.48186680859</v>
      </c>
      <c r="L37">
        <v>397316.37183660641</v>
      </c>
    </row>
    <row r="38" spans="1:12" x14ac:dyDescent="0.25">
      <c r="A38" t="s">
        <v>341</v>
      </c>
      <c r="B38" t="s">
        <v>342</v>
      </c>
      <c r="C38">
        <v>469235.1809964375</v>
      </c>
      <c r="D38">
        <v>123635.73680177514</v>
      </c>
      <c r="E38">
        <v>271841.10025092715</v>
      </c>
      <c r="F38">
        <v>373650.49813423608</v>
      </c>
      <c r="G38">
        <v>1238362.5161833758</v>
      </c>
      <c r="H38">
        <v>440881.04238496628</v>
      </c>
      <c r="I38">
        <v>118942.34907351469</v>
      </c>
      <c r="J38">
        <v>244717.60322117477</v>
      </c>
      <c r="K38">
        <v>336369.02962048812</v>
      </c>
      <c r="L38">
        <v>1140910.0243001438</v>
      </c>
    </row>
    <row r="39" spans="1:12" x14ac:dyDescent="0.25">
      <c r="A39" t="s">
        <v>343</v>
      </c>
      <c r="B39" t="s">
        <v>344</v>
      </c>
      <c r="C39">
        <v>137300.9043327957</v>
      </c>
      <c r="D39">
        <v>0</v>
      </c>
      <c r="E39">
        <v>66233.83563188641</v>
      </c>
      <c r="F39">
        <v>89844.228268157764</v>
      </c>
      <c r="G39">
        <v>293378.96823283989</v>
      </c>
      <c r="H39">
        <v>116770.61364114548</v>
      </c>
      <c r="I39">
        <v>0</v>
      </c>
      <c r="J39">
        <v>56337.851802008263</v>
      </c>
      <c r="K39">
        <v>76422.267242294285</v>
      </c>
      <c r="L39">
        <v>249530.73268544802</v>
      </c>
    </row>
    <row r="40" spans="1:12" x14ac:dyDescent="0.25">
      <c r="A40" t="s">
        <v>345</v>
      </c>
      <c r="B40" t="s">
        <v>346</v>
      </c>
      <c r="C40">
        <v>1819671.4789422415</v>
      </c>
      <c r="D40">
        <v>489562.44104509923</v>
      </c>
      <c r="E40">
        <v>1171877.7690439145</v>
      </c>
      <c r="F40">
        <v>1589617.3425546517</v>
      </c>
      <c r="G40">
        <v>5070729.0315859076</v>
      </c>
      <c r="H40">
        <v>1808404.2756509099</v>
      </c>
      <c r="I40">
        <v>416627.34122698457</v>
      </c>
      <c r="J40">
        <v>1165062.4522142028</v>
      </c>
      <c r="K40">
        <v>1546113.2903772199</v>
      </c>
      <c r="L40">
        <v>4936207.3594693169</v>
      </c>
    </row>
    <row r="41" spans="1:12" x14ac:dyDescent="0.25">
      <c r="A41" t="s">
        <v>269</v>
      </c>
      <c r="B41" t="s">
        <v>270</v>
      </c>
      <c r="C41">
        <v>53008.576989243906</v>
      </c>
      <c r="D41">
        <v>0</v>
      </c>
      <c r="E41">
        <v>25571.290971804257</v>
      </c>
      <c r="F41">
        <v>34686.695723782432</v>
      </c>
      <c r="G41">
        <v>113266.56368483059</v>
      </c>
      <c r="H41">
        <v>57200.135239566494</v>
      </c>
      <c r="I41">
        <v>0</v>
      </c>
      <c r="J41">
        <v>27668.636972569668</v>
      </c>
      <c r="K41">
        <v>36718.072296134203</v>
      </c>
      <c r="L41">
        <v>121586.84450827035</v>
      </c>
    </row>
    <row r="42" spans="1:12" x14ac:dyDescent="0.25">
      <c r="A42" t="s">
        <v>347</v>
      </c>
      <c r="B42" t="s">
        <v>348</v>
      </c>
      <c r="C42">
        <v>253745.9750960528</v>
      </c>
      <c r="D42">
        <v>0</v>
      </c>
      <c r="E42">
        <v>122406.83547158758</v>
      </c>
      <c r="F42">
        <v>166041.2319892536</v>
      </c>
      <c r="G42">
        <v>542194.04255689401</v>
      </c>
      <c r="H42">
        <v>220880.52223278748</v>
      </c>
      <c r="I42">
        <v>0</v>
      </c>
      <c r="J42">
        <v>106843.50584792288</v>
      </c>
      <c r="K42">
        <v>141788.24840507205</v>
      </c>
      <c r="L42">
        <v>469512.27648578235</v>
      </c>
    </row>
    <row r="43" spans="1:12" x14ac:dyDescent="0.25">
      <c r="A43" t="s">
        <v>349</v>
      </c>
      <c r="B43" t="s">
        <v>350</v>
      </c>
      <c r="C43">
        <v>0</v>
      </c>
      <c r="D43">
        <v>0</v>
      </c>
      <c r="E43">
        <v>0</v>
      </c>
      <c r="F43">
        <v>0</v>
      </c>
      <c r="G43">
        <v>0</v>
      </c>
      <c r="H43">
        <v>14080.033289739442</v>
      </c>
      <c r="I43">
        <v>0</v>
      </c>
      <c r="J43">
        <v>6810.7414086325352</v>
      </c>
      <c r="K43">
        <v>9038.2947190484192</v>
      </c>
      <c r="L43">
        <v>29929.069417420396</v>
      </c>
    </row>
    <row r="44" spans="1:12" x14ac:dyDescent="0.25">
      <c r="A44" t="s">
        <v>351</v>
      </c>
      <c r="B44" t="s">
        <v>1386</v>
      </c>
      <c r="C44">
        <v>33295.565648262062</v>
      </c>
      <c r="D44">
        <v>8884.1321679626435</v>
      </c>
      <c r="E44">
        <v>19000.153110159124</v>
      </c>
      <c r="F44">
        <v>26116.053340295057</v>
      </c>
      <c r="G44">
        <v>87295.904266678888</v>
      </c>
      <c r="H44">
        <v>45760.108191653206</v>
      </c>
      <c r="I44">
        <v>12345.313676292941</v>
      </c>
      <c r="J44">
        <v>30670.311621672692</v>
      </c>
      <c r="K44">
        <v>40701.488858522323</v>
      </c>
      <c r="L44">
        <v>129477.22234814116</v>
      </c>
    </row>
    <row r="45" spans="1:12" x14ac:dyDescent="0.25">
      <c r="A45" t="s">
        <v>352</v>
      </c>
      <c r="B45" t="s">
        <v>1387</v>
      </c>
      <c r="C45">
        <v>91244.271866731317</v>
      </c>
      <c r="D45">
        <v>19187.19088165279</v>
      </c>
      <c r="E45">
        <v>44016.156590810635</v>
      </c>
      <c r="F45">
        <v>59706.607393395978</v>
      </c>
      <c r="G45">
        <v>214154.2267325907</v>
      </c>
      <c r="H45">
        <v>77600.724255191613</v>
      </c>
      <c r="I45">
        <v>16309.11224940487</v>
      </c>
      <c r="J45">
        <v>37459.07774747895</v>
      </c>
      <c r="K45">
        <v>50786.949749625943</v>
      </c>
      <c r="L45">
        <v>182155.86400170135</v>
      </c>
    </row>
    <row r="46" spans="1:12" x14ac:dyDescent="0.25">
      <c r="A46" t="s">
        <v>353</v>
      </c>
      <c r="B46" t="s">
        <v>354</v>
      </c>
      <c r="C46">
        <v>305016.56595450174</v>
      </c>
      <c r="D46">
        <v>82061.326077760212</v>
      </c>
      <c r="E46">
        <v>158939.32319867943</v>
      </c>
      <c r="F46">
        <v>215596.46513018876</v>
      </c>
      <c r="G46">
        <v>761613.68036113004</v>
      </c>
      <c r="H46">
        <v>345840.81767922512</v>
      </c>
      <c r="I46">
        <v>93302.082207367857</v>
      </c>
      <c r="J46">
        <v>193475.02982024982</v>
      </c>
      <c r="K46">
        <v>256753.88850847608</v>
      </c>
      <c r="L46">
        <v>889371.81821531896</v>
      </c>
    </row>
    <row r="47" spans="1:12" x14ac:dyDescent="0.25">
      <c r="A47" t="s">
        <v>355</v>
      </c>
      <c r="B47" t="s">
        <v>356</v>
      </c>
      <c r="C47">
        <v>103113.01144558682</v>
      </c>
      <c r="D47">
        <v>27168.579126682715</v>
      </c>
      <c r="E47">
        <v>57051.519527593788</v>
      </c>
      <c r="F47">
        <v>78418.343183290577</v>
      </c>
      <c r="G47">
        <v>265751.45328315388</v>
      </c>
      <c r="H47">
        <v>87646.059728748791</v>
      </c>
      <c r="I47">
        <v>23093.292257680307</v>
      </c>
      <c r="J47">
        <v>48493.791598454722</v>
      </c>
      <c r="K47">
        <v>66655.591705796993</v>
      </c>
      <c r="L47">
        <v>225888.73529068084</v>
      </c>
    </row>
    <row r="48" spans="1:12" x14ac:dyDescent="0.25">
      <c r="A48" t="s">
        <v>110</v>
      </c>
      <c r="B48" t="s">
        <v>111</v>
      </c>
      <c r="C48">
        <v>43146.579257373196</v>
      </c>
      <c r="D48">
        <v>0</v>
      </c>
      <c r="E48">
        <v>20639.736310718396</v>
      </c>
      <c r="F48">
        <v>28369.690038557383</v>
      </c>
      <c r="G48">
        <v>92156.005606648978</v>
      </c>
      <c r="H48">
        <v>42240.099869218342</v>
      </c>
      <c r="I48">
        <v>0</v>
      </c>
      <c r="J48">
        <v>20432.224225897604</v>
      </c>
      <c r="K48">
        <v>27114.884157145261</v>
      </c>
      <c r="L48">
        <v>89787.208252261204</v>
      </c>
    </row>
    <row r="49" spans="1:12" x14ac:dyDescent="0.25">
      <c r="A49" t="s">
        <v>112</v>
      </c>
      <c r="B49" t="s">
        <v>113</v>
      </c>
      <c r="C49">
        <v>35256.076009036762</v>
      </c>
      <c r="D49">
        <v>9283.4182705683652</v>
      </c>
      <c r="E49">
        <v>16887.134576443703</v>
      </c>
      <c r="F49">
        <v>23211.171070619268</v>
      </c>
      <c r="G49">
        <v>84637.7999266681</v>
      </c>
      <c r="H49">
        <v>30084.695680454312</v>
      </c>
      <c r="I49">
        <v>7926.8214906895264</v>
      </c>
      <c r="J49">
        <v>14412.922370280125</v>
      </c>
      <c r="K49">
        <v>19810.821903877557</v>
      </c>
      <c r="L49">
        <v>72235.261445301527</v>
      </c>
    </row>
    <row r="50" spans="1:12" x14ac:dyDescent="0.25">
      <c r="A50" t="s">
        <v>357</v>
      </c>
      <c r="B50" t="s">
        <v>358</v>
      </c>
      <c r="C50">
        <v>42580.660204474625</v>
      </c>
      <c r="D50">
        <v>11455.854637636043</v>
      </c>
      <c r="E50">
        <v>23798.571705221217</v>
      </c>
      <c r="F50">
        <v>32282.054758590108</v>
      </c>
      <c r="G50">
        <v>110117.14130592199</v>
      </c>
      <c r="H50">
        <v>38343.88727903588</v>
      </c>
      <c r="I50">
        <v>10322.639332608589</v>
      </c>
      <c r="J50">
        <v>21433.586798212629</v>
      </c>
      <c r="K50">
        <v>29074.649562614773</v>
      </c>
      <c r="L50">
        <v>99174.762972471857</v>
      </c>
    </row>
    <row r="51" spans="1:12" x14ac:dyDescent="0.25">
      <c r="A51" t="s">
        <v>359</v>
      </c>
      <c r="B51" t="s">
        <v>360</v>
      </c>
      <c r="C51">
        <v>95589.237193718509</v>
      </c>
      <c r="D51">
        <v>0</v>
      </c>
      <c r="E51">
        <v>46112.164047515886</v>
      </c>
      <c r="F51">
        <v>62549.779174033887</v>
      </c>
      <c r="G51">
        <v>204251.18041526829</v>
      </c>
      <c r="H51">
        <v>91520.216383306411</v>
      </c>
      <c r="I51">
        <v>0</v>
      </c>
      <c r="J51">
        <v>44269.819156111473</v>
      </c>
      <c r="K51">
        <v>58748.915673814729</v>
      </c>
      <c r="L51">
        <v>194538.95121323259</v>
      </c>
    </row>
    <row r="52" spans="1:12" x14ac:dyDescent="0.25">
      <c r="A52" t="s">
        <v>361</v>
      </c>
      <c r="B52" t="s">
        <v>362</v>
      </c>
      <c r="C52">
        <v>53877.570054641335</v>
      </c>
      <c r="D52">
        <v>14495.163010886417</v>
      </c>
      <c r="E52">
        <v>28730.938372489185</v>
      </c>
      <c r="F52">
        <v>39170.579762045498</v>
      </c>
      <c r="G52">
        <v>136274.25120006243</v>
      </c>
      <c r="H52">
        <v>58960.139400783926</v>
      </c>
      <c r="I52">
        <v>15906.461852146678</v>
      </c>
      <c r="J52">
        <v>33048.207492012567</v>
      </c>
      <c r="K52">
        <v>43857.11060332958</v>
      </c>
      <c r="L52">
        <v>151771.91934827276</v>
      </c>
    </row>
    <row r="53" spans="1:12" x14ac:dyDescent="0.25">
      <c r="A53" t="s">
        <v>363</v>
      </c>
      <c r="B53" t="s">
        <v>364</v>
      </c>
      <c r="C53">
        <v>14772.882111756497</v>
      </c>
      <c r="D53">
        <v>2904.7144877147721</v>
      </c>
      <c r="E53">
        <v>7126.4253527979108</v>
      </c>
      <c r="F53">
        <v>9666.7840541688765</v>
      </c>
      <c r="G53">
        <v>34470.806006438055</v>
      </c>
      <c r="H53">
        <v>31680.074901913747</v>
      </c>
      <c r="I53">
        <v>8546.7556220489623</v>
      </c>
      <c r="J53">
        <v>25109.607306110505</v>
      </c>
      <c r="K53">
        <v>33322.074278806736</v>
      </c>
      <c r="L53">
        <v>98658.51210887995</v>
      </c>
    </row>
    <row r="54" spans="1:12" x14ac:dyDescent="0.25">
      <c r="A54" t="s">
        <v>365</v>
      </c>
      <c r="B54" t="s">
        <v>366</v>
      </c>
      <c r="C54">
        <v>47794.618596859254</v>
      </c>
      <c r="D54">
        <v>12858.612348366985</v>
      </c>
      <c r="E54">
        <v>39734.275357693819</v>
      </c>
      <c r="F54">
        <v>53898.362842025301</v>
      </c>
      <c r="G54">
        <v>154285.86914494535</v>
      </c>
      <c r="H54">
        <v>43039.057149938206</v>
      </c>
      <c r="I54">
        <v>11586.635985581066</v>
      </c>
      <c r="J54">
        <v>35785.678665596846</v>
      </c>
      <c r="K54">
        <v>48543.254862472815</v>
      </c>
      <c r="L54">
        <v>138954.62666358895</v>
      </c>
    </row>
    <row r="55" spans="1:12" x14ac:dyDescent="0.25">
      <c r="A55" t="s">
        <v>367</v>
      </c>
      <c r="B55" t="s">
        <v>368</v>
      </c>
      <c r="C55">
        <v>66128.452082656062</v>
      </c>
      <c r="D55">
        <v>17534.471384136803</v>
      </c>
      <c r="E55">
        <v>50892.080166789652</v>
      </c>
      <c r="F55">
        <v>67060.096023923572</v>
      </c>
      <c r="G55">
        <v>201615.0996575061</v>
      </c>
      <c r="H55">
        <v>68640.162287479776</v>
      </c>
      <c r="I55">
        <v>18517.970514439417</v>
      </c>
      <c r="J55">
        <v>45802.872150110685</v>
      </c>
      <c r="K55">
        <v>60354.086421531218</v>
      </c>
      <c r="L55">
        <v>193315.0913735611</v>
      </c>
    </row>
    <row r="56" spans="1:12" x14ac:dyDescent="0.25">
      <c r="A56" t="s">
        <v>114</v>
      </c>
      <c r="B56" t="s">
        <v>115</v>
      </c>
      <c r="C56">
        <v>0</v>
      </c>
      <c r="D56">
        <v>0</v>
      </c>
      <c r="E56">
        <v>0</v>
      </c>
      <c r="F56">
        <v>0</v>
      </c>
      <c r="G56">
        <v>0</v>
      </c>
      <c r="H56">
        <v>8800.02080608715</v>
      </c>
      <c r="I56">
        <v>0</v>
      </c>
      <c r="J56">
        <v>4256.7133803953338</v>
      </c>
      <c r="K56">
        <v>5648.934199405262</v>
      </c>
      <c r="L56">
        <v>18705.668385887748</v>
      </c>
    </row>
    <row r="57" spans="1:12" x14ac:dyDescent="0.25">
      <c r="A57" t="s">
        <v>271</v>
      </c>
      <c r="B57" t="s">
        <v>272</v>
      </c>
      <c r="C57">
        <v>48448.826999381577</v>
      </c>
      <c r="D57">
        <v>12689.015920017166</v>
      </c>
      <c r="E57">
        <v>24304.467844468891</v>
      </c>
      <c r="F57">
        <v>33514.248866278242</v>
      </c>
      <c r="G57">
        <v>118956.55963014587</v>
      </c>
      <c r="H57">
        <v>41181.502949474343</v>
      </c>
      <c r="I57">
        <v>10785.663532014591</v>
      </c>
      <c r="J57">
        <v>20658.797667798557</v>
      </c>
      <c r="K57">
        <v>28487.111536336506</v>
      </c>
      <c r="L57">
        <v>101113.075685624</v>
      </c>
    </row>
    <row r="58" spans="1:12" x14ac:dyDescent="0.25">
      <c r="A58" t="s">
        <v>369</v>
      </c>
      <c r="B58" t="s">
        <v>370</v>
      </c>
      <c r="C58">
        <v>71257.431362590156</v>
      </c>
      <c r="D58">
        <v>13705.13634403771</v>
      </c>
      <c r="E58">
        <v>34374.522289966379</v>
      </c>
      <c r="F58">
        <v>46628.017202461626</v>
      </c>
      <c r="G58">
        <v>165965.10719905587</v>
      </c>
      <c r="H58">
        <v>100320.23718939352</v>
      </c>
      <c r="I58">
        <v>27064.726136488374</v>
      </c>
      <c r="J58">
        <v>55674.490779134263</v>
      </c>
      <c r="K58">
        <v>73883.653159545269</v>
      </c>
      <c r="L58">
        <v>256943.10726456143</v>
      </c>
    </row>
    <row r="59" spans="1:12" x14ac:dyDescent="0.25">
      <c r="A59" t="s">
        <v>371</v>
      </c>
      <c r="B59" t="s">
        <v>372</v>
      </c>
      <c r="C59">
        <v>80816.355081962014</v>
      </c>
      <c r="D59">
        <v>21742.744516329625</v>
      </c>
      <c r="E59">
        <v>42900.472781680961</v>
      </c>
      <c r="F59">
        <v>58193.21548628022</v>
      </c>
      <c r="G59">
        <v>203652.78786625282</v>
      </c>
      <c r="H59">
        <v>81840.193496610504</v>
      </c>
      <c r="I59">
        <v>22079.118690293148</v>
      </c>
      <c r="J59">
        <v>43711.806599075448</v>
      </c>
      <c r="K59">
        <v>58008.396889614683</v>
      </c>
      <c r="L59">
        <v>205639.51567559381</v>
      </c>
    </row>
    <row r="60" spans="1:12" x14ac:dyDescent="0.25">
      <c r="A60" t="s">
        <v>373</v>
      </c>
      <c r="B60" t="s">
        <v>374</v>
      </c>
      <c r="C60">
        <v>247178.7082880025</v>
      </c>
      <c r="D60">
        <v>0</v>
      </c>
      <c r="E60">
        <v>118241.20123767485</v>
      </c>
      <c r="F60">
        <v>162524.66496665069</v>
      </c>
      <c r="G60">
        <v>527944.57449232799</v>
      </c>
      <c r="H60">
        <v>210320.49726548296</v>
      </c>
      <c r="I60">
        <v>0</v>
      </c>
      <c r="J60">
        <v>101735.4497914485</v>
      </c>
      <c r="K60">
        <v>138145.96522165308</v>
      </c>
      <c r="L60">
        <v>450201.91227858455</v>
      </c>
    </row>
    <row r="61" spans="1:12" x14ac:dyDescent="0.25">
      <c r="A61" t="s">
        <v>273</v>
      </c>
      <c r="B61" t="s">
        <v>274</v>
      </c>
      <c r="C61">
        <v>88637.292670538998</v>
      </c>
      <c r="D61">
        <v>0</v>
      </c>
      <c r="E61">
        <v>0</v>
      </c>
      <c r="F61">
        <v>0</v>
      </c>
      <c r="G61">
        <v>88637.292670538998</v>
      </c>
      <c r="H61">
        <v>113520.26839852426</v>
      </c>
      <c r="I61">
        <v>0</v>
      </c>
      <c r="J61">
        <v>54911.602607099827</v>
      </c>
      <c r="K61">
        <v>72871.251172327888</v>
      </c>
      <c r="L61">
        <v>241303.12217795197</v>
      </c>
    </row>
    <row r="62" spans="1:12" x14ac:dyDescent="0.25">
      <c r="A62" t="s">
        <v>375</v>
      </c>
      <c r="B62" t="s">
        <v>376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 t="s">
        <v>377</v>
      </c>
      <c r="B63" t="s">
        <v>378</v>
      </c>
      <c r="C63">
        <v>592351.34234698792</v>
      </c>
      <c r="D63">
        <v>156074.81625966655</v>
      </c>
      <c r="E63">
        <v>304614.11956312542</v>
      </c>
      <c r="F63">
        <v>418697.60462424892</v>
      </c>
      <c r="G63">
        <v>1471737.8827940291</v>
      </c>
      <c r="H63">
        <v>503283.51660229074</v>
      </c>
      <c r="I63">
        <v>132606.91208868462</v>
      </c>
      <c r="J63">
        <v>258811.37483881315</v>
      </c>
      <c r="K63">
        <v>355740.90541152138</v>
      </c>
      <c r="L63">
        <v>1250442.7089413099</v>
      </c>
    </row>
    <row r="64" spans="1:12" x14ac:dyDescent="0.25">
      <c r="A64" t="s">
        <v>379</v>
      </c>
      <c r="B64" t="s">
        <v>380</v>
      </c>
      <c r="C64">
        <v>425806.60204474605</v>
      </c>
      <c r="D64">
        <v>0</v>
      </c>
      <c r="E64">
        <v>205408.73075711617</v>
      </c>
      <c r="F64">
        <v>278630.83450251451</v>
      </c>
      <c r="G64">
        <v>909846.16730437661</v>
      </c>
      <c r="H64">
        <v>462001.09231957549</v>
      </c>
      <c r="I64">
        <v>0</v>
      </c>
      <c r="J64">
        <v>223477.45247075506</v>
      </c>
      <c r="K64">
        <v>296569.0454687762</v>
      </c>
      <c r="L64">
        <v>982047.59025910683</v>
      </c>
    </row>
    <row r="65" spans="1:12" x14ac:dyDescent="0.25">
      <c r="A65" t="s">
        <v>381</v>
      </c>
      <c r="B65" t="s">
        <v>382</v>
      </c>
      <c r="C65">
        <v>769927.855942133</v>
      </c>
      <c r="D65">
        <v>0</v>
      </c>
      <c r="E65">
        <v>412284.66673392605</v>
      </c>
      <c r="F65">
        <v>559251.8892514758</v>
      </c>
      <c r="G65">
        <v>1741464.4119275347</v>
      </c>
      <c r="H65">
        <v>733921.73522766866</v>
      </c>
      <c r="I65">
        <v>0</v>
      </c>
      <c r="J65">
        <v>385445.39659479755</v>
      </c>
      <c r="K65">
        <v>511510.99175614642</v>
      </c>
      <c r="L65">
        <v>1630878.1235786127</v>
      </c>
    </row>
    <row r="66" spans="1:12" x14ac:dyDescent="0.25">
      <c r="A66" t="s">
        <v>116</v>
      </c>
      <c r="B66" t="s">
        <v>117</v>
      </c>
      <c r="C66">
        <v>18248.854373346257</v>
      </c>
      <c r="D66">
        <v>0</v>
      </c>
      <c r="E66">
        <v>8803.2313181621212</v>
      </c>
      <c r="F66">
        <v>11941.321478679196</v>
      </c>
      <c r="G66">
        <v>38993.407170187573</v>
      </c>
      <c r="H66">
        <v>15520.144851038323</v>
      </c>
      <c r="I66">
        <v>0</v>
      </c>
      <c r="J66">
        <v>7487.9423281150212</v>
      </c>
      <c r="K66">
        <v>10157.389949925189</v>
      </c>
      <c r="L66">
        <v>33165.477129078528</v>
      </c>
    </row>
    <row r="67" spans="1:12" x14ac:dyDescent="0.25">
      <c r="A67" t="s">
        <v>118</v>
      </c>
      <c r="B67" t="s">
        <v>119</v>
      </c>
      <c r="C67">
        <v>139677.90912132675</v>
      </c>
      <c r="D67">
        <v>0</v>
      </c>
      <c r="E67">
        <v>66816.773480461226</v>
      </c>
      <c r="F67">
        <v>91840.860972278955</v>
      </c>
      <c r="G67">
        <v>298335.54357406695</v>
      </c>
      <c r="H67">
        <v>161040.38075139487</v>
      </c>
      <c r="I67">
        <v>0</v>
      </c>
      <c r="J67">
        <v>77897.85486123462</v>
      </c>
      <c r="K67">
        <v>103375.4958491163</v>
      </c>
      <c r="L67">
        <v>342313.7314617458</v>
      </c>
    </row>
    <row r="68" spans="1:12" x14ac:dyDescent="0.25">
      <c r="A68" t="s">
        <v>120</v>
      </c>
      <c r="B68" t="s">
        <v>121</v>
      </c>
      <c r="C68">
        <v>2048216.655141768</v>
      </c>
      <c r="D68">
        <v>0</v>
      </c>
      <c r="E68">
        <v>1357164.8282166605</v>
      </c>
      <c r="F68">
        <v>1840953.7279630427</v>
      </c>
      <c r="G68">
        <v>5246335.2113214713</v>
      </c>
      <c r="H68">
        <v>2019604.774997001</v>
      </c>
      <c r="I68">
        <v>0</v>
      </c>
      <c r="J68">
        <v>1325327.7109860876</v>
      </c>
      <c r="K68">
        <v>1758795.662984828</v>
      </c>
      <c r="L68">
        <v>5103728.1489679161</v>
      </c>
    </row>
    <row r="69" spans="1:12" x14ac:dyDescent="0.25">
      <c r="A69" t="s">
        <v>383</v>
      </c>
      <c r="B69" t="s">
        <v>384</v>
      </c>
      <c r="C69">
        <v>386701.91410186124</v>
      </c>
      <c r="D69">
        <v>0</v>
      </c>
      <c r="E69">
        <v>186544.66364676872</v>
      </c>
      <c r="F69">
        <v>253042.28847677345</v>
      </c>
      <c r="G69">
        <v>826288.86622540338</v>
      </c>
      <c r="H69">
        <v>381920.90298418235</v>
      </c>
      <c r="I69">
        <v>0</v>
      </c>
      <c r="J69">
        <v>184741.36070915751</v>
      </c>
      <c r="K69">
        <v>245163.74425418835</v>
      </c>
      <c r="L69">
        <v>811826.00794752827</v>
      </c>
    </row>
    <row r="70" spans="1:12" x14ac:dyDescent="0.25">
      <c r="A70" t="s">
        <v>385</v>
      </c>
      <c r="B70" t="s">
        <v>386</v>
      </c>
      <c r="C70">
        <v>253975.4775030223</v>
      </c>
      <c r="D70">
        <v>66918.352592379961</v>
      </c>
      <c r="E70">
        <v>143880.5607569252</v>
      </c>
      <c r="F70">
        <v>197766.42733211923</v>
      </c>
      <c r="G70">
        <v>662540.81818444666</v>
      </c>
      <c r="H70">
        <v>233200.55136130951</v>
      </c>
      <c r="I70">
        <v>62913.617773415957</v>
      </c>
      <c r="J70">
        <v>129492.50468123269</v>
      </c>
      <c r="K70">
        <v>177989.78459890731</v>
      </c>
      <c r="L70">
        <v>603596.45841486542</v>
      </c>
    </row>
    <row r="71" spans="1:12" x14ac:dyDescent="0.25">
      <c r="A71" t="s">
        <v>387</v>
      </c>
      <c r="B71" t="s">
        <v>388</v>
      </c>
      <c r="C71">
        <v>19117.847438743713</v>
      </c>
      <c r="D71">
        <v>5143.4449393467949</v>
      </c>
      <c r="E71">
        <v>12391.281682923032</v>
      </c>
      <c r="F71">
        <v>16808.405091364191</v>
      </c>
      <c r="G71">
        <v>53460.979152377731</v>
      </c>
      <c r="H71">
        <v>16259.19936775444</v>
      </c>
      <c r="I71">
        <v>4377.173594552849</v>
      </c>
      <c r="J71">
        <v>10539.902822015907</v>
      </c>
      <c r="K71">
        <v>14297.372803682199</v>
      </c>
      <c r="L71">
        <v>45473.648588005395</v>
      </c>
    </row>
    <row r="72" spans="1:12" x14ac:dyDescent="0.25">
      <c r="A72" t="s">
        <v>389</v>
      </c>
      <c r="B72" t="s">
        <v>390</v>
      </c>
      <c r="C72">
        <v>60829.514577820883</v>
      </c>
      <c r="D72">
        <v>16365.506625194343</v>
      </c>
      <c r="E72">
        <v>31317.851735629403</v>
      </c>
      <c r="F72">
        <v>42481.734499603961</v>
      </c>
      <c r="G72">
        <v>150994.60743824858</v>
      </c>
      <c r="H72">
        <v>51733.81617012775</v>
      </c>
      <c r="I72">
        <v>13927.370528122694</v>
      </c>
      <c r="J72">
        <v>26638.657915649157</v>
      </c>
      <c r="K72">
        <v>36135.325879309225</v>
      </c>
      <c r="L72">
        <v>128435.17049320882</v>
      </c>
    </row>
    <row r="73" spans="1:12" x14ac:dyDescent="0.25">
      <c r="A73" t="s">
        <v>122</v>
      </c>
      <c r="B73" t="s">
        <v>123</v>
      </c>
      <c r="C73">
        <v>252876.98203065534</v>
      </c>
      <c r="D73">
        <v>0</v>
      </c>
      <c r="E73">
        <v>121987.63398024654</v>
      </c>
      <c r="F73">
        <v>165472.59763312602</v>
      </c>
      <c r="G73">
        <v>540337.21364402794</v>
      </c>
      <c r="H73">
        <v>234960.55552252699</v>
      </c>
      <c r="I73">
        <v>0</v>
      </c>
      <c r="J73">
        <v>113654.24725655541</v>
      </c>
      <c r="K73">
        <v>150826.54312412048</v>
      </c>
      <c r="L73">
        <v>499441.34590320289</v>
      </c>
    </row>
    <row r="74" spans="1:12" x14ac:dyDescent="0.25">
      <c r="A74" t="s">
        <v>391</v>
      </c>
      <c r="B74" t="s">
        <v>392</v>
      </c>
      <c r="C74">
        <v>373667.01812089974</v>
      </c>
      <c r="D74">
        <v>89598.505630549393</v>
      </c>
      <c r="E74">
        <v>180256.64127665295</v>
      </c>
      <c r="F74">
        <v>244512.77313485972</v>
      </c>
      <c r="G74">
        <v>888034.93816296186</v>
      </c>
      <c r="H74">
        <v>437361.03406253143</v>
      </c>
      <c r="I74">
        <v>117992.70955995373</v>
      </c>
      <c r="J74">
        <v>226231.22677436733</v>
      </c>
      <c r="K74">
        <v>300223.48222572665</v>
      </c>
      <c r="L74">
        <v>1081808.4526225792</v>
      </c>
    </row>
    <row r="75" spans="1:12" x14ac:dyDescent="0.25">
      <c r="A75" t="s">
        <v>393</v>
      </c>
      <c r="B75" t="s">
        <v>394</v>
      </c>
      <c r="C75">
        <v>23296.575491200263</v>
      </c>
      <c r="D75">
        <v>5916.8666470503276</v>
      </c>
      <c r="E75">
        <v>15667.910951663496</v>
      </c>
      <c r="F75">
        <v>20645.483726925377</v>
      </c>
      <c r="G75">
        <v>65526.836816839466</v>
      </c>
      <c r="H75">
        <v>19802.089167520222</v>
      </c>
      <c r="I75">
        <v>5029.3366499927788</v>
      </c>
      <c r="J75">
        <v>13317.724308913972</v>
      </c>
      <c r="K75">
        <v>17548.66116788657</v>
      </c>
      <c r="L75">
        <v>55697.811294313549</v>
      </c>
    </row>
    <row r="76" spans="1:12" x14ac:dyDescent="0.25">
      <c r="A76" t="s">
        <v>124</v>
      </c>
      <c r="B76" t="s">
        <v>125</v>
      </c>
      <c r="C76">
        <v>2124688.0448967423</v>
      </c>
      <c r="D76">
        <v>0</v>
      </c>
      <c r="E76">
        <v>1430944.2906926852</v>
      </c>
      <c r="F76">
        <v>1941033.3746414965</v>
      </c>
      <c r="G76">
        <v>5496665.7102309242</v>
      </c>
      <c r="H76">
        <v>1994964.716739957</v>
      </c>
      <c r="I76">
        <v>0</v>
      </c>
      <c r="J76">
        <v>1301490.1160558732</v>
      </c>
      <c r="K76">
        <v>1727161.6314681587</v>
      </c>
      <c r="L76">
        <v>5023616.4642639887</v>
      </c>
    </row>
    <row r="77" spans="1:12" x14ac:dyDescent="0.25">
      <c r="A77" t="s">
        <v>275</v>
      </c>
      <c r="B77" t="s">
        <v>276</v>
      </c>
      <c r="C77">
        <v>2298486.6579762315</v>
      </c>
      <c r="D77">
        <v>0</v>
      </c>
      <c r="E77">
        <v>1598624.8872291071</v>
      </c>
      <c r="F77">
        <v>2168487.1170925293</v>
      </c>
      <c r="G77">
        <v>6065598.6622978682</v>
      </c>
      <c r="H77">
        <v>2360165.5801925734</v>
      </c>
      <c r="I77">
        <v>0</v>
      </c>
      <c r="J77">
        <v>1654797.3266286859</v>
      </c>
      <c r="K77">
        <v>2196023.1700187959</v>
      </c>
      <c r="L77">
        <v>6210986.0768400552</v>
      </c>
    </row>
    <row r="78" spans="1:12" x14ac:dyDescent="0.25">
      <c r="A78" t="s">
        <v>395</v>
      </c>
      <c r="B78" t="s">
        <v>396</v>
      </c>
      <c r="C78">
        <v>15641.875177153936</v>
      </c>
      <c r="D78">
        <v>4208.2731321928313</v>
      </c>
      <c r="E78">
        <v>12363.981185799445</v>
      </c>
      <c r="F78">
        <v>16771.372778921381</v>
      </c>
      <c r="G78">
        <v>48985.502274067592</v>
      </c>
      <c r="H78">
        <v>16720.039531565581</v>
      </c>
      <c r="I78">
        <v>4510.7876894147294</v>
      </c>
      <c r="J78">
        <v>14154.849003828609</v>
      </c>
      <c r="K78">
        <v>18784.400893282324</v>
      </c>
      <c r="L78">
        <v>54170.077118091242</v>
      </c>
    </row>
    <row r="79" spans="1:12" x14ac:dyDescent="0.25">
      <c r="A79" t="s">
        <v>397</v>
      </c>
      <c r="B79" t="s">
        <v>398</v>
      </c>
      <c r="C79">
        <v>3686268.5834159455</v>
      </c>
      <c r="D79">
        <v>991749.70148677728</v>
      </c>
      <c r="E79">
        <v>2937554.4505724316</v>
      </c>
      <c r="F79">
        <v>3984705.2505640211</v>
      </c>
      <c r="G79">
        <v>11600277.986039177</v>
      </c>
      <c r="H79">
        <v>3672248.6823801687</v>
      </c>
      <c r="I79">
        <v>990711.42252250912</v>
      </c>
      <c r="J79">
        <v>2924149.2566625746</v>
      </c>
      <c r="K79">
        <v>3880535.348281445</v>
      </c>
      <c r="L79">
        <v>11467644.709846698</v>
      </c>
    </row>
    <row r="80" spans="1:12" x14ac:dyDescent="0.25">
      <c r="A80" t="s">
        <v>126</v>
      </c>
      <c r="B80" t="s">
        <v>127</v>
      </c>
      <c r="C80">
        <v>682159.55633699137</v>
      </c>
      <c r="D80">
        <v>157618.98088599634</v>
      </c>
      <c r="E80">
        <v>348775.64079575642</v>
      </c>
      <c r="F80">
        <v>473103.78429814702</v>
      </c>
      <c r="G80">
        <v>1661657.9623168912</v>
      </c>
      <c r="H80">
        <v>579769.14528175374</v>
      </c>
      <c r="I80">
        <v>133886.38253303117</v>
      </c>
      <c r="J80">
        <v>296466.4063400841</v>
      </c>
      <c r="K80">
        <v>402156.52902968629</v>
      </c>
      <c r="L80">
        <v>1412278.4631845553</v>
      </c>
    </row>
    <row r="81" spans="1:12" x14ac:dyDescent="0.25">
      <c r="A81" t="s">
        <v>128</v>
      </c>
      <c r="B81" t="s">
        <v>129</v>
      </c>
      <c r="C81">
        <v>345859.24002818146</v>
      </c>
      <c r="D81">
        <v>0</v>
      </c>
      <c r="E81">
        <v>166842.19355373929</v>
      </c>
      <c r="F81">
        <v>226316.4737387771</v>
      </c>
      <c r="G81">
        <v>739017.90732069779</v>
      </c>
      <c r="H81">
        <v>417120.98620853096</v>
      </c>
      <c r="I81">
        <v>0</v>
      </c>
      <c r="J81">
        <v>201768.21423073875</v>
      </c>
      <c r="K81">
        <v>267759.48105180945</v>
      </c>
      <c r="L81">
        <v>886648.68149107904</v>
      </c>
    </row>
    <row r="82" spans="1:12" x14ac:dyDescent="0.25">
      <c r="A82" t="s">
        <v>399</v>
      </c>
      <c r="B82" t="s">
        <v>400</v>
      </c>
      <c r="C82">
        <v>106886.14704388524</v>
      </c>
      <c r="D82">
        <v>26632.893843933394</v>
      </c>
      <c r="E82">
        <v>51561.783434949568</v>
      </c>
      <c r="F82">
        <v>69942.02580369245</v>
      </c>
      <c r="G82">
        <v>255022.85012646066</v>
      </c>
      <c r="H82">
        <v>90903.705556081622</v>
      </c>
      <c r="I82">
        <v>22637.959767343385</v>
      </c>
      <c r="J82">
        <v>43857.947921816565</v>
      </c>
      <c r="K82">
        <v>59493.28399241899</v>
      </c>
      <c r="L82">
        <v>216892.89723766057</v>
      </c>
    </row>
    <row r="83" spans="1:12" x14ac:dyDescent="0.25">
      <c r="A83" t="s">
        <v>401</v>
      </c>
      <c r="B83" t="s">
        <v>402</v>
      </c>
      <c r="C83">
        <v>1227018.2083411864</v>
      </c>
      <c r="D83">
        <v>330115.64792534889</v>
      </c>
      <c r="E83">
        <v>743034.64340201719</v>
      </c>
      <c r="F83">
        <v>1007904.396236137</v>
      </c>
      <c r="G83">
        <v>3308072.8959046896</v>
      </c>
      <c r="H83">
        <v>1393923.2956842049</v>
      </c>
      <c r="I83">
        <v>376057.24737015431</v>
      </c>
      <c r="J83">
        <v>864325.65188927273</v>
      </c>
      <c r="K83">
        <v>1147016.0891892386</v>
      </c>
      <c r="L83">
        <v>3781322.2841328708</v>
      </c>
    </row>
    <row r="84" spans="1:12" x14ac:dyDescent="0.25">
      <c r="A84" t="s">
        <v>130</v>
      </c>
      <c r="B84" t="s">
        <v>131</v>
      </c>
      <c r="C84">
        <v>36564.897675740009</v>
      </c>
      <c r="D84">
        <v>0</v>
      </c>
      <c r="E84">
        <v>0</v>
      </c>
      <c r="F84">
        <v>0</v>
      </c>
      <c r="G84">
        <v>36564.897675740009</v>
      </c>
      <c r="H84">
        <v>31080.163024379006</v>
      </c>
      <c r="I84">
        <v>0</v>
      </c>
      <c r="J84">
        <v>0</v>
      </c>
      <c r="K84">
        <v>0</v>
      </c>
      <c r="L84">
        <v>31080.163024379006</v>
      </c>
    </row>
    <row r="85" spans="1:12" x14ac:dyDescent="0.25">
      <c r="A85" t="s">
        <v>403</v>
      </c>
      <c r="B85" t="s">
        <v>404</v>
      </c>
      <c r="C85">
        <v>28676.771158115545</v>
      </c>
      <c r="D85">
        <v>7715.1674090201896</v>
      </c>
      <c r="E85">
        <v>19112.950400887334</v>
      </c>
      <c r="F85">
        <v>26271.095252021722</v>
      </c>
      <c r="G85">
        <v>81775.984220044789</v>
      </c>
      <c r="H85">
        <v>25823.43428996293</v>
      </c>
      <c r="I85">
        <v>6951.98159134864</v>
      </c>
      <c r="J85">
        <v>17201.655360798602</v>
      </c>
      <c r="K85">
        <v>23643.985726819548</v>
      </c>
      <c r="L85">
        <v>73621.056968929726</v>
      </c>
    </row>
    <row r="86" spans="1:12" x14ac:dyDescent="0.25">
      <c r="A86" t="s">
        <v>132</v>
      </c>
      <c r="B86" t="s">
        <v>133</v>
      </c>
      <c r="C86">
        <v>10470.618216733825</v>
      </c>
      <c r="D86">
        <v>2742.3128581885594</v>
      </c>
      <c r="E86">
        <v>7149.1800423581171</v>
      </c>
      <c r="F86">
        <v>9858.245021560786</v>
      </c>
      <c r="G86">
        <v>30220.356138841289</v>
      </c>
      <c r="H86">
        <v>9423.5563950604428</v>
      </c>
      <c r="I86">
        <v>2468.0815723697037</v>
      </c>
      <c r="J86">
        <v>6434.262038122306</v>
      </c>
      <c r="K86">
        <v>8872.4205194047081</v>
      </c>
      <c r="L86">
        <v>27198.320524957162</v>
      </c>
    </row>
    <row r="87" spans="1:12" x14ac:dyDescent="0.25">
      <c r="A87" t="s">
        <v>405</v>
      </c>
      <c r="B87" t="s">
        <v>406</v>
      </c>
      <c r="C87">
        <v>170349.40564227104</v>
      </c>
      <c r="D87">
        <v>44884.260885132906</v>
      </c>
      <c r="E87">
        <v>101972.00712497588</v>
      </c>
      <c r="F87">
        <v>140612.63328413441</v>
      </c>
      <c r="G87">
        <v>457818.30693651421</v>
      </c>
      <c r="H87">
        <v>153314.46507804396</v>
      </c>
      <c r="I87">
        <v>40395.834796619616</v>
      </c>
      <c r="J87">
        <v>91774.806412478298</v>
      </c>
      <c r="K87">
        <v>126551.36995572098</v>
      </c>
      <c r="L87">
        <v>412036.47624286287</v>
      </c>
    </row>
    <row r="88" spans="1:12" x14ac:dyDescent="0.25">
      <c r="A88" t="s">
        <v>407</v>
      </c>
      <c r="B88" t="s">
        <v>408</v>
      </c>
      <c r="C88">
        <v>99065.209455308272</v>
      </c>
      <c r="D88">
        <v>26652.396503887925</v>
      </c>
      <c r="E88">
        <v>50713.654977668346</v>
      </c>
      <c r="F88">
        <v>68791.564774375103</v>
      </c>
      <c r="G88">
        <v>245222.82571123965</v>
      </c>
      <c r="H88">
        <v>138160.32665556818</v>
      </c>
      <c r="I88">
        <v>37273.350907269072</v>
      </c>
      <c r="J88">
        <v>86457.147708699078</v>
      </c>
      <c r="K88">
        <v>114734.23151392544</v>
      </c>
      <c r="L88">
        <v>376625.05678546178</v>
      </c>
    </row>
    <row r="89" spans="1:12" x14ac:dyDescent="0.25">
      <c r="A89" t="s">
        <v>409</v>
      </c>
      <c r="B89" t="s">
        <v>410</v>
      </c>
      <c r="C89">
        <v>713443.30669129919</v>
      </c>
      <c r="D89">
        <v>191944.01341835075</v>
      </c>
      <c r="E89">
        <v>419382.62830546184</v>
      </c>
      <c r="F89">
        <v>568880.06303286355</v>
      </c>
      <c r="G89">
        <v>1893650.0114479754</v>
      </c>
      <c r="H89">
        <v>728641.72274401644</v>
      </c>
      <c r="I89">
        <v>196575.37930712613</v>
      </c>
      <c r="J89">
        <v>434487.16171886737</v>
      </c>
      <c r="K89">
        <v>576592.58862486249</v>
      </c>
      <c r="L89">
        <v>1936296.8523948723</v>
      </c>
    </row>
    <row r="90" spans="1:12" x14ac:dyDescent="0.25">
      <c r="A90" t="s">
        <v>411</v>
      </c>
      <c r="B90" t="s">
        <v>412</v>
      </c>
      <c r="C90">
        <v>287271.04315128434</v>
      </c>
      <c r="D90">
        <v>75691.185401746814</v>
      </c>
      <c r="E90">
        <v>177384.56009816015</v>
      </c>
      <c r="F90">
        <v>243818.27906383268</v>
      </c>
      <c r="G90">
        <v>784165.06771502399</v>
      </c>
      <c r="H90">
        <v>258543.9388361559</v>
      </c>
      <c r="I90">
        <v>68122.066861572137</v>
      </c>
      <c r="J90">
        <v>159646.10408834415</v>
      </c>
      <c r="K90">
        <v>219436.45115744942</v>
      </c>
      <c r="L90">
        <v>705748.56094352156</v>
      </c>
    </row>
    <row r="91" spans="1:12" x14ac:dyDescent="0.25">
      <c r="A91" t="s">
        <v>134</v>
      </c>
      <c r="B91" t="s">
        <v>135</v>
      </c>
      <c r="C91">
        <v>158691.65591271158</v>
      </c>
      <c r="D91">
        <v>0</v>
      </c>
      <c r="E91">
        <v>76294.671424071668</v>
      </c>
      <c r="F91">
        <v>104342.75827740594</v>
      </c>
      <c r="G91">
        <v>339329.08561418916</v>
      </c>
      <c r="H91">
        <v>166320.3932350472</v>
      </c>
      <c r="I91">
        <v>0</v>
      </c>
      <c r="J91">
        <v>80451.882889471832</v>
      </c>
      <c r="K91">
        <v>106764.85636875946</v>
      </c>
      <c r="L91">
        <v>353537.13249327848</v>
      </c>
    </row>
    <row r="92" spans="1:12" x14ac:dyDescent="0.25">
      <c r="A92" t="s">
        <v>413</v>
      </c>
      <c r="B92" t="s">
        <v>414</v>
      </c>
      <c r="C92">
        <v>30414.757288910441</v>
      </c>
      <c r="D92">
        <v>0</v>
      </c>
      <c r="E92">
        <v>14672.052196936864</v>
      </c>
      <c r="F92">
        <v>19902.202464465328</v>
      </c>
      <c r="G92">
        <v>64989.011950312633</v>
      </c>
      <c r="H92">
        <v>30800.072821305028</v>
      </c>
      <c r="I92">
        <v>0</v>
      </c>
      <c r="J92">
        <v>14898.496831383667</v>
      </c>
      <c r="K92">
        <v>19771.269697918415</v>
      </c>
      <c r="L92">
        <v>65469.839350607115</v>
      </c>
    </row>
    <row r="93" spans="1:12" x14ac:dyDescent="0.25">
      <c r="A93" t="s">
        <v>415</v>
      </c>
      <c r="B93" t="s">
        <v>416</v>
      </c>
      <c r="C93">
        <v>33295.565648262062</v>
      </c>
      <c r="D93">
        <v>8772.8328093668861</v>
      </c>
      <c r="E93">
        <v>20238.793484930913</v>
      </c>
      <c r="F93">
        <v>27818.586888810871</v>
      </c>
      <c r="G93">
        <v>90125.778831370728</v>
      </c>
      <c r="H93">
        <v>29731.89963747151</v>
      </c>
      <c r="I93">
        <v>7834.5259868782123</v>
      </c>
      <c r="J93">
        <v>18072.610119746903</v>
      </c>
      <c r="K93">
        <v>24841.128760867832</v>
      </c>
      <c r="L93">
        <v>80480.164504964458</v>
      </c>
    </row>
    <row r="94" spans="1:12" x14ac:dyDescent="0.25">
      <c r="A94" t="s">
        <v>136</v>
      </c>
      <c r="B94" t="s">
        <v>137</v>
      </c>
      <c r="C94">
        <v>11700.767256236799</v>
      </c>
      <c r="D94">
        <v>0</v>
      </c>
      <c r="E94">
        <v>5597.2166266354961</v>
      </c>
      <c r="F94">
        <v>7693.4752646935249</v>
      </c>
      <c r="G94">
        <v>24991.459147565816</v>
      </c>
      <c r="H94">
        <v>11440.027047913301</v>
      </c>
      <c r="I94">
        <v>0</v>
      </c>
      <c r="J94">
        <v>5533.7273945139341</v>
      </c>
      <c r="K94">
        <v>7343.6144592268411</v>
      </c>
      <c r="L94">
        <v>24317.368901654074</v>
      </c>
    </row>
    <row r="95" spans="1:12" x14ac:dyDescent="0.25">
      <c r="A95" t="s">
        <v>138</v>
      </c>
      <c r="B95" t="s">
        <v>139</v>
      </c>
      <c r="C95">
        <v>41444.177312723994</v>
      </c>
      <c r="D95">
        <v>0</v>
      </c>
      <c r="E95">
        <v>20145.782479523343</v>
      </c>
      <c r="F95">
        <v>27779.697623715147</v>
      </c>
      <c r="G95">
        <v>89369.657415962487</v>
      </c>
      <c r="H95">
        <v>44880.106111044486</v>
      </c>
      <c r="I95">
        <v>0</v>
      </c>
      <c r="J95">
        <v>21709.23824001621</v>
      </c>
      <c r="K95">
        <v>28809.564416966841</v>
      </c>
      <c r="L95">
        <v>95398.908768027526</v>
      </c>
    </row>
    <row r="96" spans="1:12" x14ac:dyDescent="0.25">
      <c r="A96" t="s">
        <v>417</v>
      </c>
      <c r="B96" t="s">
        <v>418</v>
      </c>
      <c r="C96">
        <v>21724.826634936035</v>
      </c>
      <c r="D96">
        <v>5844.8237947122652</v>
      </c>
      <c r="E96">
        <v>11700.313370201611</v>
      </c>
      <c r="F96">
        <v>15846.282597067166</v>
      </c>
      <c r="G96">
        <v>55116.246396917079</v>
      </c>
      <c r="H96">
        <v>22000.052015217883</v>
      </c>
      <c r="I96">
        <v>5935.2469597562231</v>
      </c>
      <c r="J96">
        <v>11410.865140991258</v>
      </c>
      <c r="K96">
        <v>15142.956684990701</v>
      </c>
      <c r="L96">
        <v>54489.120800956065</v>
      </c>
    </row>
    <row r="97" spans="1:12" x14ac:dyDescent="0.25">
      <c r="A97" t="s">
        <v>419</v>
      </c>
      <c r="B97" t="s">
        <v>420</v>
      </c>
      <c r="C97">
        <v>171855.01907597794</v>
      </c>
      <c r="D97">
        <v>45280.96521113786</v>
      </c>
      <c r="E97">
        <v>91870.194962113019</v>
      </c>
      <c r="F97">
        <v>126277.24093081043</v>
      </c>
      <c r="G97">
        <v>435283.42018003925</v>
      </c>
      <c r="H97">
        <v>146076.76621458124</v>
      </c>
      <c r="I97">
        <v>38488.820429467181</v>
      </c>
      <c r="J97">
        <v>78089.665717796059</v>
      </c>
      <c r="K97">
        <v>107335.65479118886</v>
      </c>
      <c r="L97">
        <v>369990.9071530333</v>
      </c>
    </row>
    <row r="98" spans="1:12" x14ac:dyDescent="0.25">
      <c r="A98" t="s">
        <v>57</v>
      </c>
      <c r="B98" t="s">
        <v>17</v>
      </c>
      <c r="C98">
        <v>2880022.5196760688</v>
      </c>
      <c r="D98">
        <v>774838.13496767276</v>
      </c>
      <c r="E98">
        <v>2177077.1852041204</v>
      </c>
      <c r="F98">
        <v>2953140.4563668706</v>
      </c>
      <c r="G98">
        <v>8785078.2962147333</v>
      </c>
      <c r="H98">
        <v>2991492.4789871057</v>
      </c>
      <c r="I98">
        <v>807054.75735967164</v>
      </c>
      <c r="J98">
        <v>2277993.1113465126</v>
      </c>
      <c r="K98">
        <v>3023044.3167634201</v>
      </c>
      <c r="L98">
        <v>9099584.6644567102</v>
      </c>
    </row>
    <row r="99" spans="1:12" x14ac:dyDescent="0.25">
      <c r="A99" t="s">
        <v>140</v>
      </c>
      <c r="B99" t="s">
        <v>141</v>
      </c>
      <c r="C99">
        <v>92113.264932128732</v>
      </c>
      <c r="D99">
        <v>0</v>
      </c>
      <c r="E99">
        <v>0</v>
      </c>
      <c r="F99">
        <v>0</v>
      </c>
      <c r="G99">
        <v>92113.264932128732</v>
      </c>
      <c r="H99">
        <v>102080.24135061096</v>
      </c>
      <c r="I99">
        <v>0</v>
      </c>
      <c r="J99">
        <v>49377.875212585881</v>
      </c>
      <c r="K99">
        <v>65527.636713101034</v>
      </c>
      <c r="L99">
        <v>216985.75327629788</v>
      </c>
    </row>
    <row r="100" spans="1:12" x14ac:dyDescent="0.25">
      <c r="A100" t="s">
        <v>421</v>
      </c>
      <c r="B100" t="s">
        <v>422</v>
      </c>
      <c r="C100">
        <v>122528.02222103919</v>
      </c>
      <c r="D100">
        <v>32964.806202177162</v>
      </c>
      <c r="E100">
        <v>68953.447227110679</v>
      </c>
      <c r="F100">
        <v>93533.300516971052</v>
      </c>
      <c r="G100">
        <v>317979.57616729807</v>
      </c>
      <c r="H100">
        <v>110336.49196620524</v>
      </c>
      <c r="I100">
        <v>29703.921344853276</v>
      </c>
      <c r="J100">
        <v>62101.193066725355</v>
      </c>
      <c r="K100">
        <v>84240.236729108321</v>
      </c>
      <c r="L100">
        <v>286381.84310689219</v>
      </c>
    </row>
    <row r="101" spans="1:12" x14ac:dyDescent="0.25">
      <c r="A101" t="s">
        <v>423</v>
      </c>
      <c r="B101" t="s">
        <v>424</v>
      </c>
      <c r="C101">
        <v>387157.74009607045</v>
      </c>
      <c r="D101">
        <v>102009.6838298475</v>
      </c>
      <c r="E101">
        <v>272862.65607709519</v>
      </c>
      <c r="F101">
        <v>375054.64505303261</v>
      </c>
      <c r="G101">
        <v>1137084.7250560457</v>
      </c>
      <c r="H101">
        <v>376640.89050053013</v>
      </c>
      <c r="I101">
        <v>101611.42795102655</v>
      </c>
      <c r="J101">
        <v>245576.39046938569</v>
      </c>
      <c r="K101">
        <v>337549.18054772937</v>
      </c>
      <c r="L101">
        <v>1061377.8894686718</v>
      </c>
    </row>
    <row r="102" spans="1:12" x14ac:dyDescent="0.25">
      <c r="A102" t="s">
        <v>1418</v>
      </c>
      <c r="B102" t="s">
        <v>1433</v>
      </c>
      <c r="C102">
        <v>63810.010122208274</v>
      </c>
      <c r="D102">
        <v>0</v>
      </c>
      <c r="E102">
        <v>42523.373101875077</v>
      </c>
      <c r="F102">
        <v>57681.690985409907</v>
      </c>
      <c r="G102">
        <v>164015.07420949324</v>
      </c>
      <c r="H102">
        <v>64974.97807618761</v>
      </c>
      <c r="I102">
        <v>0</v>
      </c>
      <c r="J102">
        <v>42673.790348357194</v>
      </c>
      <c r="K102">
        <v>56630.88213251908</v>
      </c>
      <c r="L102">
        <v>164279.65055706387</v>
      </c>
    </row>
    <row r="103" spans="1:12" x14ac:dyDescent="0.25">
      <c r="A103" t="s">
        <v>74</v>
      </c>
      <c r="B103" t="s">
        <v>41</v>
      </c>
      <c r="C103">
        <v>97883.74754687211</v>
      </c>
      <c r="D103">
        <v>26334.537273477814</v>
      </c>
      <c r="E103">
        <v>57186.08879064981</v>
      </c>
      <c r="F103">
        <v>77571.228754217096</v>
      </c>
      <c r="G103">
        <v>258975.60236521682</v>
      </c>
      <c r="H103">
        <v>99285.491104485089</v>
      </c>
      <c r="I103">
        <v>26785.568907663452</v>
      </c>
      <c r="J103">
        <v>57851.150625883281</v>
      </c>
      <c r="K103">
        <v>76772.221674729401</v>
      </c>
      <c r="L103">
        <v>260694.43231276123</v>
      </c>
    </row>
    <row r="104" spans="1:12" x14ac:dyDescent="0.25">
      <c r="A104" t="s">
        <v>75</v>
      </c>
      <c r="B104" t="s">
        <v>45</v>
      </c>
      <c r="C104">
        <v>52353.308359394985</v>
      </c>
      <c r="D104">
        <v>14085.077297639906</v>
      </c>
      <c r="E104">
        <v>30586.088246069608</v>
      </c>
      <c r="F104">
        <v>41489.119088355408</v>
      </c>
      <c r="G104">
        <v>138513.59299145988</v>
      </c>
      <c r="H104">
        <v>66620.134723788651</v>
      </c>
      <c r="I104">
        <v>17973.000782198407</v>
      </c>
      <c r="J104">
        <v>38817.871632086164</v>
      </c>
      <c r="K104">
        <v>51513.828396463417</v>
      </c>
      <c r="L104">
        <v>174924.83553453663</v>
      </c>
    </row>
    <row r="105" spans="1:12" x14ac:dyDescent="0.25">
      <c r="A105" t="s">
        <v>79</v>
      </c>
      <c r="B105" t="s">
        <v>1395</v>
      </c>
      <c r="C105">
        <v>43210.804977040636</v>
      </c>
      <c r="D105">
        <v>0</v>
      </c>
      <c r="E105">
        <v>34774.986756522994</v>
      </c>
      <c r="F105">
        <v>47171.235341700361</v>
      </c>
      <c r="G105">
        <v>125157.02707526399</v>
      </c>
      <c r="H105">
        <v>50234.501011192318</v>
      </c>
      <c r="I105">
        <v>0</v>
      </c>
      <c r="J105">
        <v>41366.515670705536</v>
      </c>
      <c r="K105">
        <v>54896.04401336977</v>
      </c>
      <c r="L105">
        <v>146497.06069526763</v>
      </c>
    </row>
    <row r="106" spans="1:12" x14ac:dyDescent="0.25">
      <c r="A106" t="s">
        <v>425</v>
      </c>
      <c r="B106" t="s">
        <v>426</v>
      </c>
      <c r="C106">
        <v>51270.590858449024</v>
      </c>
      <c r="D106">
        <v>13793.78415552094</v>
      </c>
      <c r="E106">
        <v>38369.659222968599</v>
      </c>
      <c r="F106">
        <v>52047.301638382109</v>
      </c>
      <c r="G106">
        <v>155481.33587532066</v>
      </c>
      <c r="H106">
        <v>46169.17039720645</v>
      </c>
      <c r="I106">
        <v>12429.300420896048</v>
      </c>
      <c r="J106">
        <v>34556.671364984024</v>
      </c>
      <c r="K106">
        <v>46876.107085872361</v>
      </c>
      <c r="L106">
        <v>140031.24926895887</v>
      </c>
    </row>
    <row r="107" spans="1:12" x14ac:dyDescent="0.25">
      <c r="A107" t="s">
        <v>427</v>
      </c>
      <c r="B107" t="s">
        <v>428</v>
      </c>
      <c r="C107">
        <v>0</v>
      </c>
      <c r="D107">
        <v>1940.8330033006239</v>
      </c>
      <c r="E107">
        <v>0</v>
      </c>
      <c r="F107">
        <v>0</v>
      </c>
      <c r="G107">
        <v>1940.8330033006239</v>
      </c>
      <c r="H107">
        <v>0</v>
      </c>
      <c r="I107">
        <v>1649.7080528055303</v>
      </c>
      <c r="J107">
        <v>0</v>
      </c>
      <c r="K107">
        <v>0</v>
      </c>
      <c r="L107">
        <v>1649.7080528055303</v>
      </c>
    </row>
    <row r="108" spans="1:12" x14ac:dyDescent="0.25">
      <c r="A108" t="s">
        <v>142</v>
      </c>
      <c r="B108" t="s">
        <v>143</v>
      </c>
      <c r="C108">
        <v>809032.5438850174</v>
      </c>
      <c r="D108">
        <v>0</v>
      </c>
      <c r="E108">
        <v>0</v>
      </c>
      <c r="F108">
        <v>0</v>
      </c>
      <c r="G108">
        <v>809032.5438850174</v>
      </c>
      <c r="H108">
        <v>736561.74146949453</v>
      </c>
      <c r="I108">
        <v>0</v>
      </c>
      <c r="J108">
        <v>0</v>
      </c>
      <c r="K108">
        <v>0</v>
      </c>
      <c r="L108">
        <v>736561.74146949453</v>
      </c>
    </row>
    <row r="109" spans="1:12" x14ac:dyDescent="0.25">
      <c r="A109" t="s">
        <v>144</v>
      </c>
      <c r="B109" t="s">
        <v>145</v>
      </c>
      <c r="C109">
        <v>0</v>
      </c>
      <c r="D109">
        <v>4239.0690835958831</v>
      </c>
      <c r="E109">
        <v>0</v>
      </c>
      <c r="F109">
        <v>0</v>
      </c>
      <c r="G109">
        <v>4239.0690835958831</v>
      </c>
      <c r="H109">
        <v>0</v>
      </c>
      <c r="I109">
        <v>3603.2087210565005</v>
      </c>
      <c r="J109">
        <v>0</v>
      </c>
      <c r="K109">
        <v>0</v>
      </c>
      <c r="L109">
        <v>3603.2087210565005</v>
      </c>
    </row>
    <row r="110" spans="1:12" x14ac:dyDescent="0.25">
      <c r="A110" t="s">
        <v>146</v>
      </c>
      <c r="B110" t="s">
        <v>147</v>
      </c>
      <c r="C110">
        <v>92113.264932128732</v>
      </c>
      <c r="D110">
        <v>0</v>
      </c>
      <c r="E110">
        <v>44435.358082151652</v>
      </c>
      <c r="F110">
        <v>60275.24174952355</v>
      </c>
      <c r="G110">
        <v>196823.86476380395</v>
      </c>
      <c r="H110">
        <v>81840.193496610504</v>
      </c>
      <c r="I110">
        <v>0</v>
      </c>
      <c r="J110">
        <v>39587.434437676595</v>
      </c>
      <c r="K110">
        <v>52535.088054468935</v>
      </c>
      <c r="L110">
        <v>173962.71598875604</v>
      </c>
    </row>
    <row r="111" spans="1:12" x14ac:dyDescent="0.25">
      <c r="A111" t="s">
        <v>429</v>
      </c>
      <c r="B111" t="s">
        <v>430</v>
      </c>
      <c r="C111">
        <v>24003.779885956374</v>
      </c>
      <c r="D111">
        <v>6324.6003974505466</v>
      </c>
      <c r="E111">
        <v>17921.805084332831</v>
      </c>
      <c r="F111">
        <v>24633.844518155445</v>
      </c>
      <c r="G111">
        <v>72884.029885895201</v>
      </c>
      <c r="H111">
        <v>22880.054095826603</v>
      </c>
      <c r="I111">
        <v>6172.6568381464704</v>
      </c>
      <c r="J111">
        <v>16129.624575899548</v>
      </c>
      <c r="K111">
        <v>22170.4600663399</v>
      </c>
      <c r="L111">
        <v>67352.79557621252</v>
      </c>
    </row>
    <row r="112" spans="1:12" x14ac:dyDescent="0.25">
      <c r="A112" t="s">
        <v>431</v>
      </c>
      <c r="B112" t="s">
        <v>432</v>
      </c>
      <c r="C112">
        <v>789914.69644627383</v>
      </c>
      <c r="D112">
        <v>212517.79317573787</v>
      </c>
      <c r="E112">
        <v>426747.11818519246</v>
      </c>
      <c r="F112">
        <v>578869.7745378773</v>
      </c>
      <c r="G112">
        <v>2008049.3823450813</v>
      </c>
      <c r="H112">
        <v>671554.29449417663</v>
      </c>
      <c r="I112">
        <v>180790.55792858839</v>
      </c>
      <c r="J112">
        <v>362853.85885154881</v>
      </c>
      <c r="K112">
        <v>492211.07450998516</v>
      </c>
      <c r="L112">
        <v>1707409.785784299</v>
      </c>
    </row>
    <row r="113" spans="1:12" x14ac:dyDescent="0.25">
      <c r="A113" t="s">
        <v>433</v>
      </c>
      <c r="B113" t="s">
        <v>434</v>
      </c>
      <c r="C113">
        <v>2625228.0505656688</v>
      </c>
      <c r="D113">
        <v>0</v>
      </c>
      <c r="E113">
        <v>1913864.4087175792</v>
      </c>
      <c r="F113">
        <v>2596100.1529004704</v>
      </c>
      <c r="G113">
        <v>7135192.612183718</v>
      </c>
      <c r="H113">
        <v>2232420.8871958279</v>
      </c>
      <c r="I113">
        <v>0</v>
      </c>
      <c r="J113">
        <v>1627722.698222494</v>
      </c>
      <c r="K113">
        <v>2208005.0101497392</v>
      </c>
      <c r="L113">
        <v>6068148.5955680609</v>
      </c>
    </row>
    <row r="114" spans="1:12" x14ac:dyDescent="0.25">
      <c r="A114" t="s">
        <v>435</v>
      </c>
      <c r="B114" t="s">
        <v>436</v>
      </c>
      <c r="C114">
        <v>3868757.1271494087</v>
      </c>
      <c r="D114">
        <v>0</v>
      </c>
      <c r="E114">
        <v>3113619.0769356736</v>
      </c>
      <c r="F114">
        <v>4223531.6801376045</v>
      </c>
      <c r="G114">
        <v>11205907.884222686</v>
      </c>
      <c r="H114">
        <v>3963529.3710616534</v>
      </c>
      <c r="I114">
        <v>0</v>
      </c>
      <c r="J114">
        <v>3205943.6824447457</v>
      </c>
      <c r="K114">
        <v>4254494.7922820719</v>
      </c>
      <c r="L114">
        <v>11423967.845788471</v>
      </c>
    </row>
    <row r="115" spans="1:12" x14ac:dyDescent="0.25">
      <c r="A115" t="s">
        <v>437</v>
      </c>
      <c r="B115" t="s">
        <v>438</v>
      </c>
      <c r="C115">
        <v>128610.97367882126</v>
      </c>
      <c r="D115">
        <v>34601.356864696594</v>
      </c>
      <c r="E115">
        <v>62185.627790080478</v>
      </c>
      <c r="F115">
        <v>84352.954722751558</v>
      </c>
      <c r="G115">
        <v>309750.91305634991</v>
      </c>
      <c r="H115">
        <v>141680.33497800314</v>
      </c>
      <c r="I115">
        <v>38222.99042083008</v>
      </c>
      <c r="J115">
        <v>73127.845697864352</v>
      </c>
      <c r="K115">
        <v>97045.384919275792</v>
      </c>
      <c r="L115">
        <v>350076.55601597333</v>
      </c>
    </row>
    <row r="116" spans="1:12" x14ac:dyDescent="0.25">
      <c r="A116" t="s">
        <v>439</v>
      </c>
      <c r="B116" t="s">
        <v>1388</v>
      </c>
      <c r="C116">
        <v>182824.48837869993</v>
      </c>
      <c r="D116">
        <v>41889.040507044614</v>
      </c>
      <c r="E116">
        <v>87456.509791179604</v>
      </c>
      <c r="F116">
        <v>120210.55101083637</v>
      </c>
      <c r="G116">
        <v>432380.58968776051</v>
      </c>
      <c r="H116">
        <v>155591.79471509115</v>
      </c>
      <c r="I116">
        <v>35605.684430987923</v>
      </c>
      <c r="J116">
        <v>74455.259718350033</v>
      </c>
      <c r="K116">
        <v>102337.98590540318</v>
      </c>
      <c r="L116">
        <v>367990.72476983233</v>
      </c>
    </row>
    <row r="117" spans="1:12" x14ac:dyDescent="0.25">
      <c r="A117" t="s">
        <v>277</v>
      </c>
      <c r="B117" t="s">
        <v>278</v>
      </c>
      <c r="C117">
        <v>61698.507643218327</v>
      </c>
      <c r="D117">
        <v>0</v>
      </c>
      <c r="E117">
        <v>29763.305885214799</v>
      </c>
      <c r="F117">
        <v>40373.039285058243</v>
      </c>
      <c r="G117">
        <v>131834.85281349136</v>
      </c>
      <c r="H117">
        <v>56320.133158957768</v>
      </c>
      <c r="I117">
        <v>0</v>
      </c>
      <c r="J117">
        <v>27242.965634530141</v>
      </c>
      <c r="K117">
        <v>36153.178876193677</v>
      </c>
      <c r="L117">
        <v>119716.27766968159</v>
      </c>
    </row>
    <row r="118" spans="1:12" x14ac:dyDescent="0.25">
      <c r="A118" t="s">
        <v>440</v>
      </c>
      <c r="B118" t="s">
        <v>441</v>
      </c>
      <c r="C118">
        <v>0</v>
      </c>
      <c r="D118">
        <v>2697.5894168337459</v>
      </c>
      <c r="E118">
        <v>0</v>
      </c>
      <c r="F118">
        <v>0</v>
      </c>
      <c r="G118">
        <v>2697.5894168337459</v>
      </c>
      <c r="H118">
        <v>12320.029128522014</v>
      </c>
      <c r="I118">
        <v>3323.7382974634843</v>
      </c>
      <c r="J118">
        <v>6350.2927222751705</v>
      </c>
      <c r="K118">
        <v>8427.2495066987558</v>
      </c>
      <c r="L118">
        <v>30421.309654959427</v>
      </c>
    </row>
    <row r="119" spans="1:12" x14ac:dyDescent="0.25">
      <c r="A119" t="s">
        <v>148</v>
      </c>
      <c r="B119" t="s">
        <v>149</v>
      </c>
      <c r="C119">
        <v>92143.542142864768</v>
      </c>
      <c r="D119">
        <v>0</v>
      </c>
      <c r="E119">
        <v>0</v>
      </c>
      <c r="F119">
        <v>0</v>
      </c>
      <c r="G119">
        <v>92143.542142864768</v>
      </c>
      <c r="H119">
        <v>104720.24759243711</v>
      </c>
      <c r="I119">
        <v>0</v>
      </c>
      <c r="J119">
        <v>50654.889226704465</v>
      </c>
      <c r="K119">
        <v>67222.316972922621</v>
      </c>
      <c r="L119">
        <v>222597.45379206419</v>
      </c>
    </row>
    <row r="120" spans="1:12" x14ac:dyDescent="0.25">
      <c r="A120" t="s">
        <v>279</v>
      </c>
      <c r="B120" t="s">
        <v>280</v>
      </c>
      <c r="C120">
        <v>84673.853565184225</v>
      </c>
      <c r="D120">
        <v>22176.550856670681</v>
      </c>
      <c r="E120">
        <v>51773.721280946986</v>
      </c>
      <c r="F120">
        <v>71392.5271208052</v>
      </c>
      <c r="G120">
        <v>230016.65282360709</v>
      </c>
      <c r="H120">
        <v>71972.775530406594</v>
      </c>
      <c r="I120">
        <v>18850.068228170079</v>
      </c>
      <c r="J120">
        <v>44007.663088804933</v>
      </c>
      <c r="K120">
        <v>60683.648052684417</v>
      </c>
      <c r="L120">
        <v>195514.154900066</v>
      </c>
    </row>
    <row r="121" spans="1:12" x14ac:dyDescent="0.25">
      <c r="A121" t="s">
        <v>442</v>
      </c>
      <c r="B121" t="s">
        <v>443</v>
      </c>
      <c r="C121">
        <v>14772.882111756497</v>
      </c>
      <c r="D121">
        <v>3974.48018040434</v>
      </c>
      <c r="E121">
        <v>8062.7118837081507</v>
      </c>
      <c r="F121">
        <v>10936.828888579819</v>
      </c>
      <c r="G121">
        <v>37746.903064448808</v>
      </c>
      <c r="H121">
        <v>12563.92678417388</v>
      </c>
      <c r="I121">
        <v>3382.3614139726546</v>
      </c>
      <c r="J121">
        <v>6858.063750847632</v>
      </c>
      <c r="K121">
        <v>9302.9599810421951</v>
      </c>
      <c r="L121">
        <v>32107.311930036361</v>
      </c>
    </row>
    <row r="122" spans="1:12" x14ac:dyDescent="0.25">
      <c r="A122" t="s">
        <v>281</v>
      </c>
      <c r="B122" t="s">
        <v>282</v>
      </c>
      <c r="C122">
        <v>145121.84192137272</v>
      </c>
      <c r="D122">
        <v>0</v>
      </c>
      <c r="E122">
        <v>70006.649053955858</v>
      </c>
      <c r="F122">
        <v>94961.937473305996</v>
      </c>
      <c r="G122">
        <v>310090.42844863457</v>
      </c>
      <c r="H122">
        <v>123422.10429159051</v>
      </c>
      <c r="I122">
        <v>0</v>
      </c>
      <c r="J122">
        <v>59546.969942628974</v>
      </c>
      <c r="K122">
        <v>80775.434363690816</v>
      </c>
      <c r="L122">
        <v>263744.50859791029</v>
      </c>
    </row>
    <row r="123" spans="1:12" x14ac:dyDescent="0.25">
      <c r="A123" t="s">
        <v>444</v>
      </c>
      <c r="B123" t="s">
        <v>445</v>
      </c>
      <c r="C123">
        <v>30972.619207685653</v>
      </c>
      <c r="D123">
        <v>8160.7747063877987</v>
      </c>
      <c r="E123">
        <v>18821.91468540447</v>
      </c>
      <c r="F123">
        <v>25871.061408851401</v>
      </c>
      <c r="G123">
        <v>83826.370008329322</v>
      </c>
      <c r="H123">
        <v>26326.726326532804</v>
      </c>
      <c r="I123">
        <v>6936.6585004296285</v>
      </c>
      <c r="J123">
        <v>15998.6274825938</v>
      </c>
      <c r="K123">
        <v>21990.40219752369</v>
      </c>
      <c r="L123">
        <v>71252.414507079928</v>
      </c>
    </row>
    <row r="124" spans="1:12" x14ac:dyDescent="0.25">
      <c r="A124" t="s">
        <v>150</v>
      </c>
      <c r="B124" t="s">
        <v>151</v>
      </c>
      <c r="C124">
        <v>590046.29140486242</v>
      </c>
      <c r="D124">
        <v>0</v>
      </c>
      <c r="E124">
        <v>284637.81262057513</v>
      </c>
      <c r="F124">
        <v>386102.72781062726</v>
      </c>
      <c r="G124">
        <v>1260786.8318360648</v>
      </c>
      <c r="H124">
        <v>587841.38984662155</v>
      </c>
      <c r="I124">
        <v>0</v>
      </c>
      <c r="J124">
        <v>284348.45381040836</v>
      </c>
      <c r="K124">
        <v>377348.80452027143</v>
      </c>
      <c r="L124">
        <v>1249538.6481773013</v>
      </c>
    </row>
    <row r="125" spans="1:12" x14ac:dyDescent="0.25">
      <c r="A125" t="s">
        <v>152</v>
      </c>
      <c r="B125" t="s">
        <v>153</v>
      </c>
      <c r="C125">
        <v>1264384.9101532765</v>
      </c>
      <c r="D125">
        <v>0</v>
      </c>
      <c r="E125">
        <v>0</v>
      </c>
      <c r="F125">
        <v>0</v>
      </c>
      <c r="G125">
        <v>1264384.9101532765</v>
      </c>
      <c r="H125">
        <v>1308563.0938651597</v>
      </c>
      <c r="I125">
        <v>0</v>
      </c>
      <c r="J125">
        <v>0</v>
      </c>
      <c r="K125">
        <v>0</v>
      </c>
      <c r="L125">
        <v>1308563.0938651597</v>
      </c>
    </row>
    <row r="126" spans="1:12" x14ac:dyDescent="0.25">
      <c r="A126" t="s">
        <v>154</v>
      </c>
      <c r="B126" t="s">
        <v>155</v>
      </c>
      <c r="C126">
        <v>292850.66303893761</v>
      </c>
      <c r="D126">
        <v>0</v>
      </c>
      <c r="E126">
        <v>141270.90258193499</v>
      </c>
      <c r="F126">
        <v>191629.77801499469</v>
      </c>
      <c r="G126">
        <v>625751.34363586735</v>
      </c>
      <c r="H126">
        <v>259600.61377957097</v>
      </c>
      <c r="I126">
        <v>0</v>
      </c>
      <c r="J126">
        <v>125573.04472166231</v>
      </c>
      <c r="K126">
        <v>166643.55888245523</v>
      </c>
      <c r="L126">
        <v>551817.21738368855</v>
      </c>
    </row>
    <row r="127" spans="1:12" x14ac:dyDescent="0.25">
      <c r="A127" t="s">
        <v>156</v>
      </c>
      <c r="B127" t="s">
        <v>157</v>
      </c>
      <c r="C127">
        <v>8689.9306539744121</v>
      </c>
      <c r="D127">
        <v>2337.9295178849061</v>
      </c>
      <c r="E127">
        <v>7651.0560192112389</v>
      </c>
      <c r="F127">
        <v>10378.429950862539</v>
      </c>
      <c r="G127">
        <v>29057.3461419331</v>
      </c>
      <c r="H127">
        <v>0</v>
      </c>
      <c r="I127">
        <v>2106.661088287467</v>
      </c>
      <c r="J127">
        <v>0</v>
      </c>
      <c r="K127">
        <v>0</v>
      </c>
      <c r="L127">
        <v>2106.661088287467</v>
      </c>
    </row>
    <row r="128" spans="1:12" x14ac:dyDescent="0.25">
      <c r="A128" t="s">
        <v>158</v>
      </c>
      <c r="B128" t="s">
        <v>159</v>
      </c>
      <c r="C128">
        <v>56309.942420639585</v>
      </c>
      <c r="D128">
        <v>0</v>
      </c>
      <c r="E128">
        <v>0</v>
      </c>
      <c r="F128">
        <v>0</v>
      </c>
      <c r="G128">
        <v>56309.942420639585</v>
      </c>
      <c r="H128">
        <v>47863.451057543643</v>
      </c>
      <c r="I128">
        <v>0</v>
      </c>
      <c r="J128">
        <v>0</v>
      </c>
      <c r="K128">
        <v>0</v>
      </c>
      <c r="L128">
        <v>47863.451057543643</v>
      </c>
    </row>
    <row r="129" spans="1:12" x14ac:dyDescent="0.25">
      <c r="A129" t="s">
        <v>446</v>
      </c>
      <c r="B129" t="s">
        <v>447</v>
      </c>
      <c r="C129">
        <v>62719.553895563447</v>
      </c>
      <c r="D129">
        <v>16525.568780435282</v>
      </c>
      <c r="E129">
        <v>42862.701933786979</v>
      </c>
      <c r="F129">
        <v>58915.557339031031</v>
      </c>
      <c r="G129">
        <v>181023.38194881676</v>
      </c>
      <c r="H129">
        <v>56447.598506007103</v>
      </c>
      <c r="I129">
        <v>14873.011902391754</v>
      </c>
      <c r="J129">
        <v>38576.431740408283</v>
      </c>
      <c r="K129">
        <v>53024.001605127931</v>
      </c>
      <c r="L129">
        <v>162921.04375393508</v>
      </c>
    </row>
    <row r="130" spans="1:12" x14ac:dyDescent="0.25">
      <c r="A130" t="s">
        <v>448</v>
      </c>
      <c r="B130" t="s">
        <v>449</v>
      </c>
      <c r="C130">
        <v>1180092.5828097248</v>
      </c>
      <c r="D130">
        <v>317490.82852877019</v>
      </c>
      <c r="E130">
        <v>709079.32260339148</v>
      </c>
      <c r="F130">
        <v>961845.01338980312</v>
      </c>
      <c r="G130">
        <v>3168507.7473316896</v>
      </c>
      <c r="H130">
        <v>1062673.4474475652</v>
      </c>
      <c r="I130">
        <v>286084.57578943792</v>
      </c>
      <c r="J130">
        <v>638614.5099835241</v>
      </c>
      <c r="K130">
        <v>866280.25715790561</v>
      </c>
      <c r="L130">
        <v>2853652.7903784327</v>
      </c>
    </row>
    <row r="131" spans="1:12" x14ac:dyDescent="0.25">
      <c r="A131" t="s">
        <v>450</v>
      </c>
      <c r="B131" t="s">
        <v>451</v>
      </c>
      <c r="C131">
        <v>55615.556185436246</v>
      </c>
      <c r="D131">
        <v>14962.748914463398</v>
      </c>
      <c r="E131">
        <v>36618.30875240665</v>
      </c>
      <c r="F131">
        <v>49671.64680949341</v>
      </c>
      <c r="G131">
        <v>156868.26066179969</v>
      </c>
      <c r="H131">
        <v>50081.811956291742</v>
      </c>
      <c r="I131">
        <v>13482.630965039789</v>
      </c>
      <c r="J131">
        <v>32979.361483120629</v>
      </c>
      <c r="K131">
        <v>44736.487035407859</v>
      </c>
      <c r="L131">
        <v>141280.29143986001</v>
      </c>
    </row>
    <row r="132" spans="1:12" x14ac:dyDescent="0.25">
      <c r="A132" t="s">
        <v>452</v>
      </c>
      <c r="B132" t="s">
        <v>453</v>
      </c>
      <c r="C132">
        <v>42580.660204474625</v>
      </c>
      <c r="D132">
        <v>11455.854637636043</v>
      </c>
      <c r="E132">
        <v>22231.093488798739</v>
      </c>
      <c r="F132">
        <v>30155.817174157859</v>
      </c>
      <c r="G132">
        <v>106423.42550506727</v>
      </c>
      <c r="H132">
        <v>36213.671319089437</v>
      </c>
      <c r="I132">
        <v>9749.159369685889</v>
      </c>
      <c r="J132">
        <v>18909.550359266472</v>
      </c>
      <c r="K132">
        <v>25650.795420211081</v>
      </c>
      <c r="L132">
        <v>90523.176468252888</v>
      </c>
    </row>
    <row r="133" spans="1:12" x14ac:dyDescent="0.25">
      <c r="A133" t="s">
        <v>76</v>
      </c>
      <c r="B133" t="s">
        <v>30</v>
      </c>
      <c r="C133">
        <v>0</v>
      </c>
      <c r="D133">
        <v>1873.703092925892</v>
      </c>
      <c r="E133">
        <v>0</v>
      </c>
      <c r="F133">
        <v>0</v>
      </c>
      <c r="G133">
        <v>1873.703092925892</v>
      </c>
      <c r="H133">
        <v>0</v>
      </c>
      <c r="I133">
        <v>1190.2528482514217</v>
      </c>
      <c r="J133">
        <v>0</v>
      </c>
      <c r="K133">
        <v>0</v>
      </c>
      <c r="L133">
        <v>1190.2528482514217</v>
      </c>
    </row>
    <row r="134" spans="1:12" x14ac:dyDescent="0.25">
      <c r="A134" t="s">
        <v>454</v>
      </c>
      <c r="B134" t="s">
        <v>455</v>
      </c>
      <c r="C134">
        <v>78209.375885769739</v>
      </c>
      <c r="D134">
        <v>21041.365660964169</v>
      </c>
      <c r="E134">
        <v>45549.050684197457</v>
      </c>
      <c r="F134">
        <v>61785.932643447697</v>
      </c>
      <c r="G134">
        <v>206585.72487437906</v>
      </c>
      <c r="H134">
        <v>70427.548063535287</v>
      </c>
      <c r="I134">
        <v>18959.949794587214</v>
      </c>
      <c r="J134">
        <v>41022.610243527532</v>
      </c>
      <c r="K134">
        <v>55647.149877581673</v>
      </c>
      <c r="L134">
        <v>186057.25797923171</v>
      </c>
    </row>
    <row r="135" spans="1:12" x14ac:dyDescent="0.25">
      <c r="A135" t="s">
        <v>160</v>
      </c>
      <c r="B135" t="s">
        <v>161</v>
      </c>
      <c r="C135">
        <v>302409.58675830951</v>
      </c>
      <c r="D135">
        <v>0</v>
      </c>
      <c r="E135">
        <v>145882.11898668663</v>
      </c>
      <c r="F135">
        <v>197884.75593239808</v>
      </c>
      <c r="G135">
        <v>646176.46167739423</v>
      </c>
      <c r="H135">
        <v>257190.9718172065</v>
      </c>
      <c r="I135">
        <v>0</v>
      </c>
      <c r="J135">
        <v>124085.90143733469</v>
      </c>
      <c r="K135">
        <v>168322.46202733176</v>
      </c>
      <c r="L135">
        <v>549599.33528187289</v>
      </c>
    </row>
    <row r="136" spans="1:12" x14ac:dyDescent="0.25">
      <c r="A136" t="s">
        <v>456</v>
      </c>
      <c r="B136" t="s">
        <v>457</v>
      </c>
      <c r="C136">
        <v>147894.2567166989</v>
      </c>
      <c r="D136">
        <v>38967.699223001749</v>
      </c>
      <c r="E136">
        <v>96245.878736191982</v>
      </c>
      <c r="F136">
        <v>132291.69724500761</v>
      </c>
      <c r="G136">
        <v>415399.53192090022</v>
      </c>
      <c r="H136">
        <v>125710.11820919406</v>
      </c>
      <c r="I136">
        <v>33122.544339551489</v>
      </c>
      <c r="J136">
        <v>81808.996925763189</v>
      </c>
      <c r="K136">
        <v>112447.94265825646</v>
      </c>
      <c r="L136">
        <v>353089.60213276517</v>
      </c>
    </row>
    <row r="137" spans="1:12" x14ac:dyDescent="0.25">
      <c r="A137" t="s">
        <v>458</v>
      </c>
      <c r="B137" t="s">
        <v>459</v>
      </c>
      <c r="C137">
        <v>16687.547782919519</v>
      </c>
      <c r="D137">
        <v>4370.5611177380197</v>
      </c>
      <c r="E137">
        <v>12909.3573260377</v>
      </c>
      <c r="F137">
        <v>17801.147381509105</v>
      </c>
      <c r="G137">
        <v>51768.613608204338</v>
      </c>
      <c r="H137">
        <v>0</v>
      </c>
      <c r="I137">
        <v>3714.9769500773168</v>
      </c>
      <c r="J137">
        <v>0</v>
      </c>
      <c r="K137">
        <v>0</v>
      </c>
      <c r="L137">
        <v>3714.9769500773168</v>
      </c>
    </row>
    <row r="138" spans="1:12" x14ac:dyDescent="0.25">
      <c r="A138" t="s">
        <v>283</v>
      </c>
      <c r="B138" t="s">
        <v>284</v>
      </c>
      <c r="C138">
        <v>92917.857623056945</v>
      </c>
      <c r="D138">
        <v>24482.324119163404</v>
      </c>
      <c r="E138">
        <v>51426.28595082165</v>
      </c>
      <c r="F138">
        <v>70686.358115020295</v>
      </c>
      <c r="G138">
        <v>239512.82580806231</v>
      </c>
      <c r="H138">
        <v>78980.178979598408</v>
      </c>
      <c r="I138">
        <v>20809.975501288893</v>
      </c>
      <c r="J138">
        <v>43712.343058198399</v>
      </c>
      <c r="K138">
        <v>60083.404397767248</v>
      </c>
      <c r="L138">
        <v>203585.90193685293</v>
      </c>
    </row>
    <row r="139" spans="1:12" x14ac:dyDescent="0.25">
      <c r="A139" t="s">
        <v>460</v>
      </c>
      <c r="B139" t="s">
        <v>461</v>
      </c>
      <c r="C139">
        <v>35163.541980459959</v>
      </c>
      <c r="D139">
        <v>8930.8400204539357</v>
      </c>
      <c r="E139">
        <v>19146.525998981546</v>
      </c>
      <c r="F139">
        <v>25229.227569560473</v>
      </c>
      <c r="G139">
        <v>88470.135569455917</v>
      </c>
      <c r="H139">
        <v>29889.010683390963</v>
      </c>
      <c r="I139">
        <v>7591.2140173858452</v>
      </c>
      <c r="J139">
        <v>16274.547099134314</v>
      </c>
      <c r="K139">
        <v>21444.8434341264</v>
      </c>
      <c r="L139">
        <v>75199.615234037512</v>
      </c>
    </row>
    <row r="140" spans="1:12" x14ac:dyDescent="0.25">
      <c r="A140" t="s">
        <v>462</v>
      </c>
      <c r="B140" t="s">
        <v>463</v>
      </c>
      <c r="C140">
        <v>113050.06010805261</v>
      </c>
      <c r="D140">
        <v>29786.827678315462</v>
      </c>
      <c r="E140">
        <v>68186.939185857918</v>
      </c>
      <c r="F140">
        <v>93724.178461339106</v>
      </c>
      <c r="G140">
        <v>304748.00543356512</v>
      </c>
      <c r="H140">
        <v>128480.3037688724</v>
      </c>
      <c r="I140">
        <v>34661.842244976338</v>
      </c>
      <c r="J140">
        <v>78481.311922501947</v>
      </c>
      <c r="K140">
        <v>104149.78113749329</v>
      </c>
      <c r="L140">
        <v>345773.23907384399</v>
      </c>
    </row>
    <row r="141" spans="1:12" x14ac:dyDescent="0.25">
      <c r="A141" t="s">
        <v>162</v>
      </c>
      <c r="B141" t="s">
        <v>163</v>
      </c>
      <c r="C141">
        <v>1255694.9794993023</v>
      </c>
      <c r="D141">
        <v>0</v>
      </c>
      <c r="E141">
        <v>763785.11722339946</v>
      </c>
      <c r="F141">
        <v>1036051.7968644522</v>
      </c>
      <c r="G141">
        <v>3055531.8935871539</v>
      </c>
      <c r="H141">
        <v>1237282.9253358536</v>
      </c>
      <c r="I141">
        <v>0</v>
      </c>
      <c r="J141">
        <v>750671.40463271725</v>
      </c>
      <c r="K141">
        <v>996189.54606511781</v>
      </c>
      <c r="L141">
        <v>2984143.8760336884</v>
      </c>
    </row>
    <row r="142" spans="1:12" x14ac:dyDescent="0.25">
      <c r="A142" t="s">
        <v>464</v>
      </c>
      <c r="B142" t="s">
        <v>465</v>
      </c>
      <c r="C142">
        <v>54847.346513609977</v>
      </c>
      <c r="D142">
        <v>0</v>
      </c>
      <c r="E142">
        <v>26236.952937353883</v>
      </c>
      <c r="F142">
        <v>36063.165303250906</v>
      </c>
      <c r="G142">
        <v>117147.46475421476</v>
      </c>
      <c r="H142">
        <v>46620.244536568476</v>
      </c>
      <c r="I142">
        <v>0</v>
      </c>
      <c r="J142">
        <v>22301.409996750801</v>
      </c>
      <c r="K142">
        <v>30653.690507763269</v>
      </c>
      <c r="L142">
        <v>99575.345041082546</v>
      </c>
    </row>
    <row r="143" spans="1:12" x14ac:dyDescent="0.25">
      <c r="A143" t="s">
        <v>164</v>
      </c>
      <c r="B143" t="s">
        <v>165</v>
      </c>
      <c r="C143">
        <v>776879.80046531197</v>
      </c>
      <c r="D143">
        <v>0</v>
      </c>
      <c r="E143">
        <v>420665.8120955741</v>
      </c>
      <c r="F143">
        <v>578212.75036212301</v>
      </c>
      <c r="G143">
        <v>1775758.3629230089</v>
      </c>
      <c r="H143">
        <v>669681.5833432324</v>
      </c>
      <c r="I143">
        <v>0</v>
      </c>
      <c r="J143">
        <v>357676.56707108143</v>
      </c>
      <c r="K143">
        <v>491632.89632689481</v>
      </c>
      <c r="L143">
        <v>1518991.0467412088</v>
      </c>
    </row>
    <row r="144" spans="1:12" x14ac:dyDescent="0.25">
      <c r="A144" t="s">
        <v>166</v>
      </c>
      <c r="B144" t="s">
        <v>167</v>
      </c>
      <c r="C144">
        <v>153572.57023810799</v>
      </c>
      <c r="D144">
        <v>0</v>
      </c>
      <c r="E144">
        <v>73463.468224590892</v>
      </c>
      <c r="F144">
        <v>100976.86284910253</v>
      </c>
      <c r="G144">
        <v>328012.9013118014</v>
      </c>
      <c r="H144">
        <v>130519.44877488032</v>
      </c>
      <c r="I144">
        <v>0</v>
      </c>
      <c r="J144">
        <v>62448.09262944838</v>
      </c>
      <c r="K144">
        <v>85836.030302215921</v>
      </c>
      <c r="L144">
        <v>278803.57170654461</v>
      </c>
    </row>
    <row r="145" spans="1:12" x14ac:dyDescent="0.25">
      <c r="A145" t="s">
        <v>168</v>
      </c>
      <c r="B145" t="s">
        <v>169</v>
      </c>
      <c r="C145">
        <v>132086.94594041104</v>
      </c>
      <c r="D145">
        <v>0</v>
      </c>
      <c r="E145">
        <v>0</v>
      </c>
      <c r="F145">
        <v>0</v>
      </c>
      <c r="G145">
        <v>132086.94594041104</v>
      </c>
      <c r="H145">
        <v>120560.28504339393</v>
      </c>
      <c r="I145">
        <v>0</v>
      </c>
      <c r="J145">
        <v>0</v>
      </c>
      <c r="K145">
        <v>0</v>
      </c>
      <c r="L145">
        <v>120560.28504339393</v>
      </c>
    </row>
    <row r="146" spans="1:12" x14ac:dyDescent="0.25">
      <c r="A146" t="s">
        <v>170</v>
      </c>
      <c r="B146" t="s">
        <v>171</v>
      </c>
      <c r="C146">
        <v>187702.50212584724</v>
      </c>
      <c r="D146">
        <v>0</v>
      </c>
      <c r="E146">
        <v>90547.522129667603</v>
      </c>
      <c r="F146">
        <v>122825.02092355747</v>
      </c>
      <c r="G146">
        <v>401075.0451790723</v>
      </c>
      <c r="H146">
        <v>160024.42595107321</v>
      </c>
      <c r="I146">
        <v>0</v>
      </c>
      <c r="J146">
        <v>77217.57270108485</v>
      </c>
      <c r="K146">
        <v>104745.59799515171</v>
      </c>
      <c r="L146">
        <v>341987.59664730978</v>
      </c>
    </row>
    <row r="147" spans="1:12" x14ac:dyDescent="0.25">
      <c r="A147" t="s">
        <v>466</v>
      </c>
      <c r="B147" t="s">
        <v>467</v>
      </c>
      <c r="C147">
        <v>112100.10543626989</v>
      </c>
      <c r="D147">
        <v>30159.290780715281</v>
      </c>
      <c r="E147">
        <v>54076.992382995872</v>
      </c>
      <c r="F147">
        <v>73353.831940457923</v>
      </c>
      <c r="G147">
        <v>269690.22054043901</v>
      </c>
      <c r="H147">
        <v>95338.032656378302</v>
      </c>
      <c r="I147">
        <v>25666.154258968967</v>
      </c>
      <c r="J147">
        <v>45997.360015563703</v>
      </c>
      <c r="K147">
        <v>62395.395406683325</v>
      </c>
      <c r="L147">
        <v>229396.94233759429</v>
      </c>
    </row>
    <row r="148" spans="1:12" x14ac:dyDescent="0.25">
      <c r="A148" t="s">
        <v>468</v>
      </c>
      <c r="B148" t="s">
        <v>469</v>
      </c>
      <c r="C148">
        <v>13937.678643458541</v>
      </c>
      <c r="D148">
        <v>3672.3486178745097</v>
      </c>
      <c r="E148">
        <v>8920.0886468471053</v>
      </c>
      <c r="F148">
        <v>12260.822823404522</v>
      </c>
      <c r="G148">
        <v>38790.938731584683</v>
      </c>
      <c r="H148">
        <v>0</v>
      </c>
      <c r="I148">
        <v>3121.4963251933332</v>
      </c>
      <c r="J148">
        <v>0</v>
      </c>
      <c r="K148">
        <v>0</v>
      </c>
      <c r="L148">
        <v>3121.4963251933332</v>
      </c>
    </row>
    <row r="149" spans="1:12" x14ac:dyDescent="0.25">
      <c r="A149" t="s">
        <v>172</v>
      </c>
      <c r="B149" t="s">
        <v>173</v>
      </c>
      <c r="C149">
        <v>402343.78927901515</v>
      </c>
      <c r="D149">
        <v>0</v>
      </c>
      <c r="E149">
        <v>194090.29049090773</v>
      </c>
      <c r="F149">
        <v>263277.70688706986</v>
      </c>
      <c r="G149">
        <v>859711.78665699274</v>
      </c>
      <c r="H149">
        <v>363440.85929139954</v>
      </c>
      <c r="I149">
        <v>0</v>
      </c>
      <c r="J149">
        <v>175802.26261032731</v>
      </c>
      <c r="K149">
        <v>233300.98243543738</v>
      </c>
      <c r="L149">
        <v>772544.1043371642</v>
      </c>
    </row>
    <row r="150" spans="1:12" x14ac:dyDescent="0.25">
      <c r="A150" t="s">
        <v>470</v>
      </c>
      <c r="B150" t="s">
        <v>471</v>
      </c>
      <c r="C150">
        <v>155766.46409865239</v>
      </c>
      <c r="D150">
        <v>41041.896127541957</v>
      </c>
      <c r="E150">
        <v>75867.507748334785</v>
      </c>
      <c r="F150">
        <v>104281.25855950882</v>
      </c>
      <c r="G150">
        <v>376957.12653403799</v>
      </c>
      <c r="H150">
        <v>132179.5569300671</v>
      </c>
      <c r="I150">
        <v>34827.134820705389</v>
      </c>
      <c r="J150">
        <v>64425.226360112261</v>
      </c>
      <c r="K150">
        <v>88553.636295785807</v>
      </c>
      <c r="L150">
        <v>319985.55440667056</v>
      </c>
    </row>
    <row r="151" spans="1:12" x14ac:dyDescent="0.25">
      <c r="A151" t="s">
        <v>472</v>
      </c>
      <c r="B151" t="s">
        <v>473</v>
      </c>
      <c r="C151">
        <v>38525.573276616677</v>
      </c>
      <c r="D151">
        <v>10090.060852061843</v>
      </c>
      <c r="E151">
        <v>21764.765657997483</v>
      </c>
      <c r="F151">
        <v>30012.168027960117</v>
      </c>
      <c r="G151">
        <v>100392.56781463612</v>
      </c>
      <c r="H151">
        <v>32746.737285124174</v>
      </c>
      <c r="I151">
        <v>8576.5517242525657</v>
      </c>
      <c r="J151">
        <v>18500.05080929786</v>
      </c>
      <c r="K151">
        <v>25510.342823766099</v>
      </c>
      <c r="L151">
        <v>85333.682642440705</v>
      </c>
    </row>
    <row r="152" spans="1:12" x14ac:dyDescent="0.25">
      <c r="A152" t="s">
        <v>474</v>
      </c>
      <c r="B152" t="s">
        <v>475</v>
      </c>
      <c r="C152">
        <v>1419934.6688594187</v>
      </c>
      <c r="D152">
        <v>382017.68322239362</v>
      </c>
      <c r="E152">
        <v>882628.74001858779</v>
      </c>
      <c r="F152">
        <v>1197259.6368266214</v>
      </c>
      <c r="G152">
        <v>3881840.7289270218</v>
      </c>
      <c r="H152">
        <v>1768804.1820235176</v>
      </c>
      <c r="I152">
        <v>477193.85556440032</v>
      </c>
      <c r="J152">
        <v>1136329.6368965344</v>
      </c>
      <c r="K152">
        <v>1507982.9845312347</v>
      </c>
      <c r="L152">
        <v>4890310.6590156872</v>
      </c>
    </row>
    <row r="153" spans="1:12" x14ac:dyDescent="0.25">
      <c r="A153" t="s">
        <v>476</v>
      </c>
      <c r="B153" t="s">
        <v>477</v>
      </c>
      <c r="C153">
        <v>90680.946235835188</v>
      </c>
      <c r="D153">
        <v>23892.934834813172</v>
      </c>
      <c r="E153">
        <v>47339.106797942179</v>
      </c>
      <c r="F153">
        <v>65068.456609222972</v>
      </c>
      <c r="G153">
        <v>226981.44447781352</v>
      </c>
      <c r="H153">
        <v>77078.804300459902</v>
      </c>
      <c r="I153">
        <v>20308.994609591195</v>
      </c>
      <c r="J153">
        <v>40238.240778250853</v>
      </c>
      <c r="K153">
        <v>55308.188117839527</v>
      </c>
      <c r="L153">
        <v>192934.22780614148</v>
      </c>
    </row>
    <row r="154" spans="1:12" x14ac:dyDescent="0.25">
      <c r="A154" t="s">
        <v>478</v>
      </c>
      <c r="B154" t="s">
        <v>479</v>
      </c>
      <c r="C154">
        <v>194525.25563493677</v>
      </c>
      <c r="D154">
        <v>51254.198919841154</v>
      </c>
      <c r="E154">
        <v>133945.01457489276</v>
      </c>
      <c r="F154">
        <v>184109.83980092793</v>
      </c>
      <c r="G154">
        <v>563834.30893059855</v>
      </c>
      <c r="H154">
        <v>165510.3855186468</v>
      </c>
      <c r="I154">
        <v>43609.528651608613</v>
      </c>
      <c r="J154">
        <v>113958.7119161391</v>
      </c>
      <c r="K154">
        <v>156638.30610932811</v>
      </c>
      <c r="L154">
        <v>479716.93219572265</v>
      </c>
    </row>
    <row r="155" spans="1:12" x14ac:dyDescent="0.25">
      <c r="A155" t="s">
        <v>480</v>
      </c>
      <c r="B155" t="s">
        <v>481</v>
      </c>
      <c r="C155">
        <v>247497.62226190107</v>
      </c>
      <c r="D155">
        <v>64820.996989003354</v>
      </c>
      <c r="E155">
        <v>128279.02185841523</v>
      </c>
      <c r="F155">
        <v>176888.26146687521</v>
      </c>
      <c r="G155">
        <v>617485.90257619484</v>
      </c>
      <c r="H155">
        <v>210372.9789226159</v>
      </c>
      <c r="I155">
        <v>55097.847440652848</v>
      </c>
      <c r="J155">
        <v>109037.16857965295</v>
      </c>
      <c r="K155">
        <v>150355.02224684393</v>
      </c>
      <c r="L155">
        <v>524863.0171897657</v>
      </c>
    </row>
    <row r="156" spans="1:12" x14ac:dyDescent="0.25">
      <c r="A156" t="s">
        <v>174</v>
      </c>
      <c r="B156" t="s">
        <v>175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x14ac:dyDescent="0.25">
      <c r="A157" t="s">
        <v>482</v>
      </c>
      <c r="B157" t="s">
        <v>483</v>
      </c>
      <c r="C157">
        <v>788176.71031547908</v>
      </c>
      <c r="D157">
        <v>0</v>
      </c>
      <c r="E157">
        <v>425489.51371116948</v>
      </c>
      <c r="F157">
        <v>577163.87146949442</v>
      </c>
      <c r="G157">
        <v>1790830.095496143</v>
      </c>
      <c r="H157">
        <v>681121.6103911458</v>
      </c>
      <c r="I157">
        <v>0</v>
      </c>
      <c r="J157">
        <v>361954.57443870272</v>
      </c>
      <c r="K157">
        <v>490991.19566251169</v>
      </c>
      <c r="L157">
        <v>1534067.3804923603</v>
      </c>
    </row>
    <row r="158" spans="1:12" x14ac:dyDescent="0.25">
      <c r="A158" t="s">
        <v>285</v>
      </c>
      <c r="B158" t="s">
        <v>286</v>
      </c>
      <c r="C158">
        <v>2137722.9408777049</v>
      </c>
      <c r="D158">
        <v>0</v>
      </c>
      <c r="E158">
        <v>1443520.3354329171</v>
      </c>
      <c r="F158">
        <v>1958092.4053253245</v>
      </c>
      <c r="G158">
        <v>5539335.681635946</v>
      </c>
      <c r="H158">
        <v>2086484.9331232633</v>
      </c>
      <c r="I158">
        <v>0</v>
      </c>
      <c r="J158">
        <v>1390029.7543680964</v>
      </c>
      <c r="K158">
        <v>1844659.4628157886</v>
      </c>
      <c r="L158">
        <v>5321174.1503071487</v>
      </c>
    </row>
    <row r="159" spans="1:12" x14ac:dyDescent="0.25">
      <c r="A159" t="s">
        <v>484</v>
      </c>
      <c r="B159" t="s">
        <v>485</v>
      </c>
      <c r="C159">
        <v>160154.25181974118</v>
      </c>
      <c r="D159">
        <v>0</v>
      </c>
      <c r="E159">
        <v>76611.902577073372</v>
      </c>
      <c r="F159">
        <v>105304.44268549263</v>
      </c>
      <c r="G159">
        <v>342070.59708230721</v>
      </c>
      <c r="H159">
        <v>166320.3932350472</v>
      </c>
      <c r="I159">
        <v>0</v>
      </c>
      <c r="J159">
        <v>80451.882889471832</v>
      </c>
      <c r="K159">
        <v>106764.85636875946</v>
      </c>
      <c r="L159">
        <v>353537.13249327848</v>
      </c>
    </row>
    <row r="160" spans="1:12" x14ac:dyDescent="0.25">
      <c r="A160" t="s">
        <v>486</v>
      </c>
      <c r="B160" t="s">
        <v>487</v>
      </c>
      <c r="C160">
        <v>76471.389754974851</v>
      </c>
      <c r="D160">
        <v>0</v>
      </c>
      <c r="E160">
        <v>36889.731238012711</v>
      </c>
      <c r="F160">
        <v>50039.823339227099</v>
      </c>
      <c r="G160">
        <v>163400.94433221465</v>
      </c>
      <c r="H160">
        <v>74800.176851740805</v>
      </c>
      <c r="I160">
        <v>0</v>
      </c>
      <c r="J160">
        <v>36182.063733360337</v>
      </c>
      <c r="K160">
        <v>48015.940694944722</v>
      </c>
      <c r="L160">
        <v>158998.18128004586</v>
      </c>
    </row>
    <row r="161" spans="1:12" x14ac:dyDescent="0.25">
      <c r="A161" t="s">
        <v>488</v>
      </c>
      <c r="B161" t="s">
        <v>489</v>
      </c>
      <c r="C161">
        <v>34759.722615897648</v>
      </c>
      <c r="D161">
        <v>0</v>
      </c>
      <c r="E161">
        <v>16768.059653642144</v>
      </c>
      <c r="F161">
        <v>22745.37424510323</v>
      </c>
      <c r="G161">
        <v>74273.156514643022</v>
      </c>
      <c r="H161">
        <v>36080.08530495732</v>
      </c>
      <c r="I161">
        <v>0</v>
      </c>
      <c r="J161">
        <v>17452.524859620869</v>
      </c>
      <c r="K161">
        <v>23160.630217561571</v>
      </c>
      <c r="L161">
        <v>76693.24038213976</v>
      </c>
    </row>
    <row r="162" spans="1:12" x14ac:dyDescent="0.25">
      <c r="A162" t="s">
        <v>490</v>
      </c>
      <c r="B162" t="s">
        <v>491</v>
      </c>
      <c r="C162">
        <v>60829.514577820883</v>
      </c>
      <c r="D162">
        <v>16365.506625194343</v>
      </c>
      <c r="E162">
        <v>44209.806719735629</v>
      </c>
      <c r="F162">
        <v>59969.288034209123</v>
      </c>
      <c r="G162">
        <v>181374.11595695998</v>
      </c>
      <c r="H162">
        <v>67760.160206871064</v>
      </c>
      <c r="I162">
        <v>18280.560636049173</v>
      </c>
      <c r="J162">
        <v>53453.944318900678</v>
      </c>
      <c r="K162">
        <v>70936.844267419045</v>
      </c>
      <c r="L162">
        <v>210431.50942923996</v>
      </c>
    </row>
    <row r="163" spans="1:12" x14ac:dyDescent="0.25">
      <c r="A163" t="s">
        <v>492</v>
      </c>
      <c r="B163" t="s">
        <v>493</v>
      </c>
      <c r="C163">
        <v>241580.07218048867</v>
      </c>
      <c r="D163">
        <v>64994.440597200388</v>
      </c>
      <c r="E163">
        <v>133894.84274104345</v>
      </c>
      <c r="F163">
        <v>181624.37220175189</v>
      </c>
      <c r="G163">
        <v>622093.72772048437</v>
      </c>
      <c r="H163">
        <v>217542.87068514226</v>
      </c>
      <c r="I163">
        <v>58640.23996239149</v>
      </c>
      <c r="J163">
        <v>120589.03237010495</v>
      </c>
      <c r="K163">
        <v>163578.96092071666</v>
      </c>
      <c r="L163">
        <v>560351.10393835534</v>
      </c>
    </row>
    <row r="164" spans="1:12" x14ac:dyDescent="0.25">
      <c r="A164" t="s">
        <v>494</v>
      </c>
      <c r="B164" t="s">
        <v>495</v>
      </c>
      <c r="C164">
        <v>155911.9256559964</v>
      </c>
      <c r="D164">
        <v>40538.350659732583</v>
      </c>
      <c r="E164">
        <v>72591.647621933953</v>
      </c>
      <c r="F164">
        <v>98314.269542001392</v>
      </c>
      <c r="G164">
        <v>367356.19347966439</v>
      </c>
      <c r="H164">
        <v>132822.17715100295</v>
      </c>
      <c r="I164">
        <v>34535.863295785268</v>
      </c>
      <c r="J164">
        <v>61882.062451775171</v>
      </c>
      <c r="K164">
        <v>83813.390476055545</v>
      </c>
      <c r="L164">
        <v>313053.49337461893</v>
      </c>
    </row>
    <row r="165" spans="1:12" x14ac:dyDescent="0.25">
      <c r="A165" t="s">
        <v>176</v>
      </c>
      <c r="B165" t="s">
        <v>177</v>
      </c>
      <c r="C165">
        <v>216379.2732839628</v>
      </c>
      <c r="D165">
        <v>0</v>
      </c>
      <c r="E165">
        <v>104381.17134392231</v>
      </c>
      <c r="F165">
        <v>141589.95467576757</v>
      </c>
      <c r="G165">
        <v>462350.3993036527</v>
      </c>
      <c r="H165">
        <v>183842.82199597836</v>
      </c>
      <c r="I165">
        <v>0</v>
      </c>
      <c r="J165">
        <v>88697.912407158074</v>
      </c>
      <c r="K165">
        <v>120318.67295252123</v>
      </c>
      <c r="L165">
        <v>392859.40735565766</v>
      </c>
    </row>
    <row r="166" spans="1:12" x14ac:dyDescent="0.25">
      <c r="A166" t="s">
        <v>496</v>
      </c>
      <c r="B166" t="s">
        <v>497</v>
      </c>
      <c r="C166">
        <v>123890.47683074261</v>
      </c>
      <c r="D166">
        <v>32643.098825551195</v>
      </c>
      <c r="E166">
        <v>74554.731004663045</v>
      </c>
      <c r="F166">
        <v>102476.823234022</v>
      </c>
      <c r="G166">
        <v>333565.12989497883</v>
      </c>
      <c r="H166">
        <v>122320.28920461138</v>
      </c>
      <c r="I166">
        <v>32999.973096244605</v>
      </c>
      <c r="J166">
        <v>68826.245274872694</v>
      </c>
      <c r="K166">
        <v>92229.140910619797</v>
      </c>
      <c r="L166">
        <v>316375.64848634851</v>
      </c>
    </row>
    <row r="167" spans="1:12" x14ac:dyDescent="0.25">
      <c r="A167" t="s">
        <v>498</v>
      </c>
      <c r="B167" t="s">
        <v>499</v>
      </c>
      <c r="C167">
        <v>302757.35275512718</v>
      </c>
      <c r="D167">
        <v>79771.572754940731</v>
      </c>
      <c r="E167">
        <v>163069.53658732405</v>
      </c>
      <c r="F167">
        <v>224142.02090901378</v>
      </c>
      <c r="G167">
        <v>769740.48300640576</v>
      </c>
      <c r="H167">
        <v>257343.74984185811</v>
      </c>
      <c r="I167">
        <v>67805.836841699624</v>
      </c>
      <c r="J167">
        <v>138609.10609922544</v>
      </c>
      <c r="K167">
        <v>190520.71777266171</v>
      </c>
      <c r="L167">
        <v>654279.41055544489</v>
      </c>
    </row>
    <row r="168" spans="1:12" x14ac:dyDescent="0.25">
      <c r="A168" t="s">
        <v>178</v>
      </c>
      <c r="B168" t="s">
        <v>179</v>
      </c>
      <c r="C168">
        <v>433627.53963332315</v>
      </c>
      <c r="D168">
        <v>0</v>
      </c>
      <c r="E168">
        <v>209181.54417918567</v>
      </c>
      <c r="F168">
        <v>283748.54370766284</v>
      </c>
      <c r="G168">
        <v>926557.62752017169</v>
      </c>
      <c r="H168">
        <v>480481.13601235859</v>
      </c>
      <c r="I168">
        <v>0</v>
      </c>
      <c r="J168">
        <v>232416.55056958523</v>
      </c>
      <c r="K168">
        <v>308431.80728752731</v>
      </c>
      <c r="L168">
        <v>1021329.4938694711</v>
      </c>
    </row>
    <row r="169" spans="1:12" x14ac:dyDescent="0.25">
      <c r="A169" t="s">
        <v>500</v>
      </c>
      <c r="B169" t="s">
        <v>501</v>
      </c>
      <c r="C169">
        <v>323265.42032784806</v>
      </c>
      <c r="D169">
        <v>86970.978065318501</v>
      </c>
      <c r="E169">
        <v>155942.95477887194</v>
      </c>
      <c r="F169">
        <v>211531.98047946003</v>
      </c>
      <c r="G169">
        <v>777711.33365149843</v>
      </c>
      <c r="H169">
        <v>320320.75734157232</v>
      </c>
      <c r="I169">
        <v>74014.026235166326</v>
      </c>
      <c r="J169">
        <v>154944.36704639017</v>
      </c>
      <c r="K169">
        <v>205621.2048583515</v>
      </c>
      <c r="L169">
        <v>754900.35548148036</v>
      </c>
    </row>
    <row r="170" spans="1:12" x14ac:dyDescent="0.25">
      <c r="A170" t="s">
        <v>502</v>
      </c>
      <c r="B170" t="s">
        <v>503</v>
      </c>
      <c r="C170">
        <v>8689.9306539744121</v>
      </c>
      <c r="D170">
        <v>2337.9295178849061</v>
      </c>
      <c r="E170">
        <v>4837.8576910451293</v>
      </c>
      <c r="F170">
        <v>6562.4100820437679</v>
      </c>
      <c r="G170">
        <v>22428.127944948214</v>
      </c>
      <c r="H170">
        <v>0</v>
      </c>
      <c r="I170">
        <v>2106.661088287467</v>
      </c>
      <c r="J170">
        <v>0</v>
      </c>
      <c r="K170">
        <v>0</v>
      </c>
      <c r="L170">
        <v>2106.661088287467</v>
      </c>
    </row>
    <row r="171" spans="1:12" x14ac:dyDescent="0.25">
      <c r="A171" t="s">
        <v>180</v>
      </c>
      <c r="B171" t="s">
        <v>181</v>
      </c>
      <c r="C171">
        <v>1397340.849159085</v>
      </c>
      <c r="D171">
        <v>0</v>
      </c>
      <c r="E171">
        <v>866279.8818562869</v>
      </c>
      <c r="F171">
        <v>1175082.8969376455</v>
      </c>
      <c r="G171">
        <v>3438703.6279530176</v>
      </c>
      <c r="H171">
        <v>1286563.0418499417</v>
      </c>
      <c r="I171">
        <v>0</v>
      </c>
      <c r="J171">
        <v>786427.79702803784</v>
      </c>
      <c r="K171">
        <v>1043640.5933401221</v>
      </c>
      <c r="L171">
        <v>3116631.4322181018</v>
      </c>
    </row>
    <row r="172" spans="1:12" x14ac:dyDescent="0.25">
      <c r="A172" t="s">
        <v>504</v>
      </c>
      <c r="B172" t="s">
        <v>505</v>
      </c>
      <c r="C172">
        <v>54202.083613449875</v>
      </c>
      <c r="D172">
        <v>14281.355736178652</v>
      </c>
      <c r="E172">
        <v>41856.814198572982</v>
      </c>
      <c r="F172">
        <v>57532.946494008349</v>
      </c>
      <c r="G172">
        <v>167873.20004220985</v>
      </c>
      <c r="H172">
        <v>51920.122755914184</v>
      </c>
      <c r="I172">
        <v>14007.182825024685</v>
      </c>
      <c r="J172">
        <v>37671.132778715684</v>
      </c>
      <c r="K172">
        <v>51779.651844607513</v>
      </c>
      <c r="L172">
        <v>155378.09020426209</v>
      </c>
    </row>
    <row r="173" spans="1:12" x14ac:dyDescent="0.25">
      <c r="A173" t="s">
        <v>182</v>
      </c>
      <c r="B173" t="s">
        <v>183</v>
      </c>
      <c r="C173">
        <v>908966.74640572292</v>
      </c>
      <c r="D173">
        <v>0</v>
      </c>
      <c r="E173">
        <v>0</v>
      </c>
      <c r="F173">
        <v>0</v>
      </c>
      <c r="G173">
        <v>908966.74640572292</v>
      </c>
      <c r="H173">
        <v>931042.20128402067</v>
      </c>
      <c r="I173">
        <v>0</v>
      </c>
      <c r="J173">
        <v>0</v>
      </c>
      <c r="K173">
        <v>0</v>
      </c>
      <c r="L173">
        <v>931042.20128402067</v>
      </c>
    </row>
    <row r="174" spans="1:12" x14ac:dyDescent="0.25">
      <c r="A174" t="s">
        <v>184</v>
      </c>
      <c r="B174" t="s">
        <v>185</v>
      </c>
      <c r="C174">
        <v>499671.01260352839</v>
      </c>
      <c r="D174">
        <v>0</v>
      </c>
      <c r="E174">
        <v>241040.85752110562</v>
      </c>
      <c r="F174">
        <v>326964.75477335899</v>
      </c>
      <c r="G174">
        <v>1067676.6248979929</v>
      </c>
      <c r="H174">
        <v>462001.09231957549</v>
      </c>
      <c r="I174">
        <v>0</v>
      </c>
      <c r="J174">
        <v>223477.45247075506</v>
      </c>
      <c r="K174">
        <v>296569.0454687762</v>
      </c>
      <c r="L174">
        <v>982047.59025910683</v>
      </c>
    </row>
    <row r="175" spans="1:12" x14ac:dyDescent="0.25">
      <c r="A175" t="s">
        <v>186</v>
      </c>
      <c r="B175" t="s">
        <v>187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9680.022886695866</v>
      </c>
      <c r="I175">
        <v>0</v>
      </c>
      <c r="J175">
        <v>4682.3847184348688</v>
      </c>
      <c r="K175">
        <v>6213.8276193457878</v>
      </c>
      <c r="L175">
        <v>20576.235224476521</v>
      </c>
    </row>
    <row r="176" spans="1:12" x14ac:dyDescent="0.25">
      <c r="A176" t="s">
        <v>506</v>
      </c>
      <c r="B176" t="s">
        <v>507</v>
      </c>
      <c r="C176">
        <v>86723.333781519803</v>
      </c>
      <c r="D176">
        <v>22850.169177885848</v>
      </c>
      <c r="E176">
        <v>56596.348521235188</v>
      </c>
      <c r="F176">
        <v>77792.702420708491</v>
      </c>
      <c r="G176">
        <v>243962.55390134934</v>
      </c>
      <c r="H176">
        <v>73714.833714291832</v>
      </c>
      <c r="I176">
        <v>19422.643801202968</v>
      </c>
      <c r="J176">
        <v>48106.896243049909</v>
      </c>
      <c r="K176">
        <v>66123.79705760222</v>
      </c>
      <c r="L176">
        <v>207368.17081614694</v>
      </c>
    </row>
    <row r="177" spans="1:12" x14ac:dyDescent="0.25">
      <c r="A177" t="s">
        <v>508</v>
      </c>
      <c r="B177" t="s">
        <v>509</v>
      </c>
      <c r="C177">
        <v>170322.6408178985</v>
      </c>
      <c r="D177">
        <v>45823.418550544171</v>
      </c>
      <c r="E177">
        <v>93675.792298725588</v>
      </c>
      <c r="F177">
        <v>127068.42637444173</v>
      </c>
      <c r="G177">
        <v>436890.27804160997</v>
      </c>
      <c r="H177">
        <v>153375.54911614352</v>
      </c>
      <c r="I177">
        <v>41290.557330434356</v>
      </c>
      <c r="J177">
        <v>84366.753181476684</v>
      </c>
      <c r="K177">
        <v>114443.45767137785</v>
      </c>
      <c r="L177">
        <v>393476.31729943241</v>
      </c>
    </row>
    <row r="178" spans="1:12" x14ac:dyDescent="0.25">
      <c r="A178" t="s">
        <v>510</v>
      </c>
      <c r="B178" t="s">
        <v>511</v>
      </c>
      <c r="C178">
        <v>152540.14959785176</v>
      </c>
      <c r="D178">
        <v>40191.815428959919</v>
      </c>
      <c r="E178">
        <v>113319.37522465261</v>
      </c>
      <c r="F178">
        <v>155759.52628895175</v>
      </c>
      <c r="G178">
        <v>461810.86654041603</v>
      </c>
      <c r="H178">
        <v>137095.98763718284</v>
      </c>
      <c r="I178">
        <v>36122.533285113706</v>
      </c>
      <c r="J178">
        <v>101846.18086326466</v>
      </c>
      <c r="K178">
        <v>139989.41358573519</v>
      </c>
      <c r="L178">
        <v>415054.11537129642</v>
      </c>
    </row>
    <row r="179" spans="1:12" x14ac:dyDescent="0.25">
      <c r="A179" t="s">
        <v>287</v>
      </c>
      <c r="B179" t="s">
        <v>288</v>
      </c>
      <c r="C179">
        <v>39104.68794288487</v>
      </c>
      <c r="D179">
        <v>0</v>
      </c>
      <c r="E179">
        <v>18864.067110347409</v>
      </c>
      <c r="F179">
        <v>25588.546025741136</v>
      </c>
      <c r="G179">
        <v>83557.301078973411</v>
      </c>
      <c r="H179">
        <v>33440.079063131161</v>
      </c>
      <c r="I179">
        <v>0</v>
      </c>
      <c r="J179">
        <v>16175.510845502266</v>
      </c>
      <c r="K179">
        <v>21765.835606982553</v>
      </c>
      <c r="L179">
        <v>71381.425515615978</v>
      </c>
    </row>
    <row r="180" spans="1:12" x14ac:dyDescent="0.25">
      <c r="A180" t="s">
        <v>512</v>
      </c>
      <c r="B180" t="s">
        <v>513</v>
      </c>
      <c r="C180">
        <v>170586.05700778941</v>
      </c>
      <c r="D180">
        <v>44353.742457781889</v>
      </c>
      <c r="E180">
        <v>107691.39484693202</v>
      </c>
      <c r="F180">
        <v>145851.50175233488</v>
      </c>
      <c r="G180">
        <v>468482.69606483821</v>
      </c>
      <c r="H180">
        <v>153527.45130701046</v>
      </c>
      <c r="I180">
        <v>39918.368212003705</v>
      </c>
      <c r="J180">
        <v>96922.255362238822</v>
      </c>
      <c r="K180">
        <v>131266.35157710139</v>
      </c>
      <c r="L180">
        <v>421634.42645835434</v>
      </c>
    </row>
    <row r="181" spans="1:12" x14ac:dyDescent="0.25">
      <c r="A181" t="s">
        <v>188</v>
      </c>
      <c r="B181" t="s">
        <v>189</v>
      </c>
      <c r="C181">
        <v>797846.06728464679</v>
      </c>
      <c r="D181">
        <v>0</v>
      </c>
      <c r="E181">
        <v>451625.41656165157</v>
      </c>
      <c r="F181">
        <v>620767.28541995888</v>
      </c>
      <c r="G181">
        <v>1870238.7692662573</v>
      </c>
      <c r="H181">
        <v>710161.67905123311</v>
      </c>
      <c r="I181">
        <v>0</v>
      </c>
      <c r="J181">
        <v>383681.26924592617</v>
      </c>
      <c r="K181">
        <v>527376.82876571314</v>
      </c>
      <c r="L181">
        <v>1621219.7770628724</v>
      </c>
    </row>
    <row r="182" spans="1:12" x14ac:dyDescent="0.25">
      <c r="A182" t="s">
        <v>514</v>
      </c>
      <c r="B182" t="s">
        <v>515</v>
      </c>
      <c r="C182">
        <v>341514.27470119431</v>
      </c>
      <c r="D182">
        <v>91880.630052876819</v>
      </c>
      <c r="E182">
        <v>211370.53613208703</v>
      </c>
      <c r="F182">
        <v>286269.02051811712</v>
      </c>
      <c r="G182">
        <v>931034.46140427527</v>
      </c>
      <c r="H182">
        <v>307533.62654410402</v>
      </c>
      <c r="I182">
        <v>82791.780769697449</v>
      </c>
      <c r="J182">
        <v>190233.48251887833</v>
      </c>
      <c r="K182">
        <v>257642.1184663054</v>
      </c>
      <c r="L182">
        <v>838201.00829898519</v>
      </c>
    </row>
    <row r="183" spans="1:12" x14ac:dyDescent="0.25">
      <c r="A183" t="s">
        <v>516</v>
      </c>
      <c r="B183" t="s">
        <v>517</v>
      </c>
      <c r="C183">
        <v>101672.18865150066</v>
      </c>
      <c r="D183">
        <v>22320.43764243984</v>
      </c>
      <c r="E183">
        <v>49046.574486903235</v>
      </c>
      <c r="F183">
        <v>66530.219666926947</v>
      </c>
      <c r="G183">
        <v>239569.42044777068</v>
      </c>
      <c r="H183">
        <v>88000.208060871533</v>
      </c>
      <c r="I183">
        <v>18972.371996073864</v>
      </c>
      <c r="J183">
        <v>42567.133803953337</v>
      </c>
      <c r="K183">
        <v>56591.172578154634</v>
      </c>
      <c r="L183">
        <v>206130.88643905337</v>
      </c>
    </row>
    <row r="184" spans="1:12" x14ac:dyDescent="0.25">
      <c r="A184" t="s">
        <v>518</v>
      </c>
      <c r="B184" t="s">
        <v>519</v>
      </c>
      <c r="C184">
        <v>20855.833569538583</v>
      </c>
      <c r="D184">
        <v>5611.0308429237757</v>
      </c>
      <c r="E184">
        <v>19258.483313512916</v>
      </c>
      <c r="F184">
        <v>26123.559875562667</v>
      </c>
      <c r="G184">
        <v>71848.90760153794</v>
      </c>
      <c r="H184">
        <v>18780.679483609405</v>
      </c>
      <c r="I184">
        <v>5055.9866118899208</v>
      </c>
      <c r="J184">
        <v>17344.670042175188</v>
      </c>
      <c r="K184">
        <v>23528.036068021989</v>
      </c>
      <c r="L184">
        <v>64709.372205696505</v>
      </c>
    </row>
    <row r="185" spans="1:12" x14ac:dyDescent="0.25">
      <c r="A185" t="s">
        <v>520</v>
      </c>
      <c r="B185" t="s">
        <v>521</v>
      </c>
      <c r="C185">
        <v>72995.41749338503</v>
      </c>
      <c r="D185">
        <v>0</v>
      </c>
      <c r="E185">
        <v>35212.925272648485</v>
      </c>
      <c r="F185">
        <v>47765.285914716784</v>
      </c>
      <c r="G185">
        <v>155973.62868075029</v>
      </c>
      <c r="H185">
        <v>62080.579404153294</v>
      </c>
      <c r="I185">
        <v>0</v>
      </c>
      <c r="J185">
        <v>29951.769312460085</v>
      </c>
      <c r="K185">
        <v>40629.559799700757</v>
      </c>
      <c r="L185">
        <v>132661.90851631411</v>
      </c>
    </row>
    <row r="186" spans="1:12" x14ac:dyDescent="0.25">
      <c r="A186" t="s">
        <v>289</v>
      </c>
      <c r="B186" t="s">
        <v>290</v>
      </c>
      <c r="C186">
        <v>16088.554977325603</v>
      </c>
      <c r="D186">
        <v>0</v>
      </c>
      <c r="E186">
        <v>7696.1728616238088</v>
      </c>
      <c r="F186">
        <v>10578.5284889536</v>
      </c>
      <c r="G186">
        <v>34363.256327903007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x14ac:dyDescent="0.25">
      <c r="A187" t="s">
        <v>522</v>
      </c>
      <c r="B187" t="s">
        <v>523</v>
      </c>
      <c r="C187">
        <v>39104.68794288487</v>
      </c>
      <c r="D187">
        <v>10520.682830482085</v>
      </c>
      <c r="E187">
        <v>33576.467450825847</v>
      </c>
      <c r="F187">
        <v>45545.479546983734</v>
      </c>
      <c r="G187">
        <v>128747.31777117655</v>
      </c>
      <c r="H187">
        <v>35213.774031767643</v>
      </c>
      <c r="I187">
        <v>9479.9748972936068</v>
      </c>
      <c r="J187">
        <v>30239.803396552088</v>
      </c>
      <c r="K187">
        <v>41020.277887900615</v>
      </c>
      <c r="L187">
        <v>115953.83021351395</v>
      </c>
    </row>
    <row r="188" spans="1:12" x14ac:dyDescent="0.25">
      <c r="A188" t="s">
        <v>524</v>
      </c>
      <c r="B188" t="s">
        <v>525</v>
      </c>
      <c r="C188">
        <v>43473.871671297296</v>
      </c>
      <c r="D188">
        <v>11303.555176630483</v>
      </c>
      <c r="E188">
        <v>21880.423920906869</v>
      </c>
      <c r="F188">
        <v>29633.683288975371</v>
      </c>
      <c r="G188">
        <v>106291.53405781001</v>
      </c>
      <c r="H188">
        <v>36952.790920602703</v>
      </c>
      <c r="I188">
        <v>9608.021900135911</v>
      </c>
      <c r="J188">
        <v>18598.360332770837</v>
      </c>
      <c r="K188">
        <v>25188.630795629066</v>
      </c>
      <c r="L188">
        <v>90347.803949138528</v>
      </c>
    </row>
    <row r="189" spans="1:12" x14ac:dyDescent="0.25">
      <c r="A189" t="s">
        <v>526</v>
      </c>
      <c r="B189" t="s">
        <v>527</v>
      </c>
      <c r="C189">
        <v>199529.33695055248</v>
      </c>
      <c r="D189">
        <v>51879.227289207352</v>
      </c>
      <c r="E189">
        <v>175697.61470436701</v>
      </c>
      <c r="F189">
        <v>237955.51162986047</v>
      </c>
      <c r="G189">
        <v>665061.69057398732</v>
      </c>
      <c r="H189">
        <v>179576.40325549722</v>
      </c>
      <c r="I189">
        <v>46691.304560286619</v>
      </c>
      <c r="J189">
        <v>158127.85323393031</v>
      </c>
      <c r="K189">
        <v>214159.96046687441</v>
      </c>
      <c r="L189">
        <v>598555.52151658852</v>
      </c>
    </row>
    <row r="190" spans="1:12" x14ac:dyDescent="0.25">
      <c r="A190" t="s">
        <v>291</v>
      </c>
      <c r="B190" t="s">
        <v>292</v>
      </c>
      <c r="C190">
        <v>146859.82805216758</v>
      </c>
      <c r="D190">
        <v>0</v>
      </c>
      <c r="E190">
        <v>70845.052036637993</v>
      </c>
      <c r="F190">
        <v>96099.206185561125</v>
      </c>
      <c r="G190">
        <v>313804.08627436671</v>
      </c>
      <c r="H190">
        <v>186560.44108904761</v>
      </c>
      <c r="I190">
        <v>0</v>
      </c>
      <c r="J190">
        <v>90242.323664381081</v>
      </c>
      <c r="K190">
        <v>119757.40502739153</v>
      </c>
      <c r="L190">
        <v>396560.16978082026</v>
      </c>
    </row>
    <row r="191" spans="1:12" x14ac:dyDescent="0.25">
      <c r="A191" t="s">
        <v>528</v>
      </c>
      <c r="B191" t="s">
        <v>529</v>
      </c>
      <c r="C191">
        <v>784700.73805388925</v>
      </c>
      <c r="D191">
        <v>211115.03546500692</v>
      </c>
      <c r="E191">
        <v>440253.11951381498</v>
      </c>
      <c r="F191">
        <v>597190.26367733802</v>
      </c>
      <c r="G191">
        <v>2033259.1567100491</v>
      </c>
      <c r="H191">
        <v>811361.91832123534</v>
      </c>
      <c r="I191">
        <v>218891.90787580947</v>
      </c>
      <c r="J191">
        <v>460156.90993870399</v>
      </c>
      <c r="K191">
        <v>610658.00615496875</v>
      </c>
      <c r="L191">
        <v>2101068.7422907175</v>
      </c>
    </row>
    <row r="192" spans="1:12" x14ac:dyDescent="0.25">
      <c r="A192" t="s">
        <v>530</v>
      </c>
      <c r="B192" t="s">
        <v>531</v>
      </c>
      <c r="C192">
        <v>0</v>
      </c>
      <c r="D192">
        <v>2102.5690869090085</v>
      </c>
      <c r="E192">
        <v>0</v>
      </c>
      <c r="F192">
        <v>0</v>
      </c>
      <c r="G192">
        <v>2102.5690869090085</v>
      </c>
      <c r="H192">
        <v>0</v>
      </c>
      <c r="I192">
        <v>1787.1837238726573</v>
      </c>
      <c r="J192">
        <v>0</v>
      </c>
      <c r="K192">
        <v>0</v>
      </c>
      <c r="L192">
        <v>1787.1837238726573</v>
      </c>
    </row>
    <row r="193" spans="1:12" x14ac:dyDescent="0.25">
      <c r="A193" t="s">
        <v>532</v>
      </c>
      <c r="B193" t="s">
        <v>533</v>
      </c>
      <c r="C193">
        <v>13425.578566093693</v>
      </c>
      <c r="D193">
        <v>0</v>
      </c>
      <c r="E193">
        <v>0</v>
      </c>
      <c r="F193">
        <v>0</v>
      </c>
      <c r="G193">
        <v>13425.578566093693</v>
      </c>
      <c r="H193">
        <v>12320.029128522014</v>
      </c>
      <c r="I193">
        <v>0</v>
      </c>
      <c r="J193">
        <v>5959.3987325534672</v>
      </c>
      <c r="K193">
        <v>7908.5078791673659</v>
      </c>
      <c r="L193">
        <v>26187.935740242847</v>
      </c>
    </row>
    <row r="194" spans="1:12" x14ac:dyDescent="0.25">
      <c r="A194" t="s">
        <v>650</v>
      </c>
      <c r="B194" t="s">
        <v>651</v>
      </c>
      <c r="C194">
        <v>823555.38067352574</v>
      </c>
      <c r="D194">
        <v>203598.04963984294</v>
      </c>
      <c r="E194">
        <v>392116.44266631908</v>
      </c>
      <c r="F194">
        <v>520958.44262796786</v>
      </c>
      <c r="G194">
        <v>1940228.3156076556</v>
      </c>
      <c r="H194">
        <v>782377.61163984938</v>
      </c>
      <c r="I194">
        <v>193418.14715785079</v>
      </c>
      <c r="J194">
        <v>372510.62053300312</v>
      </c>
      <c r="K194">
        <v>494910.52049656946</v>
      </c>
      <c r="L194">
        <v>1843216.8998272726</v>
      </c>
    </row>
    <row r="195" spans="1:12" x14ac:dyDescent="0.25">
      <c r="A195" t="s">
        <v>534</v>
      </c>
      <c r="B195" t="s">
        <v>535</v>
      </c>
      <c r="C195">
        <v>2773825.8647486325</v>
      </c>
      <c r="D195">
        <v>746267.10210886225</v>
      </c>
      <c r="E195">
        <v>2057231.3187562202</v>
      </c>
      <c r="F195">
        <v>2790573.1026961021</v>
      </c>
      <c r="G195">
        <v>8367897.3883098168</v>
      </c>
      <c r="H195">
        <v>3164487.4818689381</v>
      </c>
      <c r="I195">
        <v>853725.92269133485</v>
      </c>
      <c r="J195">
        <v>2432924.5325649534</v>
      </c>
      <c r="K195">
        <v>3228648.3416700773</v>
      </c>
      <c r="L195">
        <v>9679786.2787953038</v>
      </c>
    </row>
    <row r="196" spans="1:12" x14ac:dyDescent="0.25">
      <c r="A196" t="s">
        <v>536</v>
      </c>
      <c r="B196" t="s">
        <v>537</v>
      </c>
      <c r="C196">
        <v>37729.576315330087</v>
      </c>
      <c r="D196">
        <v>9809.9923304690983</v>
      </c>
      <c r="E196">
        <v>23767.028483033719</v>
      </c>
      <c r="F196">
        <v>32188.800241356883</v>
      </c>
      <c r="G196">
        <v>103495.39737018978</v>
      </c>
      <c r="H196">
        <v>52800.124836522926</v>
      </c>
      <c r="I196">
        <v>14244.592703414935</v>
      </c>
      <c r="J196">
        <v>30469.937481074045</v>
      </c>
      <c r="K196">
        <v>40435.57940342083</v>
      </c>
      <c r="L196">
        <v>137950.23442443274</v>
      </c>
    </row>
    <row r="197" spans="1:12" x14ac:dyDescent="0.25">
      <c r="A197" t="s">
        <v>190</v>
      </c>
      <c r="B197" t="s">
        <v>191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 x14ac:dyDescent="0.25">
      <c r="A198" t="s">
        <v>293</v>
      </c>
      <c r="B198" t="s">
        <v>294</v>
      </c>
      <c r="C198">
        <v>23858.408552341083</v>
      </c>
      <c r="D198">
        <v>0</v>
      </c>
      <c r="E198">
        <v>10844.106621815814</v>
      </c>
      <c r="F198">
        <v>14686.681681506079</v>
      </c>
      <c r="G198">
        <v>49389.19685566298</v>
      </c>
      <c r="H198">
        <v>22000.052015217883</v>
      </c>
      <c r="I198">
        <v>0</v>
      </c>
      <c r="J198">
        <v>10641.783450988338</v>
      </c>
      <c r="K198">
        <v>14122.335498513155</v>
      </c>
      <c r="L198">
        <v>46764.170964719378</v>
      </c>
    </row>
    <row r="199" spans="1:12" x14ac:dyDescent="0.25">
      <c r="A199" t="s">
        <v>192</v>
      </c>
      <c r="B199" t="s">
        <v>193</v>
      </c>
      <c r="C199">
        <v>454483.37320286146</v>
      </c>
      <c r="D199">
        <v>0</v>
      </c>
      <c r="E199">
        <v>0</v>
      </c>
      <c r="F199">
        <v>0</v>
      </c>
      <c r="G199">
        <v>454483.37320286146</v>
      </c>
      <c r="H199">
        <v>554401.31078349019</v>
      </c>
      <c r="I199">
        <v>0</v>
      </c>
      <c r="J199">
        <v>268172.94296490605</v>
      </c>
      <c r="K199">
        <v>355882.85456253152</v>
      </c>
      <c r="L199">
        <v>1178457.1083109276</v>
      </c>
    </row>
    <row r="200" spans="1:12" x14ac:dyDescent="0.25">
      <c r="A200" t="s">
        <v>82</v>
      </c>
      <c r="B200" t="s">
        <v>1396</v>
      </c>
      <c r="C200">
        <v>20466.22775472542</v>
      </c>
      <c r="D200">
        <v>0</v>
      </c>
      <c r="E200">
        <v>11685.632508271046</v>
      </c>
      <c r="F200">
        <v>15851.212971659306</v>
      </c>
      <c r="G200">
        <v>48003.073234655771</v>
      </c>
      <c r="H200">
        <v>26625.342950897295</v>
      </c>
      <c r="I200">
        <v>0</v>
      </c>
      <c r="J200">
        <v>15027.7006022239</v>
      </c>
      <c r="K200">
        <v>19942.731465382712</v>
      </c>
      <c r="L200">
        <v>61595.775018503911</v>
      </c>
    </row>
    <row r="201" spans="1:12" x14ac:dyDescent="0.25">
      <c r="A201" t="s">
        <v>538</v>
      </c>
      <c r="B201" t="s">
        <v>539</v>
      </c>
      <c r="C201">
        <v>146859.82805216758</v>
      </c>
      <c r="D201">
        <v>38067.047760051493</v>
      </c>
      <c r="E201">
        <v>73775.444403139627</v>
      </c>
      <c r="F201">
        <v>101731.44377278694</v>
      </c>
      <c r="G201">
        <v>360433.76398814563</v>
      </c>
      <c r="H201">
        <v>205920.48686243937</v>
      </c>
      <c r="I201">
        <v>55553.911543318252</v>
      </c>
      <c r="J201">
        <v>99607.093101250823</v>
      </c>
      <c r="K201">
        <v>132185.06026608314</v>
      </c>
      <c r="L201">
        <v>493266.55177309155</v>
      </c>
    </row>
    <row r="202" spans="1:12" x14ac:dyDescent="0.25">
      <c r="A202" t="s">
        <v>540</v>
      </c>
      <c r="B202" t="s">
        <v>541</v>
      </c>
      <c r="C202">
        <v>51270.590858449024</v>
      </c>
      <c r="D202">
        <v>13793.78415552094</v>
      </c>
      <c r="E202">
        <v>25816.25420045463</v>
      </c>
      <c r="F202">
        <v>35484.907297151942</v>
      </c>
      <c r="G202">
        <v>126365.53651157653</v>
      </c>
      <c r="H202">
        <v>51920.122755914184</v>
      </c>
      <c r="I202">
        <v>14007.182825024685</v>
      </c>
      <c r="J202">
        <v>25944.795754910971</v>
      </c>
      <c r="K202">
        <v>34430.423413401062</v>
      </c>
      <c r="L202">
        <v>126302.52474925091</v>
      </c>
    </row>
    <row r="203" spans="1:12" x14ac:dyDescent="0.25">
      <c r="A203" t="s">
        <v>542</v>
      </c>
      <c r="B203" t="s">
        <v>543</v>
      </c>
      <c r="C203">
        <v>527478.79069624643</v>
      </c>
      <c r="D203">
        <v>108605.78014303076</v>
      </c>
      <c r="E203">
        <v>254455.3052440194</v>
      </c>
      <c r="F203">
        <v>345161.05416944157</v>
      </c>
      <c r="G203">
        <v>1235700.9302527383</v>
      </c>
      <c r="H203">
        <v>469041.10896444524</v>
      </c>
      <c r="I203">
        <v>92314.913121576144</v>
      </c>
      <c r="J203">
        <v>226882.82317507119</v>
      </c>
      <c r="K203">
        <v>301088.19282830047</v>
      </c>
      <c r="L203">
        <v>1089327.0380893929</v>
      </c>
    </row>
    <row r="204" spans="1:12" x14ac:dyDescent="0.25">
      <c r="A204" t="s">
        <v>544</v>
      </c>
      <c r="B204" t="s">
        <v>545</v>
      </c>
      <c r="C204">
        <v>196392.43277982171</v>
      </c>
      <c r="D204">
        <v>52837.20710419886</v>
      </c>
      <c r="E204">
        <v>101870.46881190789</v>
      </c>
      <c r="F204">
        <v>138184.26135833055</v>
      </c>
      <c r="G204">
        <v>489284.37005425902</v>
      </c>
      <c r="H204">
        <v>176851.39847065523</v>
      </c>
      <c r="I204">
        <v>47610.540595296734</v>
      </c>
      <c r="J204">
        <v>91747.0830812762</v>
      </c>
      <c r="K204">
        <v>124454.87141716557</v>
      </c>
      <c r="L204">
        <v>440663.89356439374</v>
      </c>
    </row>
    <row r="205" spans="1:12" x14ac:dyDescent="0.25">
      <c r="A205" t="s">
        <v>546</v>
      </c>
      <c r="B205" t="s">
        <v>547</v>
      </c>
      <c r="C205">
        <v>59960.521512423416</v>
      </c>
      <c r="D205">
        <v>16131.713673405853</v>
      </c>
      <c r="E205">
        <v>33670.22186436427</v>
      </c>
      <c r="F205">
        <v>45672.654620731671</v>
      </c>
      <c r="G205">
        <v>155435.11167092522</v>
      </c>
      <c r="H205">
        <v>53994.453515377027</v>
      </c>
      <c r="I205">
        <v>14535.961509183519</v>
      </c>
      <c r="J205">
        <v>30324.240957981485</v>
      </c>
      <c r="K205">
        <v>41134.817396924191</v>
      </c>
      <c r="L205">
        <v>139989.47337946622</v>
      </c>
    </row>
    <row r="206" spans="1:12" x14ac:dyDescent="0.25">
      <c r="A206" t="s">
        <v>77</v>
      </c>
      <c r="B206" t="s">
        <v>34</v>
      </c>
      <c r="C206">
        <v>46802.418223052831</v>
      </c>
      <c r="D206">
        <v>12331.665858523715</v>
      </c>
      <c r="E206">
        <v>39444.524193136269</v>
      </c>
      <c r="F206">
        <v>54217.210347621163</v>
      </c>
      <c r="G206">
        <v>152795.81862233399</v>
      </c>
      <c r="H206">
        <v>15489.808086869176</v>
      </c>
      <c r="I206">
        <v>4080.8669082905976</v>
      </c>
      <c r="J206">
        <v>13053.806484792109</v>
      </c>
      <c r="K206">
        <v>17942.692591694864</v>
      </c>
      <c r="L206">
        <v>50567.174071646747</v>
      </c>
    </row>
    <row r="207" spans="1:12" x14ac:dyDescent="0.25">
      <c r="A207" t="s">
        <v>548</v>
      </c>
      <c r="B207" t="s">
        <v>549</v>
      </c>
      <c r="C207">
        <v>311099.51741228387</v>
      </c>
      <c r="D207">
        <v>0</v>
      </c>
      <c r="E207">
        <v>150074.13390009711</v>
      </c>
      <c r="F207">
        <v>203571.09949367392</v>
      </c>
      <c r="G207">
        <v>664744.75080605492</v>
      </c>
      <c r="H207">
        <v>264581.51698436768</v>
      </c>
      <c r="I207">
        <v>0</v>
      </c>
      <c r="J207">
        <v>127651.58826024662</v>
      </c>
      <c r="K207">
        <v>173159.31438443897</v>
      </c>
      <c r="L207">
        <v>565392.41962905321</v>
      </c>
    </row>
    <row r="208" spans="1:12" x14ac:dyDescent="0.25">
      <c r="A208" t="s">
        <v>58</v>
      </c>
      <c r="B208" t="s">
        <v>1422</v>
      </c>
      <c r="C208">
        <v>364108.09440152778</v>
      </c>
      <c r="D208">
        <v>0</v>
      </c>
      <c r="E208">
        <v>175645.42487190137</v>
      </c>
      <c r="F208">
        <v>238257.79521745627</v>
      </c>
      <c r="G208">
        <v>778011.31449088547</v>
      </c>
      <c r="H208">
        <v>379280.89674235624</v>
      </c>
      <c r="I208">
        <v>0</v>
      </c>
      <c r="J208">
        <v>183464.3466950389</v>
      </c>
      <c r="K208">
        <v>243469.06399436682</v>
      </c>
      <c r="L208">
        <v>806214.30743176199</v>
      </c>
    </row>
    <row r="209" spans="1:12" x14ac:dyDescent="0.25">
      <c r="A209" t="s">
        <v>194</v>
      </c>
      <c r="B209" t="s">
        <v>195</v>
      </c>
      <c r="C209">
        <v>1817933.4928114458</v>
      </c>
      <c r="D209">
        <v>0</v>
      </c>
      <c r="E209">
        <v>1170620.1645698915</v>
      </c>
      <c r="F209">
        <v>1587911.4394862689</v>
      </c>
      <c r="G209">
        <v>4576465.096867606</v>
      </c>
      <c r="H209">
        <v>2060964.8727856106</v>
      </c>
      <c r="I209">
        <v>0</v>
      </c>
      <c r="J209">
        <v>1365340.8167618036</v>
      </c>
      <c r="K209">
        <v>1811895.6444592378</v>
      </c>
      <c r="L209">
        <v>5238201.3340066522</v>
      </c>
    </row>
    <row r="210" spans="1:12" x14ac:dyDescent="0.25">
      <c r="A210" t="s">
        <v>550</v>
      </c>
      <c r="B210" t="s">
        <v>551</v>
      </c>
      <c r="C210">
        <v>0</v>
      </c>
      <c r="D210">
        <v>2358.8185889551291</v>
      </c>
      <c r="E210">
        <v>0</v>
      </c>
      <c r="F210">
        <v>0</v>
      </c>
      <c r="G210">
        <v>2358.8185889551291</v>
      </c>
      <c r="H210">
        <v>12320.029128522014</v>
      </c>
      <c r="I210">
        <v>3323.7382974634843</v>
      </c>
      <c r="J210">
        <v>13338.017631481085</v>
      </c>
      <c r="K210">
        <v>17700.412787422938</v>
      </c>
      <c r="L210">
        <v>46682.197844889524</v>
      </c>
    </row>
    <row r="211" spans="1:12" x14ac:dyDescent="0.25">
      <c r="A211" t="s">
        <v>552</v>
      </c>
      <c r="B211" t="s">
        <v>553</v>
      </c>
      <c r="C211">
        <v>26938.785027320668</v>
      </c>
      <c r="D211">
        <v>7247.5815054432087</v>
      </c>
      <c r="E211">
        <v>13287.827912454144</v>
      </c>
      <c r="F211">
        <v>18024.543388814254</v>
      </c>
      <c r="G211">
        <v>65498.737834032276</v>
      </c>
      <c r="H211">
        <v>22910.690018199432</v>
      </c>
      <c r="I211">
        <v>6167.8355195971935</v>
      </c>
      <c r="J211">
        <v>11302.496262832077</v>
      </c>
      <c r="K211">
        <v>15331.830417296729</v>
      </c>
      <c r="L211">
        <v>55712.852217925436</v>
      </c>
    </row>
    <row r="212" spans="1:12" x14ac:dyDescent="0.25">
      <c r="A212" t="s">
        <v>554</v>
      </c>
      <c r="B212" t="s">
        <v>555</v>
      </c>
      <c r="C212">
        <v>221959.46413754844</v>
      </c>
      <c r="D212">
        <v>57711.240186380295</v>
      </c>
      <c r="E212">
        <v>143895.93089905556</v>
      </c>
      <c r="F212">
        <v>194885.00123438935</v>
      </c>
      <c r="G212">
        <v>618451.63645737362</v>
      </c>
      <c r="H212">
        <v>188665.54451691615</v>
      </c>
      <c r="I212">
        <v>49054.554158423249</v>
      </c>
      <c r="J212">
        <v>122311.54126419722</v>
      </c>
      <c r="K212">
        <v>165652.25104923095</v>
      </c>
      <c r="L212">
        <v>525683.89098876761</v>
      </c>
    </row>
    <row r="213" spans="1:12" x14ac:dyDescent="0.25">
      <c r="A213" t="s">
        <v>556</v>
      </c>
      <c r="B213" t="s">
        <v>557</v>
      </c>
      <c r="C213">
        <v>383225.94184027147</v>
      </c>
      <c r="D213">
        <v>82038.824787116231</v>
      </c>
      <c r="E213">
        <v>184867.85768140454</v>
      </c>
      <c r="F213">
        <v>250767.75105226313</v>
      </c>
      <c r="G213">
        <v>900900.37536105537</v>
      </c>
      <c r="H213">
        <v>524481.24004279403</v>
      </c>
      <c r="I213">
        <v>141496.28752058835</v>
      </c>
      <c r="J213">
        <v>288488.91634838498</v>
      </c>
      <c r="K213">
        <v>382843.46632669098</v>
      </c>
      <c r="L213">
        <v>1337309.9102384583</v>
      </c>
    </row>
    <row r="214" spans="1:12" x14ac:dyDescent="0.25">
      <c r="A214" t="s">
        <v>69</v>
      </c>
      <c r="B214" t="s">
        <v>16</v>
      </c>
      <c r="C214">
        <v>59718.402170953057</v>
      </c>
      <c r="D214">
        <v>16066.574148383796</v>
      </c>
      <c r="E214">
        <v>45142.553579007857</v>
      </c>
      <c r="F214">
        <v>61234.531409311487</v>
      </c>
      <c r="G214">
        <v>182162.0613076562</v>
      </c>
      <c r="H214">
        <v>60354.736563919032</v>
      </c>
      <c r="I214">
        <v>16282.700897711511</v>
      </c>
      <c r="J214">
        <v>45959.558680319067</v>
      </c>
      <c r="K214">
        <v>60991.309401883096</v>
      </c>
      <c r="L214">
        <v>183588.30554383271</v>
      </c>
    </row>
    <row r="215" spans="1:12" x14ac:dyDescent="0.25">
      <c r="A215" t="s">
        <v>196</v>
      </c>
      <c r="B215" t="s">
        <v>197</v>
      </c>
      <c r="C215">
        <v>93979.049962655801</v>
      </c>
      <c r="D215">
        <v>24613.633290635702</v>
      </c>
      <c r="E215">
        <v>45682.689847933238</v>
      </c>
      <c r="F215">
        <v>62993.39883687516</v>
      </c>
      <c r="G215">
        <v>227268.7719380999</v>
      </c>
      <c r="H215">
        <v>79795.174829403113</v>
      </c>
      <c r="I215">
        <v>20898.797895845313</v>
      </c>
      <c r="J215">
        <v>38787.987583847018</v>
      </c>
      <c r="K215">
        <v>53486.061790198633</v>
      </c>
      <c r="L215">
        <v>192968.02209929409</v>
      </c>
    </row>
    <row r="216" spans="1:12" x14ac:dyDescent="0.25">
      <c r="A216" t="s">
        <v>71</v>
      </c>
      <c r="B216" t="s">
        <v>22</v>
      </c>
      <c r="C216">
        <v>47665.177245278159</v>
      </c>
      <c r="D216">
        <v>11450.564836992338</v>
      </c>
      <c r="E216">
        <v>40145.236746375085</v>
      </c>
      <c r="F216">
        <v>55180.352397608876</v>
      </c>
      <c r="G216">
        <v>154441.33122625446</v>
      </c>
      <c r="H216">
        <v>23669.691942259891</v>
      </c>
      <c r="I216">
        <v>5851.0575501990634</v>
      </c>
      <c r="J216">
        <v>20124.780745653636</v>
      </c>
      <c r="K216">
        <v>26706.886757570974</v>
      </c>
      <c r="L216">
        <v>76352.416995683569</v>
      </c>
    </row>
    <row r="217" spans="1:12" x14ac:dyDescent="0.25">
      <c r="A217" t="s">
        <v>558</v>
      </c>
      <c r="B217" t="s">
        <v>559</v>
      </c>
      <c r="C217">
        <v>104279.16784769295</v>
      </c>
      <c r="D217">
        <v>28055.154214618866</v>
      </c>
      <c r="E217">
        <v>57907.341209751925</v>
      </c>
      <c r="F217">
        <v>78549.586210984635</v>
      </c>
      <c r="G217">
        <v>268791.24948304839</v>
      </c>
      <c r="H217">
        <v>115280.2725597417</v>
      </c>
      <c r="I217">
        <v>31100.694069122608</v>
      </c>
      <c r="J217">
        <v>68775.622310996347</v>
      </c>
      <c r="K217">
        <v>91269.702758771338</v>
      </c>
      <c r="L217">
        <v>306426.29169863201</v>
      </c>
    </row>
    <row r="218" spans="1:12" x14ac:dyDescent="0.25">
      <c r="A218" t="s">
        <v>560</v>
      </c>
      <c r="B218" t="s">
        <v>561</v>
      </c>
      <c r="C218">
        <v>93606.138049894391</v>
      </c>
      <c r="D218">
        <v>19042.926288557661</v>
      </c>
      <c r="E218">
        <v>44777.733013083969</v>
      </c>
      <c r="F218">
        <v>61547.802117548199</v>
      </c>
      <c r="G218">
        <v>218974.59946908423</v>
      </c>
      <c r="H218">
        <v>79827.734556492462</v>
      </c>
      <c r="I218">
        <v>16186.487345274012</v>
      </c>
      <c r="J218">
        <v>38186.651639283067</v>
      </c>
      <c r="K218">
        <v>52488.241821880249</v>
      </c>
      <c r="L218">
        <v>186689.11536292979</v>
      </c>
    </row>
    <row r="219" spans="1:12" x14ac:dyDescent="0.25">
      <c r="A219" t="s">
        <v>562</v>
      </c>
      <c r="B219" t="s">
        <v>1423</v>
      </c>
      <c r="C219">
        <v>2024161.4495529251</v>
      </c>
      <c r="D219">
        <v>0</v>
      </c>
      <c r="E219">
        <v>1348913.3189749229</v>
      </c>
      <c r="F219">
        <v>1829760.8010730494</v>
      </c>
      <c r="G219">
        <v>5202835.5696008969</v>
      </c>
      <c r="H219">
        <v>1958149.8052432481</v>
      </c>
      <c r="I219">
        <v>0</v>
      </c>
      <c r="J219">
        <v>1286059.2913420466</v>
      </c>
      <c r="K219">
        <v>1706683.9282118329</v>
      </c>
      <c r="L219">
        <v>4950893.0247971276</v>
      </c>
    </row>
    <row r="220" spans="1:12" x14ac:dyDescent="0.25">
      <c r="A220" t="s">
        <v>563</v>
      </c>
      <c r="B220" t="s">
        <v>564</v>
      </c>
      <c r="C220">
        <v>82554.341212756932</v>
      </c>
      <c r="D220">
        <v>22210.330419906608</v>
      </c>
      <c r="E220">
        <v>55123.686106688081</v>
      </c>
      <c r="F220">
        <v>74773.640848413983</v>
      </c>
      <c r="G220">
        <v>234661.99858776561</v>
      </c>
      <c r="H220">
        <v>74340.189622620572</v>
      </c>
      <c r="I220">
        <v>20013.280338730936</v>
      </c>
      <c r="J220">
        <v>49645.765529110104</v>
      </c>
      <c r="K220">
        <v>67344.455625457282</v>
      </c>
      <c r="L220">
        <v>211343.69111591889</v>
      </c>
    </row>
    <row r="221" spans="1:12" x14ac:dyDescent="0.25">
      <c r="A221" t="s">
        <v>198</v>
      </c>
      <c r="B221" t="s">
        <v>199</v>
      </c>
      <c r="C221">
        <v>1318262.4802079184</v>
      </c>
      <c r="D221">
        <v>0</v>
      </c>
      <c r="E221">
        <v>809058.87828823272</v>
      </c>
      <c r="F221">
        <v>1097464.3073262309</v>
      </c>
      <c r="G221">
        <v>3224785.6658223821</v>
      </c>
      <c r="H221">
        <v>1121217.5300686869</v>
      </c>
      <c r="I221">
        <v>0</v>
      </c>
      <c r="J221">
        <v>688251.95120409352</v>
      </c>
      <c r="K221">
        <v>933613.4208630725</v>
      </c>
      <c r="L221">
        <v>2743082.9021358527</v>
      </c>
    </row>
    <row r="222" spans="1:12" x14ac:dyDescent="0.25">
      <c r="A222" t="s">
        <v>200</v>
      </c>
      <c r="B222" t="s">
        <v>201</v>
      </c>
      <c r="C222">
        <v>154686.01391368813</v>
      </c>
      <c r="D222">
        <v>0</v>
      </c>
      <c r="E222">
        <v>0</v>
      </c>
      <c r="F222">
        <v>0</v>
      </c>
      <c r="G222">
        <v>154686.01391368813</v>
      </c>
      <c r="H222">
        <v>142560.33705861185</v>
      </c>
      <c r="I222">
        <v>0</v>
      </c>
      <c r="J222">
        <v>0</v>
      </c>
      <c r="K222">
        <v>0</v>
      </c>
      <c r="L222">
        <v>142560.33705861185</v>
      </c>
    </row>
    <row r="223" spans="1:12" x14ac:dyDescent="0.25">
      <c r="A223" t="s">
        <v>202</v>
      </c>
      <c r="B223" t="s">
        <v>203</v>
      </c>
      <c r="C223">
        <v>43146.579257373196</v>
      </c>
      <c r="D223">
        <v>0</v>
      </c>
      <c r="E223">
        <v>20639.736310718396</v>
      </c>
      <c r="F223">
        <v>28369.690038557383</v>
      </c>
      <c r="G223">
        <v>92156.005606648978</v>
      </c>
      <c r="H223">
        <v>47520.112352870616</v>
      </c>
      <c r="I223">
        <v>0</v>
      </c>
      <c r="J223">
        <v>22986.252254134801</v>
      </c>
      <c r="K223">
        <v>30504.244676788421</v>
      </c>
      <c r="L223">
        <v>101010.60928379383</v>
      </c>
    </row>
    <row r="224" spans="1:12" x14ac:dyDescent="0.25">
      <c r="A224" t="s">
        <v>295</v>
      </c>
      <c r="B224" t="s">
        <v>296</v>
      </c>
      <c r="C224">
        <v>210296.32182618076</v>
      </c>
      <c r="D224">
        <v>0</v>
      </c>
      <c r="E224">
        <v>101446.76090453488</v>
      </c>
      <c r="F224">
        <v>137609.5141828745</v>
      </c>
      <c r="G224">
        <v>449352.5969135901</v>
      </c>
      <c r="H224">
        <v>187440.44316965633</v>
      </c>
      <c r="I224">
        <v>0</v>
      </c>
      <c r="J224">
        <v>90667.995002420634</v>
      </c>
      <c r="K224">
        <v>120322.2984473321</v>
      </c>
      <c r="L224">
        <v>398430.73661940906</v>
      </c>
    </row>
    <row r="225" spans="1:12" x14ac:dyDescent="0.25">
      <c r="A225" t="s">
        <v>204</v>
      </c>
      <c r="B225" t="s">
        <v>205</v>
      </c>
      <c r="C225">
        <v>121997.64870928614</v>
      </c>
      <c r="D225">
        <v>0</v>
      </c>
      <c r="E225">
        <v>0</v>
      </c>
      <c r="F225">
        <v>0</v>
      </c>
      <c r="G225">
        <v>121997.64870928614</v>
      </c>
      <c r="H225">
        <v>115280.2725597417</v>
      </c>
      <c r="I225">
        <v>0</v>
      </c>
      <c r="J225">
        <v>0</v>
      </c>
      <c r="K225">
        <v>0</v>
      </c>
      <c r="L225">
        <v>115280.2725597417</v>
      </c>
    </row>
    <row r="226" spans="1:12" x14ac:dyDescent="0.25">
      <c r="A226" t="s">
        <v>565</v>
      </c>
      <c r="B226" t="s">
        <v>566</v>
      </c>
      <c r="C226">
        <v>223331.21780714233</v>
      </c>
      <c r="D226">
        <v>0</v>
      </c>
      <c r="E226">
        <v>107734.78327465076</v>
      </c>
      <c r="F226">
        <v>146139.0295247882</v>
      </c>
      <c r="G226">
        <v>477205.03060658131</v>
      </c>
      <c r="H226">
        <v>231440.54720009211</v>
      </c>
      <c r="I226">
        <v>0</v>
      </c>
      <c r="J226">
        <v>111951.56190439728</v>
      </c>
      <c r="K226">
        <v>148566.96944435837</v>
      </c>
      <c r="L226">
        <v>491959.07854884776</v>
      </c>
    </row>
    <row r="227" spans="1:12" x14ac:dyDescent="0.25">
      <c r="A227" t="s">
        <v>297</v>
      </c>
      <c r="B227" t="s">
        <v>298</v>
      </c>
      <c r="C227">
        <v>0</v>
      </c>
      <c r="D227">
        <v>1528.7970987972483</v>
      </c>
      <c r="E227">
        <v>0</v>
      </c>
      <c r="F227">
        <v>0</v>
      </c>
      <c r="G227">
        <v>1528.7970987972483</v>
      </c>
      <c r="H227">
        <v>0</v>
      </c>
      <c r="I227">
        <v>1299.4775339776611</v>
      </c>
      <c r="J227">
        <v>0</v>
      </c>
      <c r="K227">
        <v>0</v>
      </c>
      <c r="L227">
        <v>1299.4775339776611</v>
      </c>
    </row>
    <row r="228" spans="1:12" x14ac:dyDescent="0.25">
      <c r="A228" t="s">
        <v>1420</v>
      </c>
      <c r="B228" t="s">
        <v>1424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11149.360407220123</v>
      </c>
      <c r="I228">
        <v>0</v>
      </c>
      <c r="J228">
        <v>7939.2925539221214</v>
      </c>
      <c r="K228">
        <v>10535.955141703478</v>
      </c>
      <c r="L228">
        <v>29624.608102845723</v>
      </c>
    </row>
    <row r="229" spans="1:12" x14ac:dyDescent="0.25">
      <c r="A229" t="s">
        <v>567</v>
      </c>
      <c r="B229" t="s">
        <v>568</v>
      </c>
      <c r="C229">
        <v>40842.674073679715</v>
      </c>
      <c r="D229">
        <v>10988.268734059058</v>
      </c>
      <c r="E229">
        <v>22380.350179790723</v>
      </c>
      <c r="F229">
        <v>30358.279436657092</v>
      </c>
      <c r="G229">
        <v>104569.57242418658</v>
      </c>
      <c r="H229">
        <v>34735.562285657186</v>
      </c>
      <c r="I229">
        <v>9351.23449745381</v>
      </c>
      <c r="J229">
        <v>19036.506638596249</v>
      </c>
      <c r="K229">
        <v>25823.01154838589</v>
      </c>
      <c r="L229">
        <v>88946.314970093139</v>
      </c>
    </row>
    <row r="230" spans="1:12" x14ac:dyDescent="0.25">
      <c r="A230" t="s">
        <v>569</v>
      </c>
      <c r="B230" t="s">
        <v>570</v>
      </c>
      <c r="C230">
        <v>206820.3495645909</v>
      </c>
      <c r="D230">
        <v>52370.564365381637</v>
      </c>
      <c r="E230">
        <v>104555.24047984883</v>
      </c>
      <c r="F230">
        <v>137771.62268479104</v>
      </c>
      <c r="G230">
        <v>501517.77709461242</v>
      </c>
      <c r="H230">
        <v>212080.50142670039</v>
      </c>
      <c r="I230">
        <v>44514.979710574393</v>
      </c>
      <c r="J230">
        <v>102586.79246752756</v>
      </c>
      <c r="K230">
        <v>136139.3142056668</v>
      </c>
      <c r="L230">
        <v>495321.58781046909</v>
      </c>
    </row>
    <row r="231" spans="1:12" x14ac:dyDescent="0.25">
      <c r="A231" t="s">
        <v>206</v>
      </c>
      <c r="B231" t="s">
        <v>207</v>
      </c>
      <c r="C231">
        <v>74733.403624179948</v>
      </c>
      <c r="D231">
        <v>0</v>
      </c>
      <c r="E231">
        <v>36051.328255330583</v>
      </c>
      <c r="F231">
        <v>48902.554626971949</v>
      </c>
      <c r="G231">
        <v>159687.28650648249</v>
      </c>
      <c r="H231">
        <v>66000.15604565361</v>
      </c>
      <c r="I231">
        <v>0</v>
      </c>
      <c r="J231">
        <v>31925.350352965001</v>
      </c>
      <c r="K231">
        <v>42367.006495539463</v>
      </c>
      <c r="L231">
        <v>140292.51289415808</v>
      </c>
    </row>
    <row r="232" spans="1:12" x14ac:dyDescent="0.25">
      <c r="A232" t="s">
        <v>571</v>
      </c>
      <c r="B232" t="s">
        <v>572</v>
      </c>
      <c r="C232">
        <v>13597.261156452951</v>
      </c>
      <c r="D232">
        <v>3561.1979477865334</v>
      </c>
      <c r="E232">
        <v>7634.8743479050181</v>
      </c>
      <c r="F232">
        <v>10527.985249291687</v>
      </c>
      <c r="G232">
        <v>35321.31870143619</v>
      </c>
      <c r="H232">
        <v>14960.035370348154</v>
      </c>
      <c r="I232">
        <v>4035.9679326342316</v>
      </c>
      <c r="J232">
        <v>7242.0954590348974</v>
      </c>
      <c r="K232">
        <v>9610.7294661451524</v>
      </c>
      <c r="L232">
        <v>35848.828228162434</v>
      </c>
    </row>
    <row r="233" spans="1:12" x14ac:dyDescent="0.25">
      <c r="A233" t="s">
        <v>81</v>
      </c>
      <c r="B233" t="s">
        <v>51</v>
      </c>
      <c r="C233">
        <v>17446.121632891569</v>
      </c>
      <c r="D233">
        <v>0</v>
      </c>
      <c r="E233">
        <v>12323.201297372489</v>
      </c>
      <c r="F233">
        <v>16716.056073046999</v>
      </c>
      <c r="G233">
        <v>46485.379003311056</v>
      </c>
      <c r="H233">
        <v>15866.397502582486</v>
      </c>
      <c r="I233">
        <v>0</v>
      </c>
      <c r="J233">
        <v>11298.22401904302</v>
      </c>
      <c r="K233">
        <v>14993.474624731874</v>
      </c>
      <c r="L233">
        <v>42158.096146357384</v>
      </c>
    </row>
    <row r="234" spans="1:12" x14ac:dyDescent="0.25">
      <c r="A234" t="s">
        <v>80</v>
      </c>
      <c r="B234" t="s">
        <v>47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x14ac:dyDescent="0.25">
      <c r="A235" t="s">
        <v>59</v>
      </c>
      <c r="B235" t="s">
        <v>23</v>
      </c>
      <c r="C235">
        <v>5651489.4695779271</v>
      </c>
      <c r="D235">
        <v>1520470.5971846825</v>
      </c>
      <c r="E235">
        <v>4848413.4014268834</v>
      </c>
      <c r="F235">
        <v>6576728.5892542154</v>
      </c>
      <c r="G235">
        <v>18597102.057443708</v>
      </c>
      <c r="H235">
        <v>5228391.1844220888</v>
      </c>
      <c r="I235">
        <v>1292438.3549068831</v>
      </c>
      <c r="J235">
        <v>4445356.80885405</v>
      </c>
      <c r="K235">
        <v>5899276.2401499748</v>
      </c>
      <c r="L235">
        <v>16865462.588332996</v>
      </c>
    </row>
    <row r="236" spans="1:12" x14ac:dyDescent="0.25">
      <c r="A236" t="s">
        <v>299</v>
      </c>
      <c r="B236" t="s">
        <v>300</v>
      </c>
      <c r="C236">
        <v>497064.03340733645</v>
      </c>
      <c r="D236">
        <v>0</v>
      </c>
      <c r="E236">
        <v>239783.25304708249</v>
      </c>
      <c r="F236">
        <v>325258.85170497623</v>
      </c>
      <c r="G236">
        <v>1062106.1381593952</v>
      </c>
      <c r="H236">
        <v>422739.18356161535</v>
      </c>
      <c r="I236">
        <v>0</v>
      </c>
      <c r="J236">
        <v>203957.2862705616</v>
      </c>
      <c r="K236">
        <v>276667.95482653379</v>
      </c>
      <c r="L236">
        <v>903364.42465871072</v>
      </c>
    </row>
    <row r="237" spans="1:12" x14ac:dyDescent="0.25">
      <c r="A237" t="s">
        <v>573</v>
      </c>
      <c r="B237" t="s">
        <v>574</v>
      </c>
      <c r="C237">
        <v>439710.49109110521</v>
      </c>
      <c r="D237">
        <v>0</v>
      </c>
      <c r="E237">
        <v>212115.95461857293</v>
      </c>
      <c r="F237">
        <v>287728.98420055583</v>
      </c>
      <c r="G237">
        <v>939555.42991023394</v>
      </c>
      <c r="H237">
        <v>476961.12768992357</v>
      </c>
      <c r="I237">
        <v>0</v>
      </c>
      <c r="J237">
        <v>230713.86521742711</v>
      </c>
      <c r="K237">
        <v>306172.23360776505</v>
      </c>
      <c r="L237">
        <v>1013847.2265151157</v>
      </c>
    </row>
    <row r="238" spans="1:12" x14ac:dyDescent="0.25">
      <c r="A238" t="s">
        <v>575</v>
      </c>
      <c r="B238" t="s">
        <v>576</v>
      </c>
      <c r="C238">
        <v>72126.424427987542</v>
      </c>
      <c r="D238">
        <v>19404.81499844473</v>
      </c>
      <c r="E238">
        <v>49065.019352522257</v>
      </c>
      <c r="F238">
        <v>66555.239578596578</v>
      </c>
      <c r="G238">
        <v>207151.49835755109</v>
      </c>
      <c r="H238">
        <v>96800.228866958714</v>
      </c>
      <c r="I238">
        <v>26115.086622927378</v>
      </c>
      <c r="J238">
        <v>82427.955658485866</v>
      </c>
      <c r="K238">
        <v>109387.23284747836</v>
      </c>
      <c r="L238">
        <v>314730.50399585033</v>
      </c>
    </row>
    <row r="239" spans="1:12" x14ac:dyDescent="0.25">
      <c r="A239" t="s">
        <v>577</v>
      </c>
      <c r="B239" t="s">
        <v>578</v>
      </c>
      <c r="C239">
        <v>399736.81008282286</v>
      </c>
      <c r="D239">
        <v>76286.975229982709</v>
      </c>
      <c r="E239">
        <v>192832.68601688457</v>
      </c>
      <c r="F239">
        <v>261571.80381868707</v>
      </c>
      <c r="G239">
        <v>930428.27514837729</v>
      </c>
      <c r="H239">
        <v>347600.82184044254</v>
      </c>
      <c r="I239">
        <v>64843.928945485299</v>
      </c>
      <c r="J239">
        <v>168140.17852561575</v>
      </c>
      <c r="K239">
        <v>223132.9008765078</v>
      </c>
      <c r="L239">
        <v>803717.83018805133</v>
      </c>
    </row>
    <row r="240" spans="1:12" x14ac:dyDescent="0.25">
      <c r="A240" t="s">
        <v>208</v>
      </c>
      <c r="B240" t="s">
        <v>209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 x14ac:dyDescent="0.25">
      <c r="A241" t="s">
        <v>579</v>
      </c>
      <c r="B241" t="s">
        <v>580</v>
      </c>
      <c r="C241">
        <v>657827.75050586276</v>
      </c>
      <c r="D241">
        <v>176981.26450388736</v>
      </c>
      <c r="E241">
        <v>350487.36624534952</v>
      </c>
      <c r="F241">
        <v>475425.68896452303</v>
      </c>
      <c r="G241">
        <v>1660722.0702196225</v>
      </c>
      <c r="H241">
        <v>791121.87046723452</v>
      </c>
      <c r="I241">
        <v>213431.48067283371</v>
      </c>
      <c r="J241">
        <v>458741.38247118739</v>
      </c>
      <c r="K241">
        <v>608779.50957629853</v>
      </c>
      <c r="L241">
        <v>2072074.2431875542</v>
      </c>
    </row>
    <row r="242" spans="1:12" x14ac:dyDescent="0.25">
      <c r="A242" t="s">
        <v>210</v>
      </c>
      <c r="B242" t="s">
        <v>211</v>
      </c>
      <c r="C242">
        <v>585701.32607787522</v>
      </c>
      <c r="D242">
        <v>0</v>
      </c>
      <c r="E242">
        <v>282541.80516386998</v>
      </c>
      <c r="F242">
        <v>383259.55602998938</v>
      </c>
      <c r="G242">
        <v>1251502.6872717347</v>
      </c>
      <c r="H242">
        <v>607201.43562001339</v>
      </c>
      <c r="I242">
        <v>0</v>
      </c>
      <c r="J242">
        <v>293713.22324727819</v>
      </c>
      <c r="K242">
        <v>389776.45975896297</v>
      </c>
      <c r="L242">
        <v>1290691.1186262546</v>
      </c>
    </row>
    <row r="243" spans="1:12" x14ac:dyDescent="0.25">
      <c r="A243" t="s">
        <v>301</v>
      </c>
      <c r="B243" t="s">
        <v>302</v>
      </c>
      <c r="C243">
        <v>13903.889046359061</v>
      </c>
      <c r="D243">
        <v>0</v>
      </c>
      <c r="E243">
        <v>6707.2238614568541</v>
      </c>
      <c r="F243">
        <v>9098.1496980412903</v>
      </c>
      <c r="G243">
        <v>29709.262605857206</v>
      </c>
      <c r="H243">
        <v>14960.035370348154</v>
      </c>
      <c r="I243">
        <v>0</v>
      </c>
      <c r="J243">
        <v>7236.4127466720674</v>
      </c>
      <c r="K243">
        <v>9603.188138988944</v>
      </c>
      <c r="L243">
        <v>31799.636256009166</v>
      </c>
    </row>
    <row r="244" spans="1:12" x14ac:dyDescent="0.25">
      <c r="A244" t="s">
        <v>212</v>
      </c>
      <c r="B244" t="s">
        <v>213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 x14ac:dyDescent="0.25">
      <c r="A245" t="s">
        <v>214</v>
      </c>
      <c r="B245" t="s">
        <v>215</v>
      </c>
      <c r="C245">
        <v>500540.00566892594</v>
      </c>
      <c r="D245">
        <v>0</v>
      </c>
      <c r="E245">
        <v>241460.05901244679</v>
      </c>
      <c r="F245">
        <v>327533.38912948652</v>
      </c>
      <c r="G245">
        <v>1069533.4538108592</v>
      </c>
      <c r="H245">
        <v>491041.16097966296</v>
      </c>
      <c r="I245">
        <v>0</v>
      </c>
      <c r="J245">
        <v>237524.60662605963</v>
      </c>
      <c r="K245">
        <v>315210.5283268136</v>
      </c>
      <c r="L245">
        <v>1043776.2959325362</v>
      </c>
    </row>
    <row r="246" spans="1:12" x14ac:dyDescent="0.25">
      <c r="A246" t="s">
        <v>216</v>
      </c>
      <c r="B246" t="s">
        <v>217</v>
      </c>
      <c r="C246">
        <v>231153.43965970015</v>
      </c>
      <c r="D246">
        <v>0</v>
      </c>
      <c r="E246">
        <v>0</v>
      </c>
      <c r="F246">
        <v>0</v>
      </c>
      <c r="G246">
        <v>231153.43965970015</v>
      </c>
      <c r="H246">
        <v>196452.92854929666</v>
      </c>
      <c r="I246">
        <v>0</v>
      </c>
      <c r="J246">
        <v>0</v>
      </c>
      <c r="K246">
        <v>0</v>
      </c>
      <c r="L246">
        <v>196452.92854929666</v>
      </c>
    </row>
    <row r="247" spans="1:12" x14ac:dyDescent="0.25">
      <c r="A247" t="s">
        <v>581</v>
      </c>
      <c r="B247" t="s">
        <v>582</v>
      </c>
      <c r="C247">
        <v>178143.57840647543</v>
      </c>
      <c r="D247">
        <v>47927.555116640571</v>
      </c>
      <c r="E247">
        <v>149167.08667320799</v>
      </c>
      <c r="F247">
        <v>202340.71690560295</v>
      </c>
      <c r="G247">
        <v>577578.93710192689</v>
      </c>
      <c r="H247">
        <v>160418.30392249697</v>
      </c>
      <c r="I247">
        <v>43186.552309893064</v>
      </c>
      <c r="J247">
        <v>134343.59587828844</v>
      </c>
      <c r="K247">
        <v>182237.01930600349</v>
      </c>
      <c r="L247">
        <v>520185.471416682</v>
      </c>
    </row>
    <row r="248" spans="1:12" x14ac:dyDescent="0.25">
      <c r="A248" t="s">
        <v>583</v>
      </c>
      <c r="B248" t="s">
        <v>584</v>
      </c>
      <c r="C248">
        <v>71237.024177676998</v>
      </c>
      <c r="D248">
        <v>18769.781824691938</v>
      </c>
      <c r="E248">
        <v>44986.60796766854</v>
      </c>
      <c r="F248">
        <v>61834.904512131849</v>
      </c>
      <c r="G248">
        <v>196828.31848216933</v>
      </c>
      <c r="H248">
        <v>64113.321759909297</v>
      </c>
      <c r="I248">
        <v>16892.803642222745</v>
      </c>
      <c r="J248">
        <v>40487.947170901687</v>
      </c>
      <c r="K248">
        <v>55651.414060918665</v>
      </c>
      <c r="L248">
        <v>177145.48663395242</v>
      </c>
    </row>
    <row r="249" spans="1:12" x14ac:dyDescent="0.25">
      <c r="A249" t="s">
        <v>218</v>
      </c>
      <c r="B249" t="s">
        <v>219</v>
      </c>
      <c r="C249">
        <v>861172.12780886411</v>
      </c>
      <c r="D249">
        <v>0</v>
      </c>
      <c r="E249">
        <v>483109.76008647622</v>
      </c>
      <c r="F249">
        <v>664043.08378385974</v>
      </c>
      <c r="G249">
        <v>2008324.9716792</v>
      </c>
      <c r="H249">
        <v>856242.02443227987</v>
      </c>
      <c r="I249">
        <v>0</v>
      </c>
      <c r="J249">
        <v>474197.87057604012</v>
      </c>
      <c r="K249">
        <v>629291.26981374621</v>
      </c>
      <c r="L249">
        <v>1959731.1648220662</v>
      </c>
    </row>
    <row r="250" spans="1:12" x14ac:dyDescent="0.25">
      <c r="A250" t="s">
        <v>220</v>
      </c>
      <c r="B250" t="s">
        <v>221</v>
      </c>
      <c r="C250">
        <v>130348.95980961616</v>
      </c>
      <c r="D250">
        <v>0</v>
      </c>
      <c r="E250">
        <v>62880.223701158022</v>
      </c>
      <c r="F250">
        <v>85295.153419137103</v>
      </c>
      <c r="G250">
        <v>278524.33692991128</v>
      </c>
      <c r="H250">
        <v>124960.29544643755</v>
      </c>
      <c r="I250">
        <v>0</v>
      </c>
      <c r="J250">
        <v>60445.330001613744</v>
      </c>
      <c r="K250">
        <v>80214.865631554727</v>
      </c>
      <c r="L250">
        <v>265620.491079606</v>
      </c>
    </row>
    <row r="251" spans="1:12" x14ac:dyDescent="0.25">
      <c r="A251" t="s">
        <v>585</v>
      </c>
      <c r="B251" t="s">
        <v>586</v>
      </c>
      <c r="C251">
        <v>59960.521512423416</v>
      </c>
      <c r="D251">
        <v>16131.713673405853</v>
      </c>
      <c r="E251">
        <v>33131.401227469054</v>
      </c>
      <c r="F251">
        <v>44941.760451083115</v>
      </c>
      <c r="G251">
        <v>154165.39686438144</v>
      </c>
      <c r="H251">
        <v>66000.15604565361</v>
      </c>
      <c r="I251">
        <v>17805.740879268666</v>
      </c>
      <c r="J251">
        <v>37863.593220017916</v>
      </c>
      <c r="K251">
        <v>50247.439171735794</v>
      </c>
      <c r="L251">
        <v>171916.92931667599</v>
      </c>
    </row>
    <row r="252" spans="1:12" x14ac:dyDescent="0.25">
      <c r="A252" t="s">
        <v>61</v>
      </c>
      <c r="B252" t="s">
        <v>31</v>
      </c>
      <c r="C252">
        <v>4414149.4521885253</v>
      </c>
      <c r="D252">
        <v>1162307.3328683204</v>
      </c>
      <c r="E252">
        <v>3719677.172166246</v>
      </c>
      <c r="F252">
        <v>5112653.2319499152</v>
      </c>
      <c r="G252">
        <v>14408787.189173006</v>
      </c>
      <c r="H252">
        <v>3738734.3885995536</v>
      </c>
      <c r="I252">
        <v>984988.15219393873</v>
      </c>
      <c r="J252">
        <v>3150763.0651788535</v>
      </c>
      <c r="K252">
        <v>4330780.6940169102</v>
      </c>
      <c r="L252">
        <v>12205266.299989257</v>
      </c>
    </row>
    <row r="253" spans="1:12" x14ac:dyDescent="0.25">
      <c r="A253" t="s">
        <v>78</v>
      </c>
      <c r="B253" t="s">
        <v>36</v>
      </c>
      <c r="C253">
        <v>86915.03389674965</v>
      </c>
      <c r="D253">
        <v>0</v>
      </c>
      <c r="E253">
        <v>73240.806865636594</v>
      </c>
      <c r="F253">
        <v>100668.64155153101</v>
      </c>
      <c r="G253">
        <v>260824.48231391725</v>
      </c>
      <c r="H253">
        <v>94875.074532073733</v>
      </c>
      <c r="I253">
        <v>0</v>
      </c>
      <c r="J253">
        <v>79954.564719351692</v>
      </c>
      <c r="K253">
        <v>109898.99212413108</v>
      </c>
      <c r="L253">
        <v>284728.63137555652</v>
      </c>
    </row>
    <row r="254" spans="1:12" x14ac:dyDescent="0.25">
      <c r="A254" t="s">
        <v>587</v>
      </c>
      <c r="B254" t="s">
        <v>588</v>
      </c>
      <c r="C254">
        <v>17379.861307948824</v>
      </c>
      <c r="D254">
        <v>4675.8590357698122</v>
      </c>
      <c r="E254">
        <v>8677.2147168561896</v>
      </c>
      <c r="F254">
        <v>11926.988223554987</v>
      </c>
      <c r="G254">
        <v>42659.923284129814</v>
      </c>
      <c r="H254">
        <v>31680.074901913747</v>
      </c>
      <c r="I254">
        <v>8546.7556220489623</v>
      </c>
      <c r="J254">
        <v>22788.283156596062</v>
      </c>
      <c r="K254">
        <v>30241.526869509573</v>
      </c>
      <c r="L254">
        <v>93256.640550068347</v>
      </c>
    </row>
    <row r="255" spans="1:12" x14ac:dyDescent="0.25">
      <c r="A255" t="s">
        <v>589</v>
      </c>
      <c r="B255" t="s">
        <v>590</v>
      </c>
      <c r="C255">
        <v>20855.833569538583</v>
      </c>
      <c r="D255">
        <v>0</v>
      </c>
      <c r="E255">
        <v>10060.835792185284</v>
      </c>
      <c r="F255">
        <v>13647.224547061936</v>
      </c>
      <c r="G255">
        <v>44563.893908785802</v>
      </c>
      <c r="H255">
        <v>17737.308401186659</v>
      </c>
      <c r="I255">
        <v>0</v>
      </c>
      <c r="J255">
        <v>8557.6483749885992</v>
      </c>
      <c r="K255">
        <v>11608.44565705736</v>
      </c>
      <c r="L255">
        <v>37903.402433232623</v>
      </c>
    </row>
    <row r="256" spans="1:12" x14ac:dyDescent="0.25">
      <c r="A256" t="s">
        <v>222</v>
      </c>
      <c r="B256" t="s">
        <v>223</v>
      </c>
      <c r="C256">
        <v>371929.0319901047</v>
      </c>
      <c r="D256">
        <v>0</v>
      </c>
      <c r="E256">
        <v>179418.23829397091</v>
      </c>
      <c r="F256">
        <v>243375.5044226046</v>
      </c>
      <c r="G256">
        <v>794722.77470668021</v>
      </c>
      <c r="H256">
        <v>356400.84264652972</v>
      </c>
      <c r="I256">
        <v>0</v>
      </c>
      <c r="J256">
        <v>172396.89190601109</v>
      </c>
      <c r="K256">
        <v>228781.83507591311</v>
      </c>
      <c r="L256">
        <v>757579.56962845393</v>
      </c>
    </row>
    <row r="257" spans="1:12" x14ac:dyDescent="0.25">
      <c r="A257" t="s">
        <v>224</v>
      </c>
      <c r="B257" t="s">
        <v>225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 x14ac:dyDescent="0.25">
      <c r="A258" t="s">
        <v>591</v>
      </c>
      <c r="B258" t="s">
        <v>592</v>
      </c>
      <c r="C258">
        <v>0</v>
      </c>
      <c r="D258">
        <v>3230.306654611838</v>
      </c>
      <c r="E258">
        <v>0</v>
      </c>
      <c r="F258">
        <v>0</v>
      </c>
      <c r="G258">
        <v>3230.306654611838</v>
      </c>
      <c r="H258">
        <v>0</v>
      </c>
      <c r="I258">
        <v>3068.7913218812459</v>
      </c>
      <c r="J258">
        <v>0</v>
      </c>
      <c r="K258">
        <v>0</v>
      </c>
      <c r="L258">
        <v>3068.7913218812459</v>
      </c>
    </row>
    <row r="259" spans="1:12" x14ac:dyDescent="0.25">
      <c r="A259" t="s">
        <v>226</v>
      </c>
      <c r="B259" t="s">
        <v>227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 x14ac:dyDescent="0.25">
      <c r="A260" t="s">
        <v>228</v>
      </c>
      <c r="B260" t="s">
        <v>229</v>
      </c>
      <c r="C260">
        <v>217248.26634936035</v>
      </c>
      <c r="D260">
        <v>0</v>
      </c>
      <c r="E260">
        <v>104800.37283526333</v>
      </c>
      <c r="F260">
        <v>142158.58903189519</v>
      </c>
      <c r="G260">
        <v>464207.22821651888</v>
      </c>
      <c r="H260">
        <v>234080.55344191825</v>
      </c>
      <c r="I260">
        <v>0</v>
      </c>
      <c r="J260">
        <v>113228.57591851587</v>
      </c>
      <c r="K260">
        <v>150261.64970417999</v>
      </c>
      <c r="L260">
        <v>497570.77906461409</v>
      </c>
    </row>
    <row r="261" spans="1:12" x14ac:dyDescent="0.25">
      <c r="A261" t="s">
        <v>593</v>
      </c>
      <c r="B261" t="s">
        <v>594</v>
      </c>
      <c r="C261">
        <v>0</v>
      </c>
      <c r="D261">
        <v>1617.3608360838525</v>
      </c>
      <c r="E261">
        <v>0</v>
      </c>
      <c r="F261">
        <v>0</v>
      </c>
      <c r="G261">
        <v>1617.3608360838525</v>
      </c>
      <c r="H261">
        <v>0</v>
      </c>
      <c r="I261">
        <v>1374.7567106712745</v>
      </c>
      <c r="J261">
        <v>0</v>
      </c>
      <c r="K261">
        <v>0</v>
      </c>
      <c r="L261">
        <v>1374.7567106712745</v>
      </c>
    </row>
    <row r="262" spans="1:12" x14ac:dyDescent="0.25">
      <c r="A262" t="s">
        <v>595</v>
      </c>
      <c r="B262" t="s">
        <v>596</v>
      </c>
      <c r="C262">
        <v>123397.01528643665</v>
      </c>
      <c r="D262">
        <v>33198.599153965675</v>
      </c>
      <c r="E262">
        <v>59596.408818737858</v>
      </c>
      <c r="F262">
        <v>80840.756190411703</v>
      </c>
      <c r="G262">
        <v>297032.77944955189</v>
      </c>
      <c r="H262">
        <v>104945.74137368771</v>
      </c>
      <c r="I262">
        <v>28252.665928477476</v>
      </c>
      <c r="J262">
        <v>50692.121570950687</v>
      </c>
      <c r="K262">
        <v>68763.83706266855</v>
      </c>
      <c r="L262">
        <v>252654.36593578442</v>
      </c>
    </row>
    <row r="263" spans="1:12" x14ac:dyDescent="0.25">
      <c r="A263" t="s">
        <v>230</v>
      </c>
      <c r="B263" t="s">
        <v>231</v>
      </c>
      <c r="C263">
        <v>187702.50212584724</v>
      </c>
      <c r="D263">
        <v>0</v>
      </c>
      <c r="E263">
        <v>90547.522129667603</v>
      </c>
      <c r="F263">
        <v>122825.02092355747</v>
      </c>
      <c r="G263">
        <v>401075.0451790723</v>
      </c>
      <c r="H263">
        <v>182160.43068600411</v>
      </c>
      <c r="I263">
        <v>0</v>
      </c>
      <c r="J263">
        <v>88113.966974183451</v>
      </c>
      <c r="K263">
        <v>116932.93792768894</v>
      </c>
      <c r="L263">
        <v>387207.3355878765</v>
      </c>
    </row>
    <row r="264" spans="1:12" x14ac:dyDescent="0.25">
      <c r="A264" t="s">
        <v>597</v>
      </c>
      <c r="B264" t="s">
        <v>598</v>
      </c>
      <c r="C264">
        <v>22593.819700333479</v>
      </c>
      <c r="D264">
        <v>6078.6167465007529</v>
      </c>
      <c r="E264">
        <v>13739.349838777591</v>
      </c>
      <c r="F264">
        <v>18637.019453799265</v>
      </c>
      <c r="G264">
        <v>61048.805739411087</v>
      </c>
      <c r="H264">
        <v>22880.054095826603</v>
      </c>
      <c r="I264">
        <v>6172.6568381464704</v>
      </c>
      <c r="J264">
        <v>14071.726033292931</v>
      </c>
      <c r="K264">
        <v>18674.091330703432</v>
      </c>
      <c r="L264">
        <v>61798.528297969431</v>
      </c>
    </row>
    <row r="265" spans="1:12" x14ac:dyDescent="0.25">
      <c r="A265" t="s">
        <v>72</v>
      </c>
      <c r="B265" t="s">
        <v>26</v>
      </c>
      <c r="C265">
        <v>87908.76148636383</v>
      </c>
      <c r="D265">
        <v>23650.877842814029</v>
      </c>
      <c r="E265">
        <v>75416.93558621408</v>
      </c>
      <c r="F265">
        <v>102300.83025466157</v>
      </c>
      <c r="G265">
        <v>289277.40517005348</v>
      </c>
      <c r="H265">
        <v>88281.553730591055</v>
      </c>
      <c r="I265">
        <v>21822.863295337072</v>
      </c>
      <c r="J265">
        <v>75059.993051356898</v>
      </c>
      <c r="K265">
        <v>99609.469528237794</v>
      </c>
      <c r="L265">
        <v>284773.87960552284</v>
      </c>
    </row>
    <row r="266" spans="1:12" x14ac:dyDescent="0.25">
      <c r="A266" t="s">
        <v>73</v>
      </c>
      <c r="B266" t="s">
        <v>28</v>
      </c>
      <c r="C266">
        <v>31495.345883755865</v>
      </c>
      <c r="D266">
        <v>0</v>
      </c>
      <c r="E266">
        <v>26599.334127917802</v>
      </c>
      <c r="F266">
        <v>36461.089314891666</v>
      </c>
      <c r="G266">
        <v>94555.769326565336</v>
      </c>
      <c r="H266">
        <v>22390.249134570171</v>
      </c>
      <c r="I266">
        <v>0</v>
      </c>
      <c r="J266">
        <v>19036.954759402091</v>
      </c>
      <c r="K266">
        <v>25263.27125716173</v>
      </c>
      <c r="L266">
        <v>66690.475151133985</v>
      </c>
    </row>
    <row r="267" spans="1:12" x14ac:dyDescent="0.25">
      <c r="A267" t="s">
        <v>232</v>
      </c>
      <c r="B267" t="s">
        <v>233</v>
      </c>
      <c r="C267">
        <v>486636.11662256706</v>
      </c>
      <c r="D267">
        <v>0</v>
      </c>
      <c r="E267">
        <v>234752.83515098982</v>
      </c>
      <c r="F267">
        <v>318435.23943144525</v>
      </c>
      <c r="G267">
        <v>1039824.1912050021</v>
      </c>
      <c r="H267">
        <v>571121.35031505616</v>
      </c>
      <c r="I267">
        <v>0</v>
      </c>
      <c r="J267">
        <v>276260.69838765712</v>
      </c>
      <c r="K267">
        <v>366615.82954140147</v>
      </c>
      <c r="L267">
        <v>1213997.8782441148</v>
      </c>
    </row>
    <row r="268" spans="1:12" x14ac:dyDescent="0.25">
      <c r="A268" t="s">
        <v>599</v>
      </c>
      <c r="B268" t="s">
        <v>600</v>
      </c>
      <c r="C268">
        <v>1140118.9018014425</v>
      </c>
      <c r="D268">
        <v>306736.3527464997</v>
      </c>
      <c r="E268">
        <v>680154.41970085911</v>
      </c>
      <c r="F268">
        <v>922609.2428169999</v>
      </c>
      <c r="G268">
        <v>3049618.9170658016</v>
      </c>
      <c r="H268">
        <v>1225842.8982879398</v>
      </c>
      <c r="I268">
        <v>330711.96059761674</v>
      </c>
      <c r="J268">
        <v>742370.81354094623</v>
      </c>
      <c r="K268">
        <v>985174.12437627779</v>
      </c>
      <c r="L268">
        <v>3284099.7968027806</v>
      </c>
    </row>
    <row r="269" spans="1:12" x14ac:dyDescent="0.25">
      <c r="A269" t="s">
        <v>67</v>
      </c>
      <c r="B269" t="s">
        <v>12</v>
      </c>
      <c r="C269">
        <v>14741.468936946862</v>
      </c>
      <c r="D269">
        <v>3881.0824915780217</v>
      </c>
      <c r="E269">
        <v>8242.751003376763</v>
      </c>
      <c r="F269">
        <v>11329.565875478922</v>
      </c>
      <c r="G269">
        <v>38194.868307380573</v>
      </c>
      <c r="H269">
        <v>16229.439190385176</v>
      </c>
      <c r="I269">
        <v>4378.4319030996658</v>
      </c>
      <c r="J269">
        <v>8817.8379163319114</v>
      </c>
      <c r="K269">
        <v>11701.841707217232</v>
      </c>
      <c r="L269">
        <v>41127.550717033984</v>
      </c>
    </row>
    <row r="270" spans="1:12" x14ac:dyDescent="0.25">
      <c r="A270" t="s">
        <v>62</v>
      </c>
      <c r="B270" t="s">
        <v>38</v>
      </c>
      <c r="C270">
        <v>3824677.3291069693</v>
      </c>
      <c r="D270">
        <v>0</v>
      </c>
      <c r="E270">
        <v>3078005.6871964685</v>
      </c>
      <c r="F270">
        <v>4175223.1760836504</v>
      </c>
      <c r="G270">
        <v>11077906.192387089</v>
      </c>
      <c r="H270">
        <v>4315455.8208886422</v>
      </c>
      <c r="I270">
        <v>0</v>
      </c>
      <c r="J270">
        <v>3553640.7697421736</v>
      </c>
      <c r="K270">
        <v>4715911.3340943456</v>
      </c>
      <c r="L270">
        <v>12585007.924725162</v>
      </c>
    </row>
    <row r="271" spans="1:12" x14ac:dyDescent="0.25">
      <c r="A271" t="s">
        <v>601</v>
      </c>
      <c r="B271" t="s">
        <v>602</v>
      </c>
      <c r="C271">
        <v>67365.446776716301</v>
      </c>
      <c r="D271">
        <v>17749.684986393455</v>
      </c>
      <c r="E271">
        <v>44335.308021352357</v>
      </c>
      <c r="F271">
        <v>60939.680982094593</v>
      </c>
      <c r="G271">
        <v>190390.12076655671</v>
      </c>
      <c r="H271">
        <v>57260.629760208853</v>
      </c>
      <c r="I271">
        <v>15087.232238434437</v>
      </c>
      <c r="J271">
        <v>37685.011818149505</v>
      </c>
      <c r="K271">
        <v>51798.728834780406</v>
      </c>
      <c r="L271">
        <v>161831.60265157319</v>
      </c>
    </row>
    <row r="272" spans="1:12" x14ac:dyDescent="0.25">
      <c r="A272" t="s">
        <v>234</v>
      </c>
      <c r="B272" t="s">
        <v>235</v>
      </c>
      <c r="C272">
        <v>361501.11520533566</v>
      </c>
      <c r="D272">
        <v>0</v>
      </c>
      <c r="E272">
        <v>0</v>
      </c>
      <c r="F272">
        <v>0</v>
      </c>
      <c r="G272">
        <v>361501.11520533566</v>
      </c>
      <c r="H272">
        <v>353760.83640470367</v>
      </c>
      <c r="I272">
        <v>0</v>
      </c>
      <c r="J272">
        <v>0</v>
      </c>
      <c r="K272">
        <v>0</v>
      </c>
      <c r="L272">
        <v>353760.83640470367</v>
      </c>
    </row>
    <row r="273" spans="1:12" x14ac:dyDescent="0.25">
      <c r="A273" t="s">
        <v>236</v>
      </c>
      <c r="B273" t="s">
        <v>237</v>
      </c>
      <c r="C273">
        <v>20476.342698414395</v>
      </c>
      <c r="D273">
        <v>5395.1788336674917</v>
      </c>
      <c r="E273">
        <v>10478.496772818438</v>
      </c>
      <c r="F273">
        <v>14402.882916702147</v>
      </c>
      <c r="G273">
        <v>50752.901221602471</v>
      </c>
      <c r="H273">
        <v>17404.891293652236</v>
      </c>
      <c r="I273">
        <v>4585.9020086173678</v>
      </c>
      <c r="J273">
        <v>8906.7222568956731</v>
      </c>
      <c r="K273">
        <v>12242.450479196825</v>
      </c>
      <c r="L273">
        <v>43139.966038362094</v>
      </c>
    </row>
    <row r="274" spans="1:12" x14ac:dyDescent="0.25">
      <c r="A274" t="s">
        <v>303</v>
      </c>
      <c r="B274" t="s">
        <v>304</v>
      </c>
      <c r="C274">
        <v>142603.10093538597</v>
      </c>
      <c r="D274">
        <v>0</v>
      </c>
      <c r="E274">
        <v>68216.077637120121</v>
      </c>
      <c r="F274">
        <v>93764.229788452358</v>
      </c>
      <c r="G274">
        <v>304583.40836095845</v>
      </c>
      <c r="H274">
        <v>121212.63579507807</v>
      </c>
      <c r="I274">
        <v>0</v>
      </c>
      <c r="J274">
        <v>58316.973311416063</v>
      </c>
      <c r="K274">
        <v>79699.595320184497</v>
      </c>
      <c r="L274">
        <v>259229.2044266786</v>
      </c>
    </row>
    <row r="275" spans="1:12" x14ac:dyDescent="0.25">
      <c r="A275" t="s">
        <v>238</v>
      </c>
      <c r="B275" t="s">
        <v>239</v>
      </c>
      <c r="C275">
        <v>26938.785027320668</v>
      </c>
      <c r="D275">
        <v>4739.2710062714723</v>
      </c>
      <c r="E275">
        <v>12995.246231572653</v>
      </c>
      <c r="F275">
        <v>17627.665039955002</v>
      </c>
      <c r="G275">
        <v>62300.96730511979</v>
      </c>
      <c r="H275">
        <v>25520.06033765274</v>
      </c>
      <c r="I275">
        <v>4028.3803553307512</v>
      </c>
      <c r="J275">
        <v>12344.46880314647</v>
      </c>
      <c r="K275">
        <v>16381.909178275258</v>
      </c>
      <c r="L275">
        <v>58274.818674405222</v>
      </c>
    </row>
    <row r="276" spans="1:12" x14ac:dyDescent="0.25">
      <c r="A276" t="s">
        <v>240</v>
      </c>
      <c r="B276" t="s">
        <v>241</v>
      </c>
      <c r="C276">
        <v>66043.472970205519</v>
      </c>
      <c r="D276">
        <v>0</v>
      </c>
      <c r="E276">
        <v>31859.313341920057</v>
      </c>
      <c r="F276">
        <v>43216.211065696123</v>
      </c>
      <c r="G276">
        <v>141118.99737782171</v>
      </c>
      <c r="H276">
        <v>64240.1518844362</v>
      </c>
      <c r="I276">
        <v>0</v>
      </c>
      <c r="J276">
        <v>31074.007676885944</v>
      </c>
      <c r="K276">
        <v>41237.219655658417</v>
      </c>
      <c r="L276">
        <v>136551.37921698057</v>
      </c>
    </row>
    <row r="277" spans="1:12" x14ac:dyDescent="0.25">
      <c r="A277" t="s">
        <v>603</v>
      </c>
      <c r="B277" t="s">
        <v>604</v>
      </c>
      <c r="C277">
        <v>233759.13459191163</v>
      </c>
      <c r="D277">
        <v>62890.304031103966</v>
      </c>
      <c r="E277">
        <v>171591.55535728298</v>
      </c>
      <c r="F277">
        <v>232394.48307314407</v>
      </c>
      <c r="G277">
        <v>700635.47705344262</v>
      </c>
      <c r="H277">
        <v>243760.57632861409</v>
      </c>
      <c r="I277">
        <v>65762.536314098921</v>
      </c>
      <c r="J277">
        <v>163019.72479142086</v>
      </c>
      <c r="K277">
        <v>216337.72731636575</v>
      </c>
      <c r="L277">
        <v>688880.56475049956</v>
      </c>
    </row>
    <row r="278" spans="1:12" x14ac:dyDescent="0.25">
      <c r="A278" t="s">
        <v>605</v>
      </c>
      <c r="B278" t="s">
        <v>606</v>
      </c>
      <c r="C278">
        <v>585701.32607787522</v>
      </c>
      <c r="D278">
        <v>157576.44950544261</v>
      </c>
      <c r="E278">
        <v>324376.77255493478</v>
      </c>
      <c r="F278">
        <v>440007.44514158223</v>
      </c>
      <c r="G278">
        <v>1507661.993279835</v>
      </c>
      <c r="H278">
        <v>636241.50428010116</v>
      </c>
      <c r="I278">
        <v>171647.34207614994</v>
      </c>
      <c r="J278">
        <v>366978.70977229741</v>
      </c>
      <c r="K278">
        <v>487004.5029655766</v>
      </c>
      <c r="L278">
        <v>1661872.0590941249</v>
      </c>
    </row>
    <row r="279" spans="1:12" x14ac:dyDescent="0.25">
      <c r="A279" t="s">
        <v>242</v>
      </c>
      <c r="B279" t="s">
        <v>243</v>
      </c>
      <c r="C279">
        <v>20855.833569538583</v>
      </c>
      <c r="D279">
        <v>0</v>
      </c>
      <c r="E279">
        <v>10060.835792185284</v>
      </c>
      <c r="F279">
        <v>13647.224547061936</v>
      </c>
      <c r="G279">
        <v>44563.893908785802</v>
      </c>
      <c r="H279">
        <v>18480.04369278302</v>
      </c>
      <c r="I279">
        <v>0</v>
      </c>
      <c r="J279">
        <v>8939.0980988301999</v>
      </c>
      <c r="K279">
        <v>11862.761818751051</v>
      </c>
      <c r="L279">
        <v>39281.903610364272</v>
      </c>
    </row>
    <row r="280" spans="1:12" x14ac:dyDescent="0.25">
      <c r="A280" t="s">
        <v>244</v>
      </c>
      <c r="B280" t="s">
        <v>245</v>
      </c>
      <c r="C280">
        <v>63436.493774013201</v>
      </c>
      <c r="D280">
        <v>0</v>
      </c>
      <c r="E280">
        <v>30601.708867896894</v>
      </c>
      <c r="F280">
        <v>41510.307997313401</v>
      </c>
      <c r="G280">
        <v>135548.5106392235</v>
      </c>
      <c r="H280">
        <v>70400.1664486972</v>
      </c>
      <c r="I280">
        <v>0</v>
      </c>
      <c r="J280">
        <v>34053.707043162671</v>
      </c>
      <c r="K280">
        <v>45191.473595242096</v>
      </c>
      <c r="L280">
        <v>149645.34708710198</v>
      </c>
    </row>
    <row r="281" spans="1:12" x14ac:dyDescent="0.25">
      <c r="A281" t="s">
        <v>607</v>
      </c>
      <c r="B281" t="s">
        <v>608</v>
      </c>
      <c r="C281">
        <v>39104.68794288487</v>
      </c>
      <c r="D281">
        <v>10520.682830482085</v>
      </c>
      <c r="E281">
        <v>23223.615899772383</v>
      </c>
      <c r="F281">
        <v>31502.14430744333</v>
      </c>
      <c r="G281">
        <v>104351.13098058267</v>
      </c>
      <c r="H281">
        <v>35213.774031767643</v>
      </c>
      <c r="I281">
        <v>9479.9748972936068</v>
      </c>
      <c r="J281">
        <v>20915.767270475168</v>
      </c>
      <c r="K281">
        <v>28372.227637279313</v>
      </c>
      <c r="L281">
        <v>93981.743836815731</v>
      </c>
    </row>
    <row r="282" spans="1:12" x14ac:dyDescent="0.25">
      <c r="A282" t="s">
        <v>60</v>
      </c>
      <c r="B282" t="s">
        <v>42</v>
      </c>
      <c r="C282">
        <v>438743.81415792613</v>
      </c>
      <c r="D282">
        <v>118039.15989134953</v>
      </c>
      <c r="E282">
        <v>256324.90930906625</v>
      </c>
      <c r="F282">
        <v>347697.11648243648</v>
      </c>
      <c r="G282">
        <v>1160804.9998407783</v>
      </c>
      <c r="H282">
        <v>403455.72032556549</v>
      </c>
      <c r="I282">
        <v>108845.62162862933</v>
      </c>
      <c r="J282">
        <v>235083.46877053581</v>
      </c>
      <c r="K282">
        <v>311970.9803739161</v>
      </c>
      <c r="L282">
        <v>1059355.7910986468</v>
      </c>
    </row>
    <row r="283" spans="1:12" x14ac:dyDescent="0.25">
      <c r="A283" t="s">
        <v>246</v>
      </c>
      <c r="B283" t="s">
        <v>247</v>
      </c>
      <c r="C283">
        <v>556155.56185436237</v>
      </c>
      <c r="D283">
        <v>0</v>
      </c>
      <c r="E283">
        <v>268288.9544582743</v>
      </c>
      <c r="F283">
        <v>363925.98792165169</v>
      </c>
      <c r="G283">
        <v>1188370.5042342884</v>
      </c>
      <c r="H283">
        <v>485761.14849601063</v>
      </c>
      <c r="I283">
        <v>0</v>
      </c>
      <c r="J283">
        <v>234970.57859782243</v>
      </c>
      <c r="K283">
        <v>311821.16780717048</v>
      </c>
      <c r="L283">
        <v>1032552.8949010035</v>
      </c>
    </row>
    <row r="284" spans="1:12" x14ac:dyDescent="0.25">
      <c r="A284" t="s">
        <v>609</v>
      </c>
      <c r="B284" t="s">
        <v>610</v>
      </c>
      <c r="C284">
        <v>220724.23861095007</v>
      </c>
      <c r="D284">
        <v>59383.409754276603</v>
      </c>
      <c r="E284">
        <v>173260.69238803495</v>
      </c>
      <c r="F284">
        <v>235022.97652403562</v>
      </c>
      <c r="G284">
        <v>688391.31727729726</v>
      </c>
      <c r="H284">
        <v>222640.52639400493</v>
      </c>
      <c r="I284">
        <v>60064.699232732979</v>
      </c>
      <c r="J284">
        <v>175634.38847638795</v>
      </c>
      <c r="K284">
        <v>233078.20259294825</v>
      </c>
      <c r="L284">
        <v>691417.81669607409</v>
      </c>
    </row>
    <row r="285" spans="1:12" x14ac:dyDescent="0.25">
      <c r="A285" t="s">
        <v>248</v>
      </c>
      <c r="B285" t="s">
        <v>249</v>
      </c>
      <c r="C285">
        <v>412771.70606378443</v>
      </c>
      <c r="D285">
        <v>0</v>
      </c>
      <c r="E285">
        <v>199120.7083870004</v>
      </c>
      <c r="F285">
        <v>270101.31916060083</v>
      </c>
      <c r="G285">
        <v>881993.73361138557</v>
      </c>
      <c r="H285">
        <v>485761.14849601063</v>
      </c>
      <c r="I285">
        <v>0</v>
      </c>
      <c r="J285">
        <v>234970.57859782243</v>
      </c>
      <c r="K285">
        <v>311821.16780717048</v>
      </c>
      <c r="L285">
        <v>1032552.8949010035</v>
      </c>
    </row>
    <row r="286" spans="1:12" x14ac:dyDescent="0.25">
      <c r="A286" t="s">
        <v>611</v>
      </c>
      <c r="B286" t="s">
        <v>612</v>
      </c>
      <c r="C286">
        <v>66912.466035602949</v>
      </c>
      <c r="D286">
        <v>18002.057287713775</v>
      </c>
      <c r="E286">
        <v>46331.930429351429</v>
      </c>
      <c r="F286">
        <v>62847.885735233744</v>
      </c>
      <c r="G286">
        <v>194094.33948790192</v>
      </c>
      <c r="H286">
        <v>61600.145642610056</v>
      </c>
      <c r="I286">
        <v>16618.691487317425</v>
      </c>
      <c r="J286">
        <v>41727.691253352954</v>
      </c>
      <c r="K286">
        <v>56603.591907883318</v>
      </c>
      <c r="L286">
        <v>176550.12029116374</v>
      </c>
    </row>
    <row r="287" spans="1:12" x14ac:dyDescent="0.25">
      <c r="A287" t="s">
        <v>63</v>
      </c>
      <c r="B287" t="s">
        <v>48</v>
      </c>
      <c r="C287">
        <v>2367199.2490119534</v>
      </c>
      <c r="D287">
        <v>0</v>
      </c>
      <c r="E287">
        <v>1672089.2740748546</v>
      </c>
      <c r="F287">
        <v>2268139.3730487283</v>
      </c>
      <c r="G287">
        <v>6307427.896135536</v>
      </c>
      <c r="H287">
        <v>2428775.3813491641</v>
      </c>
      <c r="I287">
        <v>0</v>
      </c>
      <c r="J287">
        <v>1729494.5715278531</v>
      </c>
      <c r="K287">
        <v>2295151.24926783</v>
      </c>
      <c r="L287">
        <v>6453421.2021448473</v>
      </c>
    </row>
    <row r="288" spans="1:12" x14ac:dyDescent="0.25">
      <c r="A288" t="s">
        <v>250</v>
      </c>
      <c r="B288" t="s">
        <v>251</v>
      </c>
      <c r="C288">
        <v>99065.209455308272</v>
      </c>
      <c r="D288">
        <v>0</v>
      </c>
      <c r="E288">
        <v>47788.970012880083</v>
      </c>
      <c r="F288">
        <v>64824.31659854421</v>
      </c>
      <c r="G288">
        <v>211678.49606673256</v>
      </c>
      <c r="H288">
        <v>100320.23718939352</v>
      </c>
      <c r="I288">
        <v>0</v>
      </c>
      <c r="J288">
        <v>48526.53253650682</v>
      </c>
      <c r="K288">
        <v>64397.849873219981</v>
      </c>
      <c r="L288">
        <v>213244.61959912034</v>
      </c>
    </row>
    <row r="289" spans="1:12" x14ac:dyDescent="0.25">
      <c r="A289" t="s">
        <v>613</v>
      </c>
      <c r="B289" t="s">
        <v>614</v>
      </c>
      <c r="C289">
        <v>85174.702821135521</v>
      </c>
      <c r="D289">
        <v>22442.130442566453</v>
      </c>
      <c r="E289">
        <v>50032.650004897354</v>
      </c>
      <c r="F289">
        <v>68770.780356794188</v>
      </c>
      <c r="G289">
        <v>226420.26362539351</v>
      </c>
      <c r="H289">
        <v>76657.232539021978</v>
      </c>
      <c r="I289">
        <v>20197.917398309808</v>
      </c>
      <c r="J289">
        <v>45029.385004407617</v>
      </c>
      <c r="K289">
        <v>61893.702321114768</v>
      </c>
      <c r="L289">
        <v>203778.23726285418</v>
      </c>
    </row>
    <row r="290" spans="1:12" x14ac:dyDescent="0.25">
      <c r="A290" t="s">
        <v>615</v>
      </c>
      <c r="B290" t="s">
        <v>616</v>
      </c>
      <c r="C290">
        <v>271784.73354744149</v>
      </c>
      <c r="D290">
        <v>71610.798048552926</v>
      </c>
      <c r="E290">
        <v>140437.87743390026</v>
      </c>
      <c r="F290">
        <v>193034.39697549067</v>
      </c>
      <c r="G290">
        <v>676867.80600538536</v>
      </c>
      <c r="H290">
        <v>311520.73653548514</v>
      </c>
      <c r="I290">
        <v>84043.09695014813</v>
      </c>
      <c r="J290">
        <v>163975.30373640236</v>
      </c>
      <c r="K290">
        <v>217605.84243245475</v>
      </c>
      <c r="L290">
        <v>777144.97965449025</v>
      </c>
    </row>
    <row r="291" spans="1:12" x14ac:dyDescent="0.25">
      <c r="A291" t="s">
        <v>617</v>
      </c>
      <c r="B291" t="s">
        <v>618</v>
      </c>
      <c r="C291">
        <v>32152.743419705315</v>
      </c>
      <c r="D291">
        <v>0</v>
      </c>
      <c r="E291">
        <v>15510.455179618972</v>
      </c>
      <c r="F291">
        <v>21039.47117672049</v>
      </c>
      <c r="G291">
        <v>68702.669776044771</v>
      </c>
      <c r="H291">
        <v>27345.017118496093</v>
      </c>
      <c r="I291">
        <v>0</v>
      </c>
      <c r="J291">
        <v>13193.041244774087</v>
      </c>
      <c r="K291">
        <v>17896.353721296764</v>
      </c>
      <c r="L291">
        <v>58434.412084566946</v>
      </c>
    </row>
    <row r="292" spans="1:12" x14ac:dyDescent="0.25">
      <c r="A292" t="s">
        <v>619</v>
      </c>
      <c r="B292" t="s">
        <v>1397</v>
      </c>
      <c r="C292">
        <v>924608.62158287689</v>
      </c>
      <c r="D292">
        <v>248755.70070295394</v>
      </c>
      <c r="E292">
        <v>524211.46492198692</v>
      </c>
      <c r="F292">
        <v>711077.26233753958</v>
      </c>
      <c r="G292">
        <v>2408653.049545357</v>
      </c>
      <c r="H292">
        <v>786354.0057859415</v>
      </c>
      <c r="I292">
        <v>211696.03202746488</v>
      </c>
      <c r="J292">
        <v>445889.1372051349</v>
      </c>
      <c r="K292">
        <v>604848.38725625945</v>
      </c>
      <c r="L292">
        <v>2048787.5622748006</v>
      </c>
    </row>
    <row r="293" spans="1:12" x14ac:dyDescent="0.25">
      <c r="A293" t="s">
        <v>620</v>
      </c>
      <c r="B293" t="s">
        <v>621</v>
      </c>
      <c r="C293">
        <v>661265.42008408858</v>
      </c>
      <c r="D293">
        <v>175110.92088957946</v>
      </c>
      <c r="E293">
        <v>425395.79968211905</v>
      </c>
      <c r="F293">
        <v>584714.20366057509</v>
      </c>
      <c r="G293">
        <v>1846486.3443163624</v>
      </c>
      <c r="H293">
        <v>770881.82261323475</v>
      </c>
      <c r="I293">
        <v>207971.0534698581</v>
      </c>
      <c r="J293">
        <v>514807.09713533038</v>
      </c>
      <c r="K293">
        <v>683182.34215577587</v>
      </c>
      <c r="L293">
        <v>2176842.3153741993</v>
      </c>
    </row>
    <row r="294" spans="1:12" x14ac:dyDescent="0.25">
      <c r="A294" t="s">
        <v>622</v>
      </c>
      <c r="B294" t="s">
        <v>623</v>
      </c>
      <c r="C294">
        <v>175536.59921028311</v>
      </c>
      <c r="D294">
        <v>47226.176261275112</v>
      </c>
      <c r="E294">
        <v>108959.17651052236</v>
      </c>
      <c r="F294">
        <v>147799.88253630677</v>
      </c>
      <c r="G294">
        <v>479521.83451838733</v>
      </c>
      <c r="H294">
        <v>158070.71898704581</v>
      </c>
      <c r="I294">
        <v>42554.553983406826</v>
      </c>
      <c r="J294">
        <v>98131.349903140901</v>
      </c>
      <c r="K294">
        <v>133115.12610563531</v>
      </c>
      <c r="L294">
        <v>431871.74897922884</v>
      </c>
    </row>
    <row r="295" spans="1:12" x14ac:dyDescent="0.25">
      <c r="A295" t="s">
        <v>252</v>
      </c>
      <c r="B295" t="s">
        <v>253</v>
      </c>
      <c r="C295">
        <v>221593.23167634747</v>
      </c>
      <c r="D295">
        <v>0</v>
      </c>
      <c r="E295">
        <v>106896.38029196864</v>
      </c>
      <c r="F295">
        <v>145001.76081253309</v>
      </c>
      <c r="G295">
        <v>473491.37278084923</v>
      </c>
      <c r="H295">
        <v>241120.57008678786</v>
      </c>
      <c r="I295">
        <v>0</v>
      </c>
      <c r="J295">
        <v>116633.94662283213</v>
      </c>
      <c r="K295">
        <v>154780.7970637042</v>
      </c>
      <c r="L295">
        <v>512535.31377332425</v>
      </c>
    </row>
    <row r="296" spans="1:12" x14ac:dyDescent="0.25">
      <c r="A296" t="s">
        <v>624</v>
      </c>
      <c r="B296" t="s">
        <v>625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 x14ac:dyDescent="0.25">
      <c r="A297" t="s">
        <v>626</v>
      </c>
      <c r="B297" t="s">
        <v>627</v>
      </c>
      <c r="C297">
        <v>33890.729550500218</v>
      </c>
      <c r="D297">
        <v>7949.7449137456952</v>
      </c>
      <c r="E297">
        <v>16348.85816230107</v>
      </c>
      <c r="F297">
        <v>22176.739888975648</v>
      </c>
      <c r="G297">
        <v>80366.072515522625</v>
      </c>
      <c r="H297">
        <v>39600.093627392176</v>
      </c>
      <c r="I297">
        <v>6757.2831766838408</v>
      </c>
      <c r="J297">
        <v>19155.210211778998</v>
      </c>
      <c r="K297">
        <v>25420.203897323681</v>
      </c>
      <c r="L297">
        <v>90932.790913178702</v>
      </c>
    </row>
    <row r="298" spans="1:12" x14ac:dyDescent="0.25">
      <c r="A298" t="s">
        <v>628</v>
      </c>
      <c r="B298" t="s">
        <v>629</v>
      </c>
      <c r="C298">
        <v>72995.41749338503</v>
      </c>
      <c r="D298">
        <v>19638.60795023321</v>
      </c>
      <c r="E298">
        <v>50468.516425569396</v>
      </c>
      <c r="F298">
        <v>68459.041618770614</v>
      </c>
      <c r="G298">
        <v>211561.58348795824</v>
      </c>
      <c r="H298">
        <v>65732.37819263291</v>
      </c>
      <c r="I298">
        <v>17695.953141614718</v>
      </c>
      <c r="J298">
        <v>45453.203695713397</v>
      </c>
      <c r="K298">
        <v>61657.247636276101</v>
      </c>
      <c r="L298">
        <v>190538.78266623712</v>
      </c>
    </row>
    <row r="299" spans="1:12" x14ac:dyDescent="0.25">
      <c r="A299" t="s">
        <v>64</v>
      </c>
      <c r="B299" t="s">
        <v>1389</v>
      </c>
      <c r="C299">
        <v>928474.19965927966</v>
      </c>
      <c r="D299">
        <v>0</v>
      </c>
      <c r="E299">
        <v>530132.29505004059</v>
      </c>
      <c r="F299">
        <v>719108.69232323871</v>
      </c>
      <c r="G299">
        <v>2177715.187032559</v>
      </c>
      <c r="H299">
        <v>885936.81464034063</v>
      </c>
      <c r="I299">
        <v>0</v>
      </c>
      <c r="J299">
        <v>500034.61842561141</v>
      </c>
      <c r="K299">
        <v>663578.30666265381</v>
      </c>
      <c r="L299">
        <v>2049549.7397286058</v>
      </c>
    </row>
    <row r="300" spans="1:12" x14ac:dyDescent="0.25">
      <c r="A300" t="s">
        <v>305</v>
      </c>
      <c r="B300" t="s">
        <v>1385</v>
      </c>
      <c r="C300">
        <v>318114.609778938</v>
      </c>
      <c r="D300">
        <v>0</v>
      </c>
      <c r="E300">
        <v>152174.3270366526</v>
      </c>
      <c r="F300">
        <v>209166.35875885526</v>
      </c>
      <c r="G300">
        <v>679455.29557444586</v>
      </c>
      <c r="H300">
        <v>270737.56707876752</v>
      </c>
      <c r="I300">
        <v>0</v>
      </c>
      <c r="J300">
        <v>129634.85133619899</v>
      </c>
      <c r="K300">
        <v>178185.4426450482</v>
      </c>
      <c r="L300">
        <v>578557.86106001469</v>
      </c>
    </row>
    <row r="301" spans="1:12" x14ac:dyDescent="0.25">
      <c r="A301" t="s">
        <v>254</v>
      </c>
      <c r="B301" t="s">
        <v>1384</v>
      </c>
      <c r="C301">
        <v>636971.91693632398</v>
      </c>
      <c r="D301">
        <v>0</v>
      </c>
      <c r="E301">
        <v>316077.92447115429</v>
      </c>
      <c r="F301">
        <v>428750.30452019587</v>
      </c>
      <c r="G301">
        <v>1381800.1459276741</v>
      </c>
      <c r="H301">
        <v>669681.5833432324</v>
      </c>
      <c r="I301">
        <v>0</v>
      </c>
      <c r="J301">
        <v>338834.3850794686</v>
      </c>
      <c r="K301">
        <v>449655.16227265878</v>
      </c>
      <c r="L301">
        <v>1458171.1306953598</v>
      </c>
    </row>
    <row r="302" spans="1:12" x14ac:dyDescent="0.25">
      <c r="A302" t="s">
        <v>68</v>
      </c>
      <c r="B302" t="s">
        <v>1382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 x14ac:dyDescent="0.25">
      <c r="A303" t="s">
        <v>630</v>
      </c>
      <c r="B303" t="s">
        <v>631</v>
      </c>
      <c r="C303">
        <v>84292.327343551762</v>
      </c>
      <c r="D303">
        <v>22677.916323483594</v>
      </c>
      <c r="E303">
        <v>47892.198380122827</v>
      </c>
      <c r="F303">
        <v>64964.342808740621</v>
      </c>
      <c r="G303">
        <v>219826.78485589882</v>
      </c>
      <c r="H303">
        <v>75905.246246254668</v>
      </c>
      <c r="I303">
        <v>20434.612556388431</v>
      </c>
      <c r="J303">
        <v>43132.90745563418</v>
      </c>
      <c r="K303">
        <v>58509.76696974659</v>
      </c>
      <c r="L303">
        <v>197982.53322802388</v>
      </c>
    </row>
    <row r="304" spans="1:12" x14ac:dyDescent="0.25">
      <c r="A304" t="s">
        <v>255</v>
      </c>
      <c r="B304" t="s">
        <v>256</v>
      </c>
      <c r="C304">
        <v>172929.62001409073</v>
      </c>
      <c r="D304">
        <v>0</v>
      </c>
      <c r="E304">
        <v>0</v>
      </c>
      <c r="F304">
        <v>0</v>
      </c>
      <c r="G304">
        <v>172929.62001409073</v>
      </c>
      <c r="H304">
        <v>215600.50974913524</v>
      </c>
      <c r="I304">
        <v>0</v>
      </c>
      <c r="J304">
        <v>104289.47781968568</v>
      </c>
      <c r="K304">
        <v>138398.88788542894</v>
      </c>
      <c r="L304">
        <v>458288.87545424991</v>
      </c>
    </row>
    <row r="305" spans="1:12" x14ac:dyDescent="0.25">
      <c r="A305" t="s">
        <v>306</v>
      </c>
      <c r="B305" t="s">
        <v>307</v>
      </c>
      <c r="C305">
        <v>131217.95287501361</v>
      </c>
      <c r="D305">
        <v>0</v>
      </c>
      <c r="E305">
        <v>63299.42519249906</v>
      </c>
      <c r="F305">
        <v>85863.787775264675</v>
      </c>
      <c r="G305">
        <v>280381.16584277735</v>
      </c>
      <c r="H305">
        <v>123200.29128522011</v>
      </c>
      <c r="I305">
        <v>0</v>
      </c>
      <c r="J305">
        <v>59593.987325534668</v>
      </c>
      <c r="K305">
        <v>79085.078791673659</v>
      </c>
      <c r="L305">
        <v>261879.35740242846</v>
      </c>
    </row>
    <row r="306" spans="1:12" x14ac:dyDescent="0.25">
      <c r="A306" t="s">
        <v>257</v>
      </c>
      <c r="B306" t="s">
        <v>258</v>
      </c>
      <c r="C306">
        <v>25200.798896525794</v>
      </c>
      <c r="D306">
        <v>0</v>
      </c>
      <c r="E306">
        <v>12156.843248890547</v>
      </c>
      <c r="F306">
        <v>16490.396327699844</v>
      </c>
      <c r="G306">
        <v>53848.03847311619</v>
      </c>
      <c r="H306">
        <v>34320.081143739888</v>
      </c>
      <c r="I306">
        <v>9258.9852572197087</v>
      </c>
      <c r="J306">
        <v>17810.897559116354</v>
      </c>
      <c r="K306">
        <v>23636.213987809497</v>
      </c>
      <c r="L306">
        <v>85026.177947885444</v>
      </c>
    </row>
    <row r="307" spans="1:12" x14ac:dyDescent="0.25">
      <c r="A307" t="s">
        <v>632</v>
      </c>
      <c r="B307" t="s">
        <v>633</v>
      </c>
      <c r="C307">
        <v>37011.539395834203</v>
      </c>
      <c r="D307">
        <v>9623.296974698922</v>
      </c>
      <c r="E307">
        <v>19756.00479126177</v>
      </c>
      <c r="F307">
        <v>24933.148748039624</v>
      </c>
      <c r="G307">
        <v>91323.989909834519</v>
      </c>
      <c r="H307">
        <v>33440.079063131161</v>
      </c>
      <c r="I307">
        <v>8179.8024284940839</v>
      </c>
      <c r="J307">
        <v>16792.604072572503</v>
      </c>
      <c r="K307">
        <v>21465.949957739998</v>
      </c>
      <c r="L307">
        <v>79878.435521937747</v>
      </c>
    </row>
    <row r="308" spans="1:12" x14ac:dyDescent="0.25">
      <c r="A308" t="s">
        <v>634</v>
      </c>
      <c r="B308" t="s">
        <v>635</v>
      </c>
      <c r="C308">
        <v>13903.889046359061</v>
      </c>
      <c r="D308">
        <v>0</v>
      </c>
      <c r="E308">
        <v>6707.2238614568541</v>
      </c>
      <c r="F308">
        <v>9098.1496980412903</v>
      </c>
      <c r="G308">
        <v>29709.262605857206</v>
      </c>
      <c r="H308">
        <v>22000.052015217883</v>
      </c>
      <c r="I308">
        <v>5935.2469597562231</v>
      </c>
      <c r="J308">
        <v>13248.20097915475</v>
      </c>
      <c r="K308">
        <v>17581.220275815493</v>
      </c>
      <c r="L308">
        <v>58764.720229944345</v>
      </c>
    </row>
    <row r="309" spans="1:12" x14ac:dyDescent="0.25">
      <c r="A309" t="s">
        <v>636</v>
      </c>
      <c r="B309" t="s">
        <v>637</v>
      </c>
      <c r="C309">
        <v>86899.306539744139</v>
      </c>
      <c r="D309">
        <v>18754.397102367388</v>
      </c>
      <c r="E309">
        <v>41920.149134105348</v>
      </c>
      <c r="F309">
        <v>56863.435612758076</v>
      </c>
      <c r="G309">
        <v>204437.28838897494</v>
      </c>
      <c r="H309">
        <v>74800.176851740805</v>
      </c>
      <c r="I309">
        <v>15941.237537012279</v>
      </c>
      <c r="J309">
        <v>36182.063733360337</v>
      </c>
      <c r="K309">
        <v>48368.523571072335</v>
      </c>
      <c r="L309">
        <v>175292.00169318577</v>
      </c>
    </row>
    <row r="310" spans="1:12" x14ac:dyDescent="0.25">
      <c r="A310" t="s">
        <v>638</v>
      </c>
      <c r="B310" t="s">
        <v>639</v>
      </c>
      <c r="C310">
        <v>24331.805831128342</v>
      </c>
      <c r="D310">
        <v>6546.2026500777365</v>
      </c>
      <c r="E310">
        <v>13340.270019020911</v>
      </c>
      <c r="F310">
        <v>18095.679546765808</v>
      </c>
      <c r="G310">
        <v>62313.958046992797</v>
      </c>
      <c r="H310">
        <v>21910.792730877627</v>
      </c>
      <c r="I310">
        <v>5898.6510472049076</v>
      </c>
      <c r="J310">
        <v>12014.579652338865</v>
      </c>
      <c r="K310">
        <v>16297.771172065555</v>
      </c>
      <c r="L310">
        <v>56121.79460248696</v>
      </c>
    </row>
    <row r="311" spans="1:12" x14ac:dyDescent="0.25">
      <c r="A311" t="s">
        <v>640</v>
      </c>
      <c r="B311" t="s">
        <v>641</v>
      </c>
      <c r="C311">
        <v>26938.785027320668</v>
      </c>
      <c r="D311">
        <v>7247.5815054432087</v>
      </c>
      <c r="E311">
        <v>37304.866474887727</v>
      </c>
      <c r="F311">
        <v>50602.941942100253</v>
      </c>
      <c r="G311">
        <v>122094.17494975186</v>
      </c>
      <c r="H311">
        <v>25606.065314458188</v>
      </c>
      <c r="I311">
        <v>6893.4632277850988</v>
      </c>
      <c r="J311">
        <v>35464.230949779914</v>
      </c>
      <c r="K311">
        <v>48107.211199875994</v>
      </c>
      <c r="L311">
        <v>116070.9706918992</v>
      </c>
    </row>
    <row r="312" spans="1:12" x14ac:dyDescent="0.25">
      <c r="A312" t="s">
        <v>642</v>
      </c>
      <c r="B312" t="s">
        <v>643</v>
      </c>
      <c r="C312">
        <v>232021.14846111674</v>
      </c>
      <c r="D312">
        <v>0</v>
      </c>
      <c r="E312">
        <v>111926.79818806124</v>
      </c>
      <c r="F312">
        <v>151825.37308606409</v>
      </c>
      <c r="G312">
        <v>495773.31973524205</v>
      </c>
      <c r="H312">
        <v>197327.55596320151</v>
      </c>
      <c r="I312">
        <v>0</v>
      </c>
      <c r="J312">
        <v>95203.838171748153</v>
      </c>
      <c r="K312">
        <v>129143.95793476315</v>
      </c>
      <c r="L312">
        <v>421675.35206971283</v>
      </c>
    </row>
    <row r="313" spans="1:12" x14ac:dyDescent="0.25">
      <c r="A313" t="s">
        <v>644</v>
      </c>
      <c r="B313" t="s">
        <v>645</v>
      </c>
      <c r="C313">
        <v>3867888.1340840105</v>
      </c>
      <c r="D313">
        <v>1040612.4284105719</v>
      </c>
      <c r="E313">
        <v>3112780.6739529921</v>
      </c>
      <c r="F313">
        <v>4222394.4114253521</v>
      </c>
      <c r="G313">
        <v>12243675.647872927</v>
      </c>
      <c r="H313">
        <v>4158009.8308761795</v>
      </c>
      <c r="I313">
        <v>1121761.675393926</v>
      </c>
      <c r="J313">
        <v>3394090.413858219</v>
      </c>
      <c r="K313">
        <v>4504177.6838957863</v>
      </c>
      <c r="L313">
        <v>13178039.604024108</v>
      </c>
    </row>
    <row r="314" spans="1:12" x14ac:dyDescent="0.25">
      <c r="A314" t="s">
        <v>646</v>
      </c>
      <c r="B314" t="s">
        <v>647</v>
      </c>
      <c r="C314">
        <v>468387.26224922074</v>
      </c>
      <c r="D314">
        <v>0</v>
      </c>
      <c r="E314">
        <v>225949.60383282774</v>
      </c>
      <c r="F314">
        <v>306493.91795276606</v>
      </c>
      <c r="G314">
        <v>1000830.7840348146</v>
      </c>
      <c r="H314">
        <v>488401.15473783686</v>
      </c>
      <c r="I314">
        <v>0</v>
      </c>
      <c r="J314">
        <v>236247.59261194113</v>
      </c>
      <c r="K314">
        <v>313515.84806699213</v>
      </c>
      <c r="L314">
        <v>1038164.5954167701</v>
      </c>
    </row>
    <row r="315" spans="1:12" x14ac:dyDescent="0.25">
      <c r="A315" t="s">
        <v>648</v>
      </c>
      <c r="B315" t="s">
        <v>649</v>
      </c>
      <c r="C315">
        <v>139038.89046359059</v>
      </c>
      <c r="D315">
        <v>0</v>
      </c>
      <c r="E315">
        <v>67072.238614568574</v>
      </c>
      <c r="F315">
        <v>90981.496980412921</v>
      </c>
      <c r="G315">
        <v>297092.62605857209</v>
      </c>
      <c r="H315">
        <v>118800.28088217655</v>
      </c>
      <c r="I315">
        <v>0</v>
      </c>
      <c r="J315">
        <v>57465.630635337002</v>
      </c>
      <c r="K315">
        <v>77389.63771371574</v>
      </c>
      <c r="L315">
        <v>253655.54923122929</v>
      </c>
    </row>
  </sheetData>
  <sheetProtection algorithmName="SHA-512" hashValue="4yY9UEjFmbS6cPvCGBc2oKIQiIGVpSYNHW8QysUmwbw7CbmDm5WZZbAnK/9hKOP+pIhaOTXAMZbwB8UYRPj0Tg==" saltValue="NkVnlq52/qOErDyIYgOaVQ==" spinCount="100000" sheet="1" objects="1" scenarios="1"/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s u m i f _ c 9 c 1 6 b e 1 - 9 4 6 9 - 4 6 2 3 - 9 b 4 e - b c b 3 2 3 c c e 1 4 4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 S e n d i n g   D i s t r i c t   C C D D D < / s t r i n g > < / k e y > < v a l u e > < i n t > 1 7 9 < / i n t > < / v a l u e > < / i t e m > < i t e m > < k e y > < s t r i n g > S u m T o t a l S t u d e n t s   i n   p o v e r t y < / s t r i n g > < / k e y > < v a l u e > < i n t > 2 1 4 < / i n t > < / v a l u e > < / i t e m > < / C o l u m n W i d t h s > < C o l u m n D i s p l a y I n d e x > < i t e m > < k e y > < s t r i n g > S e n d i n g   D i s t r i c t   C C D D D < / s t r i n g > < / k e y > < v a l u e > < i n t > 0 < / i n t > < / v a l u e > < / i t e m > < i t e m > < k e y > < s t r i n g > S u m T o t a l S t u d e n t s   i n   p o v e r t y 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 F R P L 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 F R P L 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 C o l u m n s \ s c h o o l Y e a r 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 C o l u m n s \ C C D D D 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 C o l u m n s \ D i s t r i c t N a m e 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 C o l u m n s \ T o t a l S t u d e n t s 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 C o l u m n s \ T o t a l S t u d e n t s I n P o v e r t y 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 C o l u m n s \ T o t a l P e r c e n t I n P o v e r t y 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 s u m i f 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 s u m i f 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 C o l u m n s \ S e n d i n g   D i s t r i c t   C C D D D 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 C o l u m n s \ S u m T o t a l S t u d e n t s   i n   p o v e r t y 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3.xml>��< ? x m l   v e r s i o n = " 1 . 0 "   e n c o d i n g = " u t f - 1 6 " ? > < D a t a M a s h u p   s q m i d = " b 8 b b d 3 1 4 - 5 a 0 0 - 4 0 8 c - b 6 1 9 - 7 c 8 0 1 8 b 3 6 d 7 d "   x m l n s = " h t t p : / / s c h e m a s . m i c r o s o f t . c o m / D a t a M a s h u p " > A A A A A O w b A A B Q S w M E F A A C A A g A c E 3 d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c E 3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N 3 V y d h I J L 5 h g A A M P D A A A T A B w A R m 9 y b X V s Y X M v U 2 V j d G l v b j E u b S C i G A A o o B Q A A A A A A A A A A A A A A A A A A A A A A A A A A A D t P W t z E z u y 3 6 n i P + g O t V s J G B M 7 C Y + 7 y 6 k y i Q O + G + J s b O 6 p U 8 a V M v Y E B m y P d z z m w K X 4 7 1 e P e e j R L W n G P i y c h S 8 4 o 5 b U a r W 6 W 6 1 W a x 1 O 0 y h e k o H 4 v / W 3 2 7 d u 3 1 q / m y T h j N w J T v t d 0 p n P 4 + m E F Q b k K Z m H 6 e 1 b h P 4 b x J t k G t I v 3 U / T c N 7 8 N U 4 + v I n j D 3 t n 0 T x s n s T L N F y m 6 7 1 g 8 N + v O 6 t V n L D 6 C / r p + q L 7 6 + u z c B Y m k z k 5 2 y x n 0 f I t + a v U y b o o X S X x 2 2 S y J J O i 7 H X 7 4 f 3 2 o 9 d n 0 X I y f z 2 M 0 n l I e v c 7 R P y d V z u d p J P X v 3 Y G L 3 o X z 4 f 9 C 3 L 2 G 2 k f t B + S s 9 5 F 5 7 z 5 a b 7 + F O w 3 y H I z n z d I m m z C / Y Y Y U I n C 9 e B d G K Z 0 a G K M X 0 a 9 N F w 8 D S R C N P 4 R L W d P A w 4 X j L + O W J / j r J 0 7 w V W 4 i D 9 S + g 3 j F b m K f 1 8 z u g 0 n b y h d B h + i 1 Z 7 e U e N o 3 6 h 6 E s 8 3 i 6 V U U x R k n / e A P h p f A l H a C h o k + 9 k u f x 4 G X + V e l p M F 3 A s r M H v J A R t f 8 l 6 O W N P n 3 U 4 0 C 7 4 2 S P 7 1 O P t 6 Q V u R v z 9 k 3 5 9 1 B r 0 T 8 q J / f k p e T J L F P F y v y b P J W g F 8 x D H u X 5 w 0 H Y C P G e C w c / W 8 O + y e O m C f M N j u W e + 5 A 6 5 1 w B v t D z v n L k h O Z P o 1 m s r r Q 4 b I a L + c N j G I Q 9 7 b J H k b p p T E C N B R g T s C w E m e r Q U M h p P / M q S 8 v E w n b 0 M S 3 5 A X 8 X x m G R + f h 6 t w H c 1 o F X I Z r 5 r B V 4 m B T t 5 N l m 8 Z 9 3 1 e h S X 3 D O l q X d / E y U I 0 w g o F E 6 n c x p h I c A 5 d g B S G p O G n l H e O c k g G u N w s 3 o S J w B P j E R P U x i U m N M Y n Q L s Y o 5 i g B q c A A 9 J Z B e g Q 4 B V k A P Z 2 T G 4 x g Z z s Y l Z R + c U s z w W D P O 1 f U d n X w o W f w n 6 l 4 H t c i r v W E 0 k K H l D Z d / t W t E Q 7 M p X e G e X i z X x C p v G G q r E / t + K 7 E 6 i j F V o p M P S f R h O 7 D q w k I c D + S 1 3 T y j l m s v w s C a k 2 / P n Q E C u l x g L A j x H w h z D 4 I / j z Y / j z E / g z V z T Q d 2 S k L W S o r U P k O z L W 1 j H y H R l s C x l t S x l u H c N C W 8 G 6 / R B o 8 2 Z a G k K l 9 f + 3 e z X 8 z T A g L r r P m 4 a x c N o 9 b x p W w V l / M O x e A U Z A 5 + L M V P h C 4 p / 1 r 1 6 + O u + Q k / 6 r i 6 G p 8 4 / v t x 6 R y / 5 l 0 1 T 2 l 9 2 r k + 7 F M G / B V P R C A X b P e 8 9 7 z 8 6 7 A 1 P R C 7 U H A z x U T K K / E q 4 I Y N D M z K L 4 D 0 h e I 9 A n O A d g 7 Q S Q o E b s W 0 D j f x s L F 5 f + o F h q e 1 g u p v k L W y 4 5 J 5 p K j / O i + Z l z o / k 5 4 0 f I i K E M i d k g K k e a U C V L A n p e 4 0 n A e N G Y E j P G b B A 4 W 0 K t q X y J Q n D G V E t V R a / O t q r l h / d 7 Z J B O 0 p B 0 Z g t C W g c H R 3 t v 9 n 8 g T X 9 Y K n h W S A q r b r a w K v v L h I 6 F q M P P R v 9 f 1 5 / m y 0 X z M o n o K D p J O L k + D W + i Z T j j Z p t p E I h + v V r K z Q W 5 w a o b 5 y 1 w b 7 R k A s S L m J n R L 8 I J p a f U S 1 a S f Q d l E B l l Q H Q 6 B 9 P J f J K s n z L 6 j i V r K p q n I W M y b Q j h P J y m 7 N s e g E O D h J P p O 7 I 3 y i T Y m N Y L S m M u 2 K + 5 + V K R Y Q J s 2 B u e d 0 m v Q S 4 7 V 0 P S I U K E U L F G n l 9 1 6 L L y X l H K g u q s 1 5 v F i n P 3 j 7 O E 2 v A S o s C C v Q R l b Y t J g u N t H R P G o p g F r U D z H r P + K z q U W s b C s O L R a G / h + i n 7 L M 2 0 d m m r Z D y j 2 2 t M I 1 C t c t U Z 9 u h O x A R S b R W z / H H h 9 j D L Z D e N x L a y h e K z B A 0 j x X 8 F e t s w + u o z T Z X j 8 u e j 8 u c T 2 W Z 5 G S Z s y f 1 z E y Z R K H V 2 E a 6 p B P m f O F p C p k p J L k Y 7 V N 9 p c L S d j 4 w 1 C U H h W Y e M W 5 v n 4 U 3 a 3 9 D x l a h 2 P 6 0 m y x k b r 6 O Z Y h C i B v 8 t 0 N g z B u y F l Y d c y 3 w U 1 p a a 7 l Y U e e g 9 Y F l W C j H z U 0 r u W E p W 0 o t 2 g W m 6 H j T v Q B v 5 7 n Q + a N + d 3 g f t + y P k + 2 P k + x P k e + m B 0 L 1 w / w h X K S V 7 s k 4 1 4 c m / X R h 7 9 1 Y N s a j 3 0 f h i 3 c 4 d g e L y I S g 5 H 8 t C t N w Q O l y A 2 t 7 g 5 O T 0 9 P S B 2 O m B 6 3 T w r 3 m T M d + b y T r c C 9 b J x / u D f 5 4 L H 8 G g c z Z g u I + Y + P p M m b V 7 3 j 0 Z k t P m a b R O k 2 i a n s S z s E H / 7 i d v J 8 v o / / h i 7 M 0 a E g S z W B u k 3 6 Q q d M B 8 p t w Q k z / w 8 s H 0 X R z P f w s n S W 9 2 Z 2 9 + s 0 / I 2 V X / J R l x D M b N 0 W m U U G 0 X J 5 / 5 b 9 H 0 m J x m s H M q v c l 7 K s v h C j J 2 Y 9 I n 8 d J A m d K h r 3 3 K 2 i b k 1 3 d U 7 d E a M p I U / v C A c J C g k r k s y J 7 p Z y 5 Z 5 K l U 6 2 s T S X / Q w u t h E r 2 Z z A e h E J E 5 M b 5 z v 2 5 / c N k j M y 6 B G V Q m C 9 U h X a + z M c 2 y M V n k M J d t L e R w U x Q 6 J K z 3 z k n u y m f L V E l 0 m 3 s n 4 Z b p n R r C T p 9 x w h a f E 8 q U m Y L m D w T N i V n O 5 A V + r F H X J 4 p h D x R w B H Z n A b P m x u T v v 3 A u 2 v d c b m d X l + c / 0 o K 6 5 l + v z + g Q B e 6 / R + k 7 E i 1 W m 1 T 0 Y 1 l L 3 E R t X Q v 7 Q V 9 L o j B f S x x m K 2 t F 7 o z x h a x J D F 6 U l Y h R O I x T K g b T D T u l Y / P d W 6 Y P j 5 q s F 7 O 4 t 7 y k K j J J P y N w 2 Q G h D K b 7 6 d a F 9 M c W R 2 f G j O e T z T q N F y U V 6 N d i M 6 C u C l K s N c 6 q Q 9 p c 8 3 I y o 9 Z c k u 6 N Z M K M G 8 c U + q D W t k 3 B q q E R X F n a c T L j i w F o k h f Z Q i l U 8 h Q D 0 2 f Q m D R 8 m p C J 0 U 0 f H W l V Z 1 4 m U Z w Q h h W Z z N 5 v 2 B 5 T W m D f g 8 4 8 v t 9 + + J p u u K I 1 R e 2 G a 0 W 6 C e P r k 2 x W 0 r J P Z B j p O 2 + B 5 C 1 w M W D d v / S W U R q x X g B 6 Y L s Y W 5 1 d q V k v z P 6 d + p c Z q 5 2 X X e N 7 F u i h B B U w W 5 r s C e 7 7 b H L f P h I z A Y Q m k D 1 y J J q Y U 2 Z 8 M 5 l + g C q X Y S F A A + g i g F o S I S P o Y D x b 4 W s X a A Y A 7 c z e E 4 + Q E g b m E V b C w I r Q k o k L 0 h 1 e w t v j g 3 E G m n g 6 l x W h 1 M k p + d 3 F a H x j u Z S t / e u c t a 5 v B E G u O U E Q 2 8 R e a X c 2 i w 9 y T r s d P m v F h A r j u 5 V Q e W R V R C + h K y 1 n n x O G E D n t d 0 0 7 p + T k G 5 n X Y M A V Z i 2 x w v u E n 8 G u 4 h X S i z j e B U r O Y k q + B C 7 L D p G 1 E n b i z O S N W l J n q V 3 Q j W I a F 3 v L / 7 w l l v s J r 8 J 1 m H y 0 K 3 w T c r s w Y U v f P 8 p p 5 o i v 7 n I j a Q y 9 n 7 4 L E 9 N 4 F o 1 b j l F y q S H J g t J + P t k k C Y t C 5 C w s 1 O S z k C 7 g k E B T p M E z f U n / S H h x h X q F A v W v w j V p h R 6 4 I L L C S 5 H l 3 P n J 1 q / w w J H e g i 6 n j y F b g i S d f A i X J N 6 k 3 J e Q n 1 V E T D k H L / t d 2 u x s M 8 2 0 N Z U m Q z L s k 9 P e Y H j V O x l g w T T e s T T q l F c 3 H U 1 f i 5 B 5 K p a m 0 N c H p p e r d D C i e N y U N M w g d T I M 2 7 X a 3 F q r O z n J 3 r k P 6 1 p b 8 F 8 0 1 m b c a 1 W 1 H a u d k G q O h J z v + O G o h 3 m p 1 P C r 4 H V S 6 m f Z V j k s 9 R y M Y Z Z Y z B 3 M t o L t m z o N 1 f C X V i E h P 9 G r q B d c I N u s g 8 A X t O Z y D T y g a s i R w A F R R 7 I F L h B I m k p / k 8 k N X V m 6 d K b 9 v 3 g R f N V d X y p r q Y b v Y D W P U n I y m U 9 h Q 9 d 9 n F R F I O W H W r l G o 6 N k T m j l Q 8 C + + A o S D l t R V G T t m 4 5 h z M c o g l R p r a Z R w / w q e y A R 0 r Q Q Y a 2 O C j 7 K 2 R 3 Z W l X o 1 t o l 4 Z o t B + k o w F a y U Q y P i T / b / F T G W 8 a v P J C q M 3 a o 6 m 7 v m l l P 5 9 S 5 b f v a D j g 3 q t E D 8 o m M O D 3 I d y o F g B e X a h E J v r z a D o z u q C 0 r h x U E p V E t Q J p a M c p 8 L Q / u U 7 r + Y u u n 5 A R m Z M 0 C f I 4 O 0 Q g 4 D T 3 7 P K 0 3 i + j G D h J w G N 8 p E s A V J o d H u O R d U D w 2 C 2 U R k G g p + Z S M Y j F x v H r T U R U G C i o d w 2 n D F A i x m 4 G Z T l y T q 7 P L 8 3 s 5 M d k f h R f A i e T 4 3 s g q Q c Y w p i 0 Y V f X 0 j g R / 6 d 9 w f F i H e r h E g S P S 8 Y P R H Y + B I i c p L a e 4 U k f D V o g D 2 f J W Z u 7 V A y n T h i m j I g c F E v y F F B S x z 0 h l w s j o H b o n r i 2 x 2 F R 0 Q F J u K K 5 z / r l H 8 r 7 U A g f f I c y G o H r k R p W v 4 w G z I h m y w p r t L p N 4 P m c + g g I b U w H K R K w 6 R o T l D i u x 3 J E I M 7 G g 7 s l v x 2 5 + O 5 T 5 T e s y N K k F T t H u 6 X V U i V 7 H S l i O b R A W u n l H I a h 4 N n y E / U 5 v u s H C w T o y R Q O 3 c Q N B R Y 5 1 h u g o Z r 5 k 4 g X Q f g 5 h W X I 2 N 9 f h i D A + K H N O R Q 3 r 9 l G 9 U c Y H 8 H P f + H P f + H P f + H P f + H P f + D 3 s G 5 8 n 8 W Z l n F z y r 9 X 3 i 1 9 c O z R u t 5 z T e k y L 7 W E b i v 3 i E G M + 5 w E a 8 h G U q f 2 0 R g E b E m t Q V V 0 K K W S 1 l Q 2 4 v 5 x / R p S X 5 B a t d 3 6 b a S w w z h o l + H Z B l v o h I 9 Y N g E D N P F k 6 j n D 8 d n F E X X A V S B Q l A r R a u K w Z 0 1 2 0 l g k h z l J 5 t 0 F N e a l F y F Y S l r 6 y 8 v s U j T + m Z I x m W g Y P j V 9 b 1 k W l C 8 o v e L C y F r m l M p + E w e m G i p X p J C 3 a L R E o i i S m N t A F u p L / J v c p 6 O p z U G d z Y q I m L W a l 9 T I x D b C / K 5 q R G J 5 R I 1 p O U 5 O q b Z n l w a t q U n u y A H + 5 m a c R L W E O G E i A i 4 5 P 4 s W b a B n u f Z H k f S P 3 3 L A / 6 h l O u W j H w j L M A L 5 t N 8 K M + e B 9 B G g Q o v t H T w e m t o V E d 4 r b O K u s D h g P b 0 P l T R J 4 V 7 w U t r L C t / v H F U g v o V v W q L 5 3 Q v B y z 5 B J M V 6 / a K 6 J N 2 W B 8 Z 8 H 1 1 5 V J o p 9 L n Z D + q r q T i e 8 Q S W U f w 1 C 2 w i M t y J F O 2 a h I 6 X U c x x X K L g H K 7 N 6 Z h B F N 2 T k 4 g i W E Y K Z 2 Y R a l 0 s V X A U L 5 + v Q o z l p k o r B k o V j Z A A F W F w G 2 I D n 2 H R O 9 h i n P k c + Y z a 6 q X t q g g y W a i G M D L r T k r E l y A s e f l u H X t f P W E q l X i P R J d B n 4 w + Q X M h C r L h I v V N s S m Z H j T 2 n w 1 w o d p u 4 y 8 r h d a q 2 3 d J V K b z d U m 8 Q 4 2 Y p b p W a O y 7 j U j K + b 6 z C c b o j r P a 2 3 X d v Y y C n m t s 9 w 7 g P c t u y i A H X T P B t X H 8 t J M u f 9 / 0 J f i k t v 3 j 2 H V y Z 4 B e i W X K T a B E t J 8 n n 8 j K E c S F a X B Y 7 z 3 C 3 3 I v g B L 0 + u m a X 7 K 7 z s S I 3 j k D Y 3 V 0 0 s q C C B 5 e / j N c p S U I m 6 q n i i t 5 G b y I q c D 7 z S 4 M G M J 9 Q 9 F 6 c N 1 9 0 F v y i 0 Y r u D f L g 1 G w T g I U b a t n 3 6 5 0 S F S s G T G y s Q M A A h X H J L s p j x i W c M 7 m K k Y k g h 6 Z c N e G b I G y J b H Z j 0 p y G Q T k N F k s S R N B s 9 E a b 2 / x A W 7 + v O X 4 w 8 h u C b C a J y 5 w V R + A c d 4 O 4 W 8 6 H o d 8 n r T O M M o 9 5 x Z F 4 Y O n V e B H 0 Y y Z U r z M e c S W 2 4 l j 8 8 H S 2 n Q 9 F u 5 Z b Z x j e / h g n T t Z M / r b U / Y 5 c / Z b k / L Z s / F D 6 f S j f P p J g H 8 i o D 6 f Q 9 8 m Z b y T J 9 x d k / v m r j K w A 6 j U M i 7 r R B d x 2 K k f y T R q 3 e p m + o W Y O / d T y V T I 5 e E X N U v Z i Z E d B N 4 y F A Q h v E w F z t F r L 4 g z b p 2 1 5 N / K + v G V j 1 1 X l k M 3 b O Y V L I E N E 2 + 3 f k b J F 5 7 t 6 5 d v d E T i 0 s Y p o f i 6 K R M + 9 N + 4 L a Q e p O I J Z q u 0 c t / z P u y O T m h p O F 9 3 n O D 5 S v K x 0 g d p J L J 7 e O 8 N F g x O / x y D o g Y r Z a f c c x 4 y h n R E p u / D t x I r D j W / f 8 k F L g d X w y i 6 f o 6 g x v D P U i n v q D u R E h n M I t 6 c q Z h k g g T H j F + Z R v A p k 5 M v 1 D s Q Y l M 9 E S n A 6 T s C V N x T F D C n L X T m R j I v h I v H n W M b 5 I F s D c v k + u S c q 5 V y s D j O v U p T u Z + B 3 S g a D a 8 g A R S c l s e F K U r l S R x A R q 8 F L p c R N W M I G n L j w 5 U O k H W I w R z n r j A O y e Q e M J 5 B d Z J 5 C 6 x y A 4 p K a U / m N S N h o R D N X 4 N k v h H 2 I U I W H 1 G o q o m 5 e I H g c b B O O 4 m Z x t w q b T d q c + 6 U H E 4 a n X E 2 a W 4 w I 5 J e n r Q O e S G I E o 0 o h y E H z o C 2 m t W V M o T A m u y 5 k z T E V h i i v C + F s D I i x W I s j u 2 c Z 0 M P j g w M S J 5 Y B H T R b x / v Y g A p L 2 D 0 B x t B l Q 7 p b b S J + o U O z T w S F o B N x j O H N T X U n z u D o c k O / O u + 4 c C Y O p C k J 1 / E 8 m r G b r 8 J f B V t 3 J n Y B l e A k d 3 E 5 9 F s m 2 I S U z U F Q J H j u B W z C N W w b c h 6 O A g v Z I C 5 S g G S 4 q G U F S n U 2 o x D e j d K B y 1 8 T a h D p g Z b 8 R Z b 8 C Z b y z Z X 8 k R X l v R T g g R T g R R T g C R T r m y f A I y f a q y Y 7 3 F A 4 / G J b Z j G U W V D O x 6 K H 5 8 B p A i S z u 5 7 i x p U L q A s Q c Y t J L H P R 7 S 4 8 U C d c b 2 c Z X E f Z N J T L j o s n + W s w G H a G X Z H e P g C K X y 3 F R Y o 3 d C 8 + Q 6 I E 3 S e 1 5 u s j 0 i 7 G y L F S b r s 8 M 3 Y R A B T n I g i y Z D + o V G F X s C P 4 V S Z l C + J 3 W K A / Q m h N H 4 k 4 c B x u n 5 K z V B f 1 O q u w Q H y V u W M n 0 P x 8 W b I N 5 d o W p i X v j 1 D j l c g G 5 3 l 3 E n G 8 e W p y W A H Z 0 M 9 W k t S E H A M h S S R T O b J E V V k Q g w x X N b h K G 0 F + U i l 9 4 m c x l t M g 9 U z G C u g V + G M / e K o U g u X A 2 u M w Z I c + f K c f W q x F F O W m D 7 q W 6 j 4 j s V T 3 H K S l B e f 4 6 w a k u Z n T 4 G f 9 r N I 4 V 1 Q K v f j W f H y 8 6 n m i h t A 3 O Q Y o D i f L b 0 2 o Y w 0 E w k M D Q d D S o A A s 9 X Y A p E v y T 6 D c s u 6 T U b V H K E G t 4 m U B d 7 U H u S d I c g 7 i O o f v y T P x v c U i H 9 + 1 9 u G J y t 8 L V B x T P 2 Z e s D 8 O 3 / 0 M X y c a m u c S Y C 1 w z k H u y G 1 3 M I d w M e W Q h S 3 P u h + l v e b c Q 7 T + w d M O n S y T e 3 u 2 x u 5 u O y J s 7 i F c 1 O n X Z Q b u V 4 V F E J w X u p h 5 f Q 9 V Y 6 3 / k t O 5 L g E d u n K 8 7 Y T r 5 + / 3 r I v c h Y 1 9 j R N w m n U M q t 5 V h S c R S 5 O o p w Z G 0 y O a g F X T I g J Z i C v d Y 3 V g 7 Z M h 1 j + v n 1 9 2 P p 8 0 e j j a T Q + U L b U r j M b S i t 9 A L Q 2 4 a L C j j J D G l H + x k t Y z u 2 L N t w N c E + u Z g L H i W w M 7 Y K d a D z Z s n c N L l z 9 q a K 0 q c v Q y v z u g e q x u p d x d J j p 6 q G g Z P 5 q D N Q 0 Q 9 R S J v H g h X n 2 w m 9 x 6 1 9 W e w i g 0 s x U 1 + H x 2 e 8 E y 1 g 9 2 g T c v 0 K O m g j 6 F V x h 8 M U N 4 o + 7 U 4 9 v x v d G d K g T l 8 H V F A q 9 c Z 1 V r N p y x g b Q c I I M k A 1 u R N 2 1 7 n u z C n c m A m 5 2 b f f s 5 N + 1 w i + d y x D h s / S 0 t P y M i 1 r X D 2 w 7 d f d j I N 7 C A Q l O A n T 9 q 6 k M O C V t L R F p 1 8 P a f c z r M Z L Q I 2 U F m J b h x W + F R L 9 u z N M a b I / J x h H x q g c c X / V l O u F y e f t P D / p / s Z D X 9 a 9 + 9 t 0 8 3 X Q y b Z D f 7 h 9 0 d M U P H y z W f E K t m K G 3 x S F j N V 8 G c G h p y q 6 K q 2 + K X Q / b 7 D h l f / 5 I d d A K + o 2 f g v r e X 3 L Z 7 l m 6 7 Z + C w I 3 G I O / 6 d D 8 H p / X t f o 7 s I f 2 d x b c V O i O 4 H p u 9 C 7 K a l f A P B P 7 B C e X C 6 f F a U Y c O M W O M 2 b w 1 r x H j S C A 7 d Q Y N + s L w 6 X g d 9 U A I Q 6 Z 6 g K 4 5 A 2 X c 7 g b 0 2 4 u 4 b K 1 X O / j w G Y D H F E H O L s 7 S 9 5 a a l V Y + a 9 n d R K i b A 9 J v E f M r / N A / g t A J f 5 H A e 0 P 1 l S B v o b H / V H R y q W d 9 b T p P Q 7 e L x G g T Y Q Z R 3 U E i w e m w 7 f j C q T w U 5 f t / v A M J K K 5 e I U l 7 X t Q s o F b S e e N K i s S q d R z h x r 2 v a b m G s V r O K / 5 y m L S j f p b l p 1 p g X 1 3 w 3 a 8 y Z s 8 1 q k 2 l t q u Z M 2 4 d s Y Q N r R Z R H n L V A B n L W Q r j L W Q 9 g P X d f P l s u a v s + E E K G p Q A R p K D 2 7 z O 3 M n H I H K l l d v S V N y w 7 0 5 l / t L f O Y c p L K C O b B h r / 0 i r u G e 5 8 a Y 3 v 2 v u W H L u 9 N R 2 g w N k L H c S B e S u / C b f 7 s S i T T M p J n j r P h G x M o c w s K 9 a O U H Y x s 1 a o u y 5 i V T l m 2 W 4 + A a + z 3 3 x W Q R G b x u E k F a L E N Z X Y 1 B s z W Q i n c q 6 / w T q t o 6 6 2 W a d 1 Z H R 5 a 3 3 3 Q 8 H m V + h J m y h 2 8 I O Y X 6 z F b z K 3 t Q 4 h X X O 7 x d T q Z z 5 + 0 7 r l U a o 6 C S J X a 4 U 1 q 8 2 a V E p 7 U 1 s r j 8 s s y p e f m V l E O F B u C A Y K g y N Z 9 7 K v j U 7 M t W s d u P m 6 s o W G A L B d D N o r a B o Q B w Y M o V o O y 5 f x L J z X u r 6 j 2 G h 1 M 7 H k s T O o 3 1 Q N 1 b e A e e 2 U b e 7 Z K i 4 8 K 7 r W S b L P t 5 t 9 t l n R W l 1 V D O m + R G y I T e f w X N W Q c f t U w w i C V X V Q y l E N I 6 F H b z h t 9 R w C Q B 4 m + 2 b J w n u g b 0 Z X 0 f h i s 0 2 t k c S l X u x S o S V r 4 a A H o 3 m S D i U 0 7 l q q T D B T 9 + k E q 2 K o V y G T 2 T O Q K M G X V D g 5 r G 3 V o Z Z p C e g U q x 2 0 V p V 8 J i p a z g Z f 8 t l p h L Y l k a + G N D P o V s v I z D P v 1 O i / 0 k u t K A l A B y w r 4 8 k D s j S V i H y j R i T C u b T E M i m 0 F E F o X C 8 8 R M u D / D M 2 x F + / / 7 Q m q l s T d p V f X 5 r X X q b f w 0 l J j X g H K A D o 5 z r 9 u U 7 / A K u / Q l o W 8 9 F b + 9 r D S g N r P J Z 5 8 d w a l m X e S X d E Z 4 E X 1 i 1 x W s Z N d q 9 o r Q A N n t 7 p q 5 s W a e s Z Z w c F 1 V l l s U c U I N Y u x g 8 m q M E D 8 H i a d h A 4 K h g c g L 0 d N B C + n p O L T 4 W R S X / L P D V V X / z 4 Y S P 2 q 4 T m o 9 m B e c r f z I k m 5 b 0 r X n 6 D w v 4 4 A 6 g 5 p + Y U 4 J W U X 5 h 9 e s X e S 9 U 6 Y I 8 A 8 n Z a 1 V 5 M K b t g A 5 Q 4 5 j f x 9 o J y N w 2 4 Q Z Q d H w z D T 2 n z i v H j H v 8 p o j f Z F S W O 0 5 i i d x A 0 m 8 G T 4 C v Z b x w 0 j r J b 0 0 G A G i + W V 1 H 0 T Q c w 8 j q B l 6 1 A c 9 K a v m I 1 l g k q 9 3 L L g k 7 o K v 5 Y G D N Y U x m w 5 n 0 H / d a j z A j i s o X D R w f h A 7 z U 4 e K m A / V y o x t z / O Z R G 2 c f b I g N T 1 p Z M r + 3 g 7 / 9 P 1 B L A Q I t A B Q A A g A I A H B N 3 V y p W 6 4 C p A A A A P Y A A A A S A A A A A A A A A A A A A A A A A A A A A A B D b 2 5 m a W c v U G F j a 2 F n Z S 5 4 b W x Q S w E C L Q A U A A I A C A B w T d 1 c D 8 r p q 6 Q A A A D p A A A A E w A A A A A A A A A A A A A A A A D w A A A A W 0 N v b n R l b n R f V H l w Z X N d L n h t b F B L A Q I t A B Q A A g A I A H B N 3 V y d h I J L 5 h g A A M P D A A A T A A A A A A A A A A A A A A A A A O E B A A B G b 3 J t d W x h c y 9 T Z W N 0 a W 9 u M S 5 t U E s F B g A A A A A D A A M A w g A A A B Q b A A A A A B E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6 k y A E A A A A A A I L I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X d B Q U F B Q U F B Q U N Q c 1 o v R G Q 2 V 0 h R T C 9 I b 1 Y r c W h K R W t F V k 5 2 Z F h K a l p Y T W d k R z h n Z F h C a 1 l Y U m x B Q U F B Q U F B Q U F B Q U F B Q W l v S E J I d E J a Z E Z 0 U 0 x 4 M X B E Z T V a Q V J V M 0 J z Y V h R Z 1 k y R n N Z M 1 Z z W V h S c G I y N E F B Q U V B Q U F B Q U F B Q U F x S D F K Z V N D Z W w w Z V p H d z Y x W m Z L V m x B M V N a U z F F Y n l C e G R X V n l h V 1 Z 6 Q U F B R E F B Q U E i I C 8 + P C 9 T d G F i b G V F b n R y a W V z P j w v S X R l b T 4 8 S X R l b T 4 8 S X R l b U x v Y 2 F 0 a W 9 u P j x J d G V t V H l w Z T 5 G b 3 J t d W x h P C 9 J d G V t V H l w Z T 4 8 S X R l b V B h d G g + U 2 V j d G l v b j E v R l J Q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A x Y z k 4 Z D M 0 L T B j M D c t N G F k M y 1 h O G J j L T l i Y j c 4 M j M 4 Z D J j O S I g L z 4 8 R W 5 0 c n k g V H l w Z T 0 i U X V l c n l H c m 9 1 c E l E I i B W Y W x 1 Z T 0 i c 2 M z O W Z i M T h m L W E 1 N z c t N D A 4 N y 1 i Z m M 3 L W E x N W Z h Y T g 0 O T E y N C I g L z 4 8 R W 5 0 c n k g V H l w Z T 0 i R m l s b F R v R G F 0 Y U 1 v Z G V s R W 5 h Y m x l Z C I g V m F s d W U 9 I m w x I i A v P j x F b n R y e S B U e X B l P S J G a W x s T 2 J q Z W N 0 V H l w Z S I g V m F s d W U 9 I n N D b 2 5 u Z W N 0 a W 9 u T 2 5 s e S I g L z 4 8 R W 5 0 c n k g V H l w Z T 0 i R m l s b E x h c 3 R V c G R h d G V k I i B W Y W x 1 Z T 0 i Z D I w M j Y t M D Y t M j l U M T Y 6 N D M 6 M j k u O D U y M D U y M 1 o i I C 8 + P E V u d H J 5 I F R 5 c G U 9 I k Z p b G x D b 2 x 1 b W 5 U e X B l c y I g V m F s d W U 9 I n N C Z 0 F H Q X d N R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3 N j a G 9 v b F l l Y X I m c X V v d D s s J n F 1 b 3 Q 7 Q 0 N E R E Q m c X V v d D s s J n F 1 b 3 Q 7 R G l z d H J p Y 3 R O Y W 1 l J n F 1 b 3 Q 7 L C Z x d W 9 0 O 1 R v d G F s U 3 R 1 Z G V u d H M m c X V v d D s s J n F 1 b 3 Q 7 V G 9 0 Y W x T d H V k Z W 5 0 c 0 l u U G 9 2 Z X J 0 e S Z x d W 9 0 O y w m c X V v d D t U b 3 R h b F B l c m N l b n R J b l B v d m V y d H k m c X V v d D t d I i A v P j x F b n R y e S B U e X B l P S J G a W x s Q 2 9 1 b n Q i I F Z h b H V l P S J s M z I 3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U l B M L 0 N o Y W 5 n Z W Q g V H l w Z S 5 7 c 2 N o b 2 9 s W W V h c i w w f S Z x d W 9 0 O y w m c X V v d D t T Z W N 0 a W 9 u M S 9 G U l B M L 0 F k Z G V k I E N 1 c 3 R v b S 5 7 Q 0 N E R E Q s N n 0 m c X V v d D s s J n F 1 b 3 Q 7 U 2 V j d G l v b j E v R l J Q T C 9 D a G F u Z 2 V k I F R 5 c G U u e 0 R p c 3 R y a W N 0 T m F t Z S w y f S Z x d W 9 0 O y w m c X V v d D t T Z W N 0 a W 9 u M S 9 G U l B M L 0 N o Y W 5 n Z W Q g V H l w Z S 5 7 V G 9 0 Y W x T d H V k Z W 5 0 c y w z f S Z x d W 9 0 O y w m c X V v d D t T Z W N 0 a W 9 u M S 9 G U l B M L 0 N o Y W 5 n Z W Q g V H l w Z S 5 7 V G 9 0 Y W x T d H V k Z W 5 0 c 0 l u U G 9 2 Z X J 0 e S w 0 f S Z x d W 9 0 O y w m c X V v d D t T Z W N 0 a W 9 u M S 9 G U l B M L 0 N o Y W 5 n Z W Q g V H l w Z S 5 7 V G 9 0 Y W x Q Z X J j Z W 5 0 S W 5 Q b 3 Z l c n R 5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Z S U E w v Q 2 h h b m d l Z C B U e X B l L n t z Y 2 h v b 2 x Z Z W F y L D B 9 J n F 1 b 3 Q 7 L C Z x d W 9 0 O 1 N l Y 3 R p b 2 4 x L 0 Z S U E w v Q W R k Z W Q g Q 3 V z d G 9 t L n t D Q 0 R E R C w 2 f S Z x d W 9 0 O y w m c X V v d D t T Z W N 0 a W 9 u M S 9 G U l B M L 0 N o Y W 5 n Z W Q g V H l w Z S 5 7 R G l z d H J p Y 3 R O Y W 1 l L D J 9 J n F 1 b 3 Q 7 L C Z x d W 9 0 O 1 N l Y 3 R p b 2 4 x L 0 Z S U E w v Q 2 h h b m d l Z C B U e X B l L n t U b 3 R h b F N 0 d W R l b n R z L D N 9 J n F 1 b 3 Q 7 L C Z x d W 9 0 O 1 N l Y 3 R p b 2 4 x L 0 Z S U E w v Q 2 h h b m d l Z C B U e X B l L n t U b 3 R h b F N 0 d W R l b n R z S W 5 Q b 3 Z l c n R 5 L D R 9 J n F 1 b 3 Q 7 L C Z x d W 9 0 O 1 N l Y 3 R p b 2 4 x L 0 Z S U E w v Q 2 h h b m d l Z C B U e X B l L n t U b 3 R h b F B l c m N l b n R J b l B v d m V y d H k s N X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R l J Q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U l B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c n R l c l 9 U c m l i Y W x T Z W 5 k a W 5 n J T I w R G l z d H J p Y 3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j M z l m Y j E 4 Z i 1 h N T c 3 L T Q w O D c t Y m Z j N y 1 h M T V m Y W E 4 N D k x M j Q i I C 8 + P E V u d H J 5 I F R 5 c G U 9 I l F 1 Z X J 5 S U Q i I F Z h b H V l P S J z Y j l l Y m J i N D Q t Y j h j Z i 0 0 M D Z h L T g 5 Z T Q t M 2 U w O G J j N m F h Y j Y z I i A v P j x F b n R y e S B U e X B l P S J G a W x s R X J y b 3 J D b 3 V u d C I g V m F s d W U 9 I m w w I i A v P j x F b n R y e S B U e X B l P S J G a W x s V G 9 E Y X R h T W 9 k Z W x F b m F i b G V k I i B W Y W x 1 Z T 0 i b D E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Z p b G x M Y X N 0 V X B k Y X R l Z C I g V m F s d W U 9 I m Q y M D I 2 L T A 2 L T I 5 V D E 2 O j Q z O j I 5 L j g 2 M z c 5 O T R a I i A v P j x F b n R y e S B U e X B l P S J G a W x s Q 2 9 s d W 1 u V H l w Z X M i I F Z h b H V l P S J z Q m d Z R 0 J n W U F B Q T 0 9 I i A v P j x F b n R y e S B U e X B l P S J G a W x s Q 2 9 s d W 1 u T m F t Z X M i I F Z h b H V l P S J z W y Z x d W 9 0 O 0 N D R E R E J n F 1 b 3 Q 7 L C Z x d W 9 0 O 0 N o Y X J 0 Z X I v V H J p Y m F s I C Z x d W 9 0 O y w m c X V v d D t T Z W 5 k a W 5 n I E R p c 3 R y a W N 0 J n F 1 b 3 Q 7 L C Z x d W 9 0 O 1 N l b m R p b m c g R G l z d H J p Y 3 Q g Q 0 N E R E Q m c X V v d D s s J n F 1 b 3 Q 7 T E V B S U Q m c X V v d D s s J n F 1 b 3 Q 7 S X N O Z X c m c X V v d D s s J n F 1 b 3 Q 7 S X N F e H B h b m R l Z C Z x d W 9 0 O 1 0 i I C 8 + P E V u d H J 5 I F R 5 c G U 9 I k Z p b G x D b 3 V u d C I g V m F s d W U 9 I m w x O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h h c n R l c l 9 U c m l i Y W x T Z W 5 k a W 5 n I E R p c 3 R y a W N 0 c y 9 D a G F u Z 2 V k I F R 5 c G U u e 0 N D R E R E L D B 9 J n F 1 b 3 Q 7 L C Z x d W 9 0 O 1 N l Y 3 R p b 2 4 x L 0 N o Y X J 0 Z X J f V H J p Y m F s U 2 V u Z G l u Z y B E a X N 0 c m l j d H M v Q 2 h h b m d l Z C B U e X B l L n t D a G F y d G V y L 1 R y a W J h b C A s M X 0 m c X V v d D s s J n F 1 b 3 Q 7 U 2 V j d G l v b j E v Q 2 h h c n R l c l 9 U c m l i Y W x T Z W 5 k a W 5 n I E R p c 3 R y a W N 0 c y 9 D a G F u Z 2 V k I F R 5 c G U u e 1 N l b m R p b m c g R G l z d H J p Y 3 Q s M n 0 m c X V v d D s s J n F 1 b 3 Q 7 U 2 V j d G l v b j E v Q 2 h h c n R l c l 9 U c m l i Y W x T Z W 5 k a W 5 n I E R p c 3 R y a W N 0 c y 9 D a G F u Z 2 V k I F R 5 c G U u e 1 N l b m R p b m c g R G l z d H J p Y 3 Q g Q 2 9 k Z S w z f S Z x d W 9 0 O y w m c X V v d D t T Z W N 0 a W 9 u M S 9 D a G F y d G V y X 1 R y a W J h b F N l b m R p b m c g R G l z d H J p Y 3 R z L 0 N o Y W 5 n Z W Q g V H l w Z S 5 7 T E V B S U Q s N H 0 m c X V v d D s s J n F 1 b 3 Q 7 U 2 V j d G l v b j E v Q 2 h h c n R l c l 9 U c m l i Y W x T Z W 5 k a W 5 n I E R p c 3 R y a W N 0 c y 9 Q c m 9 t b 3 R l Z C B I Z W F k Z X J z L n t J c 0 5 l d y w 1 f S Z x d W 9 0 O y w m c X V v d D t T Z W N 0 a W 9 u M S 9 D a G F y d G V y X 1 R y a W J h b F N l b m R p b m c g R G l z d H J p Y 3 R z L 1 B y b 2 1 v d G V k I E h l Y W R l c n M u e 0 l z R X h w Y W 5 k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h h c n R l c l 9 U c m l i Y W x T Z W 5 k a W 5 n I E R p c 3 R y a W N 0 c y 9 D a G F u Z 2 V k I F R 5 c G U u e 0 N D R E R E L D B 9 J n F 1 b 3 Q 7 L C Z x d W 9 0 O 1 N l Y 3 R p b 2 4 x L 0 N o Y X J 0 Z X J f V H J p Y m F s U 2 V u Z G l u Z y B E a X N 0 c m l j d H M v Q 2 h h b m d l Z C B U e X B l L n t D a G F y d G V y L 1 R y a W J h b C A s M X 0 m c X V v d D s s J n F 1 b 3 Q 7 U 2 V j d G l v b j E v Q 2 h h c n R l c l 9 U c m l i Y W x T Z W 5 k a W 5 n I E R p c 3 R y a W N 0 c y 9 D a G F u Z 2 V k I F R 5 c G U u e 1 N l b m R p b m c g R G l z d H J p Y 3 Q s M n 0 m c X V v d D s s J n F 1 b 3 Q 7 U 2 V j d G l v b j E v Q 2 h h c n R l c l 9 U c m l i Y W x T Z W 5 k a W 5 n I E R p c 3 R y a W N 0 c y 9 D a G F u Z 2 V k I F R 5 c G U u e 1 N l b m R p b m c g R G l z d H J p Y 3 Q g Q 2 9 k Z S w z f S Z x d W 9 0 O y w m c X V v d D t T Z W N 0 a W 9 u M S 9 D a G F y d G V y X 1 R y a W J h b F N l b m R p b m c g R G l z d H J p Y 3 R z L 0 N o Y W 5 n Z W Q g V H l w Z S 5 7 T E V B S U Q s N H 0 m c X V v d D s s J n F 1 b 3 Q 7 U 2 V j d G l v b j E v Q 2 h h c n R l c l 9 U c m l i Y W x T Z W 5 k a W 5 n I E R p c 3 R y a W N 0 c y 9 Q c m 9 t b 3 R l Z C B I Z W F k Z X J z L n t J c 0 5 l d y w 1 f S Z x d W 9 0 O y w m c X V v d D t T Z W N 0 a W 9 u M S 9 D a G F y d G V y X 1 R y a W J h b F N l b m R p b m c g R G l z d H J p Y 3 R z L 1 B y b 2 1 v d G V k I E h l Y W R l c n M u e 0 l z R X h w Y W 5 k Z W Q s N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2 h h c n R l c l 9 U c m l i Y W x T Z W 5 k a W 5 n J T I w R G l z d H J p Y 3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X J 0 Z X J f V H J p Y m F s U 2 V u Z G l u Z y U y M E R p c 3 R y a W N 0 c y 9 T a G V l d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y d G V y X 1 R y a W J h b F N l b m R p b m c l M j B E a X N 0 c m l j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c n R l c k 9 u b H k 8 L 0 l 0 Z W 1 Q Y X R o P j w v S X R l b U x v Y 2 F 0 a W 9 u P j x T d G F i b G V F b n R y a W V z P j x F b n R y e S B U e X B l P S J G a W x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l N m U 0 N z c 3 O S 1 h Y T l j L T Q 3 Z T A t O G M w N S 0 4 Y j V h N z h i M j A 3 M D I i I C 8 + P E V u d H J 5 I F R 5 c G U 9 I l F 1 Z X J 5 R 3 J v d X B J R C I g V m F s d W U 9 I n M x M T F j Y T g w O C 0 w N W V k L T Q 1 O T c t Y j U y M i 1 m M W Q 2 O T B k Z W U 1 O T A i I C 8 + P E V u d H J 5 I F R 5 c G U 9 I k Z p b G x U b 0 R h d G F N b 2 R l b E V u Y W J s Z W Q i I F Z h b H V l P S J s M S I g L z 4 8 R W 5 0 c n k g V H l w Z T 0 i R m l s b E 9 i a m V j d F R 5 c G U i I F Z h b H V l P S J z Q 2 9 u b m V j d G l v b k 9 u b H k i I C 8 + P E V u d H J 5 I F R 5 c G U 9 I k Z p b G x M Y X N 0 V X B k Y X R l Z C I g V m F s d W U 9 I m Q y M D I 2 L T A 2 L T I 5 V D E 2 O j Q z O j I 5 L j g 2 O D k y N z d a I i A v P j x F b n R y e S B U e X B l P S J G a W x s Q 2 9 s d W 1 u V H l w Z X M i I F Z h b H V l P S J z Q m d Z R 0 F B Q U R B d 1 l G Q U F R R U F B U U V B Q T 0 9 I i A v P j x F b n R y e S B U e X B l P S J G a W x s Q 2 9 s d W 1 u T m F t Z X M i I F Z h b H V l P S J z W y Z x d W 9 0 O 0 N D R E R E J n F 1 b 3 Q 7 L C Z x d W 9 0 O 0 R p c 3 R y a W N 0 T m F t Z S Z x d W 9 0 O y w m c X V v d D t M R U F p Z C Z x d W 9 0 O y w m c X V v d D t J c 0 5 l d y Z x d W 9 0 O y w m c X V v d D t J c 0 V 4 c G F u Z G V k J n F 1 b 3 Q 7 L C Z x d W 9 0 O 0 Z S U E w u V G 9 0 Y W x T d H V k Z W 5 0 c y Z x d W 9 0 O y w m c X V v d D t T Z W 5 k a W 5 n V G 9 0 Y W x T d H V k Z W 5 0 c y Z x d W 9 0 O y w m c X V v d D t T Z W 5 k a W 5 n T E V B a W Q m c X V v d D s s J n F 1 b 3 Q 7 Q 2 h h c n R l c n N U b 3 R h b F N 0 d W R l b n R z J n F 1 b 3 Q 7 L C Z x d W 9 0 O 1 N 1 b S B v Z i B D a G F y d G V y c y B S R l B M K 1 N l b m R p b m c g U k Z Q T C Z x d W 9 0 O y w m c X V v d D t T a G F y Z S B v Z i B G U l B M J n F 1 b 3 Q 7 L C Z x d W 9 0 O 1 N l b m R p b m c g U 2 h h c m U g b 2 Y g R l J Q T C Z x d W 9 0 O y w m c X V v d D t T d W 0 g b 2 Y g Y 2 h h c n R l c i B 0 b 3 R h b C B z d H V k Z W 5 0 c y A r I F N l b m R p b m c g d G 9 0 Y W w g c 3 R 1 Z G V u d H M m c X V v d D s s J n F 1 b 3 Q 7 U 2 h h c m U g b 2 Y g V G 9 0 Y W w g R W 5 y b 2 x s b W V u d C Z x d W 9 0 O y w m c X V v d D t T Z W 5 k a W 5 n I F N o Y X J l I G 9 m I F R v d G F s I G V u c m 9 s b G 1 l b n Q m c X V v d D s s J n F 1 b 3 Q 7 R G l z d H J p Y 3 R U e X B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g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c G x p d C B D Y W x j L 0 N o Y W 5 n Z W Q g V H l w Z S 5 7 Q 0 N E R E Q s M H 0 m c X V v d D s s J n F 1 b 3 Q 7 U 2 V j d G l v b j E v Q 2 h h c n R l c l 9 U c m l i Y W x T Z W 5 k a W 5 n I E R p c 3 R y a W N 0 c y 9 D a G F u Z 2 V k I F R 5 c G U u e 0 N o Y X J 0 Z X I v V H J p Y m F s I C w x f S Z x d W 9 0 O y w m c X V v d D t T Z W N 0 a W 9 u M S 9 D a G F y d G V y T 2 5 s e S 9 D a G F u Z 2 V k I F R 5 c G U u e 0 x F Q W l k L D J 9 J n F 1 b 3 Q 7 L C Z x d W 9 0 O 1 N l Y 3 R p b 2 4 x L 0 N o Y X J 0 Z X J f V H J p Y m F s U 2 V u Z G l u Z y B E a X N 0 c m l j d H M v U H J v b W 9 0 Z W Q g S G V h Z G V y c y 5 7 S X N O Z X c s N X 0 m c X V v d D s s J n F 1 b 3 Q 7 U 2 V j d G l v b j E v Q 2 h h c n R l c l 9 U c m l i Y W x T Z W 5 k a W 5 n I E R p c 3 R y a W N 0 c y 9 Q c m 9 t b 3 R l Z C B I Z W F k Z X J z L n t J c 0 V 4 c G F u Z G V k L D Z 9 J n F 1 b 3 Q 7 L C Z x d W 9 0 O 1 N l Y 3 R p b 2 4 x L 0 Z S U E w v Q 2 h h b m d l Z C B U e X B l L n t U b 3 R h b F N 0 d W R l b n R z L D N 9 J n F 1 b 3 Q 7 L C Z x d W 9 0 O 1 N l Y 3 R p b 2 4 x L 0 Z S U E w v Q 2 h h b m d l Z C B U e X B l L n t U b 3 R h b F N 0 d W R l b n R z L D N 9 J n F 1 b 3 Q 7 L C Z x d W 9 0 O 1 N l Y 3 R p b 2 4 x L 0 N D R E R E X F w v T E V B a W Q v U 2 9 1 c m N l L n t O Q 0 V T T E V B T n V t Y m V y L D N 9 J n F 1 b 3 Q 7 L C Z x d W 9 0 O 1 N l Y 3 R p b 2 4 x L 3 N 1 b W l m L 0 d y b 3 V w Z W Q g U m 9 3 c y 5 7 U 3 V t V G 9 0 Y W x T d H V k Z W 5 0 c y w y f S Z x d W 9 0 O y w m c X V v d D t T Z W N 0 a W 9 u M S 9 T c G x p d C B D Y W x j L 0 F k Z G V k I E N 1 c 3 R v b S 5 7 U 3 V t I G 9 m I E N o Y X J 0 Z X J z I F J G U E w r U 2 V u Z G l u Z y B S R l B M L D E 0 f S Z x d W 9 0 O y w m c X V v d D t T Z W N 0 a W 9 u M S 9 T c G x p d C B D Y W x j L 0 N o Y W 5 n Z W Q g V H l w Z T E u e y V P Z i B S R l B M I G l u I H N l b m R p b m c g Z G l z d H J p Y 3 Q s M T V 9 J n F 1 b 3 Q 7 L C Z x d W 9 0 O 1 N l Y 3 R p b 2 4 x L 1 N w b G l 0 I E N h b G M v Q 2 h h b m d l Z C B U e X B l M i 5 7 U 2 V u Z G l u Z y B E a X N 0 c m l j d C A l I C w x N X 0 m c X V v d D s s J n F 1 b 3 Q 7 U 2 V j d G l v b j E v U 3 B s a X Q g Q 2 F s Y y 9 B Z G R l Z C B D d X N 0 b 2 0 z L n t T d W 0 g b 2 Y g Y 2 h h c n R l c i B 0 b 3 R h b C B z d H V k Z W 5 0 c y A r I F N l b m R p b m c g d G 9 0 Y W w g c 3 R 1 Z G V u d H M s M T d 9 J n F 1 b 3 Q 7 L C Z x d W 9 0 O 1 N l Y 3 R p b 2 4 x L 1 N w b G l 0 I E N h b G M v Q 2 h h b m d l Z C B U e X B l M y 5 7 U 2 h h c m U g b 2 Y g V G 9 0 Y W w g R W 5 y b 2 x s b W V u d C w x O H 0 m c X V v d D s s J n F 1 b 3 Q 7 U 2 V j d G l v b j E v U 3 B s a X Q g Q 2 F s Y y 9 D a G F u Z 2 V k I F R 5 c G U 0 L n t T Z W 5 k a W 5 n I F N o Y X J l I G 9 m I F R v d G F s I G V u c m 9 s b G 1 l b n Q s M T l 9 J n F 1 b 3 Q 7 L C Z x d W 9 0 O 1 N l Y 3 R p b 2 4 x L 0 N o Y X J 0 Z X J P b m x 5 L 0 F k Z G V k I E N 1 c 3 R v b S 5 7 R G l z d H J p Y 3 R U e X B l L D E 3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3 B s a X Q g Q 2 F s Y y 9 D a G F u Z 2 V k I F R 5 c G U u e 0 N D R E R E L D B 9 J n F 1 b 3 Q 7 L C Z x d W 9 0 O 1 N l Y 3 R p b 2 4 x L 0 N o Y X J 0 Z X J f V H J p Y m F s U 2 V u Z G l u Z y B E a X N 0 c m l j d H M v Q 2 h h b m d l Z C B U e X B l L n t D a G F y d G V y L 1 R y a W J h b C A s M X 0 m c X V v d D s s J n F 1 b 3 Q 7 U 2 V j d G l v b j E v Q 2 h h c n R l c k 9 u b H k v Q 2 h h b m d l Z C B U e X B l L n t M R U F p Z C w y f S Z x d W 9 0 O y w m c X V v d D t T Z W N 0 a W 9 u M S 9 D a G F y d G V y X 1 R y a W J h b F N l b m R p b m c g R G l z d H J p Y 3 R z L 1 B y b 2 1 v d G V k I E h l Y W R l c n M u e 0 l z T m V 3 L D V 9 J n F 1 b 3 Q 7 L C Z x d W 9 0 O 1 N l Y 3 R p b 2 4 x L 0 N o Y X J 0 Z X J f V H J p Y m F s U 2 V u Z G l u Z y B E a X N 0 c m l j d H M v U H J v b W 9 0 Z W Q g S G V h Z G V y c y 5 7 S X N F e H B h b m R l Z C w 2 f S Z x d W 9 0 O y w m c X V v d D t T Z W N 0 a W 9 u M S 9 G U l B M L 0 N o Y W 5 n Z W Q g V H l w Z S 5 7 V G 9 0 Y W x T d H V k Z W 5 0 c y w z f S Z x d W 9 0 O y w m c X V v d D t T Z W N 0 a W 9 u M S 9 G U l B M L 0 N o Y W 5 n Z W Q g V H l w Z S 5 7 V G 9 0 Y W x T d H V k Z W 5 0 c y w z f S Z x d W 9 0 O y w m c X V v d D t T Z W N 0 a W 9 u M S 9 D Q 0 R E R F x c L 0 x F Q W l k L 1 N v d X J j Z S 5 7 T k N F U 0 x F Q U 5 1 b W J l c i w z f S Z x d W 9 0 O y w m c X V v d D t T Z W N 0 a W 9 u M S 9 z d W 1 p Z i 9 H c m 9 1 c G V k I F J v d 3 M u e 1 N 1 b V R v d G F s U 3 R 1 Z G V u d H M s M n 0 m c X V v d D s s J n F 1 b 3 Q 7 U 2 V j d G l v b j E v U 3 B s a X Q g Q 2 F s Y y 9 B Z G R l Z C B D d X N 0 b 2 0 u e 1 N 1 b S B v Z i B D a G F y d G V y c y B S R l B M K 1 N l b m R p b m c g U k Z Q T C w x N H 0 m c X V v d D s s J n F 1 b 3 Q 7 U 2 V j d G l v b j E v U 3 B s a X Q g Q 2 F s Y y 9 D a G F u Z 2 V k I F R 5 c G U x L n s l T 2 Y g U k Z Q T C B p b i B z Z W 5 k a W 5 n I G R p c 3 R y a W N 0 L D E 1 f S Z x d W 9 0 O y w m c X V v d D t T Z W N 0 a W 9 u M S 9 T c G x p d C B D Y W x j L 0 N o Y W 5 n Z W Q g V H l w Z T I u e 1 N l b m R p b m c g R G l z d H J p Y 3 Q g J S A s M T V 9 J n F 1 b 3 Q 7 L C Z x d W 9 0 O 1 N l Y 3 R p b 2 4 x L 1 N w b G l 0 I E N h b G M v Q W R k Z W Q g Q 3 V z d G 9 t M y 5 7 U 3 V t I G 9 m I G N o Y X J 0 Z X I g d G 9 0 Y W w g c 3 R 1 Z G V u d H M g K y B T Z W 5 k a W 5 n I H R v d G F s I H N 0 d W R l b n R z L D E 3 f S Z x d W 9 0 O y w m c X V v d D t T Z W N 0 a W 9 u M S 9 T c G x p d C B D Y W x j L 0 N o Y W 5 n Z W Q g V H l w Z T M u e 1 N o Y X J l I G 9 m I F R v d G F s I E V u c m 9 s b G 1 l b n Q s M T h 9 J n F 1 b 3 Q 7 L C Z x d W 9 0 O 1 N l Y 3 R p b 2 4 x L 1 N w b G l 0 I E N h b G M v Q 2 h h b m d l Z C B U e X B l N C 5 7 U 2 V u Z G l u Z y B T a G F y Z S B v Z i B U b 3 R h b C B l b n J v b G x t Z W 5 0 L D E 5 f S Z x d W 9 0 O y w m c X V v d D t T Z W N 0 a W 9 u M S 9 D a G F y d G V y T 2 5 s e S 9 B Z G R l Z C B D d X N 0 b 2 0 u e 0 R p c 3 R y a W N 0 V H l w Z S w x N 3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2 h h c n R l c k 9 u b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8 L 0 l 0 Z W 1 Q Y X R o P j w v S X R l b U x v Y 2 F 0 a W 9 u P j x T d G F i b G V F b n R y a W V z P j x F b n R y e S B U e X B l P S J G a W x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i Z T U 4 M G M z M C 0 3 Z T M x L T Q 0 Z T k t O T c 2 N i 0 3 M z Z j Y T Q z N T F l Z D Q i I C 8 + P E V u d H J 5 I F R 5 c G U 9 I l F 1 Z X J 5 R 3 J v d X B J R C I g V m F s d W U 9 I n M x M T F j Y T g w O C 0 w N W V k L T Q 1 O T c t Y j U y M i 1 m M W Q 2 O T B k Z W U 1 O T A i I C 8 + P E V u d H J 5 I F R 5 c G U 9 I k Z p b G x U b 0 R h d G F N b 2 R l b E V u Y W J s Z W Q i I F Z h b H V l P S J s M S I g L z 4 8 R W 5 0 c n k g V H l w Z T 0 i R m l s b E 9 i a m V j d F R 5 c G U i I F Z h b H V l P S J z Q 2 9 u b m V j d G l v b k 9 u b H k i I C 8 + P E V u d H J 5 I F R 5 c G U 9 I k Z p b G x M Y X N 0 V X B k Y X R l Z C I g V m F s d W U 9 I m Q y M D I 2 L T A 2 L T I 5 V D E 2 O j Q z O j I 5 L j g 4 M T A 4 M j N a I i A v P j x F b n R y e S B U e X B l P S J G a W x s Q 2 9 s d W 1 u V H l w Z X M i I F Z h b H V l P S J z Q m d Z R 0 F B W T 0 i I C 8 + P E V u d H J 5 I F R 5 c G U 9 I k Z p b G x D b 2 x 1 b W 5 O Y W 1 l c y I g V m F s d W U 9 I n N b J n F 1 b 3 Q 7 Q 0 N E R E Q m c X V v d D s s J n F 1 b 3 Q 7 R G l z d H J p Y 3 R O Y W 1 l J n F 1 b 3 Q 7 L C Z x d W 9 0 O 1 N l b m R p b m d M R U F p Z C Z x d W 9 0 O y w m c X V v d D t E a X N 0 c m l j d F R 5 c G U m c X V v d D s s J n F 1 b 3 Q 7 T E V B a W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J n F 1 b 3 Q 7 Q 0 N E R E Q m c X V v d D t d L C Z x d W 9 0 O 3 F 1 Z X J 5 U m V s Y X R p b 2 5 z a G l w c y Z x d W 9 0 O z p b X S w m c X V v d D t j b 2 x 1 b W 5 J Z G V u d G l 0 a W V z J n F 1 b 3 Q 7 O l s m c X V v d D t T Z W N 0 a W 9 u M S 9 T Z W 5 k a W 5 n T 2 5 s e S 9 D a G F u Z 2 V k I F R 5 c G U u e 0 N D R E R E L D B 9 J n F 1 b 3 Q 7 L C Z x d W 9 0 O 1 N l Y 3 R p b 2 4 x L 0 N o Y X J 0 Z X J f V H J p Y m F s U 2 V u Z G l u Z y B E a X N 0 c m l j d H M v Q 2 h h b m d l Z C B U e X B l L n t T Z W 5 k a W 5 n I E R p c 3 R y a W N 0 L D J 9 J n F 1 b 3 Q 7 L C Z x d W 9 0 O 1 N l Y 3 R p b 2 4 x L 0 N D R E R E X F w v T E V B a W Q v U 2 9 1 c m N l L n t O Q 0 V T T E V B T n V t Y m V y L D N 9 J n F 1 b 3 Q 7 L C Z x d W 9 0 O 1 N l Y 3 R p b 2 4 x L 1 N l b m R p b m d P b m x 5 L 0 F k Z G V k I E N 1 c 3 R v b S 5 7 R G l z d H J p Y 3 R U e X B l L D J 9 J n F 1 b 3 Q 7 L C Z x d W 9 0 O 1 N l Y 3 R p b 2 4 x L 1 N l b m R p b m d P b m x 5 L 0 R 1 c G x p Y 2 F 0 Z W Q g Q 2 9 s d W 1 u L n t T Z W 5 k a W 5 n T E V B a W Q g L S B D b 3 B 5 L D R 9 J n F 1 b 3 Q 7 X S w m c X V v d D t D b 2 x 1 b W 5 D b 3 V u d C Z x d W 9 0 O z o 1 L C Z x d W 9 0 O 0 t l e U N v b H V t b k 5 h b W V z J n F 1 b 3 Q 7 O l s m c X V v d D t D Q 0 R E R C Z x d W 9 0 O 1 0 s J n F 1 b 3 Q 7 Q 2 9 s d W 1 u S W R l b n R p d G l l c y Z x d W 9 0 O z p b J n F 1 b 3 Q 7 U 2 V j d G l v b j E v U 2 V u Z G l u Z 0 9 u b H k v Q 2 h h b m d l Z C B U e X B l L n t D Q 0 R E R C w w f S Z x d W 9 0 O y w m c X V v d D t T Z W N 0 a W 9 u M S 9 D a G F y d G V y X 1 R y a W J h b F N l b m R p b m c g R G l z d H J p Y 3 R z L 0 N o Y W 5 n Z W Q g V H l w Z S 5 7 U 2 V u Z G l u Z y B E a X N 0 c m l j d C w y f S Z x d W 9 0 O y w m c X V v d D t T Z W N 0 a W 9 u M S 9 D Q 0 R E R F x c L 0 x F Q W l k L 1 N v d X J j Z S 5 7 T k N F U 0 x F Q U 5 1 b W J l c i w z f S Z x d W 9 0 O y w m c X V v d D t T Z W N 0 a W 9 u M S 9 T Z W 5 k a W 5 n T 2 5 s e S 9 B Z G R l Z C B D d X N 0 b 2 0 u e 0 R p c 3 R y a W N 0 V H l w Z S w y f S Z x d W 9 0 O y w m c X V v d D t T Z W N 0 a W 9 u M S 9 T Z W 5 k a W 5 n T 2 5 s e S 9 E d X B s a W N h d G V k I E N v b H V t b i 5 7 U 2 V u Z G l u Z 0 x F Q W l k I C 0 g Q 2 9 w e S w 0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T Z W 5 k a W 5 n T 2 5 s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5 k a W 5 n T 2 5 s e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m R p b m d P b m x 5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y d G V y T 2 5 s e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X J 0 Z X J P b m x 5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0 R E R C U y R k x F Q W l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Z G Y x Z G Y w N G E t M D V m M C 0 0 O W E 0 L T g 0 M T k t Z T B k N W V m N z J k M 2 I z I i A v P j x F b n R y e S B U e X B l P S J R d W V y e U d y b 3 V w S U Q i I F Z h b H V l P S J z Y z M 5 Z m I x O G Y t Y T U 3 N y 0 0 M D g 3 L W J m Y z c t Y T E 1 Z m F h O D Q 5 M T I 0 I i A v P j x F b n R y e S B U e X B l P S J G a W x s V G 9 E Y X R h T W 9 k Z W x F b m F i b G V k I i B W Y W x 1 Z T 0 i b D E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G a W x s T G F z d F V w Z G F 0 Z W Q i I F Z h b H V l P S J k M j A y N i 0 w N i 0 y O V Q x N j o 0 M z o y O S 4 4 O T U 1 M j g y W i I g L z 4 8 R W 5 0 c n k g V H l w Z T 0 i R m l s b E N v b H V t b l R 5 c G V z I i B W Y W x 1 Z T 0 i c 0 J n S U d C Z 1 l D I i A v P j x F b n R y e S B U e X B l P S J G a W x s Q 2 9 s d W 1 u T m F t Z X M i I F Z h b H V l P S J z W y Z x d W 9 0 O 0 R p c 3 R y a W N 0 Q 2 9 k Z S Z x d W 9 0 O y w m c X V v d D t P c m d h b m l 6 Y X R p b 2 5 J Z C Z x d W 9 0 O y w m c X V v d D t E a X N 0 c m l j d E 5 h b W U m c X V v d D s s J n F 1 b 3 Q 7 T k N F U 0 x F Q U 5 1 b W J l c i Z x d W 9 0 O y w m c X V v d D t O Q 0 V T T E V B T m F t Z S Z x d W 9 0 O y w m c X V v d D t T Y 2 h v b 2 x Z Z W F y S W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O T c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N E R E R c X C 9 M R U F p Z C 9 T b 3 V y Y 2 U u e 0 R p c 3 R y a W N 0 Q 2 9 k Z S w w f S Z x d W 9 0 O y w m c X V v d D t T Z W N 0 a W 9 u M S 9 D Q 0 R E R F x c L 0 x F Q W l k L 1 N v d X J j Z S 5 7 T 3 J n Y W 5 p e m F 0 a W 9 u S W Q s M X 0 m c X V v d D s s J n F 1 b 3 Q 7 U 2 V j d G l v b j E v Q 0 N E R E R c X C 9 M R U F p Z C 9 T b 3 V y Y 2 U u e 0 R p c 3 R y a W N 0 T m F t Z S w y f S Z x d W 9 0 O y w m c X V v d D t T Z W N 0 a W 9 u M S 9 D Q 0 R E R F x c L 0 x F Q W l k L 1 N v d X J j Z S 5 7 T k N F U 0 x F Q U 5 1 b W J l c i w z f S Z x d W 9 0 O y w m c X V v d D t T Z W N 0 a W 9 u M S 9 D Q 0 R E R F x c L 0 x F Q W l k L 1 N v d X J j Z S 5 7 T k N F U 0 x F Q U 5 h b W U s N H 0 m c X V v d D s s J n F 1 b 3 Q 7 U 2 V j d G l v b j E v Q 0 N E R E R c X C 9 M R U F p Z C 9 T b 3 V y Y 2 U u e 1 N j a G 9 v b F l l Y X J J Z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Q 0 R E R F x c L 0 x F Q W l k L 1 N v d X J j Z S 5 7 R G l z d H J p Y 3 R D b 2 R l L D B 9 J n F 1 b 3 Q 7 L C Z x d W 9 0 O 1 N l Y 3 R p b 2 4 x L 0 N D R E R E X F w v T E V B a W Q v U 2 9 1 c m N l L n t P c m d h b m l 6 Y X R p b 2 5 J Z C w x f S Z x d W 9 0 O y w m c X V v d D t T Z W N 0 a W 9 u M S 9 D Q 0 R E R F x c L 0 x F Q W l k L 1 N v d X J j Z S 5 7 R G l z d H J p Y 3 R O Y W 1 l L D J 9 J n F 1 b 3 Q 7 L C Z x d W 9 0 O 1 N l Y 3 R p b 2 4 x L 0 N D R E R E X F w v T E V B a W Q v U 2 9 1 c m N l L n t O Q 0 V T T E V B T n V t Y m V y L D N 9 J n F 1 b 3 Q 7 L C Z x d W 9 0 O 1 N l Y 3 R p b 2 4 x L 0 N D R E R E X F w v T E V B a W Q v U 2 9 1 c m N l L n t O Q 0 V T T E V B T m F t Z S w 0 f S Z x d W 9 0 O y w m c X V v d D t T Z W N 0 a W 9 u M S 9 D Q 0 R E R F x c L 0 x F Q W l k L 1 N v d X J j Z S 5 7 U 2 N o b 2 9 s W W V h c k l k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0 R E R C U y R k x F Q W l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J T I w Q 2 F s Y z w v S X R l b V B h d G g + P C 9 J d G V t T G 9 j Y X R p b 2 4 + P F N 0 Y W J s Z U V u d H J p Z X M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J c 1 B y a X Z h d G U i I F Z h b H V l P S J s M C I g L z 4 8 R W 5 0 c n k g V H l w Z T 0 i U X V l c n l H c m 9 1 c E l E I i B W Y W x 1 Z T 0 i c z E x M W N h O D A 4 L T A 1 Z W Q t N D U 5 N y 1 i N T I y L W Y x Z D Y 5 M G R l Z T U 5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M R U E g U 3 B s a X Q g Q 2 F s Y y I g L z 4 8 R W 5 0 c n k g V H l w Z T 0 i R m l s b G V k Q 2 9 t c G x l d G V S Z X N 1 b H R U b 1 d v c m t z a G V l d C I g V m F s d W U 9 I m w x I i A v P j x F b n R y e S B U e X B l P S J R d W V y e U l E I i B W Y W x 1 Z T 0 i c z U x N D c 4 M T A 3 L T d m N z k t N D B l Y y 1 i M W F i L T U y N W Q 5 O G I 0 N 2 Z h O S I g L z 4 8 R W 5 0 c n k g V H l w Z T 0 i R m l s b F R v R G F 0 Y U 1 v Z G V s R W 5 h Y m x l Z C I g V m F s d W U 9 I m w x I i A v P j x F b n R y e S B U e X B l P S J G a W x s V G F y Z 2 V 0 I i B W Y W x 1 Z T 0 i c 1 N w b G l 0 X 0 N h b G M i I C 8 + P E V u d H J 5 I F R 5 c G U 9 I k Z p b G x P Y m p l Y 3 R U e X B l I i B W Y W x 1 Z T 0 i c 1 R h Y m x l I i A v P j x F b n R y e S B U e X B l P S J G a W x s T G F z d F V w Z G F 0 Z W Q i I F Z h b H V l P S J k M j A y N i 0 w N i 0 y O V Q x N j o 0 M z o y O S 4 4 N j g 5 M j c 3 W i I g L z 4 8 R W 5 0 c n k g V H l w Z T 0 i R m l s b E N v b H V t b l R 5 c G V z I i B W Y W x 1 Z T 0 i c 0 J n W U d C Z 1 l B Q U F N R E F 3 T U d C U U F F Q k F B R U J B P T 0 i I C 8 + P E V u d H J 5 I F R 5 c G U 9 I k Z p b G x D b 2 x 1 b W 5 O Y W 1 l c y I g V m F s d W U 9 I n N b J n F 1 b 3 Q 7 Q 0 N E R E Q m c X V v d D s s J n F 1 b 3 Q 7 Q 2 h h c n R l c i 9 U c m l i Y W w g J n F 1 b 3 Q 7 L C Z x d W 9 0 O 1 N l b m R p b m c g R G l z d H J p Y 3 Q m c X V v d D s s J n F 1 b 3 Q 7 U 2 V u Z G l u Z y B E a X N 0 c m l j d C B D Q 0 R E R C Z x d W 9 0 O y w m c X V v d D t M R U F J R C Z x d W 9 0 O y w m c X V v d D t J c 0 5 l d y Z x d W 9 0 O y w m c X V v d D t J c 0 V 4 c G F u Z G V k J n F 1 b 3 Q 7 L C Z x d W 9 0 O 0 Z S U E w u V G 9 0 Y W x T d H V k Z W 5 0 c y Z x d W 9 0 O y w m c X V v d D t U b 3 R h b F N 0 d W R l b n R z S W 5 Q b 3 Z l c n R 5 J n F 1 b 3 Q 7 L C Z x d W 9 0 O 1 N l b m R p b m d U b 3 R h b F N 0 d W R l b n R z J n F 1 b 3 Q 7 L C Z x d W 9 0 O 1 N l b m R p b m d U b 3 R h b F N 0 d W R l b n R z S W 5 Q b 3 Z l c n R 5 J n F 1 b 3 Q 7 L C Z x d W 9 0 O 1 N l b m R p b m d M R U F J Z C Z x d W 9 0 O y w m c X V v d D t D a G F y d G V y c 1 R v d G F s U 3 R 1 Z G V u d H M m c X V v d D s s J n F 1 b 3 Q 7 U 3 V t I G 9 m I E N o Y X J 0 Z X J z I F J G U E w r U 2 V u Z G l u Z y B S R l B M J n F 1 b 3 Q 7 L C Z x d W 9 0 O 1 N o Y X J l I G 9 m I E Z S U E w m c X V v d D s s J n F 1 b 3 Q 7 U 2 V u Z G l u Z y B T a G F y Z S B v Z i B G U l B M J n F 1 b 3 Q 7 L C Z x d W 9 0 O 1 N 1 b S B v Z i B j a G F y d G V y I H R v d G F s I H N 0 d W R l b n R z I C s g U 2 V u Z G l u Z y B 0 b 3 R h b C B z d H V k Z W 5 0 c y Z x d W 9 0 O y w m c X V v d D t T a G F y Z S B v Z i B U b 3 R h b C B F b n J v b G x t Z W 5 0 J n F 1 b 3 Q 7 L C Z x d W 9 0 O 1 N l b m R p b m c g U 2 h h c m U g b 2 Y g V G 9 0 Y W w g Z W 5 y b 2 x s b W V u d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4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B s a X Q g Q 2 F s Y y 9 D a G F u Z 2 V k I F R 5 c G U u e 0 N D R E R E L D B 9 J n F 1 b 3 Q 7 L C Z x d W 9 0 O 1 N l Y 3 R p b 2 4 x L 0 N o Y X J 0 Z X J f V H J p Y m F s U 2 V u Z G l u Z y B E a X N 0 c m l j d H M v Q 2 h h b m d l Z C B U e X B l L n t D a G F y d G V y L 1 R y a W J h b C A s M X 0 m c X V v d D s s J n F 1 b 3 Q 7 U 2 V j d G l v b j E v Q 2 h h c n R l c l 9 U c m l i Y W x T Z W 5 k a W 5 n I E R p c 3 R y a W N 0 c y 9 D a G F u Z 2 V k I F R 5 c G U u e 1 N l b m R p b m c g R G l z d H J p Y 3 Q s M n 0 m c X V v d D s s J n F 1 b 3 Q 7 U 2 V j d G l v b j E v Q 2 h h c n R l c l 9 U c m l i Y W x T Z W 5 k a W 5 n I E R p c 3 R y a W N 0 c y 9 D a G F u Z 2 V k I F R 5 c G U u e 1 N l b m R p b m c g R G l z d H J p Y 3 Q g Q 2 9 k Z S w z f S Z x d W 9 0 O y w m c X V v d D t T Z W N 0 a W 9 u M S 9 D a G F y d G V y X 1 R y a W J h b F N l b m R p b m c g R G l z d H J p Y 3 R z L 0 N o Y W 5 n Z W Q g V H l w Z S 5 7 T E V B S U Q s N H 0 m c X V v d D s s J n F 1 b 3 Q 7 U 2 V j d G l v b j E v Q 2 h h c n R l c l 9 U c m l i Y W x T Z W 5 k a W 5 n I E R p c 3 R y a W N 0 c y 9 Q c m 9 t b 3 R l Z C B I Z W F k Z X J z L n t J c 0 5 l d y w 1 f S Z x d W 9 0 O y w m c X V v d D t T Z W N 0 a W 9 u M S 9 D a G F y d G V y X 1 R y a W J h b F N l b m R p b m c g R G l z d H J p Y 3 R z L 1 B y b 2 1 v d G V k I E h l Y W R l c n M u e 0 l z R X h w Y W 5 k Z W Q s N n 0 m c X V v d D s s J n F 1 b 3 Q 7 U 2 V j d G l v b j E v R l J Q T C 9 D a G F u Z 2 V k I F R 5 c G U u e 1 R v d G F s U 3 R 1 Z G V u d H M s M 3 0 m c X V v d D s s J n F 1 b 3 Q 7 U 2 V j d G l v b j E v R l J Q T C 9 D a G F u Z 2 V k I F R 5 c G U u e 1 R v d G F s U 3 R 1 Z G V u d H N J b l B v d m V y d H k s N H 0 m c X V v d D s s J n F 1 b 3 Q 7 U 2 V j d G l v b j E v R l J Q T C 9 D a G F u Z 2 V k I F R 5 c G U u e 1 R v d G F s U 3 R 1 Z G V u d H M s M 3 0 m c X V v d D s s J n F 1 b 3 Q 7 U 2 V j d G l v b j E v R l J Q T C 9 D a G F u Z 2 V k I F R 5 c G U u e 1 R v d G F s U 3 R 1 Z G V u d H N J b l B v d m V y d H k s N H 0 m c X V v d D s s J n F 1 b 3 Q 7 U 2 V j d G l v b j E v Q 0 N E R E R c X C 9 M R U F p Z C 9 T b 3 V y Y 2 U u e 0 5 D R V N M R U F O d W 1 i Z X I s M 3 0 m c X V v d D s s J n F 1 b 3 Q 7 U 2 V j d G l v b j E v c 3 V t a W Y v R 3 J v d X B l Z C B S b 3 d z L n t T d W 1 U b 3 R h b F N 0 d W R l b n R z L D J 9 J n F 1 b 3 Q 7 L C Z x d W 9 0 O 1 N l Y 3 R p b 2 4 x L 1 N w b G l 0 I E N h b G M v Q W R k Z W Q g Q 3 V z d G 9 t L n t T d W 0 g b 2 Y g Q 2 h h c n R l c n M g U k Z Q T C t T Z W 5 k a W 5 n I F J G U E w s M T R 9 J n F 1 b 3 Q 7 L C Z x d W 9 0 O 1 N l Y 3 R p b 2 4 x L 1 N w b G l 0 I E N h b G M v Q 2 h h b m d l Z C B U e X B l M S 5 7 J U 9 m I F J G U E w g a W 4 g c 2 V u Z G l u Z y B k a X N 0 c m l j d C w x N X 0 m c X V v d D s s J n F 1 b 3 Q 7 U 2 V j d G l v b j E v U 3 B s a X Q g Q 2 F s Y y 9 D a G F u Z 2 V k I F R 5 c G U y L n t T Z W 5 k a W 5 n I E R p c 3 R y a W N 0 I C U g L D E 1 f S Z x d W 9 0 O y w m c X V v d D t T Z W N 0 a W 9 u M S 9 T c G x p d C B D Y W x j L 0 F k Z G V k I E N 1 c 3 R v b T M u e 1 N 1 b S B v Z i B j a G F y d G V y I H R v d G F s I H N 0 d W R l b n R z I C s g U 2 V u Z G l u Z y B 0 b 3 R h b C B z d H V k Z W 5 0 c y w x N 3 0 m c X V v d D s s J n F 1 b 3 Q 7 U 2 V j d G l v b j E v U 3 B s a X Q g Q 2 F s Y y 9 D a G F u Z 2 V k I F R 5 c G U z L n t T a G F y Z S B v Z i B U b 3 R h b C B F b n J v b G x t Z W 5 0 L D E 4 f S Z x d W 9 0 O y w m c X V v d D t T Z W N 0 a W 9 u M S 9 T c G x p d C B D Y W x j L 0 N o Y W 5 n Z W Q g V H l w Z T Q u e 1 N l b m R p b m c g U 2 h h c m U g b 2 Y g V G 9 0 Y W w g Z W 5 y b 2 x s b W V u d C w x O X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N w b G l 0 I E N h b G M v Q 2 h h b m d l Z C B U e X B l L n t D Q 0 R E R C w w f S Z x d W 9 0 O y w m c X V v d D t T Z W N 0 a W 9 u M S 9 D a G F y d G V y X 1 R y a W J h b F N l b m R p b m c g R G l z d H J p Y 3 R z L 0 N o Y W 5 n Z W Q g V H l w Z S 5 7 Q 2 h h c n R l c i 9 U c m l i Y W w g L D F 9 J n F 1 b 3 Q 7 L C Z x d W 9 0 O 1 N l Y 3 R p b 2 4 x L 0 N o Y X J 0 Z X J f V H J p Y m F s U 2 V u Z G l u Z y B E a X N 0 c m l j d H M v Q 2 h h b m d l Z C B U e X B l L n t T Z W 5 k a W 5 n I E R p c 3 R y a W N 0 L D J 9 J n F 1 b 3 Q 7 L C Z x d W 9 0 O 1 N l Y 3 R p b 2 4 x L 0 N o Y X J 0 Z X J f V H J p Y m F s U 2 V u Z G l u Z y B E a X N 0 c m l j d H M v Q 2 h h b m d l Z C B U e X B l L n t T Z W 5 k a W 5 n I E R p c 3 R y a W N 0 I E N v Z G U s M 3 0 m c X V v d D s s J n F 1 b 3 Q 7 U 2 V j d G l v b j E v Q 2 h h c n R l c l 9 U c m l i Y W x T Z W 5 k a W 5 n I E R p c 3 R y a W N 0 c y 9 D a G F u Z 2 V k I F R 5 c G U u e 0 x F Q U l E L D R 9 J n F 1 b 3 Q 7 L C Z x d W 9 0 O 1 N l Y 3 R p b 2 4 x L 0 N o Y X J 0 Z X J f V H J p Y m F s U 2 V u Z G l u Z y B E a X N 0 c m l j d H M v U H J v b W 9 0 Z W Q g S G V h Z G V y c y 5 7 S X N O Z X c s N X 0 m c X V v d D s s J n F 1 b 3 Q 7 U 2 V j d G l v b j E v Q 2 h h c n R l c l 9 U c m l i Y W x T Z W 5 k a W 5 n I E R p c 3 R y a W N 0 c y 9 Q c m 9 t b 3 R l Z C B I Z W F k Z X J z L n t J c 0 V 4 c G F u Z G V k L D Z 9 J n F 1 b 3 Q 7 L C Z x d W 9 0 O 1 N l Y 3 R p b 2 4 x L 0 Z S U E w v Q 2 h h b m d l Z C B U e X B l L n t U b 3 R h b F N 0 d W R l b n R z L D N 9 J n F 1 b 3 Q 7 L C Z x d W 9 0 O 1 N l Y 3 R p b 2 4 x L 0 Z S U E w v Q 2 h h b m d l Z C B U e X B l L n t U b 3 R h b F N 0 d W R l b n R z S W 5 Q b 3 Z l c n R 5 L D R 9 J n F 1 b 3 Q 7 L C Z x d W 9 0 O 1 N l Y 3 R p b 2 4 x L 0 Z S U E w v Q 2 h h b m d l Z C B U e X B l L n t U b 3 R h b F N 0 d W R l b n R z L D N 9 J n F 1 b 3 Q 7 L C Z x d W 9 0 O 1 N l Y 3 R p b 2 4 x L 0 Z S U E w v Q 2 h h b m d l Z C B U e X B l L n t U b 3 R h b F N 0 d W R l b n R z S W 5 Q b 3 Z l c n R 5 L D R 9 J n F 1 b 3 Q 7 L C Z x d W 9 0 O 1 N l Y 3 R p b 2 4 x L 0 N D R E R E X F w v T E V B a W Q v U 2 9 1 c m N l L n t O Q 0 V T T E V B T n V t Y m V y L D N 9 J n F 1 b 3 Q 7 L C Z x d W 9 0 O 1 N l Y 3 R p b 2 4 x L 3 N 1 b W l m L 0 d y b 3 V w Z W Q g U m 9 3 c y 5 7 U 3 V t V G 9 0 Y W x T d H V k Z W 5 0 c y w y f S Z x d W 9 0 O y w m c X V v d D t T Z W N 0 a W 9 u M S 9 T c G x p d C B D Y W x j L 0 F k Z G V k I E N 1 c 3 R v b S 5 7 U 3 V t I G 9 m I E N o Y X J 0 Z X J z I F J G U E w r U 2 V u Z G l u Z y B S R l B M L D E 0 f S Z x d W 9 0 O y w m c X V v d D t T Z W N 0 a W 9 u M S 9 T c G x p d C B D Y W x j L 0 N o Y W 5 n Z W Q g V H l w Z T E u e y V P Z i B S R l B M I G l u I H N l b m R p b m c g Z G l z d H J p Y 3 Q s M T V 9 J n F 1 b 3 Q 7 L C Z x d W 9 0 O 1 N l Y 3 R p b 2 4 x L 1 N w b G l 0 I E N h b G M v Q 2 h h b m d l Z C B U e X B l M i 5 7 U 2 V u Z G l u Z y B E a X N 0 c m l j d C A l I C w x N X 0 m c X V v d D s s J n F 1 b 3 Q 7 U 2 V j d G l v b j E v U 3 B s a X Q g Q 2 F s Y y 9 B Z G R l Z C B D d X N 0 b 2 0 z L n t T d W 0 g b 2 Y g Y 2 h h c n R l c i B 0 b 3 R h b C B z d H V k Z W 5 0 c y A r I F N l b m R p b m c g d G 9 0 Y W w g c 3 R 1 Z G V u d H M s M T d 9 J n F 1 b 3 Q 7 L C Z x d W 9 0 O 1 N l Y 3 R p b 2 4 x L 1 N w b G l 0 I E N h b G M v Q 2 h h b m d l Z C B U e X B l M y 5 7 U 2 h h c m U g b 2 Y g V G 9 0 Y W w g R W 5 y b 2 x s b W V u d C w x O H 0 m c X V v d D s s J n F 1 b 3 Q 7 U 2 V j d G l v b j E v U 3 B s a X Q g Q 2 F s Y y 9 D a G F u Z 2 V k I F R 5 c G U 0 L n t T Z W 5 k a W 5 n I F N o Y X J l I G 9 m I F R v d G F s I G V u c m 9 s b G 1 l b n Q s M T l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N w b G l 0 J T I w Q 2 F s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5 k a W 5 n T 2 5 s e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v R X h w Y W 5 k Z W Q l M j B D Q 0 R E R C U y R k x F Q W l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u Z G l u Z 0 9 u b H k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y d G V y T 2 5 s e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y d G V y T 2 5 s e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X J 0 Z X J P b m x 5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m R p b m d P b m x 5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5 k a W 5 n T 2 5 s e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0 U l M j B B b G x v Y 2 F 0 a W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G Z k N j N k M j U t Z j I 1 N y 0 0 N W M 0 L T g w M 2 Q t M z d j N z Z j Z G F l O W Q 5 I i A v P j x F b n R y e S B U e X B l P S J R d W V y e U d y b 3 V w S U Q i I F Z h b H V l P S J z Y z M 5 Z m I x O G Y t Y T U 3 N y 0 0 M D g 3 L W J m Y z c t Y T E 1 Z m F h O D Q 5 M T I 0 I i A v P j x F b n R y e S B U e X B l P S J S Z W N v d m V y e V R h c m d l d E N v b H V t b i I g V m F s d W U 9 I m w x I i A v P j x F b n R y e S B U e X B l P S J S Z W N v d m V y e V R h c m d l d F N o Z W V 0 I i B W Y W x 1 Z T 0 i c 0 R P R S B B b G x v Y 2 F 0 a W 9 u I i A v P j x F b n R y e S B U e X B l P S J S Z W N v d m V y e V R h c m d l d F J v d y I g V m F s d W U 9 I m w x I i A v P j x F b n R y e S B U e X B l P S J G a W x s R X J y b 3 J D b 3 V u d C I g V m F s d W U 9 I m w w I i A v P j x F b n R y e S B U e X B l P S J G a W x s V G 9 E Y X R h T W 9 k Z W x F b m F i b G V k I i B W Y W x 1 Z T 0 i b D E i I C 8 + P E V u d H J 5 I F R 5 c G U 9 I k Z p b G x F c n J v c k N v Z G U i I F Z h b H V l P S J z V W 5 r b m 9 3 b i I g L z 4 8 R W 5 0 c n k g V H l w Z T 0 i R m l s b E 9 i a m V j d F R 5 c G U i I F Z h b H V l P S J z Q 2 9 u b m V j d G l v b k 9 u b H k i I C 8 + P E V u d H J 5 I F R 5 c G U 9 I k Z p b G x M Y X N 0 V X B k Y X R l Z C I g V m F s d W U 9 I m Q y M D I 2 L T A 2 L T I 5 V D E 2 O j Q z O j I 5 L j g 5 N T U y O D J a I i A v P j x F b n R y e S B U e X B l P S J G a W x s Q 2 9 s d W 1 u V H l w Z X M i I F Z h b H V l P S J z Q m d Z R k J R V U Z C U V V G Q l F V R k J R V T 0 i I C 8 + P E V u d H J 5 I F R 5 c G U 9 I k Z p b G x D b 2 x 1 b W 5 O Y W 1 l c y I g V m F s d W U 9 I n N b J n F 1 b 3 Q 7 T E V B a W Q m c X V v d D s s J n F 1 b 3 Q 7 T E V B T m F t Z S Z x d W 9 0 O y w m c X V v d D t C Q V N J Q y B I T 0 x E I E h h c m 1 s Z X N z I E J h c 2 U m c X V v d D s s J n F 1 b 3 Q 7 Q 0 9 O Q y 4 g S E 9 M R C B I Y X J t b G V z c y B C Y X N l J n F 1 b 3 Q 7 L C Z x d W 9 0 O 1 R B U k d F V E V E I E h P T E Q g S G F y b W x l c 3 M g Q m F z Z S Z x d W 9 0 O y w m c X V v d D t F R k l H I E h P T E Q g S G F y b W x l c 3 M g Q m F z Z S Z x d W 9 0 O y w m c X V v d D t U T 1 R B T C B I T 0 x E I E h h c m 1 s Z X N z I E J h c 2 U m c X V v d D s s J n F 1 b 3 Q 7 Q m F z a W M g Q W x s b 2 N h d G l v b i Z x d W 9 0 O y w m c X V v d D t D b 2 5 j L i B B b G x v Y 2 F 0 a W 9 u J n F 1 b 3 Q 7 L C Z x d W 9 0 O 1 R h c m d l d G V k I E F s b G 9 j Y X R p b 2 4 m c X V v d D s s J n F 1 b 3 Q 7 R U Z J R y B B b G x v Y 2 F 0 a W 9 u J n F 1 b 3 Q 7 L C Z x d W 9 0 O 1 R p d G x l I E k g Q W x s b 2 N h d G l v b i Z x d W 9 0 O y w m c X V v d D t Q Z X J j Z W 5 0 Y W d l I G 9 m I E h v b G Q g S G F y b W x l c 3 M g Q m F z Z S Z x d W 9 0 O y w m c X V v d D t S Z X N p Z G V u d C B Q b 3 A u J n F 1 b 3 Q 7 X S I g L z 4 8 R W 5 0 c n k g V H l w Z T 0 i R m l s b E N v d W 5 0 I i B W Y W x 1 Z T 0 i b D I 5 O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R S B B b G x v Y 2 F 0 a W 9 u L 0 N o Y W 5 n Z W Q g V H l w Z S 5 7 T E V B a W Q s M H 0 m c X V v d D s s J n F 1 b 3 Q 7 U 2 V j d G l v b j E v R E 9 F I E F s b G 9 j Y X R p b 2 4 v Q 2 h h b m d l Z C B U e X B l L n t M R U F O Y W 1 l L D F 9 J n F 1 b 3 Q 7 L C Z x d W 9 0 O 1 N l Y 3 R p b 2 4 x L 0 R P R S B B b G x v Y 2 F 0 a W 9 u L 0 N o Y W 5 n Z W Q g V H l w Z S 5 7 Q k F T S U M g S E 9 M R C B I Y X J t b G V z c y B C Y X N l L D J 9 J n F 1 b 3 Q 7 L C Z x d W 9 0 O 1 N l Y 3 R p b 2 4 x L 0 R P R S B B b G x v Y 2 F 0 a W 9 u L 0 N o Y W 5 n Z W Q g V H l w Z S 5 7 Q 0 9 O Q y 4 g S E 9 M R C B I Y X J t b G V z c y B C Y X N l L D N 9 J n F 1 b 3 Q 7 L C Z x d W 9 0 O 1 N l Y 3 R p b 2 4 x L 0 R P R S B B b G x v Y 2 F 0 a W 9 u L 0 N o Y W 5 n Z W Q g V H l w Z S 5 7 V E F S R 0 V U R U Q g S E 9 M R C B I Y X J t b G V z c y B C Y X N l L D R 9 J n F 1 b 3 Q 7 L C Z x d W 9 0 O 1 N l Y 3 R p b 2 4 x L 0 R P R S B B b G x v Y 2 F 0 a W 9 u L 0 N o Y W 5 n Z W Q g V H l w Z S 5 7 R U Z J R y B I T 0 x E I E h h c m 1 s Z X N z I E J h c 2 U s N X 0 m c X V v d D s s J n F 1 b 3 Q 7 U 2 V j d G l v b j E v R E 9 F I E F s b G 9 j Y X R p b 2 4 v Q 2 h h b m d l Z C B U e X B l L n t U T 1 R B T C B I T 0 x E I E h h c m 1 s Z X N z I E J h c 2 U s N n 0 m c X V v d D s s J n F 1 b 3 Q 7 U 2 V j d G l v b j E v R E 9 F I E F s b G 9 j Y X R p b 2 4 v Q 2 h h b m d l Z C B U e X B l L n t C Y X N p Y y B B b G x v Y 2 F 0 a W 9 u L D d 9 J n F 1 b 3 Q 7 L C Z x d W 9 0 O 1 N l Y 3 R p b 2 4 x L 0 R P R S B B b G x v Y 2 F 0 a W 9 u L 0 N o Y W 5 n Z W Q g V H l w Z S 5 7 Q 2 9 u Y y 4 g Q W x s b 2 N h d G l v b i w 4 f S Z x d W 9 0 O y w m c X V v d D t T Z W N 0 a W 9 u M S 9 E T 0 U g Q W x s b 2 N h d G l v b i 9 D a G F u Z 2 V k I F R 5 c G U u e 1 R h c m d l d G V k I E F s b G 9 j Y X R p b 2 4 s O X 0 m c X V v d D s s J n F 1 b 3 Q 7 U 2 V j d G l v b j E v R E 9 F I E F s b G 9 j Y X R p b 2 4 v Q 2 h h b m d l Z C B U e X B l L n t F R k l H I E F s b G 9 j Y X R p b 2 4 s M T B 9 J n F 1 b 3 Q 7 L C Z x d W 9 0 O 1 N l Y 3 R p b 2 4 x L 0 R P R S B B b G x v Y 2 F 0 a W 9 u L 0 N o Y W 5 n Z W Q g V H l w Z S 5 7 V G l 0 b G U g S S B B b G x v Y 2 F 0 a W 9 u L D E x f S Z x d W 9 0 O y w m c X V v d D t T Z W N 0 a W 9 u M S 9 E T 0 U g Q W x s b 2 N h d G l v b i 9 D a G F u Z 2 V k I F R 5 c G U u e 1 B l c m N l b n R h Z 2 U g b 2 Y g S G 9 s Z C B I Y X J t b G V z c y B C Y X N l L D E y f S Z x d W 9 0 O y w m c X V v d D t T Z W N 0 a W 9 u M S 9 E T 0 U g Q W x s b 2 N h d G l v b i 9 D a G F u Z 2 V k I F R 5 c G U u e 1 J l c 2 l k Z W 5 0 I F B v c C 4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T 0 U g Q W x s b 2 N h d G l v b i 9 D a G F u Z 2 V k I F R 5 c G U u e 0 x F Q W l k L D B 9 J n F 1 b 3 Q 7 L C Z x d W 9 0 O 1 N l Y 3 R p b 2 4 x L 0 R P R S B B b G x v Y 2 F 0 a W 9 u L 0 N o Y W 5 n Z W Q g V H l w Z S 5 7 T E V B T m F t Z S w x f S Z x d W 9 0 O y w m c X V v d D t T Z W N 0 a W 9 u M S 9 E T 0 U g Q W x s b 2 N h d G l v b i 9 D a G F u Z 2 V k I F R 5 c G U u e 0 J B U 0 l D I E h P T E Q g S G F y b W x l c 3 M g Q m F z Z S w y f S Z x d W 9 0 O y w m c X V v d D t T Z W N 0 a W 9 u M S 9 E T 0 U g Q W x s b 2 N h d G l v b i 9 D a G F u Z 2 V k I F R 5 c G U u e 0 N P T k M u I E h P T E Q g S G F y b W x l c 3 M g Q m F z Z S w z f S Z x d W 9 0 O y w m c X V v d D t T Z W N 0 a W 9 u M S 9 E T 0 U g Q W x s b 2 N h d G l v b i 9 D a G F u Z 2 V k I F R 5 c G U u e 1 R B U k d F V E V E I E h P T E Q g S G F y b W x l c 3 M g Q m F z Z S w 0 f S Z x d W 9 0 O y w m c X V v d D t T Z W N 0 a W 9 u M S 9 E T 0 U g Q W x s b 2 N h d G l v b i 9 D a G F u Z 2 V k I F R 5 c G U u e 0 V G S U c g S E 9 M R C B I Y X J t b G V z c y B C Y X N l L D V 9 J n F 1 b 3 Q 7 L C Z x d W 9 0 O 1 N l Y 3 R p b 2 4 x L 0 R P R S B B b G x v Y 2 F 0 a W 9 u L 0 N o Y W 5 n Z W Q g V H l w Z S 5 7 V E 9 U Q U w g S E 9 M R C B I Y X J t b G V z c y B C Y X N l L D Z 9 J n F 1 b 3 Q 7 L C Z x d W 9 0 O 1 N l Y 3 R p b 2 4 x L 0 R P R S B B b G x v Y 2 F 0 a W 9 u L 0 N o Y W 5 n Z W Q g V H l w Z S 5 7 Q m F z a W M g Q W x s b 2 N h d G l v b i w 3 f S Z x d W 9 0 O y w m c X V v d D t T Z W N 0 a W 9 u M S 9 E T 0 U g Q W x s b 2 N h d G l v b i 9 D a G F u Z 2 V k I F R 5 c G U u e 0 N v b m M u I E F s b G 9 j Y X R p b 2 4 s O H 0 m c X V v d D s s J n F 1 b 3 Q 7 U 2 V j d G l v b j E v R E 9 F I E F s b G 9 j Y X R p b 2 4 v Q 2 h h b m d l Z C B U e X B l L n t U Y X J n Z X R l Z C B B b G x v Y 2 F 0 a W 9 u L D l 9 J n F 1 b 3 Q 7 L C Z x d W 9 0 O 1 N l Y 3 R p b 2 4 x L 0 R P R S B B b G x v Y 2 F 0 a W 9 u L 0 N o Y W 5 n Z W Q g V H l w Z S 5 7 R U Z J R y B B b G x v Y 2 F 0 a W 9 u L D E w f S Z x d W 9 0 O y w m c X V v d D t T Z W N 0 a W 9 u M S 9 E T 0 U g Q W x s b 2 N h d G l v b i 9 D a G F u Z 2 V k I F R 5 c G U u e 1 R p d G x l I E k g Q W x s b 2 N h d G l v b i w x M X 0 m c X V v d D s s J n F 1 b 3 Q 7 U 2 V j d G l v b j E v R E 9 F I E F s b G 9 j Y X R p b 2 4 v Q 2 h h b m d l Z C B U e X B l L n t Q Z X J j Z W 5 0 Y W d l I G 9 m I E h v b G Q g S G F y b W x l c 3 M g Q m F z Z S w x M n 0 m c X V v d D s s J n F 1 b 3 Q 7 U 2 V j d G l v b j E v R E 9 F I E F s b G 9 j Y X R p b 2 4 v Q 2 h h b m d l Z C B U e X B l L n t S Z X N p Z G V u d C B Q b 3 A u L D E z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E T 0 U l M j B B b G x v Y 2 F 0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R S U y M E F s b G 9 j Y X R p b 2 4 v Q W x s b 2 N h d G l v b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R S U y M E Z v c m 1 1 b G E l M j B j b 3 V u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2 M z F k Z D c 3 Z S 1 l O D I 1 L T R l M G I t Y W J j M i 0 2 M 2 U 3 O T g 1 N z N m M T U i I C 8 + P E V u d H J 5 I F R 5 c G U 9 I l F 1 Z X J 5 R 3 J v d X B J R C I g V m F s d W U 9 I n N j M z l m Y j E 4 Z i 1 h N T c 3 L T Q w O D c t Y m Z j N y 1 h M T V m Y W E 4 N D k x M j Q i I C 8 + P E V u d H J 5 I F R 5 c G U 9 I l J l Y 2 9 2 Z X J 5 V G F y Z 2 V 0 Q 2 9 s d W 1 u I i B W Y W x 1 Z T 0 i b D E i I C 8 + P E V u d H J 5 I F R 5 c G U 9 I l J l Y 2 9 2 Z X J 5 V G F y Z 2 V 0 U 2 h l Z X Q i I F Z h b H V l P S J z R E 9 F I E Z v c m 1 1 b G E g Y 2 9 1 b n R z I i A v P j x F b n R y e S B U e X B l P S J G a W x s V G 9 E Y X R h T W 9 k Z W x F b m F i b G V k I i B W Y W x 1 Z T 0 i b D E i I C 8 + P E V u d H J 5 I F R 5 c G U 9 I l J l Y 2 9 2 Z X J 5 V G F y Z 2 V 0 U m 9 3 I i B W Y W x 1 Z T 0 i b D E i I C 8 + P E V u d H J 5 I F R 5 c G U 9 I k Z p b G x F c n J v c k N v d W 5 0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Z p b G x M Y X N 0 V X B k Y X R l Z C I g V m F s d W U 9 I m Q y M D I 2 L T A 2 L T I 5 V D E 2 O j Q z O j I 5 L j k w M T Y w N z F a I i A v P j x F b n R y e S B U e X B l P S J G a W x s Q 2 9 s d W 1 u V H l w Z X M i I F Z h b H V l P S J z Q m d Z R k J R V U Z C U V V G Q l F V R k J R V U Y i I C 8 + P E V u d H J 5 I F R 5 c G U 9 I k Z p b G x D b 2 x 1 b W 5 O Y W 1 l c y I g V m F s d W U 9 I n N b J n F 1 b 3 Q 7 T E V B a W Q m c X V v d D s s J n F 1 b 3 Q 7 T E V B J n F 1 b 3 Q 7 L C Z x d W 9 0 O 1 B P V k V S V F k m c X V v d D s s J n F 1 b 3 Q 7 T k V H L i Z x d W 9 0 O y w m c X V v d D t E R U w u J n F 1 b 3 Q 7 L C Z x d W 9 0 O 0 Z P U 1 R F U i Z x d W 9 0 O y w m c X V v d D t U Q U 5 G J n F 1 b 3 Q 7 L C Z x d W 9 0 O 1 R P V E F M I E Z P U k 1 V T E E g Q 0 9 V T l Q m c X V v d D s s J n F 1 b 3 Q 7 N S 0 x N y B Q T 1 A u J n F 1 b 3 Q 7 L C Z x d W 9 0 O 1 B F U k N F T l Q g R k 9 S T V V M Q S Z x d W 9 0 O y w m c X V v d D t C Q V N J Q y B F T E l H S U J M R V M m c X V v d D s s J n F 1 b 3 Q 7 Q 0 9 O Q y 4 g R U x J R 0 l C T E V T J n F 1 b 3 Q 7 L C Z x d W 9 0 O 1 R B U k d F V E V E I F x 1 M D A y N i B F R k l H I E V M S U d J Q k x F U y Z x d W 9 0 O y w m c X V v d D t D T 1 V O V F M g V E F S R 0 V U R U Q m c X V v d D s s J n F 1 b 3 Q 7 Q 0 9 V T l R T I E V G S U c m c X V v d D t d I i A v P j x F b n R y e S B U e X B l P S J G a W x s Q 2 9 1 b n Q i I F Z h b H V l P S J s M j k 5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9 F I E Z v c m 1 1 b G E g Y 2 9 1 b n R z L 0 N o Y W 5 n Z W Q g V H l w Z T I u e 0 x F Q W l k L D B 9 J n F 1 b 3 Q 7 L C Z x d W 9 0 O 1 N l Y 3 R p b 2 4 x L 0 R P R S B G b 3 J t d W x h I G N v d W 5 0 c y 9 D a G F u Z 2 V k I F R 5 c G U u e 0 N v b H V t b j U s N H 0 m c X V v d D s s J n F 1 b 3 Q 7 U 2 V j d G l v b j E v R E 9 F I E Z v c m 1 1 b G E g Y 2 9 1 b n R z L 0 N o Y W 5 n Z W Q g V H l w Z T I u e 1 B P V k V S V F k s M n 0 m c X V v d D s s J n F 1 b 3 Q 7 U 2 V j d G l v b j E v R E 9 F I E Z v c m 1 1 b G E g Y 2 9 1 b n R z L 0 N o Y W 5 n Z W Q g V H l w Z T I u e 0 5 F R y 4 s M 3 0 m c X V v d D s s J n F 1 b 3 Q 7 U 2 V j d G l v b j E v R E 9 F I E Z v c m 1 1 b G E g Y 2 9 1 b n R z L 0 N o Y W 5 n Z W Q g V H l w Z T I u e 0 R F T C 4 s N H 0 m c X V v d D s s J n F 1 b 3 Q 7 U 2 V j d G l v b j E v R E 9 F I E Z v c m 1 1 b G E g Y 2 9 1 b n R z L 0 N o Y W 5 n Z W Q g V H l w Z T I u e 0 Z P U 1 R F U i w 1 f S Z x d W 9 0 O y w m c X V v d D t T Z W N 0 a W 9 u M S 9 E T 0 U g R m 9 y b X V s Y S B j b 3 V u d H M v Q 2 h h b m d l Z C B U e X B l M i 5 7 V E F O R i w 2 f S Z x d W 9 0 O y w m c X V v d D t T Z W N 0 a W 9 u M S 9 E T 0 U g R m 9 y b X V s Y S B j b 3 V u d H M v Q 2 h h b m d l Z C B U e X B l M i 5 7 V E 9 U Q U w g R k 9 S T V V M Q S B D T 1 V O V C w 3 f S Z x d W 9 0 O y w m c X V v d D t T Z W N 0 a W 9 u M S 9 E T 0 U g R m 9 y b X V s Y S B j b 3 V u d H M v Q 2 h h b m d l Z C B U e X B l M i 5 7 N S 0 x N y B Q T 1 A u L D h 9 J n F 1 b 3 Q 7 L C Z x d W 9 0 O 1 N l Y 3 R p b 2 4 x L 0 R P R S B G b 3 J t d W x h I G N v d W 5 0 c y 9 D a G F u Z 2 V k I F R 5 c G U y L n t Q R V J D R U 5 U I E Z P U k 1 V T E E s O X 0 m c X V v d D s s J n F 1 b 3 Q 7 U 2 V j d G l v b j E v R E 9 F I E Z v c m 1 1 b G E g Y 2 9 1 b n R z L 0 N o Y W 5 n Z W Q g V H l w Z T I u e 0 J B U 0 l D I E V M S U d J Q k x F U y w x M H 0 m c X V v d D s s J n F 1 b 3 Q 7 U 2 V j d G l v b j E v R E 9 F I E Z v c m 1 1 b G E g Y 2 9 1 b n R z L 0 N o Y W 5 n Z W Q g V H l w Z T I u e 0 N P T k M u I E V M S U d J Q k x F U y w x M X 0 m c X V v d D s s J n F 1 b 3 Q 7 U 2 V j d G l v b j E v R E 9 F I E Z v c m 1 1 b G E g Y 2 9 1 b n R z L 0 N o Y W 5 n Z W Q g V H l w Z T I u e 1 R B U k d F V E V E I F x 1 M D A y N i B F R k l H I E V M S U d J Q k x F U y w x M n 0 m c X V v d D s s J n F 1 b 3 Q 7 U 2 V j d G l v b j E v R E 9 F I E Z v c m 1 1 b G E g Y 2 9 1 b n R z L 0 N o Y W 5 n Z W Q g V H l w Z T I u e 0 N P V U 5 U U y B U Q V J H R V R F R C w x M 3 0 m c X V v d D s s J n F 1 b 3 Q 7 U 2 V j d G l v b j E v R E 9 F I E Z v c m 1 1 b G E g Y 2 9 1 b n R z L 0 N o Y W 5 n Z W Q g V H l w Z T I u e 0 N P V U 5 U U y B F R k l H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E 9 F I E Z v c m 1 1 b G E g Y 2 9 1 b n R z L 0 N o Y W 5 n Z W Q g V H l w Z T I u e 0 x F Q W l k L D B 9 J n F 1 b 3 Q 7 L C Z x d W 9 0 O 1 N l Y 3 R p b 2 4 x L 0 R P R S B G b 3 J t d W x h I G N v d W 5 0 c y 9 D a G F u Z 2 V k I F R 5 c G U u e 0 N v b H V t b j U s N H 0 m c X V v d D s s J n F 1 b 3 Q 7 U 2 V j d G l v b j E v R E 9 F I E Z v c m 1 1 b G E g Y 2 9 1 b n R z L 0 N o Y W 5 n Z W Q g V H l w Z T I u e 1 B P V k V S V F k s M n 0 m c X V v d D s s J n F 1 b 3 Q 7 U 2 V j d G l v b j E v R E 9 F I E Z v c m 1 1 b G E g Y 2 9 1 b n R z L 0 N o Y W 5 n Z W Q g V H l w Z T I u e 0 5 F R y 4 s M 3 0 m c X V v d D s s J n F 1 b 3 Q 7 U 2 V j d G l v b j E v R E 9 F I E Z v c m 1 1 b G E g Y 2 9 1 b n R z L 0 N o Y W 5 n Z W Q g V H l w Z T I u e 0 R F T C 4 s N H 0 m c X V v d D s s J n F 1 b 3 Q 7 U 2 V j d G l v b j E v R E 9 F I E Z v c m 1 1 b G E g Y 2 9 1 b n R z L 0 N o Y W 5 n Z W Q g V H l w Z T I u e 0 Z P U 1 R F U i w 1 f S Z x d W 9 0 O y w m c X V v d D t T Z W N 0 a W 9 u M S 9 E T 0 U g R m 9 y b X V s Y S B j b 3 V u d H M v Q 2 h h b m d l Z C B U e X B l M i 5 7 V E F O R i w 2 f S Z x d W 9 0 O y w m c X V v d D t T Z W N 0 a W 9 u M S 9 E T 0 U g R m 9 y b X V s Y S B j b 3 V u d H M v Q 2 h h b m d l Z C B U e X B l M i 5 7 V E 9 U Q U w g R k 9 S T V V M Q S B D T 1 V O V C w 3 f S Z x d W 9 0 O y w m c X V v d D t T Z W N 0 a W 9 u M S 9 E T 0 U g R m 9 y b X V s Y S B j b 3 V u d H M v Q 2 h h b m d l Z C B U e X B l M i 5 7 N S 0 x N y B Q T 1 A u L D h 9 J n F 1 b 3 Q 7 L C Z x d W 9 0 O 1 N l Y 3 R p b 2 4 x L 0 R P R S B G b 3 J t d W x h I G N v d W 5 0 c y 9 D a G F u Z 2 V k I F R 5 c G U y L n t Q R V J D R U 5 U I E Z P U k 1 V T E E s O X 0 m c X V v d D s s J n F 1 b 3 Q 7 U 2 V j d G l v b j E v R E 9 F I E Z v c m 1 1 b G E g Y 2 9 1 b n R z L 0 N o Y W 5 n Z W Q g V H l w Z T I u e 0 J B U 0 l D I E V M S U d J Q k x F U y w x M H 0 m c X V v d D s s J n F 1 b 3 Q 7 U 2 V j d G l v b j E v R E 9 F I E Z v c m 1 1 b G E g Y 2 9 1 b n R z L 0 N o Y W 5 n Z W Q g V H l w Z T I u e 0 N P T k M u I E V M S U d J Q k x F U y w x M X 0 m c X V v d D s s J n F 1 b 3 Q 7 U 2 V j d G l v b j E v R E 9 F I E Z v c m 1 1 b G E g Y 2 9 1 b n R z L 0 N o Y W 5 n Z W Q g V H l w Z T I u e 1 R B U k d F V E V E I F x 1 M D A y N i B F R k l H I E V M S U d J Q k x F U y w x M n 0 m c X V v d D s s J n F 1 b 3 Q 7 U 2 V j d G l v b j E v R E 9 F I E Z v c m 1 1 b G E g Y 2 9 1 b n R z L 0 N o Y W 5 n Z W Q g V H l w Z T I u e 0 N P V U 5 U U y B U Q V J H R V R F R C w x M 3 0 m c X V v d D s s J n F 1 b 3 Q 7 U 2 V j d G l v b j E v R E 9 F I E Z v c m 1 1 b G E g Y 2 9 1 b n R z L 0 N o Y W 5 n Z W Q g V H l w Z T I u e 0 N P V U 5 U U y B F R k l H L D E 0 f S Z x d W 9 0 O 1 0 s J n F 1 b 3 Q 7 U m V s Y X R p b 2 5 z a G l w S W 5 m b y Z x d W 9 0 O z p b X X 0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E T 0 U l M j B G b 3 J t d W x h J T I w Y 2 9 1 b n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R S U y M E Z v c m 1 1 b G E l M j B j b 3 V u d H M v R m 9 y b X V s Y S U y M G N v d W 5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R S U y M E Z v c m 1 1 b G E l M j B j b 3 V u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0 U l M j B G b 3 J t d W x h J T I w Y 2 9 1 b n R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9 F J T I w R m 9 y b X V s Y S U y M G N v d W 5 0 c y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v c i U y M F l l Y X I l M j B h Z G p 1 c 3 R l Z C U y M G F s b G 9 j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W J j M D k 0 Z G Q t M D V m M i 0 0 Y T J i L W F h M z M t M m V l Y m Y 3 M m F k M 2 E w I i A v P j x F b n R y e S B U e X B l P S J R d W V y e U d y b 3 V w S U Q i I F Z h b H V l P S J z Y z M 5 Z m I x O G Y t Y T U 3 N y 0 0 M D g 3 L W J m Y z c t Y T E 1 Z m F h O D Q 5 M T I 0 I i A v P j x F b n R y e S B U e X B l P S J G a W x s T G F z d F V w Z G F 0 Z W Q i I F Z h b H V l P S J k M j A y N i 0 w N i 0 y O V Q x N j o 0 M z o y O S 4 5 M D E 2 M D c x W i I g L z 4 8 R W 5 0 c n k g V H l w Z T 0 i R m l s b E N v b H V t b l R 5 c G V z I i B W Y W x 1 Z T 0 i c 0 J n W U Z C U V V G Q l F V R k J R V U Y i I C 8 + P E V u d H J 5 I F R 5 c G U 9 I k Z p b G x D b 2 x 1 b W 5 O Y W 1 l c y I g V m F s d W U 9 I n N b J n F 1 b 3 Q 7 T E V B S U Q m c X V v d D s s J n F 1 b 3 Q 7 T E V B T k F N R S Z x d W 9 0 O y w m c X V v d D t C Q V N J Q y B I b 2 x k I E h h c m 1 s Z X N z I G J h c 2 U g K F B y a W 9 y I H l l Y X I g Y W R q d X N 0 Z W Q g Y W x s b 2 M p J n F 1 b 3 Q 7 L C Z x d W 9 0 O 0 N v b m M g S G 9 s Z C B I Y X J t b G V z c y B C Y X N l I C g g N C B 5 Z W F y I G x v b 2 t i Y W N r K S Z x d W 9 0 O y w m c X V v d D t U Q V J H R V R F R C B I b 2 x k I E h h c m 1 s Z X N z I E J h c 2 U g K F B y a W 9 y I F l l Y X I g Y W R q d X N 0 Z W Q g Y W x s b 2 M p J n F 1 b 3 Q 7 L C Z x d W 9 0 O 0 V G S U c g S G 9 s Z C B I Y X J t b G V z c y B i Y X N l I C h Q c m l v c i B Z Z W F y I G F k a n V z d G V k I G F s b G 9 j K S Z x d W 9 0 O y w m c X V v d D t U b 3 R h b C B I b 2 x k I E h h c m 1 s Z X N z I G J h c 2 U m c X V v d D s s J n F 1 b 3 Q 7 Q W R q I E J h c 2 l j I E F s b G 9 j Y X R p b 2 4 m c X V v d D s s J n F 1 b 3 Q 7 Q W R q I E N v b m M u I E F s b G 9 j Y X R p b 2 4 m c X V v d D s s J n F 1 b 3 Q 7 Q W R q I F R h c m d l d G V k I G F s b G 9 j Y X R p b 2 4 m c X V v d D s s J n F 1 b 3 Q 7 Q W R q I E V G S U c g Q W x s b 2 N h d G l v b i Z x d W 9 0 O y w m c X V v d D t B Z G o g V G 9 0 Y W w g V G l 0 b G U g S S B B b G x v Y 2 F 0 a W 9 u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E 1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l v c i B Z Z W F y I G F k a n V z d G V k I G F s b G 9 j Y X R p b 2 5 z L 0 N o Y W 5 n Z W Q g V H l w Z S 5 7 T E V B S U Q s M H 0 m c X V v d D s s J n F 1 b 3 Q 7 U 2 V j d G l v b j E v U H J p b 3 I g W W V h c i B h Z G p 1 c 3 R l Z C B h b G x v Y 2 F 0 a W 9 u c y 9 D a G F u Z 2 V k I F R 5 c G U u e 0 x F Q U 5 B T U U s M X 0 m c X V v d D s s J n F 1 b 3 Q 7 U 2 V j d G l v b j E v U H J p b 3 I g W W V h c i B h Z G p 1 c 3 R l Z C B h b G x v Y 2 F 0 a W 9 u c y 9 D a G F u Z 2 V k I F R 5 c G U u e 0 J B U 0 l D I E h v b G Q g S G F y b W x l c 3 M g Y m F z Z S A o U H J p b 3 I g e W V h c i B h Z G p 1 c 3 R l Z C B h b G x v Y y k s M n 0 m c X V v d D s s J n F 1 b 3 Q 7 U 2 V j d G l v b j E v U H J p b 3 I g W W V h c i B h Z G p 1 c 3 R l Z C B h b G x v Y 2 F 0 a W 9 u c y 9 D a G F u Z 2 V k I F R 5 c G U u e 0 N v b m M g S G 9 s Z C B I Y X J t b G V z c y B C Y X N l I C g g N C B 5 Z W F y I G x v b 2 t i Y W N r K S w z f S Z x d W 9 0 O y w m c X V v d D t T Z W N 0 a W 9 u M S 9 Q c m l v c i B Z Z W F y I G F k a n V z d G V k I G F s b G 9 j Y X R p b 2 5 z L 0 N o Y W 5 n Z W Q g V H l w Z S 5 7 V E F S R 0 V U R U Q g S G 9 s Z C B I Y X J t b G V z c y B C Y X N l I C h Q c m l v c i B Z Z W F y I G F k a n V z d G V k I G F s b G 9 j K S w 0 f S Z x d W 9 0 O y w m c X V v d D t T Z W N 0 a W 9 u M S 9 Q c m l v c i B Z Z W F y I G F k a n V z d G V k I G F s b G 9 j Y X R p b 2 5 z L 0 N o Y W 5 n Z W Q g V H l w Z S 5 7 R U Z J R y B I b 2 x k I E h h c m 1 s Z X N z I G J h c 2 U g K F B y a W 9 y I F l l Y X I g Y W R q d X N 0 Z W Q g Y W x s b 2 M p L D V 9 J n F 1 b 3 Q 7 L C Z x d W 9 0 O 1 N l Y 3 R p b 2 4 x L 1 B y a W 9 y I F l l Y X I g Y W R q d X N 0 Z W Q g Y W x s b 2 N h d G l v b n M v Q 2 h h b m d l Z C B U e X B l L n t U b 3 R h b C B I b 2 x k I E h h c m 1 s Z X N z I G J h c 2 U s N n 0 m c X V v d D s s J n F 1 b 3 Q 7 U 2 V j d G l v b j E v U H J p b 3 I g W W V h c i B h Z G p 1 c 3 R l Z C B h b G x v Y 2 F 0 a W 9 u c y 9 D a G F u Z 2 V k I F R 5 c G U u e 0 F k a i B C Y X N p Y y B B b G x v Y 2 F 0 a W 9 u L D d 9 J n F 1 b 3 Q 7 L C Z x d W 9 0 O 1 N l Y 3 R p b 2 4 x L 1 B y a W 9 y I F l l Y X I g Y W R q d X N 0 Z W Q g Y W x s b 2 N h d G l v b n M v Q 2 h h b m d l Z C B U e X B l L n t B Z G o g Q 2 9 u Y y 4 g Q W x s b 2 N h d G l v b i w 4 f S Z x d W 9 0 O y w m c X V v d D t T Z W N 0 a W 9 u M S 9 Q c m l v c i B Z Z W F y I G F k a n V z d G V k I G F s b G 9 j Y X R p b 2 5 z L 0 N o Y W 5 n Z W Q g V H l w Z S 5 7 Q W R q I F R h c m d l d G V k I G F s b G 9 j Y X R p b 2 4 s O X 0 m c X V v d D s s J n F 1 b 3 Q 7 U 2 V j d G l v b j E v U H J p b 3 I g W W V h c i B h Z G p 1 c 3 R l Z C B h b G x v Y 2 F 0 a W 9 u c y 9 D a G F u Z 2 V k I F R 5 c G U u e 0 F k a i B F R k l H I E F s b G 9 j Y X R p b 2 4 s M T B 9 J n F 1 b 3 Q 7 L C Z x d W 9 0 O 1 N l Y 3 R p b 2 4 x L 1 B y a W 9 y I F l l Y X I g Y W R q d X N 0 Z W Q g Y W x s b 2 N h d G l v b n M v Q 2 h h b m d l Z C B U e X B l L n t B Z G o g V G 9 0 Y W w g V G l 0 b G U g S S B B b G x v Y 2 F 0 a W 9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H J p b 3 I g W W V h c i B h Z G p 1 c 3 R l Z C B h b G x v Y 2 F 0 a W 9 u c y 9 D a G F u Z 2 V k I F R 5 c G U u e 0 x F Q U l E L D B 9 J n F 1 b 3 Q 7 L C Z x d W 9 0 O 1 N l Y 3 R p b 2 4 x L 1 B y a W 9 y I F l l Y X I g Y W R q d X N 0 Z W Q g Y W x s b 2 N h d G l v b n M v Q 2 h h b m d l Z C B U e X B l L n t M R U F O Q U 1 F L D F 9 J n F 1 b 3 Q 7 L C Z x d W 9 0 O 1 N l Y 3 R p b 2 4 x L 1 B y a W 9 y I F l l Y X I g Y W R q d X N 0 Z W Q g Y W x s b 2 N h d G l v b n M v Q 2 h h b m d l Z C B U e X B l L n t C Q V N J Q y B I b 2 x k I E h h c m 1 s Z X N z I G J h c 2 U g K F B y a W 9 y I H l l Y X I g Y W R q d X N 0 Z W Q g Y W x s b 2 M p L D J 9 J n F 1 b 3 Q 7 L C Z x d W 9 0 O 1 N l Y 3 R p b 2 4 x L 1 B y a W 9 y I F l l Y X I g Y W R q d X N 0 Z W Q g Y W x s b 2 N h d G l v b n M v Q 2 h h b m d l Z C B U e X B l L n t D b 2 5 j I E h v b G Q g S G F y b W x l c 3 M g Q m F z Z S A o I D Q g e W V h c i B s b 2 9 r Y m F j a y k s M 3 0 m c X V v d D s s J n F 1 b 3 Q 7 U 2 V j d G l v b j E v U H J p b 3 I g W W V h c i B h Z G p 1 c 3 R l Z C B h b G x v Y 2 F 0 a W 9 u c y 9 D a G F u Z 2 V k I F R 5 c G U u e 1 R B U k d F V E V E I E h v b G Q g S G F y b W x l c 3 M g Q m F z Z S A o U H J p b 3 I g W W V h c i B h Z G p 1 c 3 R l Z C B h b G x v Y y k s N H 0 m c X V v d D s s J n F 1 b 3 Q 7 U 2 V j d G l v b j E v U H J p b 3 I g W W V h c i B h Z G p 1 c 3 R l Z C B h b G x v Y 2 F 0 a W 9 u c y 9 D a G F u Z 2 V k I F R 5 c G U u e 0 V G S U c g S G 9 s Z C B I Y X J t b G V z c y B i Y X N l I C h Q c m l v c i B Z Z W F y I G F k a n V z d G V k I G F s b G 9 j K S w 1 f S Z x d W 9 0 O y w m c X V v d D t T Z W N 0 a W 9 u M S 9 Q c m l v c i B Z Z W F y I G F k a n V z d G V k I G F s b G 9 j Y X R p b 2 5 z L 0 N o Y W 5 n Z W Q g V H l w Z S 5 7 V G 9 0 Y W w g S G 9 s Z C B I Y X J t b G V z c y B i Y X N l L D Z 9 J n F 1 b 3 Q 7 L C Z x d W 9 0 O 1 N l Y 3 R p b 2 4 x L 1 B y a W 9 y I F l l Y X I g Y W R q d X N 0 Z W Q g Y W x s b 2 N h d G l v b n M v Q 2 h h b m d l Z C B U e X B l L n t B Z G o g Q m F z a W M g Q W x s b 2 N h d G l v b i w 3 f S Z x d W 9 0 O y w m c X V v d D t T Z W N 0 a W 9 u M S 9 Q c m l v c i B Z Z W F y I G F k a n V z d G V k I G F s b G 9 j Y X R p b 2 5 z L 0 N o Y W 5 n Z W Q g V H l w Z S 5 7 Q W R q I E N v b m M u I E F s b G 9 j Y X R p b 2 4 s O H 0 m c X V v d D s s J n F 1 b 3 Q 7 U 2 V j d G l v b j E v U H J p b 3 I g W W V h c i B h Z G p 1 c 3 R l Z C B h b G x v Y 2 F 0 a W 9 u c y 9 D a G F u Z 2 V k I F R 5 c G U u e 0 F k a i B U Y X J n Z X R l Z C B h b G x v Y 2 F 0 a W 9 u L D l 9 J n F 1 b 3 Q 7 L C Z x d W 9 0 O 1 N l Y 3 R p b 2 4 x L 1 B y a W 9 y I F l l Y X I g Y W R q d X N 0 Z W Q g Y W x s b 2 N h d G l v b n M v Q 2 h h b m d l Z C B U e X B l L n t B Z G o g R U Z J R y B B b G x v Y 2 F 0 a W 9 u L D E w f S Z x d W 9 0 O y w m c X V v d D t T Z W N 0 a W 9 u M S 9 Q c m l v c i B Z Z W F y I G F k a n V z d G V k I G F s b G 9 j Y X R p b 2 5 z L 0 N o Y W 5 n Z W Q g V H l w Z S 5 7 Q W R q I F R v d G F s I F R p d G x l I E k g Q W x s b 2 N h d G l v b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a W 9 y J T I w W W V h c i U y M G F k a n V z d G V k J T I w Y W x s b 2 N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Q W R q d X N 0 Z W Q l M j B G b 3 J t d W x h J T I w Y 2 9 1 b n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O T Y z N m E x Z j k t M D g z N S 0 0 Z j Y z L W E w M D k t N 2 I 1 Z D k w N T V j N G V i I i A v P j x F b n R y e S B U e X B l P S J R d W V y e U d y b 3 V w S U Q i I F Z h b H V l P S J z Y z M 5 Z m I x O G Y t Y T U 3 N y 0 0 M D g 3 L W J m Y z c t Y T E 1 Z m F h O D Q 5 M T I 0 I i A v P j x F b n R y e S B U e X B l P S J G a W x s T G F z d F V w Z G F 0 Z W Q i I F Z h b H V l P S J k M j A y N i 0 w N i 0 y O V Q x N j o 0 M z o y O S 4 5 M T U z M D U x W i I g L z 4 8 R W 5 0 c n k g V H l w Z T 0 i R m l s b E N v b H V t b l R 5 c G V z I i B W Y W x 1 Z T 0 i c 0 J n W U d B d 0 1 E Q X d N R E F 3 T U Z B Q U F B Q U E 9 P S I g L z 4 8 R W 5 0 c n k g V H l w Z T 0 i R m l s b E N v b H V t b k 5 h b W V z I i B W Y W x 1 Z T 0 i c 1 s m c X V v d D t M R U F J R C Z x d W 9 0 O y w m c X V v d D t M R U F O Q U 1 F J n F 1 b 3 Q 7 L C Z x d W 9 0 O 1 N l b m R p b m d M R U F p Z C Z x d W 9 0 O y w m c X V v d D t O R U c u I G F k a i Z x d W 9 0 O y w m c X V v d D t B Z G o g R E V M L i Z x d W 9 0 O y w m c X V v d D t B Z G o g R m 9 z d G V y J n F 1 b 3 Q 7 L C Z x d W 9 0 O 0 F k a i B U Q U 5 G J n F 1 b 3 Q 7 L C Z x d W 9 0 O 0 F k a i A t I D U t M T c g c G 9 w J n F 1 b 3 Q 7 L C Z x d W 9 0 O 0 F k a i B w b 3 Z l c n R 5 J n F 1 b 3 Q 7 L C Z x d W 9 0 O 0 F k a i B U b 3 R h b C B m b 3 J t d W x h I G N v d W 5 0 J n F 1 b 3 Q 7 L C Z x d W 9 0 O 1 R v d G F s I E Z v c m 1 1 b G E g Q 2 9 1 b n Q g R E 9 F J n F 1 b 3 Q 7 L C Z x d W 9 0 O 0 F k a i B w b 3 Z l c n R 5 I H B l c m N l b n R h Z 2 U m c X V v d D s s J n F 1 b 3 Q 7 Q k F T S U M g Z W x p Z 2 l i a W x p d H k m c X V v d D s s J n F 1 b 3 Q 7 Q 2 9 u Y y 4 g R W x p Z 2 l n a W J p b G l 0 e S Z x d W 9 0 O y w m c X V v d D t U Y X J n Z X R l Z C B F b G l n a W J p b G l 0 e S Z x d W 9 0 O y w m c X V v d D t F R k l H I G V s a W d p Y m l s a X R 5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E 1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l v c i B Z Z W F y I E F k a n V z d G V k I E Z v c m 1 1 b G E g Y 2 9 1 b n R z L 0 N o Y W 5 n Z W Q g V H l w Z S 5 7 T E V B S U Q s M H 0 m c X V v d D s s J n F 1 b 3 Q 7 U 2 V j d G l v b j E v U H J p b 3 I g W W V h c i B B Z G p 1 c 3 R l Z C B G b 3 J t d W x h I G N v d W 5 0 c y 9 D a G F u Z 2 V k I F R 5 c G U u e 0 x F Q U 5 B T U U s M X 0 m c X V v d D s s J n F 1 b 3 Q 7 U 2 V j d G l v b j E v U H J p b 3 I g W W V h c i B B Z G p 1 c 3 R l Z C B G b 3 J t d W x h I G N v d W 5 0 c y 9 D a G F u Z 2 V k I F R 5 c G U u e 1 N l b m R p b m d M R U F p Z C w y f S Z x d W 9 0 O y w m c X V v d D t T Z W N 0 a W 9 u M S 9 Q c m l v c i B Z Z W F y I E F k a n V z d G V k I E Z v c m 1 1 b G E g Y 2 9 1 b n R z L 0 N o Y W 5 n Z W Q g V H l w Z S 5 7 T k V H L i B h Z G o s M 3 0 m c X V v d D s s J n F 1 b 3 Q 7 U 2 V j d G l v b j E v U H J p b 3 I g W W V h c i B B Z G p 1 c 3 R l Z C B G b 3 J t d W x h I G N v d W 5 0 c y 9 D a G F u Z 2 V k I F R 5 c G U u e 0 F k a i B E R U w u L D R 9 J n F 1 b 3 Q 7 L C Z x d W 9 0 O 1 N l Y 3 R p b 2 4 x L 1 B y a W 9 y I F l l Y X I g Q W R q d X N 0 Z W Q g R m 9 y b X V s Y S B j b 3 V u d H M v Q 2 h h b m d l Z C B U e X B l L n t B Z G o g R m 9 z d G V y L D V 9 J n F 1 b 3 Q 7 L C Z x d W 9 0 O 1 N l Y 3 R p b 2 4 x L 1 B y a W 9 y I F l l Y X I g Q W R q d X N 0 Z W Q g R m 9 y b X V s Y S B j b 3 V u d H M v Q 2 h h b m d l Z C B U e X B l L n t B Z G o g V E F O R i w 2 f S Z x d W 9 0 O y w m c X V v d D t T Z W N 0 a W 9 u M S 9 Q c m l v c i B Z Z W F y I E F k a n V z d G V k I E Z v c m 1 1 b G E g Y 2 9 1 b n R z L 0 N o Y W 5 n Z W Q g V H l w Z S 5 7 Q W R q I C 0 g N S 0 x N y B w b 3 A s N 3 0 m c X V v d D s s J n F 1 b 3 Q 7 U 2 V j d G l v b j E v U H J p b 3 I g W W V h c i B B Z G p 1 c 3 R l Z C B G b 3 J t d W x h I G N v d W 5 0 c y 9 D a G F u Z 2 V k I F R 5 c G U u e 0 F k a i B w b 3 Z l c n R 5 L D h 9 J n F 1 b 3 Q 7 L C Z x d W 9 0 O 1 N l Y 3 R p b 2 4 x L 1 B y a W 9 y I F l l Y X I g Q W R q d X N 0 Z W Q g R m 9 y b X V s Y S B j b 3 V u d H M v Q 2 h h b m d l Z C B U e X B l L n t B Z G o g V G 9 0 Y W w g Z m 9 y b X V s Y S B j b 3 V u d C w 5 f S Z x d W 9 0 O y w m c X V v d D t T Z W N 0 a W 9 u M S 9 Q c m l v c i B Z Z W F y I E F k a n V z d G V k I E Z v c m 1 1 b G E g Y 2 9 1 b n R z L 0 N o Y W 5 n Z W Q g V H l w Z S 5 7 V G 9 0 Y W w g R m 9 y b X V s Y S B D b 3 V u d C B E T 0 U s M T B 9 J n F 1 b 3 Q 7 L C Z x d W 9 0 O 1 N l Y 3 R p b 2 4 x L 1 B y a W 9 y I F l l Y X I g Q W R q d X N 0 Z W Q g R m 9 y b X V s Y S B j b 3 V u d H M v Q 2 h h b m d l Z C B U e X B l L n t B Z G o g c G 9 2 Z X J 0 e S B w Z X J j Z W 5 0 Y W d l L D E x f S Z x d W 9 0 O y w m c X V v d D t T Z W N 0 a W 9 u M S 9 Q c m l v c i B Z Z W F y I E F k a n V z d G V k I E Z v c m 1 1 b G E g Y 2 9 1 b n R z L 0 l u a X R p Y W x f Y W R q d X N 0 Z W R f Z m 9 y b X V s Y V 9 j b 3 V u d F 9 U Y W J s Z S 5 7 Q k F T S U M g Z W x p Z 2 l i a W x p d H k s M T J 9 J n F 1 b 3 Q 7 L C Z x d W 9 0 O 1 N l Y 3 R p b 2 4 x L 1 B y a W 9 y I F l l Y X I g Q W R q d X N 0 Z W Q g R m 9 y b X V s Y S B j b 3 V u d H M v S W 5 p d G l h b F 9 h Z G p 1 c 3 R l Z F 9 m b 3 J t d W x h X 2 N v d W 5 0 X 1 R h Y m x l L n t D b 2 5 j L i B F b G l n a W d p Y m l s a X R 5 L D E z f S Z x d W 9 0 O y w m c X V v d D t T Z W N 0 a W 9 u M S 9 Q c m l v c i B Z Z W F y I E F k a n V z d G V k I E Z v c m 1 1 b G E g Y 2 9 1 b n R z L 0 l u a X R p Y W x f Y W R q d X N 0 Z W R f Z m 9 y b X V s Y V 9 j b 3 V u d F 9 U Y W J s Z S 5 7 V G F y Z 2 V 0 Z W Q g R W x p Z 2 l i a W x p d H k s M T R 9 J n F 1 b 3 Q 7 L C Z x d W 9 0 O 1 N l Y 3 R p b 2 4 x L 1 B y a W 9 y I F l l Y X I g Q W R q d X N 0 Z W Q g R m 9 y b X V s Y S B j b 3 V u d H M v S W 5 p d G l h b F 9 h Z G p 1 c 3 R l Z F 9 m b 3 J t d W x h X 2 N v d W 5 0 X 1 R h Y m x l L n t F R k l H I G V s a W d p Y m l s a X R 5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H J p b 3 I g W W V h c i B B Z G p 1 c 3 R l Z C B G b 3 J t d W x h I G N v d W 5 0 c y 9 D a G F u Z 2 V k I F R 5 c G U u e 0 x F Q U l E L D B 9 J n F 1 b 3 Q 7 L C Z x d W 9 0 O 1 N l Y 3 R p b 2 4 x L 1 B y a W 9 y I F l l Y X I g Q W R q d X N 0 Z W Q g R m 9 y b X V s Y S B j b 3 V u d H M v Q 2 h h b m d l Z C B U e X B l L n t M R U F O Q U 1 F L D F 9 J n F 1 b 3 Q 7 L C Z x d W 9 0 O 1 N l Y 3 R p b 2 4 x L 1 B y a W 9 y I F l l Y X I g Q W R q d X N 0 Z W Q g R m 9 y b X V s Y S B j b 3 V u d H M v Q 2 h h b m d l Z C B U e X B l L n t T Z W 5 k a W 5 n T E V B a W Q s M n 0 m c X V v d D s s J n F 1 b 3 Q 7 U 2 V j d G l v b j E v U H J p b 3 I g W W V h c i B B Z G p 1 c 3 R l Z C B G b 3 J t d W x h I G N v d W 5 0 c y 9 D a G F u Z 2 V k I F R 5 c G U u e 0 5 F R y 4 g Y W R q L D N 9 J n F 1 b 3 Q 7 L C Z x d W 9 0 O 1 N l Y 3 R p b 2 4 x L 1 B y a W 9 y I F l l Y X I g Q W R q d X N 0 Z W Q g R m 9 y b X V s Y S B j b 3 V u d H M v Q 2 h h b m d l Z C B U e X B l L n t B Z G o g R E V M L i w 0 f S Z x d W 9 0 O y w m c X V v d D t T Z W N 0 a W 9 u M S 9 Q c m l v c i B Z Z W F y I E F k a n V z d G V k I E Z v c m 1 1 b G E g Y 2 9 1 b n R z L 0 N o Y W 5 n Z W Q g V H l w Z S 5 7 Q W R q I E Z v c 3 R l c i w 1 f S Z x d W 9 0 O y w m c X V v d D t T Z W N 0 a W 9 u M S 9 Q c m l v c i B Z Z W F y I E F k a n V z d G V k I E Z v c m 1 1 b G E g Y 2 9 1 b n R z L 0 N o Y W 5 n Z W Q g V H l w Z S 5 7 Q W R q I F R B T k Y s N n 0 m c X V v d D s s J n F 1 b 3 Q 7 U 2 V j d G l v b j E v U H J p b 3 I g W W V h c i B B Z G p 1 c 3 R l Z C B G b 3 J t d W x h I G N v d W 5 0 c y 9 D a G F u Z 2 V k I F R 5 c G U u e 0 F k a i A t I D U t M T c g c G 9 w L D d 9 J n F 1 b 3 Q 7 L C Z x d W 9 0 O 1 N l Y 3 R p b 2 4 x L 1 B y a W 9 y I F l l Y X I g Q W R q d X N 0 Z W Q g R m 9 y b X V s Y S B j b 3 V u d H M v Q 2 h h b m d l Z C B U e X B l L n t B Z G o g c G 9 2 Z X J 0 e S w 4 f S Z x d W 9 0 O y w m c X V v d D t T Z W N 0 a W 9 u M S 9 Q c m l v c i B Z Z W F y I E F k a n V z d G V k I E Z v c m 1 1 b G E g Y 2 9 1 b n R z L 0 N o Y W 5 n Z W Q g V H l w Z S 5 7 Q W R q I F R v d G F s I G Z v c m 1 1 b G E g Y 2 9 1 b n Q s O X 0 m c X V v d D s s J n F 1 b 3 Q 7 U 2 V j d G l v b j E v U H J p b 3 I g W W V h c i B B Z G p 1 c 3 R l Z C B G b 3 J t d W x h I G N v d W 5 0 c y 9 D a G F u Z 2 V k I F R 5 c G U u e 1 R v d G F s I E Z v c m 1 1 b G E g Q 2 9 1 b n Q g R E 9 F L D E w f S Z x d W 9 0 O y w m c X V v d D t T Z W N 0 a W 9 u M S 9 Q c m l v c i B Z Z W F y I E F k a n V z d G V k I E Z v c m 1 1 b G E g Y 2 9 1 b n R z L 0 N o Y W 5 n Z W Q g V H l w Z S 5 7 Q W R q I H B v d m V y d H k g c G V y Y 2 V u d G F n Z S w x M X 0 m c X V v d D s s J n F 1 b 3 Q 7 U 2 V j d G l v b j E v U H J p b 3 I g W W V h c i B B Z G p 1 c 3 R l Z C B G b 3 J t d W x h I G N v d W 5 0 c y 9 J b m l 0 a W F s X 2 F k a n V z d G V k X 2 Z v c m 1 1 b G F f Y 2 9 1 b n R f V G F i b G U u e 0 J B U 0 l D I G V s a W d p Y m l s a X R 5 L D E y f S Z x d W 9 0 O y w m c X V v d D t T Z W N 0 a W 9 u M S 9 Q c m l v c i B Z Z W F y I E F k a n V z d G V k I E Z v c m 1 1 b G E g Y 2 9 1 b n R z L 0 l u a X R p Y W x f Y W R q d X N 0 Z W R f Z m 9 y b X V s Y V 9 j b 3 V u d F 9 U Y W J s Z S 5 7 Q 2 9 u Y y 4 g R W x p Z 2 l n a W J p b G l 0 e S w x M 3 0 m c X V v d D s s J n F 1 b 3 Q 7 U 2 V j d G l v b j E v U H J p b 3 I g W W V h c i B B Z G p 1 c 3 R l Z C B G b 3 J t d W x h I G N v d W 5 0 c y 9 J b m l 0 a W F s X 2 F k a n V z d G V k X 2 Z v c m 1 1 b G F f Y 2 9 1 b n R f V G F i b G U u e 1 R h c m d l d G V k I E V s a W d p Y m l s a X R 5 L D E 0 f S Z x d W 9 0 O y w m c X V v d D t T Z W N 0 a W 9 u M S 9 Q c m l v c i B Z Z W F y I E F k a n V z d G V k I E Z v c m 1 1 b G E g Y 2 9 1 b n R z L 0 l u a X R p Y W x f Y W R q d X N 0 Z W R f Z m 9 y b X V s Y V 9 j b 3 V u d F 9 U Y W J s Z S 5 7 R U Z J R y B l b G l n a W J p b G l 0 e S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a W 9 y J T I w W W V h c i U y M E F k a n V z d G V k J T I w R m 9 y b X V s Y S U y M G N v d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0 U l M j B G b 3 J t d W x h J T I w Y 2 9 1 b n R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R X h w Y W 5 k Z W Q l M j B G U l B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V 4 c G F u Z G V k J T I w R l J Q T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T W V y Z 2 V k J T I w U X V l c m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R X h w Y W 5 k Z W Q l M j B D Q 0 R E R C U y R k x F Q W l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P C 9 J d G V t U G F 0 a D 4 8 L 0 l 0 Z W 1 M b 2 N h d G l v b j 4 8 U 3 R h Y m x l R W 5 0 c m l l c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l z U H J p d m F 0 Z S I g V m F s d W U 9 I m w w I i A v P j x F b n R y e S B U e X B l P S J R d W V y e U d y b 3 V w S U Q i I F Z h b H V l P S J z M T E x Y 2 E 4 M D g t M D V l Z C 0 0 N T k 3 L W I 1 M j I t Z j F k N j k w Z G V l N T k w I i A v P j x F b n R y e S B U e X B l P S J S Z W N v d m V y e V R h c m d l d F N o Z W V 0 I i B W Y W x 1 Z T 0 i c 3 N 1 b W l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R d W V y e U l E I i B W Y W x 1 Z T 0 i c z d j Y T N m M G F k L T F h N G I t N D R k O S 1 i Y z U x L T J h M D J l N j M z M m N k Y y I g L z 4 8 R W 5 0 c n k g V H l w Z T 0 i R m l s b E x h c 3 R V c G R h d G V k I i B W Y W x 1 Z T 0 i Z D I w M j Y t M D Y t M j l U M T Y 6 N D M 6 M j k u O T E 4 M D Y 5 M 1 o i I C 8 + P E V u d H J 5 I F R 5 c G U 9 I k Z p b G x D b 2 x 1 b W 5 U e X B l c y I g V m F s d W U 9 I n N C Z 1 V G I i A v P j x F b n R y e S B U e X B l P S J G a W x s Q 2 9 s d W 1 u T m F t Z X M i I F Z h b H V l P S J z W y Z x d W 9 0 O 1 N l b m R p b m c g R G l z d H J p Y 3 Q g Q 0 N E R E Q m c X V v d D s s J n F 1 b 3 Q 7 U 3 V t V G 9 0 Y W x T d H V k Z W 5 0 c y B p b i B w b 3 Z l c n R 5 J n F 1 b 3 Q 7 L C Z x d W 9 0 O 1 N 1 b V R v d G F s U 3 R 1 Z G V u d H M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J n F 1 b 3 Q 7 U 2 V u Z G l u Z y B E a X N 0 c m l j d C B D Q 0 R E R C Z x d W 9 0 O 1 0 s J n F 1 b 3 Q 7 c X V l c n l S Z W x h d G l v b n N o a X B z J n F 1 b 3 Q 7 O l t d L C Z x d W 9 0 O 2 N v b H V t b k l k Z W 5 0 a X R p Z X M m c X V v d D s 6 W y Z x d W 9 0 O 1 N l Y 3 R p b 2 4 x L 3 N 1 b W l m L 0 d y b 3 V w Z W Q g U m 9 3 c y 5 7 U 2 V u Z G l u Z y B E a X N 0 c m l j d C B D Q 0 R E R C w w f S Z x d W 9 0 O y w m c X V v d D t T Z W N 0 a W 9 u M S 9 z d W 1 p Z i 9 H c m 9 1 c G V k I F J v d 3 M u e 1 N 1 b V R v d G F s U 3 R 1 Z G V u d H M g a W 4 g c G 9 2 Z X J 0 e S w x f S Z x d W 9 0 O y w m c X V v d D t T Z W N 0 a W 9 u M S 9 z d W 1 p Z i 9 H c m 9 1 c G V k I F J v d 3 M u e 1 N 1 b V R v d G F s U 3 R 1 Z G V u d H M s M n 0 m c X V v d D t d L C Z x d W 9 0 O 0 N v b H V t b k N v d W 5 0 J n F 1 b 3 Q 7 O j M s J n F 1 b 3 Q 7 S 2 V 5 Q 2 9 s d W 1 u T m F t Z X M m c X V v d D s 6 W y Z x d W 9 0 O 1 N l b m R p b m c g R G l z d H J p Y 3 Q g Q 0 N E R E Q m c X V v d D t d L C Z x d W 9 0 O 0 N v b H V t b k l k Z W 5 0 a X R p Z X M m c X V v d D s 6 W y Z x d W 9 0 O 1 N l Y 3 R p b 2 4 x L 3 N 1 b W l m L 0 d y b 3 V w Z W Q g U m 9 3 c y 5 7 U 2 V u Z G l u Z y B E a X N 0 c m l j d C B D Q 0 R E R C w w f S Z x d W 9 0 O y w m c X V v d D t T Z W N 0 a W 9 u M S 9 z d W 1 p Z i 9 H c m 9 1 c G V k I F J v d 3 M u e 1 N 1 b V R v d G F s U 3 R 1 Z G V u d H M g a W 4 g c G 9 2 Z X J 0 e S w x f S Z x d W 9 0 O y w m c X V v d D t T Z W N 0 a W 9 u M S 9 z d W 1 p Z i 9 H c m 9 1 c G V k I F J v d 3 M u e 1 N 1 b V R v d G F s U 3 R 1 Z G V u d H M s M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3 V t a W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t a W Y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L 0 V 4 c G F u Z G V k J T I w R l J Q T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t a W Y v R X h w Y W 5 k Z W Q l M j B G U l B M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V t a W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W 1 p Z i 9 N Z X J n Z W Q l M j B R d W V y a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L 0 V 4 c G F u Z G V k J T I w Q 0 N E R E Q l M k Z M R U F p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1 b W l m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1 l c m d l Z C U y M F F 1 Z X J p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V 4 c G F u Z G V k J T I w c 3 V t a W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J T I w Q 2 F s Y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z d W 1 w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h c m d l d C I g V m F s d W U 9 I n N B c 3 N 1 b X B 0 a W 9 u c y I g L z 4 8 R W 5 0 c n k g V H l w Z T 0 i U X V l c n l J R C I g V m F s d W U 9 I n M 0 N T M x M j B k Y S 1 i M T l m L T Q 5 M z k t Y m M y Z i 0 5 N T c 1 O G F j M 2 Q x Y z E i I C 8 + P E V u d H J 5 I F R 5 c G U 9 I l F 1 Z X J 5 R 3 J v d X B J R C I g V m F s d W U 9 I n N j M z l m Y j E 4 Z i 1 h N T c 3 L T Q w O D c t Y m Z j N y 1 h M T V m Y W E 4 N D k x M j Q i I C 8 + P E V u d H J 5 I F R 5 c G U 9 I l J l Y 2 9 2 Z X J 5 V G F y Z 2 V 0 U 2 h l Z X Q i I F Z h b H V l P S J z Q X N z d W 1 w d G l v b n M g I i A v P j x F b n R y e S B U e X B l P S J S Z W N v d m V y e V R h c m d l d E N v b H V t b i I g V m F s d W U 9 I m w z I i A v P j x F b n R y e S B U e X B l P S J S Z W N v d m V y e V R h c m d l d F J v d y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2 L T I 5 V D E 2 O j Q z O j I 5 L j k x O D A 2 O T N a I i A v P j x F b n R y e S B U e X B l P S J G a W x s Q 2 9 s d W 1 u V H l w Z X M i I F Z h b H V l P S J z Q U F B Q U F B Q U F C U T 0 9 I i A v P j x F b n R y e S B U e X B l P S J G a W x s Q 2 9 s d W 1 u T m F t Z X M i I F Z h b H V l P S J z W y Z x d W 9 0 O 0 N v b H V t b j E m c X V v d D s s J n F 1 b 3 Q 7 Q k F T S U M g R 1 J B T l R T J n F 1 b 3 Q 7 L C Z x d W 9 0 O 0 N P T k N F T l R S Q V R J T 0 4 g R 1 J B T l R T J n F 1 b 3 Q 7 L C Z x d W 9 0 O 1 R B U k d F V E V E I E d S Q U 5 U U y Z x d W 9 0 O y w m c X V v d D t F R k l H I E d S Q U 5 U U y Z x d W 9 0 O y w m c X V v d D t U T 1 R B T C B M R U E g R 1 J B T l R T J n F 1 b 3 Q 7 L C Z x d W 9 0 O 1 J l d i B G a W 4 g I F Q t S S B T d G F 0 Z S B B Z G 0 g I D E w M D Q o Y i k u V E l U T E U g S S w g U E F S V C B B I F R P V E F M I E x F Q S B H U k F O V F M m c X V v d D t d I i A v P j x F b n R y e S B U e X B l P S J G a W x s Q 2 9 1 b n Q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N z d W 1 w d G l v b n M v U 3 R h d G U g V G F i b G U g R l k g M j U g U H J l b F 9 T a G V l d C 5 7 Q 2 9 s d W 1 u M S w w f S Z x d W 9 0 O y w m c X V v d D t T Z W N 0 a W 9 u M S 9 B c 3 N 1 b X B 0 a W 9 u c y 9 T d G F 0 Z S B U Y W J s Z S B G W S A y N S B Q c m V s X 1 N o Z W V 0 L n t D b 2 x 1 b W 4 y L D F 9 J n F 1 b 3 Q 7 L C Z x d W 9 0 O 1 N l Y 3 R p b 2 4 x L 0 F z c 3 V t c H R p b 2 5 z L 1 N 0 Y X R l I F R h Y m x l I E Z Z I D I 1 I F B y Z W x f U 2 h l Z X Q u e 0 N v b H V t b j Q s M 3 0 m c X V v d D s s J n F 1 b 3 Q 7 U 2 V j d G l v b j E v Q X N z d W 1 w d G l v b n M v U 3 R h d G U g V G F i b G U g R l k g M j U g U H J l b F 9 T a G V l d C 5 7 Q 2 9 s d W 1 u N i w 1 f S Z x d W 9 0 O y w m c X V v d D t T Z W N 0 a W 9 u M S 9 B c 3 N 1 b X B 0 a W 9 u c y 9 T d G F 0 Z S B U Y W J s Z S B G W S A y N S B Q c m V s X 1 N o Z W V 0 L n t D b 2 x 1 b W 4 4 L D d 9 J n F 1 b 3 Q 7 L C Z x d W 9 0 O 1 N l Y 3 R p b 2 4 x L 0 F z c 3 V t c H R p b 2 5 z L 1 N 0 Y X R l I F R h Y m x l I E Z Z I D I 1 I F B y Z W x f U 2 h l Z X Q u e 0 N v b H V t b j E w L D l 9 J n F 1 b 3 Q 7 L C Z x d W 9 0 O 1 N l Y 3 R p b 2 4 x L 1 Q t S S B T d G F 0 Z S B B Z G 0 g I D E w M D Q o Y i k v Q 2 h h b m d l Z C B U e X B l L n t U S V R M R S B J L C B Q Q V J U I E E g V E 9 U Q U w g T E V B I E d S Q U 5 U U y w x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3 N 1 b X B 0 a W 9 u c y 9 T d G F 0 Z S B U Y W J s Z S B G W S A y N S B Q c m V s X 1 N o Z W V 0 L n t D b 2 x 1 b W 4 x L D B 9 J n F 1 b 3 Q 7 L C Z x d W 9 0 O 1 N l Y 3 R p b 2 4 x L 0 F z c 3 V t c H R p b 2 5 z L 1 N 0 Y X R l I F R h Y m x l I E Z Z I D I 1 I F B y Z W x f U 2 h l Z X Q u e 0 N v b H V t b j I s M X 0 m c X V v d D s s J n F 1 b 3 Q 7 U 2 V j d G l v b j E v Q X N z d W 1 w d G l v b n M v U 3 R h d G U g V G F i b G U g R l k g M j U g U H J l b F 9 T a G V l d C 5 7 Q 2 9 s d W 1 u N C w z f S Z x d W 9 0 O y w m c X V v d D t T Z W N 0 a W 9 u M S 9 B c 3 N 1 b X B 0 a W 9 u c y 9 T d G F 0 Z S B U Y W J s Z S B G W S A y N S B Q c m V s X 1 N o Z W V 0 L n t D b 2 x 1 b W 4 2 L D V 9 J n F 1 b 3 Q 7 L C Z x d W 9 0 O 1 N l Y 3 R p b 2 4 x L 0 F z c 3 V t c H R p b 2 5 z L 1 N 0 Y X R l I F R h Y m x l I E Z Z I D I 1 I F B y Z W x f U 2 h l Z X Q u e 0 N v b H V t b j g s N 3 0 m c X V v d D s s J n F 1 b 3 Q 7 U 2 V j d G l v b j E v Q X N z d W 1 w d G l v b n M v U 3 R h d G U g V G F i b G U g R l k g M j U g U H J l b F 9 T a G V l d C 5 7 Q 2 9 s d W 1 u M T A s O X 0 m c X V v d D s s J n F 1 b 3 Q 7 U 2 V j d G l v b j E v V C 1 J I F N 0 Y X R l I E F k b S A g M T A w N C h i K S 9 D a G F u Z 2 V k I F R 5 c G U u e 1 R J V E x F I E k s I F B B U l Q g Q S B U T 1 R B T C B M R U E g R 1 J B T l R T L D F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F z c 3 V t c H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3 V t c H R p b 2 5 z L 1 J l b W 9 2 Z W Q l M j B U b 3 A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3 V t c H R p b 2 5 z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v c i U y M F l l Y X I l M j B O Z X Q l M j B 0 b y U y M G R p c 3 R y a W N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Y j g z Z j M w Y j U t O D Y 3 Z i 0 0 Y m V h L W E w M j Y t M W Y x Z m F j Z D N k M j Q y I i A v P j x F b n R y e S B U e X B l P S J R d W V y e U d y b 3 V w S U Q i I F Z h b H V l P S J z Y z M 5 Z m I x O G Y t Y T U 3 N y 0 0 M D g 3 L W J m Y z c t Y T E 1 Z m F h O D Q 5 M T I 0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B y a W 9 y I F l l Y X I g T m V 0 I H R v I G R p c 3 R y a W N 0 I i A v P j x F b n R y e S B U e X B l P S J G a W x s V G F y Z 2 V 0 I i B W Y W x 1 Z T 0 i c 1 R h Y m x l X 1 B y a W 9 y X 1 l l Y X J f T m V 0 X 3 R v X 2 R p c 3 R y a W N 0 I i A v P j x F b n R y e S B U e X B l P S J G a W x s T G F z d F V w Z G F 0 Z W Q i I F Z h b H V l P S J k M j A y N i 0 w N i 0 y O V Q x N j o 0 M z o y O S 4 5 M z E 3 O D U 3 W i I g L z 4 8 R W 5 0 c n k g V H l w Z T 0 i R m l s b E N v b H V t b l R 5 c G V z I i B W Y W x 1 Z T 0 i c 0 J n W U d C U V V G Q l F V R k J R V U Z C U U 1 E Q l E 9 P S I g L z 4 8 R W 5 0 c n k g V H l w Z T 0 i R m l s b E N v b H V t b k 5 h b W V z I i B W Y W x 1 Z T 0 i c 1 s m c X V v d D t M R U F J R C Z x d W 9 0 O y w m c X V v d D t M R U F O Q U 1 F J n F 1 b 3 Q 7 L C Z x d W 9 0 O 0 N D R E R E J n F 1 b 3 Q 7 L C Z x d W 9 0 O 0 J h c 2 l j I E J l Z m 9 y Z S B T d G F 0 Z S B S Z X N l c n Z h d G l v b n M m c X V v d D s s J n F 1 b 3 Q 7 Q 2 9 u Y 2 V u d H J h d G l v b i B C Z W Z v c m U g U 3 R h d G U g U m V z Z X J 2 Y X R p b 2 5 z J n F 1 b 3 Q 7 L C Z x d W 9 0 O 1 R h c m d l d G V k I E J l Z m 9 y Z S B T d G F 0 Z S B S Z X N l c n Z h d G l v b n M m c X V v d D s s J n F 1 b 3 Q 7 R U Z J R y B C Z W Z v c m U g U 3 R h d G U g U m V z Z X J 2 Y X R p b 2 5 z J n F 1 b 3 Q 7 L C Z x d W 9 0 O 1 R v d G F s I E J l Z m 9 y Z S B T d G F 0 Z S B S Z X N l c n Z h d G l v b n M m c X V v d D s s J n F 1 b 3 Q 7 Q W x s b 2 N h d G l v b i B h Z n R l c i B T Y 2 h v b 2 w g S W 1 w c m 9 2 Z W 1 u d C B I S C Z x d W 9 0 O y w m c X V v d D t O Z X Q g U 2 N o b 2 9 s I E l t c H J v d m V t Z W 5 0 I H R h a 2 V u I G 9 1 d C Z x d W 9 0 O y w m c X V v d D t T d G F 0 Z S B B Z G 1 p b i Z x d W 9 0 O y w m c X V v d D t N T 0 U g U m V k d W N 0 a W 9 u J n F 1 b 3 Q 7 L C Z x d W 9 0 O 0 5 F V C B U T y B E S V N U U k l D U y Z x d W 9 0 O y w m c X V v d D t B Z G o g L S A 1 L T E 3 I H B v c C Z x d W 9 0 O y w m c X V v d D t B Z G o g V G 9 0 Y W w g Z m 9 y b X V s Y S B j b 3 V u d C Z x d W 9 0 O y w m c X V v d D t B Z G o g c G 9 2 Z X J 0 e S B w Z X J j Z W 5 0 Y W d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z E 1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l v c i B Z Z W F y I E 5 l d C B 0 b y B k a X N 0 c m l j d C 9 D a G F u Z 2 V k I F R 5 c G U u e 0 x F Q U l E L D B 9 J n F 1 b 3 Q 7 L C Z x d W 9 0 O 1 N l Y 3 R p b 2 4 x L 1 B y a W 9 y I F l l Y X I g T m V 0 I H R v I G R p c 3 R y a W N 0 L 0 N o Y W 5 n Z W Q g V H l w Z S 5 7 T E V B T k F N R S w x f S Z x d W 9 0 O y w m c X V v d D t T Z W N 0 a W 9 u M S 9 Q c m l v c i B Z Z W F y I E 5 l d C B 0 b y B k a X N 0 c m l j d C 9 D a G F u Z 2 V k I F R 5 c G U u e 0 N D R E R E L D J 9 J n F 1 b 3 Q 7 L C Z x d W 9 0 O 1 N l Y 3 R p b 2 4 x L 1 B y a W 9 y I F l l Y X I g T m V 0 I H R v I G R p c 3 R y a W N 0 L 0 N o Y W 5 n Z W Q g V H l w Z S 5 7 Q 3 V y c m V u d C B Z Z W F y I E J h c 2 l j I E J l Z m 9 y Z S B T d G F 0 Z S B S Z X N l c n Z h d G l v b n M s M 3 0 m c X V v d D s s J n F 1 b 3 Q 7 U 2 V j d G l v b j E v U H J p b 3 I g W W V h c i B O Z X Q g d G 8 g Z G l z d H J p Y 3 Q v Q 2 h h b m d l Z C B U e X B l L n t D d X J y Z W 5 0 I F l l Y X I g Q 2 9 u Y 2 V u d H J h d G l v b i B C Z W Z v c m U g U 3 R h d G U g U m V z Z X J 2 Y X R p b 2 5 z L D R 9 J n F 1 b 3 Q 7 L C Z x d W 9 0 O 1 N l Y 3 R p b 2 4 x L 1 B y a W 9 y I F l l Y X I g T m V 0 I H R v I G R p c 3 R y a W N 0 L 0 N o Y W 5 n Z W Q g V H l w Z S 5 7 Q 3 V y c m V u d C B Z Z W F y I F R h c m d l d G V k I E J l Z m 9 y Z S B T d G F 0 Z S B S Z X N l c n Z h d G l v b n M s N X 0 m c X V v d D s s J n F 1 b 3 Q 7 U 2 V j d G l v b j E v U H J p b 3 I g W W V h c i B O Z X Q g d G 8 g Z G l z d H J p Y 3 Q v Q 2 h h b m d l Z C B U e X B l L n t D d X J y Z W 5 0 I F l l Y X I g R U Z J R y B C Z W Z v c m U g U 3 R h d G U g U m V z Z X J 2 Y X R p b 2 5 z L D Z 9 J n F 1 b 3 Q 7 L C Z x d W 9 0 O 1 N l Y 3 R p b 2 4 x L 1 B y a W 9 y I F l l Y X I g T m V 0 I H R v I G R p c 3 R y a W N 0 L 0 N o Y W 5 n Z W Q g V H l w Z S 5 7 Q 3 V y c m V u d C B Z Z W F y I F R v d G F s I E J l Z m 9 y Z S B T d G F 0 Z S B S Z X N l c n Z h d G l v b n M s N 3 0 m c X V v d D s s J n F 1 b 3 Q 7 U 2 V j d G l v b j E v U H J p b 3 I g W W V h c i B O Z X Q g d G 8 g Z G l z d H J p Y 3 Q v Q 2 h h b m d l Z C B U e X B l L n t B b G x v Y 2 F 0 a W 9 u X z k s O H 0 m c X V v d D s s J n F 1 b 3 Q 7 U 2 V j d G l v b j E v U H J p b 3 I g W W V h c i B O Z X Q g d G 8 g Z G l z d H J p Y 3 Q v Q 2 h h b m d l Z C B U e X B l L n t O Z X Q g U 2 N o b 2 9 s I E l t c H J v d m V t Z W 5 0 I H R h a 2 V u I G 9 1 d C w 5 f S Z x d W 9 0 O y w m c X V v d D t T Z W N 0 a W 9 u M S 9 Q c m l v c i B Z Z W F y I E 5 l d C B 0 b y B k a X N 0 c m l j d C 9 D a G F u Z 2 V k I F R 5 c G U u e 1 N 0 Y X R l I E F k b W l u L D E w f S Z x d W 9 0 O y w m c X V v d D t T Z W N 0 a W 9 u M S 9 Q c m l v c i B Z Z W F y I E 5 l d C B 0 b y B k a X N 0 c m l j d C 9 D a G F u Z 2 V k I F R 5 c G U u e 0 1 P R S B S Z W R 1 Y 3 R p b 2 4 s M T F 9 J n F 1 b 3 Q 7 L C Z x d W 9 0 O 1 N l Y 3 R p b 2 4 x L 1 B y a W 9 y I F l l Y X I g T m V 0 I H R v I G R p c 3 R y a W N 0 L 0 N o Y W 5 n Z W Q g V H l w Z S 5 7 T k V U I F R P I E R J U 1 R S S U N T L D E y f S Z x d W 9 0 O y w m c X V v d D t T Z W N 0 a W 9 u M S 9 Q c m l v c i B Z Z W F y I E F k a n V z d G V k I E Z v c m 1 1 b G E g Y 2 9 1 b n R z L 0 N o Y W 5 n Z W Q g V H l w Z S 5 7 Q W R q I C 0 g N S 0 x N y B w b 3 A s N 3 0 m c X V v d D s s J n F 1 b 3 Q 7 U 2 V j d G l v b j E v U H J p b 3 I g W W V h c i B B Z G p 1 c 3 R l Z C B G b 3 J t d W x h I G N v d W 5 0 c y 9 D a G F u Z 2 V k I F R 5 c G U u e 0 F k a i B U b 3 R h b C B m b 3 J t d W x h I G N v d W 5 0 L D l 9 J n F 1 b 3 Q 7 L C Z x d W 9 0 O 1 N l Y 3 R p b 2 4 x L 1 B y a W 9 y I F l l Y X I g Q W R q d X N 0 Z W Q g R m 9 y b X V s Y S B j b 3 V u d H M v Q 2 h h b m d l Z C B U e X B l L n t B Z G o g c G 9 2 Z X J 0 e S B w Z X J j Z W 5 0 Y W d l L D E x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H J p b 3 I g W W V h c i B O Z X Q g d G 8 g Z G l z d H J p Y 3 Q v Q 2 h h b m d l Z C B U e X B l L n t M R U F J R C w w f S Z x d W 9 0 O y w m c X V v d D t T Z W N 0 a W 9 u M S 9 Q c m l v c i B Z Z W F y I E 5 l d C B 0 b y B k a X N 0 c m l j d C 9 D a G F u Z 2 V k I F R 5 c G U u e 0 x F Q U 5 B T U U s M X 0 m c X V v d D s s J n F 1 b 3 Q 7 U 2 V j d G l v b j E v U H J p b 3 I g W W V h c i B O Z X Q g d G 8 g Z G l z d H J p Y 3 Q v Q 2 h h b m d l Z C B U e X B l L n t D Q 0 R E R C w y f S Z x d W 9 0 O y w m c X V v d D t T Z W N 0 a W 9 u M S 9 Q c m l v c i B Z Z W F y I E 5 l d C B 0 b y B k a X N 0 c m l j d C 9 D a G F u Z 2 V k I F R 5 c G U u e 0 N 1 c n J l b n Q g W W V h c i B C Y X N p Y y B C Z W Z v c m U g U 3 R h d G U g U m V z Z X J 2 Y X R p b 2 5 z L D N 9 J n F 1 b 3 Q 7 L C Z x d W 9 0 O 1 N l Y 3 R p b 2 4 x L 1 B y a W 9 y I F l l Y X I g T m V 0 I H R v I G R p c 3 R y a W N 0 L 0 N o Y W 5 n Z W Q g V H l w Z S 5 7 Q 3 V y c m V u d C B Z Z W F y I E N v b m N l b n R y Y X R p b 2 4 g Q m V m b 3 J l I F N 0 Y X R l I F J l c 2 V y d m F 0 a W 9 u c y w 0 f S Z x d W 9 0 O y w m c X V v d D t T Z W N 0 a W 9 u M S 9 Q c m l v c i B Z Z W F y I E 5 l d C B 0 b y B k a X N 0 c m l j d C 9 D a G F u Z 2 V k I F R 5 c G U u e 0 N 1 c n J l b n Q g W W V h c i B U Y X J n Z X R l Z C B C Z W Z v c m U g U 3 R h d G U g U m V z Z X J 2 Y X R p b 2 5 z L D V 9 J n F 1 b 3 Q 7 L C Z x d W 9 0 O 1 N l Y 3 R p b 2 4 x L 1 B y a W 9 y I F l l Y X I g T m V 0 I H R v I G R p c 3 R y a W N 0 L 0 N o Y W 5 n Z W Q g V H l w Z S 5 7 Q 3 V y c m V u d C B Z Z W F y I E V G S U c g Q m V m b 3 J l I F N 0 Y X R l I F J l c 2 V y d m F 0 a W 9 u c y w 2 f S Z x d W 9 0 O y w m c X V v d D t T Z W N 0 a W 9 u M S 9 Q c m l v c i B Z Z W F y I E 5 l d C B 0 b y B k a X N 0 c m l j d C 9 D a G F u Z 2 V k I F R 5 c G U u e 0 N 1 c n J l b n Q g W W V h c i B U b 3 R h b C B C Z W Z v c m U g U 3 R h d G U g U m V z Z X J 2 Y X R p b 2 5 z L D d 9 J n F 1 b 3 Q 7 L C Z x d W 9 0 O 1 N l Y 3 R p b 2 4 x L 1 B y a W 9 y I F l l Y X I g T m V 0 I H R v I G R p c 3 R y a W N 0 L 0 N o Y W 5 n Z W Q g V H l w Z S 5 7 Q W x s b 2 N h d G l v b l 8 5 L D h 9 J n F 1 b 3 Q 7 L C Z x d W 9 0 O 1 N l Y 3 R p b 2 4 x L 1 B y a W 9 y I F l l Y X I g T m V 0 I H R v I G R p c 3 R y a W N 0 L 0 N o Y W 5 n Z W Q g V H l w Z S 5 7 T m V 0 I F N j a G 9 v b C B J b X B y b 3 Z l b W V u d C B 0 Y W t l b i B v d X Q s O X 0 m c X V v d D s s J n F 1 b 3 Q 7 U 2 V j d G l v b j E v U H J p b 3 I g W W V h c i B O Z X Q g d G 8 g Z G l z d H J p Y 3 Q v Q 2 h h b m d l Z C B U e X B l L n t T d G F 0 Z S B B Z G 1 p b i w x M H 0 m c X V v d D s s J n F 1 b 3 Q 7 U 2 V j d G l v b j E v U H J p b 3 I g W W V h c i B O Z X Q g d G 8 g Z G l z d H J p Y 3 Q v Q 2 h h b m d l Z C B U e X B l L n t N T 0 U g U m V k d W N 0 a W 9 u L D E x f S Z x d W 9 0 O y w m c X V v d D t T Z W N 0 a W 9 u M S 9 Q c m l v c i B Z Z W F y I E 5 l d C B 0 b y B k a X N 0 c m l j d C 9 D a G F u Z 2 V k I F R 5 c G U u e 0 5 F V C B U T y B E S V N U U k l D U y w x M n 0 m c X V v d D s s J n F 1 b 3 Q 7 U 2 V j d G l v b j E v U H J p b 3 I g W W V h c i B B Z G p 1 c 3 R l Z C B G b 3 J t d W x h I G N v d W 5 0 c y 9 D a G F u Z 2 V k I F R 5 c G U u e 0 F k a i A t I D U t M T c g c G 9 w L D d 9 J n F 1 b 3 Q 7 L C Z x d W 9 0 O 1 N l Y 3 R p b 2 4 x L 1 B y a W 9 y I F l l Y X I g Q W R q d X N 0 Z W Q g R m 9 y b X V s Y S B j b 3 V u d H M v Q 2 h h b m d l Z C B U e X B l L n t B Z G o g V G 9 0 Y W w g Z m 9 y b X V s Y S B j b 3 V u d C w 5 f S Z x d W 9 0 O y w m c X V v d D t T Z W N 0 a W 9 u M S 9 Q c m l v c i B Z Z W F y I E F k a n V z d G V k I E Z v c m 1 1 b G E g Y 2 9 1 b n R z L 0 N o Y W 5 n Z W Q g V H l w Z S 5 7 Q W R q I H B v d m V y d H k g c G V y Y 2 V u d G F n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a W 9 y J T I w W W V h c i U y M E 5 l d C U y M H R v J T I w Z G l z d H J p Y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C 1 J J T I w U 3 R h d G U l M j B B Z G 0 l M j A l M j A x M D A 0 K G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Y m V l Y j M x Z D A t Y z Q z N i 0 0 N 2 I 5 L T g 0 M G Y t Y z h i O W Y w Z j Q w M T U 4 I i A v P j x F b n R y e S B U e X B l P S J R d W V y e U d y b 3 V w S U Q i I F Z h b H V l P S J z Y z M 5 Z m I x O G Y t Y T U 3 N y 0 0 M D g 3 L W J m Y z c t Y T E 1 Z m F h O D Q 5 M T I 0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N i 0 w N i 0 y O V Q x N j o 0 M z o z M S 4 0 N T I 3 N D E 3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2 I E Z p b i A g V C 1 J I F N 0 Y X R l I E F k b S A g M T A w N C h i K S 9 D a G F u Z 2 V k I F R 5 c G U x L n t D b 2 x 1 b W 4 x L D B 9 J n F 1 b 3 Q 7 L C Z x d W 9 0 O 1 N l Y 3 R p b 2 4 x L 1 J l d i B G a W 4 g I F Q t S S B T d G F 0 Z S B B Z G 0 g I D E w M D Q o Y i k v Q 2 h h b m d l Z C B U e X B l M S 5 7 V E l U T E U g S S w g U E F S V C B B I F R P V E F M I E x F Q S B H U k F O V F M s M X 0 m c X V v d D s s J n F 1 b 3 Q 7 U 2 V j d G l v b j E v U m V 2 I E Z p b i A g V C 1 J I F N 0 Y X R l I E F k b S A g M T A w N C h i K S 9 D a G F u Z 2 V k I F R 5 c G U x L n t U S V R M R S B J L C B Q Q V J U I E M g T U l H U k F O V C B F R F V D Q V R J T 0 4 g L D J 9 J n F 1 b 3 Q 7 L C Z x d W 9 0 O 1 N l Y 3 R p b 2 4 x L 1 J l d i B G a W 4 g I F Q t S S B T d G F 0 Z S B B Z G 0 g I D E w M D Q o Y i k v Q 2 h h b m d l Z C B U e X B l M S 5 7 V E l U T E U g S S w g U E F S V C B E L C B T V U J Q Q V J U I D E g U 1 R B V E U g T k V H T E V D V E V E I F x 1 M D A y N i B E R U x J T l F V R U 5 U I F B S T 0 d S Q U 0 g L D N 9 J n F 1 b 3 Q 7 L C Z x d W 9 0 O 1 N l Y 3 R p b 2 4 x L 1 J l d i B G a W 4 g I F Q t S S B T d G F 0 Z S B B Z G 0 g I D E w M D Q o Y i k v Q 2 h h b m d l Z C B U e X B l M S 5 7 V E 9 U Q U w g V E l U T E U g S S w g U E F S V F M g Q S w g Q y w g X H U w M D I 2 I E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m V 2 I E Z p b i A g V C 1 J I F N 0 Y X R l I E F k b S A g M T A w N C h i K S 9 D a G F u Z 2 V k I F R 5 c G U x L n t D b 2 x 1 b W 4 x L D B 9 J n F 1 b 3 Q 7 L C Z x d W 9 0 O 1 N l Y 3 R p b 2 4 x L 1 J l d i B G a W 4 g I F Q t S S B T d G F 0 Z S B B Z G 0 g I D E w M D Q o Y i k v Q 2 h h b m d l Z C B U e X B l M S 5 7 V E l U T E U g S S w g U E F S V C B B I F R P V E F M I E x F Q S B H U k F O V F M s M X 0 m c X V v d D s s J n F 1 b 3 Q 7 U 2 V j d G l v b j E v U m V 2 I E Z p b i A g V C 1 J I F N 0 Y X R l I E F k b S A g M T A w N C h i K S 9 D a G F u Z 2 V k I F R 5 c G U x L n t U S V R M R S B J L C B Q Q V J U I E M g T U l H U k F O V C B F R F V D Q V R J T 0 4 g L D J 9 J n F 1 b 3 Q 7 L C Z x d W 9 0 O 1 N l Y 3 R p b 2 4 x L 1 J l d i B G a W 4 g I F Q t S S B T d G F 0 Z S B B Z G 0 g I D E w M D Q o Y i k v Q 2 h h b m d l Z C B U e X B l M S 5 7 V E l U T E U g S S w g U E F S V C B E L C B T V U J Q Q V J U I D E g U 1 R B V E U g T k V H T E V D V E V E I F x 1 M D A y N i B E R U x J T l F V R U 5 U I F B S T 0 d S Q U 0 g L D N 9 J n F 1 b 3 Q 7 L C Z x d W 9 0 O 1 N l Y 3 R p b 2 4 x L 1 J l d i B G a W 4 g I F Q t S S B T d G F 0 Z S B B Z G 0 g I D E w M D Q o Y i k v Q 2 h h b m d l Z C B U e X B l M S 5 7 V E 9 U Q U w g V E l U T E U g S S w g U E F S V F M g Q S w g Q y w g X H U w M D I 2 I E Q s N H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L U k l M j B T d G F 0 Z S U y M E F k b S U y M C U y M D E w M D Q o Y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z d W 1 w d G l v b n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z d W 1 w d G l v b n M v R X h w Y W 5 k Z W Q l M j B S Z X Y l M j B G a W 4 l M j A l M j B U L U k l M j B T d G F 0 Z S U y M E F k b S U y M C U y M D E w M D Q o Y i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d y b 3 V w S U Q i I F Z h b H V l P S J z Y z M 5 Z m I x O G Y t Y T U 3 N y 0 0 M D g 3 L W J m Y z c t Y T E 1 Z m F h O D Q 5 M T I 0 I i A v P j x F b n R y e S B U e X B l P S J S Z W N v d m V y e V R h c m d l d F J v d y I g V m F s d W U 9 I m w x I i A v P j x F b n R y e S B U e X B l P S J S Z W N v d m V y e V R h c m d l d E N v b H V t b i I g V m F s d W U 9 I m w y I i A v P j x F b n R y e S B U e X B l P S J S Z W N v d m V y e V R h c m d l d F N o Z W V 0 I i B W Y W x 1 Z T 0 i c 0 F z c 3 V t c H R p b 2 5 z I C I g L z 4 8 R W 5 0 c n k g V H l w Z T 0 i T G 9 h Z G V k V G 9 B b m F s e X N p c 1 N l c n Z p Y 2 V z I i B W Y W x 1 Z T 0 i b D A i I C 8 + P E V u d H J 5 I F R 5 c G U 9 I k Z p b G x U Y X J n Z X Q i I F Z h b H V l P S J z V G l 0 b G U i I C 8 + P E V u d H J 5 I F R 5 c G U 9 I l F 1 Z X J 5 S U Q i I F Z h b H V l P S J z M z k 5 Z T Y 2 N W Y t O T Q 4 Z S 0 0 Z G U x L T g 0 Y 2 E t O D U x N T c 0 Y j Z l Y T R h I i A v P j x F b n R y e S B U e X B l P S J G a W x s T G F z d F V w Z G F 0 Z W Q i I F Z h b H V l P S J k M j A y N i 0 w N i 0 y O V Q x N j o 0 M z o y O S 4 5 M z g w M D Y 4 W i I g L z 4 8 R W 5 0 c n k g V H l w Z T 0 i R m l s b E N v b H V t b l R 5 c G V z I i B W Y W x 1 Z T 0 i c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p d G x l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a X R s Z S 9 D a G F u Z 2 V k I F R 5 c G U u e 0 N v b H V t b j E s M H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l 0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b G U v S 2 V w d C U y M E Z p c n N 0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X J 0 Z X J P b m x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Y y U y M G x v b 2 t i Y W N r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j M z l m Y j E 4 Z i 1 h N T c 3 L T Q w O D c t Y m Z j N y 1 h M T V m Y W E 4 N D k x M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j A x N D l i Z j I t M D U x M C 0 0 N j A 5 L W F j N z I t Y 2 Y y N T I 4 M W Q 4 N j I 0 I i A v P j x F b n R y e S B U e X B l P S J G a W x s T G F z d F V w Z G F 0 Z W Q i I F Z h b H V l P S J k M j A y N i 0 w N i 0 y O V Q x N j o 0 M z o y O S 4 5 M z g w M D Y 4 W i I g L z 4 8 R W 5 0 c n k g V H l w Z T 0 i R m l s b E V y c m 9 y Q 2 9 1 b n Q i I F Z h b H V l P S J s M C I g L z 4 8 R W 5 0 c n k g V H l w Z T 0 i R m l s b E N v b H V t b l R 5 c G V z I i B W Y W x 1 Z T 0 i c 0 J n W U Y i I C 8 + P E V u d H J 5 I F R 5 c G U 9 I k Z p b G x D b 2 x 1 b W 5 O Y W 1 l c y I g V m F s d W U 9 I n N b J n F 1 b 3 Q 7 T E V B S U Q m c X V v d D s s J n F 1 b 3 Q 7 T W 9 z d C B y Z W N l b n Q g Z W x p Z 2 l i a W x p d H k g e W V h c i Z x d W 9 0 O y w m c X V v d D t D b 2 5 j I G F s b G 9 j Y X R p b 2 4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z M T c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Y y B s b 2 9 r Y m F j a y 9 D a G F u Z 2 V k I F R 5 c G U u e 0 x F Q U l E L D B 9 J n F 1 b 3 Q 7 L C Z x d W 9 0 O 1 N l Y 3 R p b 2 4 x L 0 N v b m M g b G 9 v a 2 J h Y 2 s v Q 2 h h b m d l Z C B U e X B l L n t N b 3 N 0 I H J l Y 2 V u d C B l b G l n a W J p b G l 0 e S B 5 Z W F y L D F 9 J n F 1 b 3 Q 7 L C Z x d W 9 0 O 1 N l Y 3 R p b 2 4 x L 0 N v b m M g b G 9 v a 2 J h Y 2 s v Q 2 h h b m d l Z C B U e X B l L n t D b 2 5 j I G F s b G 9 j Y X R p b 2 4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2 9 u Y y B s b 2 9 r Y m F j a y 9 D a G F u Z 2 V k I F R 5 c G U u e 0 x F Q U l E L D B 9 J n F 1 b 3 Q 7 L C Z x d W 9 0 O 1 N l Y 3 R p b 2 4 x L 0 N v b m M g b G 9 v a 2 J h Y 2 s v Q 2 h h b m d l Z C B U e X B l L n t N b 3 N 0 I H J l Y 2 V u d C B l b G l n a W J p b G l 0 e S B 5 Z W F y L D F 9 J n F 1 b 3 Q 7 L C Z x d W 9 0 O 1 N l Y 3 R p b 2 4 x L 0 N v b m M g b G 9 v a 2 J h Y 2 s v Q 2 h h b m d l Z C B U e X B l L n t D b 2 5 j I G F s b G 9 j Y X R p b 2 4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m M l M j B s b 2 9 r Y m F j a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8 L 0 l 0 Z W 1 Q Y X R o P j w v S X R l b U x v Y 2 F 0 a W 9 u P j x T d G F i b G V F b n R y a W V z P j x F b n R y e S B U e X B l P S J R d W V y e U d y b 3 V w S U Q i I F Z h b H V l P S J z N z k 0 O T d k Y T g t O W U y M C 0 0 N z k 3 L T k 5 M W I t M G V i N T Y 1 Z j I 5 N T k 0 I i A v P j x F b n R y e S B U e X B l P S J G a W x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J R C I g V m F s d W U 9 I n M x N j I 2 M T F k O C 1 m M j c 0 L T Q 1 N T Q t O W N j N y 0 y Z T k 4 N m I 5 Z m I 3 Y j I i I C 8 + P E V u d H J 5 I F R 5 c G U 9 I k Z p b G x U b 0 R h d G F N b 2 R l b E V u Y W J s Z W Q i I F Z h b H V l P S J s M S I g L z 4 8 R W 5 0 c n k g V H l w Z T 0 i R m l s b F R h c m d l d C I g V m F s d W U 9 I n N J b m l 0 a W F s X 2 F k a n V z d G V k X 2 Z v c m 1 1 b G F f Y 2 9 1 b n Q i I C 8 + P E V u d H J 5 I F R 5 c G U 9 I k Z p b G x P Y m p l Y 3 R U e X B l I i B W Y W x 1 Z T 0 i c 1 R h Y m x l I i A v P j x F b n R y e S B U e X B l P S J G a W x s T G F z d F V w Z G F 0 Z W Q i I F Z h b H V l P S J k M j A y N i 0 w N i 0 y O V Q x N j o 0 M z o y O S 4 5 N D g z M z Y x W i I g L z 4 8 R W 5 0 c n k g V H l w Z T 0 i R m l s b E N v b H V t b l R 5 c G V z I i B W Y W x 1 Z T 0 i c 0 F B Q U d C U V V G Q l F V R k J R V U V B Q U F B Q U E 9 P S I g L z 4 8 R W 5 0 c n k g V H l w Z T 0 i R m l s b E N v b H V t b k 5 h b W V z I i B W Y W x 1 Z T 0 i c 1 s m c X V v d D t M R U F J R C Z x d W 9 0 O y w m c X V v d D t M R U F O Q U 1 F J n F 1 b 3 Q 7 L C Z x d W 9 0 O 1 N l b m R p b m d M R U F p Z C Z x d W 9 0 O y w m c X V v d D t O R U c u I G F k a i Z x d W 9 0 O y w m c X V v d D t B Z G o g R E V M L i Z x d W 9 0 O y w m c X V v d D t B Z G o g R m 9 z d G V y J n F 1 b 3 Q 7 L C Z x d W 9 0 O 0 F k a i B U Q U 5 G J n F 1 b 3 Q 7 L C Z x d W 9 0 O 0 F k a i A t I D U t M T c g c G 9 w J n F 1 b 3 Q 7 L C Z x d W 9 0 O 0 F k a i B w b 3 Z l c n R 5 J n F 1 b 3 Q 7 L C Z x d W 9 0 O 0 F k a i B U b 3 R h b C B m b 3 J t d W x h I G N v d W 5 0 J n F 1 b 3 Q 7 L C Z x d W 9 0 O 1 R v d G F s I E Z v c m 1 1 b G E g Q 2 9 1 b n Q g R E 9 F I C Z x d W 9 0 O y w m c X V v d D t B Z G o g c G 9 2 Z X J 0 e S B w Z X J j Z W 5 0 Y W d l J n F 1 b 3 Q 7 L C Z x d W 9 0 O 0 J B U 0 l D I G V s a W d p Y m l s a X R 5 J n F 1 b 3 Q 7 L C Z x d W 9 0 O 0 N v b m M u I E V s a W d p Z 2 l i a W x p d H k m c X V v d D s s J n F 1 b 3 Q 7 V G F y Z 2 V 0 Z W Q g R W x p Z 2 l i a W x p d H k m c X V v d D s s J n F 1 b 3 Q 7 R U Z J R y B l b G l n a W J p b G l 0 e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x N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a X R p Y W w g Y W R q d X N 0 Z W Q g Z m 9 y b X V s Y S B j b 3 V u d C 9 D b 2 5 z b 2 x p Z G F 0 Z S B M R U F J R C 5 7 Y W R q I E x F Q U l E L D M z f S Z x d W 9 0 O y w m c X V v d D t T Z W N 0 a W 9 u M S 9 J b m l 0 a W F s I G F k a n V z d G V k I G Z v c m 1 1 b G E g Y 2 9 1 b n Q v Q 2 9 u c 2 9 s a W R h d G U g T E V B T k F N R S 5 7 T E V B T k F N R S w z N H 0 m c X V v d D s s J n F 1 b 3 Q 7 U 2 V j d G l v b j E v T X V s d G l w b G l l c n M v U 2 9 1 c m N l L n t T Z W 5 k a W 5 n T E V B a W Q s M n 0 m c X V v d D s s J n F 1 b 3 Q 7 U 2 V j d G l v b j E v S W 5 p d G l h b C B h Z G p 1 c 3 R l Z C B m b 3 J t d W x h I G N v d W 5 0 L 0 N o Y W 5 n Z W Q g V H l w Z T E u e 0 5 F R y 4 g Y W R q L D N 9 J n F 1 b 3 Q 7 L C Z x d W 9 0 O 1 N l Y 3 R p b 2 4 x L 0 l u a X R p Y W w g Y W R q d X N 0 Z W Q g Z m 9 y b X V s Y S B j b 3 V u d C 9 D a G F u Z 2 V k I F R 5 c G U x L n t B Z G o g R E V M L i w 0 f S Z x d W 9 0 O y w m c X V v d D t T Z W N 0 a W 9 u M S 9 J b m l 0 a W F s I G F k a n V z d G V k I G Z v c m 1 1 b G E g Y 2 9 1 b n Q v Q 2 h h b m d l Z C B U e X B l M S 5 7 Q W R q I E Z v c 3 R l c i w 1 f S Z x d W 9 0 O y w m c X V v d D t T Z W N 0 a W 9 u M S 9 J b m l 0 a W F s I G F k a n V z d G V k I G Z v c m 1 1 b G E g Y 2 9 1 b n Q v Q 2 h h b m d l Z C B U e X B l M S 5 7 Q W R q I F R B T k Y s N n 0 m c X V v d D s s J n F 1 b 3 Q 7 U 2 V j d G l v b j E v S W 5 p d G l h b C B h Z G p 1 c 3 R l Z C B m b 3 J t d W x h I G N v d W 5 0 L 0 N o Y W 5 n Z W Q g V H l w Z T E u e 0 F k a i A t I D U t M T c g c G 9 w L D d 9 J n F 1 b 3 Q 7 L C Z x d W 9 0 O 1 N l Y 3 R p b 2 4 x L 0 l u a X R p Y W w g Y W R q d X N 0 Z W Q g Z m 9 y b X V s Y S B j b 3 V u d C 9 D a G F u Z 2 V k I F R 5 c G U x L n t B Z G o g c G 9 2 Z X J 0 e S w 4 f S Z x d W 9 0 O y w m c X V v d D t T Z W N 0 a W 9 u M S 9 J b m l 0 a W F s I G F k a n V z d G V k I G Z v c m 1 1 b G E g Y 2 9 1 b n Q v Q 2 h h b m d l Z C B U e X B l M S 5 7 Q W R q I F R v d G F s I G Z v c m 1 1 b G E g Y 2 9 1 b n Q s O X 0 m c X V v d D s s J n F 1 b 3 Q 7 U 2 V j d G l v b j E v S W 5 p d G l h b C B h Z G p 1 c 3 R l Z C B m b 3 J t d W x h I G N v d W 5 0 L 0 N o Y W 5 n Z W Q g V H l w Z T E u e 1 R v d G F s I E Z v c m 1 1 b G E g Q 2 9 1 b n Q g R E 9 F I C w x M H 0 m c X V v d D s s J n F 1 b 3 Q 7 U 2 V j d G l v b j E v S W 5 p d G l h b C B h Z G p 1 c 3 R l Z C B m b 3 J t d W x h I G N v d W 5 0 L 0 N o Y W 5 n Z W Q g V H l w Z S 5 7 Q W R q I H B v d m V y d H k g c G V y Y 2 V u d G F n Z S w y O H 0 m c X V v d D s s J n F 1 b 3 Q 7 U 2 V j d G l v b j E v S W 5 p d G l h b C B h Z G p 1 c 3 R l Z C B m b 3 J t d W x h I G N v d W 5 0 L 0 J h c 2 l j I G V s a W d p Y m l s a X R 5 L n t C Q V N J Q y B l b G l n a W J p b G l 0 e S w y O X 0 m c X V v d D s s J n F 1 b 3 Q 7 U 2 V j d G l v b j E v S W 5 p d G l h b C B h Z G p 1 c 3 R l Z C B m b 3 J t d W x h I G N v d W 5 0 L 0 N v b m M u I E V s a W d p Y m l s a X R 5 L n t D b 2 5 j L i B F b G l n a W d p Y m l s a X R 5 L D M w f S Z x d W 9 0 O y w m c X V v d D t T Z W N 0 a W 9 u M S 9 J b m l 0 a W F s I G F k a n V z d G V k I G Z v c m 1 1 b G E g Y 2 9 1 b n Q v V G F y Z 2 V 0 Z W Q g Z W x p Z 2 l i a W x p d H k u e 1 R h c m d l d G V k I E V s a W d p Y m l s a X R 5 L D M x f S Z x d W 9 0 O y w m c X V v d D t T Z W N 0 a W 9 u M S 9 J b m l 0 a W F s I G F k a n V z d G V k I G Z v c m 1 1 b G E g Y 2 9 1 b n Q v R U Z J R y B l b G l n a W J p b G l 0 e S 5 7 R U Z J R y B l b G l n a W J p b G l 0 e S w z M n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l u a X R p Y W w g Y W R q d X N 0 Z W Q g Z m 9 y b X V s Y S B j b 3 V u d C 9 D b 2 5 z b 2 x p Z G F 0 Z S B M R U F J R C 5 7 Y W R q I E x F Q U l E L D M z f S Z x d W 9 0 O y w m c X V v d D t T Z W N 0 a W 9 u M S 9 J b m l 0 a W F s I G F k a n V z d G V k I G Z v c m 1 1 b G E g Y 2 9 1 b n Q v Q 2 9 u c 2 9 s a W R h d G U g T E V B T k F N R S 5 7 T E V B T k F N R S w z N H 0 m c X V v d D s s J n F 1 b 3 Q 7 U 2 V j d G l v b j E v T X V s d G l w b G l l c n M v U 2 9 1 c m N l L n t T Z W 5 k a W 5 n T E V B a W Q s M n 0 m c X V v d D s s J n F 1 b 3 Q 7 U 2 V j d G l v b j E v S W 5 p d G l h b C B h Z G p 1 c 3 R l Z C B m b 3 J t d W x h I G N v d W 5 0 L 0 N o Y W 5 n Z W Q g V H l w Z T E u e 0 5 F R y 4 g Y W R q L D N 9 J n F 1 b 3 Q 7 L C Z x d W 9 0 O 1 N l Y 3 R p b 2 4 x L 0 l u a X R p Y W w g Y W R q d X N 0 Z W Q g Z m 9 y b X V s Y S B j b 3 V u d C 9 D a G F u Z 2 V k I F R 5 c G U x L n t B Z G o g R E V M L i w 0 f S Z x d W 9 0 O y w m c X V v d D t T Z W N 0 a W 9 u M S 9 J b m l 0 a W F s I G F k a n V z d G V k I G Z v c m 1 1 b G E g Y 2 9 1 b n Q v Q 2 h h b m d l Z C B U e X B l M S 5 7 Q W R q I E Z v c 3 R l c i w 1 f S Z x d W 9 0 O y w m c X V v d D t T Z W N 0 a W 9 u M S 9 J b m l 0 a W F s I G F k a n V z d G V k I G Z v c m 1 1 b G E g Y 2 9 1 b n Q v Q 2 h h b m d l Z C B U e X B l M S 5 7 Q W R q I F R B T k Y s N n 0 m c X V v d D s s J n F 1 b 3 Q 7 U 2 V j d G l v b j E v S W 5 p d G l h b C B h Z G p 1 c 3 R l Z C B m b 3 J t d W x h I G N v d W 5 0 L 0 N o Y W 5 n Z W Q g V H l w Z T E u e 0 F k a i A t I D U t M T c g c G 9 w L D d 9 J n F 1 b 3 Q 7 L C Z x d W 9 0 O 1 N l Y 3 R p b 2 4 x L 0 l u a X R p Y W w g Y W R q d X N 0 Z W Q g Z m 9 y b X V s Y S B j b 3 V u d C 9 D a G F u Z 2 V k I F R 5 c G U x L n t B Z G o g c G 9 2 Z X J 0 e S w 4 f S Z x d W 9 0 O y w m c X V v d D t T Z W N 0 a W 9 u M S 9 J b m l 0 a W F s I G F k a n V z d G V k I G Z v c m 1 1 b G E g Y 2 9 1 b n Q v Q 2 h h b m d l Z C B U e X B l M S 5 7 Q W R q I F R v d G F s I G Z v c m 1 1 b G E g Y 2 9 1 b n Q s O X 0 m c X V v d D s s J n F 1 b 3 Q 7 U 2 V j d G l v b j E v S W 5 p d G l h b C B h Z G p 1 c 3 R l Z C B m b 3 J t d W x h I G N v d W 5 0 L 0 N o Y W 5 n Z W Q g V H l w Z T E u e 1 R v d G F s I E Z v c m 1 1 b G E g Q 2 9 1 b n Q g R E 9 F I C w x M H 0 m c X V v d D s s J n F 1 b 3 Q 7 U 2 V j d G l v b j E v S W 5 p d G l h b C B h Z G p 1 c 3 R l Z C B m b 3 J t d W x h I G N v d W 5 0 L 0 N o Y W 5 n Z W Q g V H l w Z S 5 7 Q W R q I H B v d m V y d H k g c G V y Y 2 V u d G F n Z S w y O H 0 m c X V v d D s s J n F 1 b 3 Q 7 U 2 V j d G l v b j E v S W 5 p d G l h b C B h Z G p 1 c 3 R l Z C B m b 3 J t d W x h I G N v d W 5 0 L 0 J h c 2 l j I G V s a W d p Y m l s a X R 5 L n t C Q V N J Q y B l b G l n a W J p b G l 0 e S w y O X 0 m c X V v d D s s J n F 1 b 3 Q 7 U 2 V j d G l v b j E v S W 5 p d G l h b C B h Z G p 1 c 3 R l Z C B m b 3 J t d W x h I G N v d W 5 0 L 0 N v b m M u I E V s a W d p Y m l s a X R 5 L n t D b 2 5 j L i B F b G l n a W d p Y m l s a X R 5 L D M w f S Z x d W 9 0 O y w m c X V v d D t T Z W N 0 a W 9 u M S 9 J b m l 0 a W F s I G F k a n V z d G V k I G Z v c m 1 1 b G E g Y 2 9 1 b n Q v V G F y Z 2 V 0 Z W Q g Z W x p Z 2 l i a W x p d H k u e 1 R h c m d l d G V k I E V s a W d p Y m l s a X R 5 L D M x f S Z x d W 9 0 O y w m c X V v d D t T Z W N 0 a W 9 u M S 9 J b m l 0 a W F s I G F k a n V z d G V k I G Z v c m 1 1 b G E g Y 2 9 1 b n Q v R U Z J R y B l b G l n a W J p b G l 0 e S 5 7 R U Z J R y B l b G l n a W J p b G l 0 e S w z M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V 4 c G F u Z G V k J T I w Q X B w Z W 5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B Z G o l M j A 1 L T E 3 J T I w c G 9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F k a i U y M H B v d m V y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v Q W R q J T I w V G 9 0 Y W w l M j B m b 3 J t d W x h J T I w Y 2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v Q W R q J T I w c G 9 2 Z X J 0 e S U y M H B l Y 2 V u d G F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C Y X N p Y y U y M G V s a W d p Y m l s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N v b m M u J T I w R W x p Z 2 l i a W x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v V G F y Z 2 V 0 Z W Q l M j B l b G l n a W J p b G l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F R k l H J T I w Z W x p Z 2 l i a W x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9 1 b n Q l M j B w Z X I l M j B G b 3 J t d W x h J T I w c 3 R 1 Z G V u d D w v S X R l b V B h d G g + P C 9 J d G V t T G 9 j Y X R p b 2 4 + P F N 0 Y W J s Z U V u d H J p Z X M + P E V u d H J 5 I F R 5 c G U 9 I l F 1 Z X J 5 R 3 J v d X B J R C I g V m F s d W U 9 I n M 3 O T Q 5 N 2 R h O C 0 5 Z T I w L T Q 3 O T c t O T k x Y i 0 w Z W I 1 N j V m M j k 1 O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I 4 Z j I z Y T Y y L T B i Y j I t N D k w Z C 1 h O T R k L T M 4 Z G E 5 N D c z N m V m O C I g L z 4 8 R W 5 0 c n k g V H l w Z T 0 i R m l s b E x h c 3 R V c G R h d G V k I i B W Y W x 1 Z T 0 i Z D I w M j Y t M D Y t M j l U M T Y 6 N D M 6 M j k u O T U x N j g 2 N V o i I C 8 + P E V u d H J 5 I F R 5 c G U 9 I k Z p b G x D b 2 x 1 b W 5 U e X B l c y I g V m F s d W U 9 I n N C Z 1 l B Q U F B Q S I g L z 4 8 R W 5 0 c n k g V H l w Z T 0 i R m l s b E N v b H V t b k 5 h b W V z I i B W Y W x 1 Z T 0 i c 1 s m c X V v d D t M R U F p Z C Z x d W 9 0 O y w m c X V v d D t M R U F O Y W 1 l J n F 1 b 3 Q 7 L C Z x d W 9 0 O 0 J h c 2 l j I E F t b 3 V u d C B w Z X I g Z m 9 y b X V s Y S B z d H V k Z W 5 0 J n F 1 b 3 Q 7 L C Z x d W 9 0 O 0 N v b m M u I E F t b 3 V u d C B w Z X I g R m 9 y b X V s Y S B T d H V k Z W 5 0 J n F 1 b 3 Q 7 L C Z x d W 9 0 O 1 R h c m d l d G V k I E F t b 3 V u d C B w Z X I g R m 9 y b X V s Y S B T d H V k Z W 5 0 J n F 1 b 3 Q 7 L C Z x d W 9 0 O 0 V G S U c g Q W 1 v d W 5 0 I H B l c i B G b 3 J t d W x h I F N 0 d W R l b n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M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R S B B b G x v Y 2 F 0 a W 9 u L 0 N o Y W 5 n Z W Q g V H l w Z S 5 7 T E V B a W Q s M H 0 m c X V v d D s s J n F 1 b 3 Q 7 U 2 V j d G l v b j E v R E 9 F I E F s b G 9 j Y X R p b 2 4 v Q 2 h h b m d l Z C B U e X B l L n t M R U F O Y W 1 l L D F 9 J n F 1 b 3 Q 7 L C Z x d W 9 0 O 1 N l Y 3 R p b 2 4 x L 0 F t b 3 V u d C B w Z X I g R m 9 y b X V s Y S B z d H V k Z W 5 0 L 0 J h c 2 l j I E F t b 3 V u d C B w Z X I g R m 9 y b X V s Y S B T d H V k Z W 5 0 L n t C Y X N p Y y B B b W 9 1 b n Q g c G V y I G Z v c m 1 1 b G E g c 3 R 1 Z G V u d C w x N X 0 m c X V v d D s s J n F 1 b 3 Q 7 U 2 V j d G l v b j E v Q W 1 v d W 5 0 I H B l c i B G b 3 J t d W x h I H N 0 d W R l b n Q v Q 2 9 u Y y 4 g Q W 1 v d W 5 0 I H B l c i B G b 3 J t d W x h I F N 0 d W R l b n Q u e 0 N v b m M u I E F t b 3 V u d C B w Z X I g R m 9 y b X V s Y S B T d H V k Z W 5 0 L D E 2 f S Z x d W 9 0 O y w m c X V v d D t T Z W N 0 a W 9 u M S 9 B b W 9 1 b n Q g c G V y I E Z v c m 1 1 b G E g c 3 R 1 Z G V u d C 9 U Y X J n Z X R l Z C B B b W 9 1 b n Q g c G V y I E Z v c m 1 1 b G E g U 3 R 1 Z G V u d C 5 7 V G F y Z 2 V 0 Z W Q g Q W 1 v d W 5 0 I H B l c i B G b 3 J t d W x h I F N 0 d W R l b n Q s M T d 9 J n F 1 b 3 Q 7 L C Z x d W 9 0 O 1 N l Y 3 R p b 2 4 x L 0 F t b 3 V u d C B w Z X I g R m 9 y b X V s Y S B z d H V k Z W 5 0 L 0 V G S U c g Q W 1 v d W 5 0 I H B l c i B G b 3 J t d W x h I F N 0 d W R l b n Q u e 0 V G S U c g Q W 1 v d W 5 0 I H B l c i B G b 3 J t d W x h I F N 0 d W R l b n Q s M T h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R P R S B B b G x v Y 2 F 0 a W 9 u L 0 N o Y W 5 n Z W Q g V H l w Z S 5 7 T E V B a W Q s M H 0 m c X V v d D s s J n F 1 b 3 Q 7 U 2 V j d G l v b j E v R E 9 F I E F s b G 9 j Y X R p b 2 4 v Q 2 h h b m d l Z C B U e X B l L n t M R U F O Y W 1 l L D F 9 J n F 1 b 3 Q 7 L C Z x d W 9 0 O 1 N l Y 3 R p b 2 4 x L 0 F t b 3 V u d C B w Z X I g R m 9 y b X V s Y S B z d H V k Z W 5 0 L 0 J h c 2 l j I E F t b 3 V u d C B w Z X I g R m 9 y b X V s Y S B T d H V k Z W 5 0 L n t C Y X N p Y y B B b W 9 1 b n Q g c G V y I G Z v c m 1 1 b G E g c 3 R 1 Z G V u d C w x N X 0 m c X V v d D s s J n F 1 b 3 Q 7 U 2 V j d G l v b j E v Q W 1 v d W 5 0 I H B l c i B G b 3 J t d W x h I H N 0 d W R l b n Q v Q 2 9 u Y y 4 g Q W 1 v d W 5 0 I H B l c i B G b 3 J t d W x h I F N 0 d W R l b n Q u e 0 N v b m M u I E F t b 3 V u d C B w Z X I g R m 9 y b X V s Y S B T d H V k Z W 5 0 L D E 2 f S Z x d W 9 0 O y w m c X V v d D t T Z W N 0 a W 9 u M S 9 B b W 9 1 b n Q g c G V y I E Z v c m 1 1 b G E g c 3 R 1 Z G V u d C 9 U Y X J n Z X R l Z C B B b W 9 1 b n Q g c G V y I E Z v c m 1 1 b G E g U 3 R 1 Z G V u d C 5 7 V G F y Z 2 V 0 Z W Q g Q W 1 v d W 5 0 I H B l c i B G b 3 J t d W x h I F N 0 d W R l b n Q s M T d 9 J n F 1 b 3 Q 7 L C Z x d W 9 0 O 1 N l Y 3 R p b 2 4 x L 0 F t b 3 V u d C B w Z X I g R m 9 y b X V s Y S B z d H V k Z W 5 0 L 0 V G S U c g Q W 1 v d W 5 0 I H B l c i B G b 3 J t d W x h I F N 0 d W R l b n Q u e 0 V G S U c g Q W 1 v d W 5 0 I H B l c i B G b 3 J t d W x h I F N 0 d W R l b n Q s M T h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F t b 3 V u d C U y M H B l c i U y M E Z v c m 1 1 b G E l M j B z d H V k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b 3 V u d C U y M H B l c i U y M E Z v c m 1 1 b G E l M j B z d H V k Z W 5 0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9 1 b n Q l M j B w Z X I l M j B G b 3 J t d W x h J T I w c 3 R 1 Z G V u d C 9 F e H B h b m R l Z C U y M E R P R S U y M E Z v c m 1 1 b G E l M j B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J T I w Q 2 F s Y y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x p d C U y M E N h b G M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B s a X Q l M j B D Y W x j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m R p b m d P b m x 5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l l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X V l c n l J R C I g V m F s d W U 9 I n M 4 N m Z m N 2 U 1 Z C 1 i N 2 I 5 L T Q 4 N D g t Y T M x N i 0 3 O D c x N 2 I z Y T U w N W Y i I C 8 + P E V u d H J 5 I F R 5 c G U 9 I l J l Y 2 9 2 Z X J 5 V G F y Z 2 V 0 U 2 h l Z X Q i I F Z h b H V l P S J z R G l z d H J p Y 3 R z I E 1 1 b H R p c G x p Z X I i I C 8 + P E V u d H J 5 I F R 5 c G U 9 I l F 1 Z X J 5 R 3 J v d X B J R C I g V m F s d W U 9 I n M x M T F j Y T g w O C 0 w N W V k L T Q 1 O T c t Y j U y M i 1 m M W Q 2 O T B k Z W U 1 O T A i I C 8 + P E V u d H J 5 I F R 5 c G U 9 I k Z p b G x U b 0 R h d G F N b 2 R l b E V u Y W J s Z W Q i I F Z h b H V l P S J s M S I g L z 4 8 R W 5 0 c n k g V H l w Z T 0 i R m l s b E 9 i a m V j d F R 5 c G U i I F Z h b H V l P S J z V G F i b G U i I C 8 + P E V u d H J 5 I F R 5 c G U 9 I k Z p b G x U Y X J n Z X Q i I F Z h b H V l P S J z T X V s d G l w b G l l c n M i I C 8 + P E V u d H J 5 I F R 5 c G U 9 I k Z p b G x M Y X N 0 V X B k Y X R l Z C I g V m F s d W U 9 I m Q y M D I 2 L T A 2 L T I 5 V D E 2 O j Q z O j I 5 L j g 4 N T A 4 O T N a I i A v P j x F b n R y e S B U e X B l P S J G a W x s Q 2 9 s d W 1 u V H l w Z X M i I F Z h b H V l P S J z Q m d Z R 0 F B W U F B Q V F F I i A v P j x F b n R y e S B U e X B l P S J G a W x s Q 2 9 s d W 1 u T m F t Z X M i I F Z h b H V l P S J z W y Z x d W 9 0 O 0 N D R E R E J n F 1 b 3 Q 7 L C Z x d W 9 0 O 0 R p c 3 R y a W N 0 T m F t Z S Z x d W 9 0 O y w m c X V v d D t T Z W 5 k a W 5 n T E V B a W Q m c X V v d D s s J n F 1 b 3 Q 7 R G l z d H J p Y 3 R U e X B l J n F 1 b 3 Q 7 L C Z x d W 9 0 O 0 x F Q W l k J n F 1 b 3 Q 7 L C Z x d W 9 0 O 0 l z T m V 3 J n F 1 b 3 Q 7 L C Z x d W 9 0 O 0 l z R X h w Y W 5 k Z W Q m c X V v d D s s J n F 1 b 3 Q 7 c G 9 2 Z X J 0 e S B N d W x 0 a X B s a W V y J n F 1 b 3 Q 7 L C Z x d W 9 0 O 0 V u c m 9 s b G 1 l b n Q g b X V s d G l w b G l l c i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4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s m c X V v d D t D Q 0 R E R C Z x d W 9 0 O 1 0 s J n F 1 b 3 Q 7 c X V l c n l S Z W x h d G l v b n N o a X B z J n F 1 b 3 Q 7 O l t d L C Z x d W 9 0 O 2 N v b H V t b k l k Z W 5 0 a X R p Z X M m c X V v d D s 6 W y Z x d W 9 0 O 1 N l Y 3 R p b 2 4 x L 0 1 1 b H R p c G x p Z X J z L 0 N o Y W 5 n Z W Q g V H l w Z S 5 7 Q 0 N E R E Q s M H 0 m c X V v d D s s J n F 1 b 3 Q 7 U 2 V j d G l v b j E v T X V s d G l w b G l l c n M v U 2 9 1 c m N l L n t E a X N 0 c m l j d E 5 h b W U s M X 0 m c X V v d D s s J n F 1 b 3 Q 7 U 2 V j d G l v b j E v T X V s d G l w b G l l c n M v U 2 9 1 c m N l L n t T Z W 5 k a W 5 n T E V B a W Q s M n 0 m c X V v d D s s J n F 1 b 3 Q 7 U 2 V j d G l v b j E v T X V s d G l w b G l l c n M v U 2 9 1 c m N l L n t E a X N 0 c m l j d F R 5 c G U s M 3 0 m c X V v d D s s J n F 1 b 3 Q 7 U 2 V j d G l v b j E v T X V s d G l w b G l l c n M v Q 2 h h b m d l Z C B U e X B l L n t M R U F p Z C w 0 f S Z x d W 9 0 O y w m c X V v d D t T Z W N 0 a W 9 u M S 9 N d W x 0 a X B s a W V y c y 9 T b 3 V y Y 2 U u e 0 l z T m V 3 L D V 9 J n F 1 b 3 Q 7 L C Z x d W 9 0 O 1 N l Y 3 R p b 2 4 x L 0 1 1 b H R p c G x p Z X J z L 1 N v d X J j Z S 5 7 S X N F e H B h b m R l Z C w 2 f S Z x d W 9 0 O y w m c X V v d D t T Z W N 0 a W 9 u M S 9 N d W x 0 a X B s a W V y c y 9 D a G F u Z 2 V k I F R 5 c G U x L n t w b 3 Z l c n R 5 I E 1 1 b H R p c G x p Z X I s M T F 9 J n F 1 b 3 Q 7 L C Z x d W 9 0 O 1 N l Y 3 R p b 2 4 x L 0 1 1 b H R p c G x p Z X J z L 0 N o Y W 5 n Z W Q g V H l w Z T E u e 0 V u c m 9 s b G 1 l b n Q g b X V s d G l w b G l l c i w x M n 0 m c X V v d D t d L C Z x d W 9 0 O 0 N v b H V t b k N v d W 5 0 J n F 1 b 3 Q 7 O j k s J n F 1 b 3 Q 7 S 2 V 5 Q 2 9 s d W 1 u T m F t Z X M m c X V v d D s 6 W y Z x d W 9 0 O 0 N D R E R E J n F 1 b 3 Q 7 X S w m c X V v d D t D b 2 x 1 b W 5 J Z G V u d G l 0 a W V z J n F 1 b 3 Q 7 O l s m c X V v d D t T Z W N 0 a W 9 u M S 9 N d W x 0 a X B s a W V y c y 9 D a G F u Z 2 V k I F R 5 c G U u e 0 N D R E R E L D B 9 J n F 1 b 3 Q 7 L C Z x d W 9 0 O 1 N l Y 3 R p b 2 4 x L 0 1 1 b H R p c G x p Z X J z L 1 N v d X J j Z S 5 7 R G l z d H J p Y 3 R O Y W 1 l L D F 9 J n F 1 b 3 Q 7 L C Z x d W 9 0 O 1 N l Y 3 R p b 2 4 x L 0 1 1 b H R p c G x p Z X J z L 1 N v d X J j Z S 5 7 U 2 V u Z G l u Z 0 x F Q W l k L D J 9 J n F 1 b 3 Q 7 L C Z x d W 9 0 O 1 N l Y 3 R p b 2 4 x L 0 1 1 b H R p c G x p Z X J z L 1 N v d X J j Z S 5 7 R G l z d H J p Y 3 R U e X B l L D N 9 J n F 1 b 3 Q 7 L C Z x d W 9 0 O 1 N l Y 3 R p b 2 4 x L 0 1 1 b H R p c G x p Z X J z L 0 N o Y W 5 n Z W Q g V H l w Z S 5 7 T E V B a W Q s N H 0 m c X V v d D s s J n F 1 b 3 Q 7 U 2 V j d G l v b j E v T X V s d G l w b G l l c n M v U 2 9 1 c m N l L n t J c 0 5 l d y w 1 f S Z x d W 9 0 O y w m c X V v d D t T Z W N 0 a W 9 u M S 9 N d W x 0 a X B s a W V y c y 9 T b 3 V y Y 2 U u e 0 l z R X h w Y W 5 k Z W Q s N n 0 m c X V v d D s s J n F 1 b 3 Q 7 U 2 V j d G l v b j E v T X V s d G l w b G l l c n M v Q 2 h h b m d l Z C B U e X B l M S 5 7 c G 9 2 Z X J 0 e S B N d W x 0 a X B s a W V y L D E x f S Z x d W 9 0 O y w m c X V v d D t T Z W N 0 a W 9 u M S 9 N d W x 0 a X B s a W V y c y 9 D a G F u Z 2 V k I F R 5 c G U x L n t F b n J v b G x t Z W 5 0 I G 1 1 b H R p c G x p Z X I s M T J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1 1 b H R p c G x p Z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p Z X J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l l c n M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a W V y c y 9 F e H B h b m R l Z C U y M F N w b G l 0 J T I w Q 2 F s Y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a W V y c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l l c n M v R X h w Y W 5 k Z W Q l M j B T c G x p d C U y M E N h b G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a W V y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a W V y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D b 2 5 z b 2 x p Z G F 0 Z S U y M E x F Q U l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N v b n N v b G l k Y X R l J T I w T E V B T k F N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b G l 0 J T I w Q 2 F s Y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a W V y c y 9 F b n J v b G x t Z W 5 0 J T I w b X V s d G l w b G l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p Z X J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l l c n M v U G 9 2 Z X J 0 e S U y M E 1 1 b H R p c G x p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a W V y c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9 1 b n Q l M j B w Z X I l M j B G b 3 J t d W x h J T I w c 3 R 1 Z G V u d C 9 C Y X N p Y y U y M E F t b 3 V u d C U y M H B l c i U y M E Z v c m 1 1 b G E l M j B T d H V k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v d W 5 0 J T I w c G V y J T I w R m 9 y b X V s Y S U y M H N 0 d W R l b n Q v Q 2 9 u Y y 4 l M j B B b W 9 1 b n Q l M j B w Z X I l M j B G b 3 J t d W x h J T I w U 3 R 1 Z G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b 3 V u d C U y M H B l c i U y M E Z v c m 1 1 b G E l M j B z d H V k Z W 5 0 L 1 R h c m d l d G V k J T I w Q W 1 v d W 5 0 J T I w c G V y J T I w R m 9 y b X V s Y S U y M F N 0 d W R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9 1 b n Q l M j B w Z X I l M j B G b 3 J t d W x h J T I w c 3 R 1 Z G V u d C 9 F R k l H J T I w Q W 1 v d W 5 0 J T I w c G V y J T I w R m 9 y b X V s Y S U y M F N 0 d W R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9 1 b n Q l M j B w Z X I l M j B G b 3 J t d W x h J T I w c 3 R 1 Z G V u d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U b 3 R h b C U y M E Z v c m 1 1 b G E l M j B D b 3 V u d C U y M E R P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F s b G 9 j Y X R p b 2 5 z P C 9 J d G V t U G F 0 a D 4 8 L 0 l 0 Z W 1 M b 2 N h d G l v b j 4 8 U 3 R h Y m x l R W 5 0 c m l l c z 4 8 R W 5 0 c n k g V H l w Z T 0 i U X V l c n l H c m 9 1 c E l E I i B W Y W x 1 Z T 0 i c z c 5 N D k 3 Z G E 4 L T l l M j A t N D c 5 N y 0 5 O T F i L T B l Y j U 2 N W Y y O T U 5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Y T A 3 Y T M 1 Z j U t M j c 5 N S 0 0 N z A y L T l k N j k t Y 2 F m M D k 3 M 2 V i Y z A x I i A v P j x F b n R y e S B U e X B l P S J G a W x s V G F y Z 2 V 0 I i B W Y W x 1 Z T 0 i c 0 l u a X R p Y W x f Y W R q d X N 0 Z W R f Y W x s b 2 N h d G l v b n M i I C 8 + P E V u d H J 5 I F R 5 c G U 9 I k Z p b G x M Y X N 0 V X B k Y X R l Z C I g V m F s d W U 9 I m Q y M D I 2 L T A 2 L T I 5 V D E 2 O j Q z O j I 5 L j k 1 M T Y 4 N j V a I i A v P j x F b n R y e S B U e X B l P S J G a W x s Q 2 9 s d W 1 u V H l w Z X M i I F Z h b H V l P S J z Q U F B R k J R V U Z C U V V G Q l F V R i I g L z 4 8 R W 5 0 c n k g V H l w Z T 0 i R m l s b E N v b H V t b k 5 h b W V z I i B W Y W x 1 Z T 0 i c 1 s m c X V v d D t M R U F J R C Z x d W 9 0 O y w m c X V v d D t M R U F O Q U 1 F J n F 1 b 3 Q 7 L C Z x d W 9 0 O 0 J B U 0 l D I E h v b G Q g S G F y b W x l c 3 M g Y m F z Z S A o U H J p b 3 I g e W V h c i B h Z G p 1 c 3 R l Z C B h b G x v Y y k m c X V v d D s s J n F 1 b 3 Q 7 Q 2 9 u Y y B I b 2 x k I E h h c m 1 s Z X N z I E J h c 2 U g K C A 0 I H l l Y X I g b G 9 v a 2 J h Y 2 s p J n F 1 b 3 Q 7 L C Z x d W 9 0 O 1 R B U k d F V E V E I E h v b G Q g S G F y b W x l c 3 M g Q m F z Z S A o U H J p b 3 I g W W V h c i B h Z G p 1 c 3 R l Z C B h b G x v Y y k m c X V v d D s s J n F 1 b 3 Q 7 R U Z J R y B I b 2 x k I E h h c m 1 s Z X N z I G J h c 2 U g K F B y a W 9 y I F l l Y X I g Y W R q d X N 0 Z W Q g Y W x s b 2 M p J n F 1 b 3 Q 7 L C Z x d W 9 0 O 1 R v d G F s I E h v b G Q g S G F y b W x l c 3 M g Y m F z Z S Z x d W 9 0 O y w m c X V v d D t B Z G o g Q m F z a W M g Q W x s b 2 N h d G l v b i A m c X V v d D s s J n F 1 b 3 Q 7 Q W R q I E N v b m M u I E F s b G 9 j Y X R p b 2 4 g J n F 1 b 3 Q 7 L C Z x d W 9 0 O 0 F k a i B U Y X J n Z X R l Z C B h b G x v Y 2 F 0 a W 9 u J n F 1 b 3 Q 7 L C Z x d W 9 0 O 0 F k a i B F R k l H I E F s b G 9 j Y X R p b 2 4 m c X V v d D s s J n F 1 b 3 Q 7 Q W R q I F R v d G F s I F R p d G x l I E k g Q W x s b 2 N h d G l v b i A m c X V v d D t d I i A v P j x F b n R y e S B U e X B l P S J G a W x s U 3 R h d H V z I i B W Y W x 1 Z T 0 i c 0 N v b X B s Z X R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m l 0 a W F s I G F k a n V z d G V k I G Z v c m 1 1 b G E g Y 2 9 1 b n Q v Q 2 9 u c 2 9 s a W R h d G U g T E V B S U Q u e 2 F k a i B M R U F J R C w z M 3 0 m c X V v d D s s J n F 1 b 3 Q 7 U 2 V j d G l v b j E v S W 5 p d G l h b C B h Z G p 1 c 3 R l Z C B m b 3 J t d W x h I G N v d W 5 0 L 0 N v b n N v b G l k Y X R l I E x F Q U 5 B T U U u e 0 x F Q U 5 B T U U s M z R 9 J n F 1 b 3 Q 7 L C Z x d W 9 0 O 1 N l Y 3 R p b 2 4 x L 0 l u a X R p Y W w g Y W R q d X N 0 Z W Q g Y W x s b 2 N h d G l v b n M v Q 2 h h b m d l Z C B U e X B l L n t C Q V N J Q y B I b 2 x k I E h h c m 1 s Z X N z I G J h c 2 U g K F B y a W 9 y I H l l Y X I g Y W R q d X N 0 Z W Q g Y W x s b 2 M p L D J 9 J n F 1 b 3 Q 7 L C Z x d W 9 0 O 1 N l Y 3 R p b 2 4 x L 0 l u a X R p Y W w g Y W R q d X N 0 Z W Q g Y W x s b 2 N h d G l v b n M v Q 2 h h b m d l Z C B U e X B l L n t D b 2 5 j I E h v b G Q g S G F y b W x l c 3 M g Q m F z Z S A o I D Q g e W V h c i B s b 2 9 r Y m F j a y k s M 3 0 m c X V v d D s s J n F 1 b 3 Q 7 U 2 V j d G l v b j E v S W 5 p d G l h b C B h Z G p 1 c 3 R l Z C B h b G x v Y 2 F 0 a W 9 u c y 9 D a G F u Z 2 V k I F R 5 c G U u e 1 R B U k d F V E V E I E h v b G Q g S G F y b W x l c 3 M g Q m F z Z S A o U H J p b 3 I g W W V h c i B h Z G p 1 c 3 R l Z C B h b G x v Y y k s N H 0 m c X V v d D s s J n F 1 b 3 Q 7 U 2 V j d G l v b j E v S W 5 p d G l h b C B h Z G p 1 c 3 R l Z C B h b G x v Y 2 F 0 a W 9 u c y 9 D a G F u Z 2 V k I F R 5 c G U u e 0 V G S U c g S G 9 s Z C B I Y X J t b G V z c y B i Y X N l I C h Q c m l v c i B Z Z W F y I G F k a n V z d G V k I G F s b G 9 j K S w 1 f S Z x d W 9 0 O y w m c X V v d D t T Z W N 0 a W 9 u M S 9 J b m l 0 a W F s I G F k a n V z d G V k I G F s b G 9 j Y X R p b 2 5 z L 0 N o Y W 5 n Z W Q g V H l w Z S 5 7 V G 9 0 Y W w g S G 9 s Z C B I Y X J t b G V z c y B i Y X N l L D Z 9 J n F 1 b 3 Q 7 L C Z x d W 9 0 O 1 N l Y 3 R p b 2 4 x L 0 l u a X R p Y W w g Y W R q d X N 0 Z W Q g Y W x s b 2 N h d G l v b n M v Q 2 h h b m d l Z C B U e X B l L n t B Z G o g Q m F z a W M g Q W x s b 2 N h d G l v b i A s N 3 0 m c X V v d D s s J n F 1 b 3 Q 7 U 2 V j d G l v b j E v S W 5 p d G l h b C B h Z G p 1 c 3 R l Z C B h b G x v Y 2 F 0 a W 9 u c y 9 D a G F u Z 2 V k I F R 5 c G U u e 0 F k a i B D b 2 5 j L i B B b G x v Y 2 F 0 a W 9 u I C w 4 f S Z x d W 9 0 O y w m c X V v d D t T Z W N 0 a W 9 u M S 9 J b m l 0 a W F s I G F k a n V z d G V k I G F s b G 9 j Y X R p b 2 5 z L 0 N o Y W 5 n Z W Q g V H l w Z S 5 7 Q W R q I F R h c m d l d G V k I G F s b G 9 j Y X R p b 2 4 s O X 0 m c X V v d D s s J n F 1 b 3 Q 7 U 2 V j d G l v b j E v S W 5 p d G l h b C B h Z G p 1 c 3 R l Z C B h b G x v Y 2 F 0 a W 9 u c y 9 D a G F u Z 2 V k I F R 5 c G U u e 0 F k a i B F R k l H I E F s b G 9 j Y X R p b 2 4 s M T B 9 J n F 1 b 3 Q 7 L C Z x d W 9 0 O 1 N l Y 3 R p b 2 4 x L 0 l u a X R p Y W w g Y W R q d X N 0 Z W Q g Y W x s b 2 N h d G l v b n M v Q 2 h h b m d l Z C B U e X B l L n t B Z G o g V G 9 0 Y W w g V G l 0 b G U g S S B B b G x v Y 2 F 0 a W 9 u I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l u a X R p Y W w g Y W R q d X N 0 Z W Q g Z m 9 y b X V s Y S B j b 3 V u d C 9 D b 2 5 z b 2 x p Z G F 0 Z S B M R U F J R C 5 7 Y W R q I E x F Q U l E L D M z f S Z x d W 9 0 O y w m c X V v d D t T Z W N 0 a W 9 u M S 9 J b m l 0 a W F s I G F k a n V z d G V k I G Z v c m 1 1 b G E g Y 2 9 1 b n Q v Q 2 9 u c 2 9 s a W R h d G U g T E V B T k F N R S 5 7 T E V B T k F N R S w z N H 0 m c X V v d D s s J n F 1 b 3 Q 7 U 2 V j d G l v b j E v S W 5 p d G l h b C B h Z G p 1 c 3 R l Z C B h b G x v Y 2 F 0 a W 9 u c y 9 D a G F u Z 2 V k I F R 5 c G U u e 0 J B U 0 l D I E h v b G Q g S G F y b W x l c 3 M g Y m F z Z S A o U H J p b 3 I g e W V h c i B h Z G p 1 c 3 R l Z C B h b G x v Y y k s M n 0 m c X V v d D s s J n F 1 b 3 Q 7 U 2 V j d G l v b j E v S W 5 p d G l h b C B h Z G p 1 c 3 R l Z C B h b G x v Y 2 F 0 a W 9 u c y 9 D a G F u Z 2 V k I F R 5 c G U u e 0 N v b m M g S G 9 s Z C B I Y X J t b G V z c y B C Y X N l I C g g N C B 5 Z W F y I G x v b 2 t i Y W N r K S w z f S Z x d W 9 0 O y w m c X V v d D t T Z W N 0 a W 9 u M S 9 J b m l 0 a W F s I G F k a n V z d G V k I G F s b G 9 j Y X R p b 2 5 z L 0 N o Y W 5 n Z W Q g V H l w Z S 5 7 V E F S R 0 V U R U Q g S G 9 s Z C B I Y X J t b G V z c y B C Y X N l I C h Q c m l v c i B Z Z W F y I G F k a n V z d G V k I G F s b G 9 j K S w 0 f S Z x d W 9 0 O y w m c X V v d D t T Z W N 0 a W 9 u M S 9 J b m l 0 a W F s I G F k a n V z d G V k I G F s b G 9 j Y X R p b 2 5 z L 0 N o Y W 5 n Z W Q g V H l w Z S 5 7 R U Z J R y B I b 2 x k I E h h c m 1 s Z X N z I G J h c 2 U g K F B y a W 9 y I F l l Y X I g Y W R q d X N 0 Z W Q g Y W x s b 2 M p L D V 9 J n F 1 b 3 Q 7 L C Z x d W 9 0 O 1 N l Y 3 R p b 2 4 x L 0 l u a X R p Y W w g Y W R q d X N 0 Z W Q g Y W x s b 2 N h d G l v b n M v Q 2 h h b m d l Z C B U e X B l L n t U b 3 R h b C B I b 2 x k I E h h c m 1 s Z X N z I G J h c 2 U s N n 0 m c X V v d D s s J n F 1 b 3 Q 7 U 2 V j d G l v b j E v S W 5 p d G l h b C B h Z G p 1 c 3 R l Z C B h b G x v Y 2 F 0 a W 9 u c y 9 D a G F u Z 2 V k I F R 5 c G U u e 0 F k a i B C Y X N p Y y B B b G x v Y 2 F 0 a W 9 u I C w 3 f S Z x d W 9 0 O y w m c X V v d D t T Z W N 0 a W 9 u M S 9 J b m l 0 a W F s I G F k a n V z d G V k I G F s b G 9 j Y X R p b 2 5 z L 0 N o Y W 5 n Z W Q g V H l w Z S 5 7 Q W R q I E N v b m M u I E F s b G 9 j Y X R p b 2 4 g L D h 9 J n F 1 b 3 Q 7 L C Z x d W 9 0 O 1 N l Y 3 R p b 2 4 x L 0 l u a X R p Y W w g Y W R q d X N 0 Z W Q g Y W x s b 2 N h d G l v b n M v Q 2 h h b m d l Z C B U e X B l L n t B Z G o g V G F y Z 2 V 0 Z W Q g Y W x s b 2 N h d G l v b i w 5 f S Z x d W 9 0 O y w m c X V v d D t T Z W N 0 a W 9 u M S 9 J b m l 0 a W F s I G F k a n V z d G V k I G F s b G 9 j Y X R p b 2 5 z L 0 N o Y W 5 n Z W Q g V H l w Z S 5 7 Q W R q I E V G S U c g Q W x s b 2 N h d G l v b i w x M H 0 m c X V v d D s s J n F 1 b 3 Q 7 U 2 V j d G l v b j E v S W 5 p d G l h b C B h Z G p 1 c 3 R l Z C B h b G x v Y 2 F 0 a W 9 u c y 9 D a G F u Z 2 V k I F R 5 c G U u e 0 F k a i B U b 3 R h b C B U a X R s Z S B J I E F s b G 9 j Y X R p b 2 4 g L D E x f S Z x d W 9 0 O 1 0 s J n F 1 b 3 Q 7 U m V s Y X R p b 2 5 z a G l w S W 5 m b y Z x d W 9 0 O z p b X X 0 i I C 8 + P E V u d H J 5 I F R 5 c G U 9 I k Z p b G x D b 3 V u d C I g V m F s d W U 9 I m w z M T Q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G b 3 J t d W x h J T I w c 3 R 1 Z G V u d H M l M j B h Z G p 1 c 3 R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M R W F p Z C U y M G Z v c i U y M G p v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R X h w Y W 5 k Z W Q l M j B E T 0 U l M j B B b G x v Y 2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F e H B h b m R l Z C U y M E F t b 3 V u d C U y M H B l c i U y M E Z v c m 1 1 b G E l M j B z d H V k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Y W R q J T I w Q m F z a W M l M j B B b G x v Y 2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B Z G o l M j B O R U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m b 3 J t d W x h J T I w Y 2 9 1 b n Q v Q W R q J T I w R E V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F k a i U y M E Z v c 3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Z v c m 1 1 b G E l M j B j b 3 V u d C 9 B Z G o l M j B U Q U 5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Q W R q J T I w Q 2 9 u Y y 4 l M j B B b G x v Y 2 F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Q W R q J T I w R U Z J R y U y M E F s b G 9 j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B Z G o l M j B U b 3 R h b C U y M F R p d G x l J T I w S S U y M E F s b G 9 j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U b 3 R h b C U y M E h v b G Q l M j B I Y X J t b G V z c y U y M G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M l M j B l b G l n a W J p b G l 0 e S U y M H l l Y X I 8 L 0 l 0 Z W 1 Q Y X R o P j w v S X R l b U x v Y 2 F 0 a W 9 u P j x T d G F i b G V F b n R y a W V z P j x F b n R y e S B U e X B l P S J R d W V y e U d y b 3 V w S U Q i I F Z h b H V l P S J z N z k 0 O T d k Y T g t O W U y M C 0 0 N z k 3 L T k 5 M W I t M G V i N T Y 1 Z j I 5 N T k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Z p b G x l Z E N v b X B s Z X R l U m V z d W x 0 V G 9 X b 3 J r c 2 h l Z X Q i I F Z h b H V l P S J s M S I g L z 4 8 R W 5 0 c n k g V H l w Z T 0 i U X V l c n l J R C I g V m F s d W U 9 I n M 5 Z G Q z N T B i Z i 1 m M D I y L T Q z Y j Y t Y j I y M i 1 m O T d m Y z I 5 Z D J i N W I i I C 8 + P E V u d H J 5 I F R 5 c G U 9 I k Z p b G x U Y X J n Z X Q i I F Z h b H V l P S J z V G F i b G V f Q 2 9 u Y 1 9 l b G l n a W J p b G l 0 e V 9 5 Z W F y I i A v P j x F b n R y e S B U e X B l P S J G a W x s T G F z d F V w Z G F 0 Z W Q i I F Z h b H V l P S J k M j A y N i 0 w N i 0 y O V Q x N j o 0 M z o y O S 4 5 N j Y y M j M w W i I g L z 4 8 R W 5 0 c n k g V H l w Z T 0 i R m l s b E N v b H V t b l R 5 c G V z I i B W Y W x 1 Z T 0 i c 0 F B Q U F B Q U E 9 I i A v P j x F b n R y e S B U e X B l P S J G a W x s Q 2 9 s d W 1 u T m F t Z X M i I F Z h b H V l P S J z W y Z x d W 9 0 O 0 x F Q U l E J n F 1 b 3 Q 7 L C Z x d W 9 0 O 0 x F Q U 5 B T U U m c X V v d D s s J n F 1 b 3 Q 7 Q 2 9 u Y y 4 g R W x p Z 2 l n a W J p b G l 0 e S Z x d W 9 0 O y w m c X V v d D t F b G l n a W J p b G l 0 e S B Z Z W F y J n F 1 b 3 Q 7 L C Z x d W 9 0 O 0 N v b m M g Y W x s b 2 N h d G l v b i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Y y B l b G l n a W J p b G l 0 e S B 5 Z W F y L 0 Z p b G x l Z C B V c C 5 7 T E V B S U Q s M H 0 m c X V v d D s s J n F 1 b 3 Q 7 U 2 V j d G l v b j E v Q 2 9 u Y y B l b G l n a W J p b G l 0 e S B 5 Z W F y L 0 Z p b G x l Z C B V c C 5 7 T E V B T k F N R S w x f S Z x d W 9 0 O y w m c X V v d D t T Z W N 0 a W 9 u M S 9 D b 2 5 j I G V s a W d p Y m l s a X R 5 I H l l Y X I v R m l s b G V k I F V w L n t D b 2 5 j L i B F b G l n a W d p Y m l s a X R 5 L D J 9 J n F 1 b 3 Q 7 L C Z x d W 9 0 O 1 N l Y 3 R p b 2 4 x L 0 N v b m M g Z W x p Z 2 l i a W x p d H k g e W V h c i 9 B Z G R l Z C B D d X N 0 b 2 0 u e 0 V s a W d p Y m l s a X R 5 I F l l Y X I s N H 0 m c X V v d D s s J n F 1 b 3 Q 7 U 2 V j d G l v b j E v Q 2 9 u Y y B l b G l n a W J p b G l 0 e S B 5 Z W F y L 0 N v b m M g R W x p Z 2 l i a W x p d H k g Q W 1 v d W 5 0 L n t D b 2 5 j I G F s b G 9 j Y X R p b 2 4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2 9 u Y y B l b G l n a W J p b G l 0 e S B 5 Z W F y L 0 Z p b G x l Z C B V c C 5 7 T E V B S U Q s M H 0 m c X V v d D s s J n F 1 b 3 Q 7 U 2 V j d G l v b j E v Q 2 9 u Y y B l b G l n a W J p b G l 0 e S B 5 Z W F y L 0 Z p b G x l Z C B V c C 5 7 T E V B T k F N R S w x f S Z x d W 9 0 O y w m c X V v d D t T Z W N 0 a W 9 u M S 9 D b 2 5 j I G V s a W d p Y m l s a X R 5 I H l l Y X I v R m l s b G V k I F V w L n t D b 2 5 j L i B F b G l n a W d p Y m l s a X R 5 L D J 9 J n F 1 b 3 Q 7 L C Z x d W 9 0 O 1 N l Y 3 R p b 2 4 x L 0 N v b m M g Z W x p Z 2 l i a W x p d H k g e W V h c i 9 B Z G R l Z C B D d X N 0 b 2 0 u e 0 V s a W d p Y m l s a X R 5 I F l l Y X I s N H 0 m c X V v d D s s J n F 1 b 3 Q 7 U 2 V j d G l v b j E v Q 2 9 u Y y B l b G l n a W J p b G l 0 e S B 5 Z W F y L 0 N v b m M g R W x p Z 2 l i a W x p d H k g Q W 1 v d W 5 0 L n t D b 2 5 j I G F s b G 9 j Y X R p b 2 4 s N X 0 m c X V v d D t d L C Z x d W 9 0 O 1 J l b G F 0 a W 9 u c 2 h p c E l u Z m 8 m c X V v d D s 6 W 1 1 9 I i A v P j x F b n R y e S B U e X B l P S J G a W x s Q 2 9 1 b n Q i I F Z h b H V l P S J s M z E 1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2 9 u Y y U y M G V s a W d p Y m l s a X R 5 J T I w e W V h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j J T I w Z W x p Z 2 l i a W x p d H k l M j B 5 Z W F y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Y y U y M G V s a W d p Y m l s a X R 5 J T I w e W V h c i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Y y U y M G V s a W d p Y m l s a X R 5 J T I w e W V h c i 9 G a W x s Z W Q l M j B V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M l M j B l b G l n a W J p b G l 0 e S U y M H l l Y X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j J T I w Z W x p Z 2 l i a W x p d H k l M j B 5 Z W F y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G 9 y J T I w R X h w Y W 5 k Z W Q l M j B I S C U y M G N o Z W N r P C 9 J d G V t U G F 0 a D 4 8 L 0 l 0 Z W 1 M b 2 N h d G l v b j 4 8 U 3 R h Y m x l R W 5 0 c m l l c z 4 8 R W 5 0 c n k g V H l w Z T 0 i U X V l c n l H c m 9 1 c E l E I i B W Y W x 1 Z T 0 i c z c 5 N D k 3 Z G E 4 L T l l M j A t N D c 5 N y 0 5 O T F i L T B l Y j U 2 N W Y y O T U 5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M T g w Z D F m O T Q t Z W N m Y y 0 0 Z D l i L W F m O W Y t M 2 I 2 Z G U w N D E w O D I w I i A v P j x F b n R y e S B U e X B l P S J G a W x s V G F y Z 2 V 0 I i B W Y W x 1 Z T 0 i c 0 5 l d 1 9 v c l 9 F e H B h b m R l Z F 9 I S F 9 j a G V j a y I g L z 4 8 R W 5 0 c n k g V H l w Z T 0 i R m l s b E x h c 3 R V c G R h d G V k I i B W Y W x 1 Z T 0 i Z D I w M j Y t M D Y t M j l U M T Y 6 N D M 6 M j k u O T Y 4 M j Y 4 N l o i I C 8 + P E V u d H J 5 I F R 5 c G U 9 I k Z p b G x D b 2 x 1 b W 5 U e X B l c y I g V m F s d W U 9 I n N C Z 1 l H Q m d B Q U J R U U R B Q V V G Q l F V R k J R V U Z C U V V G Q l F V R k J R P T 0 i I C 8 + P E V u d H J 5 I F R 5 c G U 9 I k Z p b G x D b 2 x 1 b W 5 O Y W 1 l c y I g V m F s d W U 9 I n N b J n F 1 b 3 Q 7 Q 0 N E R E Q m c X V v d D s s J n F 1 b 3 Q 7 R G l z d H J p Y 3 R O Y W 1 l J n F 1 b 3 Q 7 L C Z x d W 9 0 O 1 N l b m R p b m d M R U F p Z C Z x d W 9 0 O y w m c X V v d D t M R U F p Z C Z x d W 9 0 O y w m c X V v d D t J c 0 5 l d y Z x d W 9 0 O y w m c X V v d D t J c 0 V 4 c G F u Z G V k J n F 1 b 3 Q 7 L C Z x d W 9 0 O 0 l u a X R p Y W w g Y W R q d X N 0 Z W Q g Z m 9 y b X V s Y S B j b 3 V u d C 5 B Z G o g V G 9 0 Y W w g Z m 9 y b X V s Y S B j b 3 V u d C Z x d W 9 0 O y w m c X V v d D t J b m l 0 a W F s I G F k a n V z d G V k I G Z v c m 1 1 b G E g Y 2 9 1 b n Q u Q W R q I H B v d m V y d H k g c G V y Y 2 V u d G F n Z S Z x d W 9 0 O y w m c X V v d D t Q c m l v c i B Z Z W F y I E F k a n V z d G V k I E Z v c m 1 1 b G E g Y 2 9 1 b n R z L k F k a i B U b 3 R h b C B m b 3 J t d W x h I G N v d W 5 0 J n F 1 b 3 Q 7 L C Z x d W 9 0 O 1 R v d G F s I E Z v c m 1 1 b G E g Q 2 9 1 b n Q g a W 5 j c m V h c 2 U m c X V v d D s s J n F 1 b 3 Q 7 S W 5 p d G l h b C B h Z G p 1 c 3 R l Z C B h b G x v Y 2 F 0 a W 9 u c y 5 C Q V N J Q y B I b 2 x k I E h h c m 1 s Z X N z I G J h c 2 U g K F B y a W 9 y I H l l Y X I g Y W R q d X N 0 Z W Q g Y W x s b 2 M m c X V v d D s s J n F 1 b 3 Q 7 S W 5 p d G l h b C B h Z G p 1 c 3 R l Z C B h b G x v Y 2 F 0 a W 9 u c y 5 U Q V J H R V R F R C B I b 2 x k I E h h c m 1 s Z X N z I E J h c 2 U g K F B y a W 9 y I F l l Y X I g Y W R q d X N 0 Z W Q g Y W w m c X V v d D s s J n F 1 b 3 Q 7 S W 5 p d G l h b C B h Z G p 1 c 3 R l Z C B h b G x v Y 2 F 0 a W 9 u c y 5 D b 2 5 j I E h v b G Q g S G F y b W x l c 3 M g Q m F z Z S A o I D Q g e W V h c i B s b 2 9 r Y m F j a y k m c X V v d D s s J n F 1 b 3 Q 7 S W 5 p d G l h b C B h Z G p 1 c 3 R l Z C B h b G x v Y 2 F 0 a W 9 u c y 5 F R k l H I E h v b G Q g S G F y b W x l c 3 M g Y m F z Z S A o U H J p b 3 I g W W V h c i B h Z G p 1 c 3 R l Z C B h b G x v Y y k m c X V v d D s s J n F 1 b 3 Q 7 S W 5 p d G l h b C B h Z G p 1 c 3 R l Z C B h b G x v Y 2 F 0 a W 9 u c y 5 U b 3 R h b C B I b 2 x k I E h h c m 1 s Z X N z I G J h c 2 U m c X V v d D s s J n F 1 b 3 Q 7 S W 5 p d G l h b C B h Z G p 1 c 3 R l Z C B h b G x v Y 2 F 0 a W 9 u c y 5 B Z G o g Q m F z a W M g Q W x s b 2 N h d G l v b i A m c X V v d D s s J n F 1 b 3 Q 7 S W 5 p d G l h b C B h Z G p 1 c 3 R l Z C B h b G x v Y 2 F 0 a W 9 u c y 5 B Z G o g Q 2 9 u Y y 4 g Q W x s b 2 N h d G l v b i A m c X V v d D s s J n F 1 b 3 Q 7 S W 5 p d G l h b C B h Z G p 1 c 3 R l Z C B h b G x v Y 2 F 0 a W 9 u c y 5 B Z G o g V G F y Z 2 V 0 Z W Q g Y W x s b 2 N h d G l v b i Z x d W 9 0 O y w m c X V v d D t J b m l 0 a W F s I G F k a n V z d G V k I G F s b G 9 j Y X R p b 2 5 z L k F k a i B F R k l H I E F s b G 9 j Y X R p b 2 4 m c X V v d D s s J n F 1 b 3 Q 7 S W 5 p d G l h b C B h Z G p 1 c 3 R l Z C B h b G x v Y 2 F 0 a W 9 u c y 5 B Z G o g V G 9 0 Y W w g V G l 0 b G U g S S B B b G x v Y 2 F 0 a W 9 u I C Z x d W 9 0 O y w m c X V v d D t O Z X c v R X h w Y W 5 k Z W Q g Q m F z a W M g S E g g Y m F z Z S Z x d W 9 0 O y w m c X V v d D t O Z X c v R X h w Y W 5 k a W 5 n I E N v b m M g S E g g Y m F z Z S Z x d W 9 0 O y w m c X V v d D t O Z X c v R X h w Y W 5 k a W 5 n I F R h c m d l d G V k I E h I I E J h c 2 U m c X V v d D s s J n F 1 b 3 Q 7 T m V 3 I E V 4 c G F u Z G l u Z y B F R k l H I E h I I E J h c 2 U m c X V v d D s s J n F 1 b 3 Q 7 T m V 3 I E V 4 c G F u Z G V k I H R v d G F s I E h I I G J h c 2 U m c X V v d D t d I i A v P j x F b n R y e S B U e X B l P S J G a W x s U 3 R h d H V z I i B W Y W x 1 Z T 0 i c 0 N v b X B s Z X R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d W x 0 a X B s a W V y c y 9 D a G F u Z 2 V k I F R 5 c G U u e 0 N D R E R E L D B 9 J n F 1 b 3 Q 7 L C Z x d W 9 0 O 1 N l Y 3 R p b 2 4 x L 0 1 1 b H R p c G x p Z X J z L 1 N v d X J j Z S 5 7 R G l z d H J p Y 3 R O Y W 1 l L D F 9 J n F 1 b 3 Q 7 L C Z x d W 9 0 O 1 N l Y 3 R p b 2 4 x L 0 1 1 b H R p c G x p Z X J z L 1 N v d X J j Z S 5 7 U 2 V u Z G l u Z 0 x F Q W l k L D J 9 J n F 1 b 3 Q 7 L C Z x d W 9 0 O 1 N l Y 3 R p b 2 4 x L 0 1 1 b H R p c G x p Z X J z L 0 N o Y W 5 n Z W Q g V H l w Z S 5 7 T E V B a W Q s N H 0 m c X V v d D s s J n F 1 b 3 Q 7 U 2 V j d G l v b j E v T X V s d G l w b G l l c n M v U 2 9 1 c m N l L n t J c 0 5 l d y w 1 f S Z x d W 9 0 O y w m c X V v d D t T Z W N 0 a W 9 u M S 9 N d W x 0 a X B s a W V y c y 9 T b 3 V y Y 2 U u e 0 l z R X h w Y W 5 k Z W Q s N n 0 m c X V v d D s s J n F 1 b 3 Q 7 U 2 V j d G l v b j E v S W 5 p d G l h b C B h Z G p 1 c 3 R l Z C B m b 3 J t d W x h I G N v d W 5 0 L 0 N o Y W 5 n Z W Q g V H l w Z T E u e 0 F k a i B U b 3 R h b C B m b 3 J t d W x h I G N v d W 5 0 L D l 9 J n F 1 b 3 Q 7 L C Z x d W 9 0 O 1 N l Y 3 R p b 2 4 x L 0 l u a X R p Y W w g Y W R q d X N 0 Z W Q g Z m 9 y b X V s Y S B j b 3 V u d C 9 D a G F u Z 2 V k I F R 5 c G U u e 0 F k a i B w b 3 Z l c n R 5 I H B l c m N l b n R h Z 2 U s M j h 9 J n F 1 b 3 Q 7 L C Z x d W 9 0 O 1 N l Y 3 R p b 2 4 x L 1 B y a W 9 y I F l l Y X I g Q W R q d X N 0 Z W Q g R m 9 y b X V s Y S B j b 3 V u d H M v Q 2 h h b m d l Z C B U e X B l L n t B Z G o g V G 9 0 Y W w g Z m 9 y b X V s Y S B j b 3 V u d C w 5 f S Z x d W 9 0 O y w m c X V v d D t T Z W N 0 a W 9 u M S 9 O Z X c g b 3 I g R X h w Y W 5 k Z W Q g S E g g Y 2 h l Y 2 s v V G 9 0 Y W w g R m 9 y b X V s Y S B D b 3 V u d C B J b m N y Z W F z Z S 5 7 V G 9 0 Y W w g R m 9 y b X V s Y S B D b 3 V u d C B p b m N y Z W F z Z S w 5 f S Z x d W 9 0 O y w m c X V v d D t T Z W N 0 a W 9 u M S 9 J b m l 0 a W F s I G F k a n V z d G V k I G F s b G 9 j Y X R p b 2 5 z L 0 N o Y W 5 n Z W Q g V H l w Z S 5 7 Q k F T S U M g S G 9 s Z C B I Y X J t b G V z c y B i Y X N l I C h Q c m l v c i B 5 Z W F y I G F k a n V z d G V k I G F s b G 9 j K S w y f S Z x d W 9 0 O y w m c X V v d D t T Z W N 0 a W 9 u M S 9 J b m l 0 a W F s I G F k a n V z d G V k I G F s b G 9 j Y X R p b 2 5 z L 0 N o Y W 5 n Z W Q g V H l w Z S 5 7 V E F S R 0 V U R U Q g S G 9 s Z C B I Y X J t b G V z c y B C Y X N l I C h Q c m l v c i B Z Z W F y I G F k a n V z d G V k I G F s b G 9 j K S w 0 f S Z x d W 9 0 O y w m c X V v d D t T Z W N 0 a W 9 u M S 9 J b m l 0 a W F s I G F k a n V z d G V k I G F s b G 9 j Y X R p b 2 5 z L 0 N o Y W 5 n Z W Q g V H l w Z S 5 7 Q 2 9 u Y y B I b 2 x k I E h h c m 1 s Z X N z I E J h c 2 U g K C A 0 I H l l Y X I g b G 9 v a 2 J h Y 2 s p L D N 9 J n F 1 b 3 Q 7 L C Z x d W 9 0 O 1 N l Y 3 R p b 2 4 x L 0 l u a X R p Y W w g Y W R q d X N 0 Z W Q g Y W x s b 2 N h d G l v b n M v Q 2 h h b m d l Z C B U e X B l L n t F R k l H I E h v b G Q g S G F y b W x l c 3 M g Y m F z Z S A o U H J p b 3 I g W W V h c i B h Z G p 1 c 3 R l Z C B h b G x v Y y k s N X 0 m c X V v d D s s J n F 1 b 3 Q 7 U 2 V j d G l v b j E v S W 5 p d G l h b C B h Z G p 1 c 3 R l Z C B h b G x v Y 2 F 0 a W 9 u c y 9 D a G F u Z 2 V k I F R 5 c G U u e 1 R v d G F s I E h v b G Q g S G F y b W x l c 3 M g Y m F z Z S w 2 f S Z x d W 9 0 O y w m c X V v d D t T Z W N 0 a W 9 u M S 9 J b m l 0 a W F s I G F k a n V z d G V k I G F s b G 9 j Y X R p b 2 5 z L 0 N o Y W 5 n Z W Q g V H l w Z S 5 7 Q W R q I E J h c 2 l j I E F s b G 9 j Y X R p b 2 4 g L D d 9 J n F 1 b 3 Q 7 L C Z x d W 9 0 O 1 N l Y 3 R p b 2 4 x L 0 l u a X R p Y W w g Y W R q d X N 0 Z W Q g Y W x s b 2 N h d G l v b n M v Q 2 h h b m d l Z C B U e X B l L n t B Z G o g Q 2 9 u Y y 4 g Q W x s b 2 N h d G l v b i A s O H 0 m c X V v d D s s J n F 1 b 3 Q 7 U 2 V j d G l v b j E v S W 5 p d G l h b C B h Z G p 1 c 3 R l Z C B h b G x v Y 2 F 0 a W 9 u c y 9 D a G F u Z 2 V k I F R 5 c G U u e 0 F k a i B U Y X J n Z X R l Z C B h b G x v Y 2 F 0 a W 9 u L D l 9 J n F 1 b 3 Q 7 L C Z x d W 9 0 O 1 N l Y 3 R p b 2 4 x L 0 l u a X R p Y W w g Y W R q d X N 0 Z W Q g Y W x s b 2 N h d G l v b n M v Q 2 h h b m d l Z C B U e X B l L n t B Z G o g R U Z J R y B B b G x v Y 2 F 0 a W 9 u L D E w f S Z x d W 9 0 O y w m c X V v d D t T Z W N 0 a W 9 u M S 9 J b m l 0 a W F s I G F k a n V z d G V k I G F s b G 9 j Y X R p b 2 5 z L 0 N o Y W 5 n Z W Q g V H l w Z S 5 7 Q W R q I F R v d G F s I F R p d G x l I E k g Q W x s b 2 N h d G l v b i A s M T F 9 J n F 1 b 3 Q 7 L C Z x d W 9 0 O 1 N l Y 3 R p b 2 4 x L 0 5 l d y B v c i B F e H B h b m R l Z C B I S C B j a G V j a y 9 D a G F u Z 2 V k I F R 5 c G U u e 0 5 l d y 9 F e H B h b m R l Z C B C Y X N p Y y B I S C B i Y X N l L D I w f S Z x d W 9 0 O y w m c X V v d D t T Z W N 0 a W 9 u M S 9 O Z X c g b 3 I g R X h w Y W 5 k Z W Q g S E g g Y 2 h l Y 2 s v Q 2 h h b m d l Z C B U e X B l L n t O Z X c v R X h w Y W 5 k a W 5 n I E N v b m M g S E g g Y m F z Z S w y M X 0 m c X V v d D s s J n F 1 b 3 Q 7 U 2 V j d G l v b j E v T m V 3 I G 9 y I E V 4 c G F u Z G V k I E h I I G N o Z W N r L 0 N o Y W 5 n Z W Q g V H l w Z S 5 7 T m V 3 L 0 V 4 c G F u Z G l u Z y B U Y X J n Z X R l Z C B I S C B C Y X N l L D I y f S Z x d W 9 0 O y w m c X V v d D t T Z W N 0 a W 9 u M S 9 O Z X c g b 3 I g R X h w Y W 5 k Z W Q g S E g g Y 2 h l Y 2 s v Q 2 h h b m d l Z C B U e X B l L n t O Z X c g R X h w Y W 5 k a W 5 n I E V G S U c g S E g g Q m F z Z S w y M 3 0 m c X V v d D s s J n F 1 b 3 Q 7 U 2 V j d G l v b j E v T m V 3 I G 9 y I E V 4 c G F u Z G V k I E h I I G N o Z W N r L 0 N o Y W 5 n Z W Q g V H l w Z S 5 7 T m V 3 I E V 4 c G F u Z G V k I H R v d G F s I E h I I G J h c 2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N d W x 0 a X B s a W V y c y 9 D a G F u Z 2 V k I F R 5 c G U u e 0 N D R E R E L D B 9 J n F 1 b 3 Q 7 L C Z x d W 9 0 O 1 N l Y 3 R p b 2 4 x L 0 1 1 b H R p c G x p Z X J z L 1 N v d X J j Z S 5 7 R G l z d H J p Y 3 R O Y W 1 l L D F 9 J n F 1 b 3 Q 7 L C Z x d W 9 0 O 1 N l Y 3 R p b 2 4 x L 0 1 1 b H R p c G x p Z X J z L 1 N v d X J j Z S 5 7 U 2 V u Z G l u Z 0 x F Q W l k L D J 9 J n F 1 b 3 Q 7 L C Z x d W 9 0 O 1 N l Y 3 R p b 2 4 x L 0 1 1 b H R p c G x p Z X J z L 0 N o Y W 5 n Z W Q g V H l w Z S 5 7 T E V B a W Q s N H 0 m c X V v d D s s J n F 1 b 3 Q 7 U 2 V j d G l v b j E v T X V s d G l w b G l l c n M v U 2 9 1 c m N l L n t J c 0 5 l d y w 1 f S Z x d W 9 0 O y w m c X V v d D t T Z W N 0 a W 9 u M S 9 N d W x 0 a X B s a W V y c y 9 T b 3 V y Y 2 U u e 0 l z R X h w Y W 5 k Z W Q s N n 0 m c X V v d D s s J n F 1 b 3 Q 7 U 2 V j d G l v b j E v S W 5 p d G l h b C B h Z G p 1 c 3 R l Z C B m b 3 J t d W x h I G N v d W 5 0 L 0 N o Y W 5 n Z W Q g V H l w Z T E u e 0 F k a i B U b 3 R h b C B m b 3 J t d W x h I G N v d W 5 0 L D l 9 J n F 1 b 3 Q 7 L C Z x d W 9 0 O 1 N l Y 3 R p b 2 4 x L 0 l u a X R p Y W w g Y W R q d X N 0 Z W Q g Z m 9 y b X V s Y S B j b 3 V u d C 9 D a G F u Z 2 V k I F R 5 c G U u e 0 F k a i B w b 3 Z l c n R 5 I H B l c m N l b n R h Z 2 U s M j h 9 J n F 1 b 3 Q 7 L C Z x d W 9 0 O 1 N l Y 3 R p b 2 4 x L 1 B y a W 9 y I F l l Y X I g Q W R q d X N 0 Z W Q g R m 9 y b X V s Y S B j b 3 V u d H M v Q 2 h h b m d l Z C B U e X B l L n t B Z G o g V G 9 0 Y W w g Z m 9 y b X V s Y S B j b 3 V u d C w 5 f S Z x d W 9 0 O y w m c X V v d D t T Z W N 0 a W 9 u M S 9 O Z X c g b 3 I g R X h w Y W 5 k Z W Q g S E g g Y 2 h l Y 2 s v V G 9 0 Y W w g R m 9 y b X V s Y S B D b 3 V u d C B J b m N y Z W F z Z S 5 7 V G 9 0 Y W w g R m 9 y b X V s Y S B D b 3 V u d C B p b m N y Z W F z Z S w 5 f S Z x d W 9 0 O y w m c X V v d D t T Z W N 0 a W 9 u M S 9 J b m l 0 a W F s I G F k a n V z d G V k I G F s b G 9 j Y X R p b 2 5 z L 0 N o Y W 5 n Z W Q g V H l w Z S 5 7 Q k F T S U M g S G 9 s Z C B I Y X J t b G V z c y B i Y X N l I C h Q c m l v c i B 5 Z W F y I G F k a n V z d G V k I G F s b G 9 j K S w y f S Z x d W 9 0 O y w m c X V v d D t T Z W N 0 a W 9 u M S 9 J b m l 0 a W F s I G F k a n V z d G V k I G F s b G 9 j Y X R p b 2 5 z L 0 N o Y W 5 n Z W Q g V H l w Z S 5 7 V E F S R 0 V U R U Q g S G 9 s Z C B I Y X J t b G V z c y B C Y X N l I C h Q c m l v c i B Z Z W F y I G F k a n V z d G V k I G F s b G 9 j K S w 0 f S Z x d W 9 0 O y w m c X V v d D t T Z W N 0 a W 9 u M S 9 J b m l 0 a W F s I G F k a n V z d G V k I G F s b G 9 j Y X R p b 2 5 z L 0 N o Y W 5 n Z W Q g V H l w Z S 5 7 Q 2 9 u Y y B I b 2 x k I E h h c m 1 s Z X N z I E J h c 2 U g K C A 0 I H l l Y X I g b G 9 v a 2 J h Y 2 s p L D N 9 J n F 1 b 3 Q 7 L C Z x d W 9 0 O 1 N l Y 3 R p b 2 4 x L 0 l u a X R p Y W w g Y W R q d X N 0 Z W Q g Y W x s b 2 N h d G l v b n M v Q 2 h h b m d l Z C B U e X B l L n t F R k l H I E h v b G Q g S G F y b W x l c 3 M g Y m F z Z S A o U H J p b 3 I g W W V h c i B h Z G p 1 c 3 R l Z C B h b G x v Y y k s N X 0 m c X V v d D s s J n F 1 b 3 Q 7 U 2 V j d G l v b j E v S W 5 p d G l h b C B h Z G p 1 c 3 R l Z C B h b G x v Y 2 F 0 a W 9 u c y 9 D a G F u Z 2 V k I F R 5 c G U u e 1 R v d G F s I E h v b G Q g S G F y b W x l c 3 M g Y m F z Z S w 2 f S Z x d W 9 0 O y w m c X V v d D t T Z W N 0 a W 9 u M S 9 J b m l 0 a W F s I G F k a n V z d G V k I G F s b G 9 j Y X R p b 2 5 z L 0 N o Y W 5 n Z W Q g V H l w Z S 5 7 Q W R q I E J h c 2 l j I E F s b G 9 j Y X R p b 2 4 g L D d 9 J n F 1 b 3 Q 7 L C Z x d W 9 0 O 1 N l Y 3 R p b 2 4 x L 0 l u a X R p Y W w g Y W R q d X N 0 Z W Q g Y W x s b 2 N h d G l v b n M v Q 2 h h b m d l Z C B U e X B l L n t B Z G o g Q 2 9 u Y y 4 g Q W x s b 2 N h d G l v b i A s O H 0 m c X V v d D s s J n F 1 b 3 Q 7 U 2 V j d G l v b j E v S W 5 p d G l h b C B h Z G p 1 c 3 R l Z C B h b G x v Y 2 F 0 a W 9 u c y 9 D a G F u Z 2 V k I F R 5 c G U u e 0 F k a i B U Y X J n Z X R l Z C B h b G x v Y 2 F 0 a W 9 u L D l 9 J n F 1 b 3 Q 7 L C Z x d W 9 0 O 1 N l Y 3 R p b 2 4 x L 0 l u a X R p Y W w g Y W R q d X N 0 Z W Q g Y W x s b 2 N h d G l v b n M v Q 2 h h b m d l Z C B U e X B l L n t B Z G o g R U Z J R y B B b G x v Y 2 F 0 a W 9 u L D E w f S Z x d W 9 0 O y w m c X V v d D t T Z W N 0 a W 9 u M S 9 J b m l 0 a W F s I G F k a n V z d G V k I G F s b G 9 j Y X R p b 2 5 z L 0 N o Y W 5 n Z W Q g V H l w Z S 5 7 Q W R q I F R v d G F s I F R p d G x l I E k g Q W x s b 2 N h d G l v b i A s M T F 9 J n F 1 b 3 Q 7 L C Z x d W 9 0 O 1 N l Y 3 R p b 2 4 x L 0 5 l d y B v c i B F e H B h b m R l Z C B I S C B j a G V j a y 9 D a G F u Z 2 V k I F R 5 c G U u e 0 5 l d y 9 F e H B h b m R l Z C B C Y X N p Y y B I S C B i Y X N l L D I w f S Z x d W 9 0 O y w m c X V v d D t T Z W N 0 a W 9 u M S 9 O Z X c g b 3 I g R X h w Y W 5 k Z W Q g S E g g Y 2 h l Y 2 s v Q 2 h h b m d l Z C B U e X B l L n t O Z X c v R X h w Y W 5 k a W 5 n I E N v b m M g S E g g Y m F z Z S w y M X 0 m c X V v d D s s J n F 1 b 3 Q 7 U 2 V j d G l v b j E v T m V 3 I G 9 y I E V 4 c G F u Z G V k I E h I I G N o Z W N r L 0 N o Y W 5 n Z W Q g V H l w Z S 5 7 T m V 3 L 0 V 4 c G F u Z G l u Z y B U Y X J n Z X R l Z C B I S C B C Y X N l L D I y f S Z x d W 9 0 O y w m c X V v d D t T Z W N 0 a W 9 u M S 9 O Z X c g b 3 I g R X h w Y W 5 k Z W Q g S E g g Y 2 h l Y 2 s v Q 2 h h b m d l Z C B U e X B l L n t O Z X c g R X h w Y W 5 k a W 5 n I E V G S U c g S E g g Q m F z Z S w y M 3 0 m c X V v d D s s J n F 1 b 3 Q 7 U 2 V j d G l v b j E v T m V 3 I G 9 y I E V 4 c G F u Z G V k I E h I I G N o Z W N r L 0 N o Y W 5 n Z W Q g V H l w Z S 5 7 T m V 3 I E V 4 c G F u Z G V k I H R v d G F s I E h I I G J h c 2 U s M j R 9 J n F 1 b 3 Q 7 X S w m c X V v d D t S Z W x h d G l v b n N o a X B J b m Z v J n F 1 b 3 Q 7 O l t d f S I g L z 4 8 R W 5 0 c n k g V H l w Z T 0 i R m l s b E N v d W 5 0 I i B W Y W x 1 Z T 0 i b D E 4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v c i U y M E V 4 c G F u Z G V k J T I w S E g l M j B j a G V j a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R X h w Y W 5 k Z W Q l M j B J b m l 0 a W F s J T I w Y W R q d X N 0 Z W Q l M j B m b 3 J t d W x h J T I w Y 2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v c i U y M E V 4 c G F u Z G V k J T I w S E g l M j B j a G V j a y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G 9 y J T I w R X h w Y W 5 k Z W Q l M j B I S C U y M G N o Z W N r L 0 V 4 c G F u Z G V k J T I w U H J p b 3 I l M j B Z Z W F y J T I w Q W R q d X N 0 Z W Q l M j B G b 3 J t d W x h J T I w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V G 9 0 Y W w l M j B G b 3 J t d W x h J T I w Q 2 9 1 b n Q l M j B J b m N y Z W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G 9 y J T I w R X h w Y W 5 k Z W Q l M j B I S C U y M G N o Z W N r L 0 1 l c m d l Z C U y M F F 1 Z X J p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T m V 3 J T J G R X h w Y W 5 k a W 5 n J T I w Q m F z a W M l M j B I S C U y M E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v c i U y M E V 4 c G F u Z G V k J T I w S E g l M j B j a G V j a y 9 O Z X c l M j B F e H B h b m R p b m c l M j B j b 2 5 j J T I w S E g l M j B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T m V 3 J T I w R X h w Y W 5 k a W 5 n J T I w V G F 0 Z 2 V 0 Z W Q l M j B I S C U y M G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v c i U y M E V 4 c G F u Z G V k J T I w S E g l M j B j a G V j a y 9 O Z X c l M j B F e H B h b m R p b m c l M j B F R k l H J T I w S E g l M j B C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T m V 3 J T I w R X h w Y W 5 k a W 5 n J T I w d G 9 0 Y W w l M j B I S C U y M G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R l b C U y M G F s b G 9 j Y X R p b 2 5 z P C 9 J d G V t U G F 0 a D 4 8 L 0 l 0 Z W 1 M b 2 N h d G l v b j 4 8 U 3 R h Y m x l R W 5 0 c m l l c z 4 8 R W 5 0 c n k g V H l w Z T 0 i U X V l c n l H c m 9 1 c E l E I i B W Y W x 1 Z T 0 i c z c 5 N D k 3 Z G E 4 L T l l M j A t N D c 5 N y 0 5 O T F i L T B l Y j U 2 N W Y y O T U 5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S U Q i I F Z h b H V l P S J z O D k 2 Y W F l Z m Y t M T I 4 Z S 0 0 Y j h m L W I 5 O D E t M W V m M W I 2 Y j A 1 Z G Y 3 I i A v P j x F b n R y e S B U e X B l P S J G a W x s V G F y Z 2 V 0 I i B W Y W x 1 Z T 0 i c 0 1 v Z G V s X 2 F s b G 9 j Y X R p b 2 5 z I i A v P j x F b n R y e S B U e X B l P S J G a W x s T G F z d F V w Z G F 0 Z W Q i I F Z h b H V l P S J k M j A y N i 0 w N i 0 y O V Q x N j o 0 M z o y O S 4 5 N z Y z N j U x W i I g L z 4 8 R W 5 0 c n k g V H l w Z T 0 i R m l s b E N v b H V t b l R 5 c G V z I i B W Y W x 1 Z T 0 i c 0 F B Q U Z C U V V G Q l F V R k J R V U Y i I C 8 + P E V u d H J 5 I F R 5 c G U 9 I k Z p b G x D b 2 x 1 b W 5 O Y W 1 l c y I g V m F s d W U 9 I n N b J n F 1 b 3 Q 7 T E V B S U Q m c X V v d D s s J n F 1 b 3 Q 7 T E V B T k F N R S Z x d W 9 0 O y w m c X V v d D t C Q V N J Q y B I b 2 x k I E h h c m 1 s Z X N z I E J h c 2 U m c X V v d D s s J n F 1 b 3 Q 7 Q 2 9 u Y y B I b 2 x k I E h h c m 1 s Z X N z I E J h c 2 U m c X V v d D s s J n F 1 b 3 Q 7 V G F y Z 2 V 0 Z W Q g S G 9 s Z C B I Y X J t b G V z c y B C Y X N l J n F 1 b 3 Q 7 L C Z x d W 9 0 O 0 V G S U c g S G 9 s Z C B I Y X J t b G V z c y B C Y X N l J n F 1 b 3 Q 7 L C Z x d W 9 0 O 1 R v d G F s I E h v b G Q g S G F y b W x l c 3 M g Q m F z Z S Z x d W 9 0 O y w m c X V v d D t C Y X N p Y y B B b G x v Y 2 F 0 a W 9 u J n F 1 b 3 Q 7 L C Z x d W 9 0 O 0 N v b m M u I E F s b G 9 j Y X R p b 2 4 m c X V v d D s s J n F 1 b 3 Q 7 V G F y Z 2 V 0 Z W Q g Q W x s b 2 N h d G l v b i Z x d W 9 0 O y w m c X V v d D t F R k l H I E F s b G 9 j Y X R p b 2 4 m c X V v d D s s J n F 1 b 3 Q 7 V G 9 0 Y W w g V G l 0 b G U g S S B B b G x v Y 2 F 0 a W 9 u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p d G l h b C B h Z G p 1 c 3 R l Z C B m b 3 J t d W x h I G N v d W 5 0 L 0 N v b n N v b G l k Y X R l I E x F Q U l E L n t h Z G o g T E V B S U Q s M z N 9 J n F 1 b 3 Q 7 L C Z x d W 9 0 O 1 N l Y 3 R p b 2 4 x L 0 l u a X R p Y W w g Y W R q d X N 0 Z W Q g Z m 9 y b X V s Y S B j b 3 V u d C 9 D b 2 5 z b 2 x p Z G F 0 Z S B M R U F O Q U 1 F L n t M R U F O Q U 1 F L D M 0 f S Z x d W 9 0 O y w m c X V v d D t T Z W N 0 a W 9 u M S 9 N b 2 R l b C B h b G x v Y 2 F 0 a W 9 u c y 9 D a G F u Z 2 V k I F R 5 c G U u e 0 J B U 0 l D I E h v b G Q g S G F y b W x l c 3 M g Q m F z Z S w y f S Z x d W 9 0 O y w m c X V v d D t T Z W N 0 a W 9 u M S 9 N b 2 R l b C B h b G x v Y 2 F 0 a W 9 u c y 9 D a G F u Z 2 V k I F R 5 c G U u e 0 N v b m M g S G 9 s Z C B I Y X J t b G V z c y B C Y X N l L D N 9 J n F 1 b 3 Q 7 L C Z x d W 9 0 O 1 N l Y 3 R p b 2 4 x L 0 1 v Z G V s I G F s b G 9 j Y X R p b 2 5 z L 0 N o Y W 5 n Z W Q g V H l w Z S 5 7 V G F y Z 2 V 0 Z W Q g S G 9 s Z C B I Y X J t b G V z c y B C Y X N l L D R 9 J n F 1 b 3 Q 7 L C Z x d W 9 0 O 1 N l Y 3 R p b 2 4 x L 0 1 v Z G V s I G F s b G 9 j Y X R p b 2 5 z L 0 N o Y W 5 n Z W Q g V H l w Z S 5 7 R U Z J R y B I b 2 x k I E h h c m 1 s Z X N z I E J h c 2 U s N X 0 m c X V v d D s s J n F 1 b 3 Q 7 U 2 V j d G l v b j E v T W 9 k Z W w g Y W x s b 2 N h d G l v b n M v Q 2 h h b m d l Z C B U e X B l L n t U b 3 R h b C B I b 2 x k I E h h c m 1 s Z X N z I E J h c 2 U s N n 0 m c X V v d D s s J n F 1 b 3 Q 7 U 2 V j d G l v b j E v T W 9 k Z W w g Y W x s b 2 N h d G l v b n M v Q 2 h h b m d l Z C B U e X B l L n t C Y X N p Y y B B b G x v Y 2 F 0 a W 9 u L D d 9 J n F 1 b 3 Q 7 L C Z x d W 9 0 O 1 N l Y 3 R p b 2 4 x L 0 1 v Z G V s I G F s b G 9 j Y X R p b 2 5 z L 0 N o Y W 5 n Z W Q g V H l w Z S 5 7 Q 2 9 u Y y 4 g Q W x s b 2 N h d G l v b i w 4 f S Z x d W 9 0 O y w m c X V v d D t T Z W N 0 a W 9 u M S 9 N b 2 R l b C B h b G x v Y 2 F 0 a W 9 u c y 9 D a G F u Z 2 V k I F R 5 c G U u e 1 R h c m d l d G V k I E F s b G 9 j Y X R p b 2 4 s O X 0 m c X V v d D s s J n F 1 b 3 Q 7 U 2 V j d G l v b j E v T W 9 k Z W w g Y W x s b 2 N h d G l v b n M v Q 2 h h b m d l Z C B U e X B l L n t F R k l H I E F s b G 9 j Y X R p b 2 4 s M T B 9 J n F 1 b 3 Q 7 L C Z x d W 9 0 O 1 N l Y 3 R p b 2 4 x L 0 1 v Z G V s I G F s b G 9 j Y X R p b 2 5 z L 0 N o Y W 5 n Z W Q g V H l w Z S 5 7 V G 9 0 Y W w g V G l 0 b G U g S S B B b G x v Y 2 F 0 a W 9 u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S W 5 p d G l h b C B h Z G p 1 c 3 R l Z C B m b 3 J t d W x h I G N v d W 5 0 L 0 N v b n N v b G l k Y X R l I E x F Q U l E L n t h Z G o g T E V B S U Q s M z N 9 J n F 1 b 3 Q 7 L C Z x d W 9 0 O 1 N l Y 3 R p b 2 4 x L 0 l u a X R p Y W w g Y W R q d X N 0 Z W Q g Z m 9 y b X V s Y S B j b 3 V u d C 9 D b 2 5 z b 2 x p Z G F 0 Z S B M R U F O Q U 1 F L n t M R U F O Q U 1 F L D M 0 f S Z x d W 9 0 O y w m c X V v d D t T Z W N 0 a W 9 u M S 9 N b 2 R l b C B h b G x v Y 2 F 0 a W 9 u c y 9 D a G F u Z 2 V k I F R 5 c G U u e 0 J B U 0 l D I E h v b G Q g S G F y b W x l c 3 M g Q m F z Z S w y f S Z x d W 9 0 O y w m c X V v d D t T Z W N 0 a W 9 u M S 9 N b 2 R l b C B h b G x v Y 2 F 0 a W 9 u c y 9 D a G F u Z 2 V k I F R 5 c G U u e 0 N v b m M g S G 9 s Z C B I Y X J t b G V z c y B C Y X N l L D N 9 J n F 1 b 3 Q 7 L C Z x d W 9 0 O 1 N l Y 3 R p b 2 4 x L 0 1 v Z G V s I G F s b G 9 j Y X R p b 2 5 z L 0 N o Y W 5 n Z W Q g V H l w Z S 5 7 V G F y Z 2 V 0 Z W Q g S G 9 s Z C B I Y X J t b G V z c y B C Y X N l L D R 9 J n F 1 b 3 Q 7 L C Z x d W 9 0 O 1 N l Y 3 R p b 2 4 x L 0 1 v Z G V s I G F s b G 9 j Y X R p b 2 5 z L 0 N o Y W 5 n Z W Q g V H l w Z S 5 7 R U Z J R y B I b 2 x k I E h h c m 1 s Z X N z I E J h c 2 U s N X 0 m c X V v d D s s J n F 1 b 3 Q 7 U 2 V j d G l v b j E v T W 9 k Z W w g Y W x s b 2 N h d G l v b n M v Q 2 h h b m d l Z C B U e X B l L n t U b 3 R h b C B I b 2 x k I E h h c m 1 s Z X N z I E J h c 2 U s N n 0 m c X V v d D s s J n F 1 b 3 Q 7 U 2 V j d G l v b j E v T W 9 k Z W w g Y W x s b 2 N h d G l v b n M v Q 2 h h b m d l Z C B U e X B l L n t C Y X N p Y y B B b G x v Y 2 F 0 a W 9 u L D d 9 J n F 1 b 3 Q 7 L C Z x d W 9 0 O 1 N l Y 3 R p b 2 4 x L 0 1 v Z G V s I G F s b G 9 j Y X R p b 2 5 z L 0 N o Y W 5 n Z W Q g V H l w Z S 5 7 Q 2 9 u Y y 4 g Q W x s b 2 N h d G l v b i w 4 f S Z x d W 9 0 O y w m c X V v d D t T Z W N 0 a W 9 u M S 9 N b 2 R l b C B h b G x v Y 2 F 0 a W 9 u c y 9 D a G F u Z 2 V k I F R 5 c G U u e 1 R h c m d l d G V k I E F s b G 9 j Y X R p b 2 4 s O X 0 m c X V v d D s s J n F 1 b 3 Q 7 U 2 V j d G l v b j E v T W 9 k Z W w g Y W x s b 2 N h d G l v b n M v Q 2 h h b m d l Z C B U e X B l L n t F R k l H I E F s b G 9 j Y X R p b 2 4 s M T B 9 J n F 1 b 3 Q 7 L C Z x d W 9 0 O 1 N l Y 3 R p b 2 4 x L 0 1 v Z G V s I G F s b G 9 j Y X R p b 2 5 z L 0 N o Y W 5 n Z W Q g V H l w Z S 5 7 V G 9 0 Y W w g V G l 0 b G U g S S B B b G x v Y 2 F 0 a W 9 u L D E x f S Z x d W 9 0 O 1 0 s J n F 1 b 3 Q 7 U m V s Y X R p b 2 5 z a G l w S W 5 m b y Z x d W 9 0 O z p b X X 0 i I C 8 + P E V u d H J 5 I F R 5 c G U 9 I k Z p b G x D b 3 V u d C I g V m F s d W U 9 I m w z M T Q i I C 8 + P E V u d H J 5 I F R 5 c G U 9 I k F k Z G V k V G 9 E Y X R h T W 9 k Z W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N b 2 R l b C U y M G F s b G 9 j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Z G V s J T I w Y W x s b 2 N h d G l v b n M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Z G V s J T I w Y W x s b 2 N h d G l v b n M v R X h w Y W 5 k Z W Q l M j B O Z X c l M j B v c i U y M E V 4 c G F u Z G V k J T I w S E g l M j B j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Z G V s J T I w Y W x s b 2 N h d G l v b n M v Q 2 9 u Y y U y M E h v b G Q l M j B I Y X J t b G V z c y U y M E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R l b C U y M G F s b G 9 j Y X R p b 2 5 z L 1 R h c m d l d G V k J T I w S G 9 s Z C U y M E h h c m 1 s Z X N z J T I w Q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Z G V s J T I w Y W x s b 2 N h d G l v b n M v R U Z J R y U y M E h v b G Q l M j B I Y X J t b G V z c y U y M E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R l b C U y M G F s b G 9 j Y X R p b 2 5 z L 0 J h c 2 l j J T I w S G 9 s Z C U y M E h h c m 1 s Z X N z J T I w Q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M l M j B l b G l n a W J p b G l 0 e S U y M H l l Y X I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M l M j B l b G l n a W J p b G l 0 e S U y M H l l Y X I v R X h w Y W 5 k Z W Q l M j B N b 2 R l b C U y M G F s b G 9 j Y X R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k Z W w l M j B h b G x v Y 2 F 0 a W 9 u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M l M j B l b G l n a W J p b G l 0 e S U y M H l l Y X I v Q 2 9 u Y y U y M E V s a W d p Y m l s a X R 5 J T I w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Y y U y M G V s a W d p Y m l s a X R 5 J T I w e W V h c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N Z X J n Z W Q l M j B R d W V y a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F s b G 9 j Y X R p b 2 5 z L 0 V 4 c G F u Z G V k J T I w Q 2 9 u Y y U y M G x v b 2 t i Y W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F s b G 9 j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b 3 I l M j B F e H B h b m R l Z C U y M E h I J T I w Y 2 h l Y 2 s v R X h w Y W 5 k Z W Q l M j B J b m l 0 a W F s J T I w Y W R q d X N 0 Z W Q l M j B h b G x v Y 2 F 0 a W 9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G 9 y J T I w R X h w Y W 5 k Z W Q l M j B I S C U y M G N o Z W N r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k Z W w l M j B h b G x v Y 2 F 0 a W 9 u c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k Z W w l M j B h b G x v Y 2 F 0 a W 9 u c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Z G V s J T I w Y W x s b 2 N h d G l v b n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R l b C U y M G F s b G 9 j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9 F J T I w Q W x s b 2 N h d G l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R S U y M E F s b G 9 j Y X R p b 2 4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0 U l M j B B b G x v Y 2 F 0 a W 9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c n R l c l 9 U c m l i Y W x T Z W 5 k a W 5 n J T I w R G l z d H J p Y 3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c n R l c l 9 U c m l i Y W x T Z W 5 k a W 5 n J T I w R G l z d H J p Y 3 R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Y W R q d X N 0 Z W Q l M j B h b G x v Y 2 F 0 a W 9 u c y 9 J b m l 0 a W F s J T I w Y W R q d X N 0 Z W Q l M j B h b G x v Y 2 F 0 a W 9 u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9 y J T I w W W V h c i U y M G F k a n V z d G V k J T I w Y W x s b 2 N h d G l v b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Y W R q d X N 0 Z W Q l M j B h b G x v Y 2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9 y J T I w W W V h c i U y M E F k a n V z d G V k J T I w R m 9 y b X V s Y S U y M G N v d W 5 0 c y 9 J b m l 0 a W F s X 2 F k a n V z d G V k X 2 Z v c m 1 1 b G F f Y 2 9 1 b n R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v c i U y M F l l Y X I l M j B B Z G p 1 c 3 R l Z C U y M E Z v c m 1 1 b G E l M j B j b 3 V u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0 U l M j B B b G x v Y 2 F 0 a W 9 u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9 F J T I w R m 9 y b X V s Y S U y M G N v d W 5 0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X J 0 Z X J f V H J p Y m F s U 2 V u Z G l u Z y U y M E R p c 3 R y a W N 0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0 U l M j B B b G x v Y 2 F 0 a W 9 u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G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Y y U y M G x v b 2 t i Y W N r L 1 R h Y m x l X z R f e W V h c l 9 s b 2 9 r Y m F j a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m M l M j B s b 2 9 r Y m F j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F s b G 9 j Y X R p b 2 5 z L 0 N v b m M l M j B I S C U y M G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v c i U y M F l l Y X I l M j B O Z X Q l M j B 0 b y U y M G R p c 3 R y a W N 0 L 1 N 0 Y X R l J T I w U m V z Z X J 2 Y X R p b 2 5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T m V 0 J T I w d G 8 l M j B k a X N 0 c m l j d C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9 y J T I w W W V h c i U y M E 5 l d C U y M H R v J T I w Z G l z d H J p Y 3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T m V 0 J T I w d G 8 l M j B k a X N 0 c m l j d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m l 0 a W F s J T I w Y W R q d X N 0 Z W Q l M j B h b G x v Y 2 F 0 a W 9 u c y 9 B Z G o l M j B U Y X J n Z X R l Z C U y M E F s b G 9 j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0 R E R C U y R k x F Q W l k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9 y J T I w W W V h c i U y M E 5 l d C U y M H R v J T I w Z G l z d H J p Y 3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9 y J T I w W W V h c i U y M E 5 l d C U y M H R v J T I w Z G l z d H J p Y 3 Q v R X h w Y W 5 k Z W Q l M j B Q c m l v c i U y M F l l Y X I l M j B B Z G p 1 c 3 R l Z C U y M E Z v c m 1 1 b G E l M j B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l v c i U y M F l l Y X I l M j B O Z X Q l M j B 0 b y U y M G R p c 3 R y a W N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Z m 9 y b X V s Y S U y M G N v d W 5 0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3 V t c H R p b 2 5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l J Q T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U E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U l B M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U l B M L 0 1 l c m d l M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z c 3 V t c H R p b 2 5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N z d W 1 w d G l v b n M v U 3 R h d G U l M j B U Y W J s Z S U y M E Z Z J T I w M j U l M j B Q c m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b G U v U 3 R h d G U l M j B U Y W J s Z S U y M E Z Z J T I w M j U l M j B Q c m V s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b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L U k l M j B T d G F 0 Z S U y M E F k b S U y M C U y M D E w M D Q o Y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C 1 J J T I w U 3 R h d G U l M j B B Z G 0 l M j A l M j A x M D A 0 K G I p L 1 B y Z W w u J T I w V C 1 J J T I w U 3 R h d G U l M j B B Z G 0 l M j A x M D A 0 K G I p I V 9 4 b G 5 t L l B y a W 5 0 X 0 F y Z W F f R G V m a W 5 l Z E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L U k l M j B T d G F 0 Z S U y M E F k b S U y M C U y M D E w M D Q o Y i k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L U k l M j B T d G F 0 Z S U y M E F k b S U y M C U y M D E w M D Q o Y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C 1 J J T I w U 3 R h d G U l M j B B Z G 0 l M j A l M j A x M D A 0 K G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T m V 0 J T I w d G 8 l M j B k a X N 0 c m l j d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p b 3 I l M j B Z Z W F y J T I w T m V 0 J T I w d G 8 l M j B k a X N 0 c m l j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a X R p Y W w l M j B h Z G p 1 c 3 R l Z C U y M G F s b G 9 j Y X R p b 2 5 z L 0 1 l c m d l Z C U y M F F 1 Z X J p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R X h w Y W 5 k Z W Q l M j B Q c m l v c i U y M F l l Y X I l M j B O Z X Q l M j B 0 b y U y M G R p c 3 R y a W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p d G l h b C U y M G F k a n V z d G V k J T I w Y W x s b 2 N h d G l v b n M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K D o K m r P T a 0 e 6 4 K S f o b B u M g A A A A A C A A A A A A A D Z g A A w A A A A B A A A A C 3 d 4 n A T C I o K d R J c O j C k 8 G N A A A A A A S A A A C g A A A A E A A A A G f 5 8 C d J J S h G q r 8 N O h + Q T 9 l Q A A A A x d n o I Q C 5 A y T 5 i o T Y D l 8 V / I v a H q Y K s d I W 8 / e 1 b V 7 V o k A Y H e z 6 L B W 5 1 j S f 3 B q G T E y w 2 h M W v k V b Q 3 b l 7 N 7 N n t L P h f z X g l / v j B K b r j u a 0 1 l B 1 d Q U A A A A H g O u A X r U K N o H X e o s R d 5 L o f K 9 t G g = < / D a t a M a s h u p > 
</file>

<file path=customXml/item14.xml>��< ? x m l   v e r s i o n = " 1 . 0 "   e n c o d i n g = " U T F - 1 6 " ? > < G e m i n i   x m l n s = " h t t p : / / g e m i n i / p i v o t c u s t o m i z a t i o n / T a b l e X M L _ F R P L _ 6 d 9 4 2 e 1 6 - 2 2 d b - 4 f f a - b 3 c 4 - 7 8 e 5 f 7 7 f 3 d 9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 s c h o o l Y e a r < / s t r i n g > < / k e y > < v a l u e > < i n t > 1 0 2 < / i n t > < / v a l u e > < / i t e m > < i t e m > < k e y > < s t r i n g > C C D D D < / s t r i n g > < / k e y > < v a l u e > < i n t > 7 9 < / i n t > < / v a l u e > < / i t e m > < i t e m > < k e y > < s t r i n g > D i s t r i c t N a m e < / s t r i n g > < / k e y > < v a l u e > < i n t > 1 1 7 < / i n t > < / v a l u e > < / i t e m > < i t e m > < k e y > < s t r i n g > T o t a l S t u d e n t s < / s t r i n g > < / k e y > < v a l u e > < i n t > 1 2 1 < / i n t > < / v a l u e > < / i t e m > < i t e m > < k e y > < s t r i n g > T o t a l S t u d e n t s I n P o v e r t y < / s t r i n g > < / k e y > < v a l u e > < i n t > 1 8 1 < / i n t > < / v a l u e > < / i t e m > < i t e m > < k e y > < s t r i n g > T o t a l P e r c e n t I n P o v e r t y < / s t r i n g > < / k e y > < v a l u e > < i n t > 1 7 4 < / i n t > < / v a l u e > < / i t e m > < / C o l u m n W i d t h s > < C o l u m n D i s p l a y I n d e x > < i t e m > < k e y > < s t r i n g > s c h o o l Y e a r < / s t r i n g > < / k e y > < v a l u e > < i n t > 0 < / i n t > < / v a l u e > < / i t e m > < i t e m > < k e y > < s t r i n g > C C D D D < / s t r i n g > < / k e y > < v a l u e > < i n t > 1 < / i n t > < / v a l u e > < / i t e m > < i t e m > < k e y > < s t r i n g > D i s t r i c t N a m e < / s t r i n g > < / k e y > < v a l u e > < i n t > 2 < / i n t > < / v a l u e > < / i t e m > < i t e m > < k e y > < s t r i n g > T o t a l S t u d e n t s < / s t r i n g > < / k e y > < v a l u e > < i n t > 3 < / i n t > < / v a l u e > < / i t e m > < i t e m > < k e y > < s t r i n g > T o t a l S t u d e n t s I n P o v e r t y < / s t r i n g > < / k e y > < v a l u e > < i n t > 4 < / i n t > < / v a l u e > < / i t e m > < i t e m > < k e y > < s t r i n g > T o t a l P e r c e n t I n P o v e r t y 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 2 0 2 3 - 0 1 - 0 4 T 1 3 : 2 4 : 4 3 . 3 7 8 4 6 1 3 - 0 8 : 0 0 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F R P L _ 6 d 9 4 2 e 1 6 - 2 2 d b - 4 f f a - b 3 c 4 - 7 8 e 5 f 7 7 f 3 d 9 7 , C h a r t e r _ T r i b a l S e n d i n g   D i s t r i c t s _ a d c 0 a f 9 0 - 1 c f 7 - 4 a f d - a 1 f 7 - 5 0 5 f 4 e 6 c d 8 3 a , C h a r t e r O n l y _ d 4 b 2 8 d b 4 - 5 9 5 5 - 4 8 2 1 - 8 a 9 1 - 0 8 5 6 5 0 4 1 f b b 0 , S e n d i n g O n l y _ 5 2 8 9 9 1 c 0 - 2 2 c f - 4 f 9 a - 9 1 0 7 - 2 1 e 3 0 a 0 d 6 3 5 9 , A p p e n d 1 _ b 3 4 8 9 1 a c - 6 a 3 8 - 4 0 e d - b 3 3 5 - 0 b b b 1 a 4 8 9 8 8 3 , S p l i t   C a l c _ 2 4 7 9 5 7 c 6 - f 8 0 a - 4 c f 9 - b f 6 2 - 8 3 0 d e e 1 7 a d a e , C C D D D   L E A i d _ 5 8 4 1 9 7 1 3 - e a 0 3 - 4 4 5 5 - 9 8 b b - 3 7 2 1 9 4 3 4 a 6 9 b , A l l o c a t i o n   A d j u s t m e n t s _ 8 f e 4 f 7 e 9 - e 0 a e - 4 d d d - b 7 3 4 - 2 4 6 7 4 4 8 3 0 3 6 3 , A l l o c a t i o n   A d j u s t m e n t s   1 _ 3 1 5 c 8 9 5 3 - 2 b 8 a - 4 0 3 4 - 8 9 4 8 - 0 3 a 4 2 e 1 3 f 8 6 f , F o r m u l a   C o u n t s   A d j u s t m e n t s _ 2 2 b 3 9 b f 5 - 5 f 1 a - 4 2 f b - b e f 1 - f 2 1 4 1 3 0 e 6 6 e 8 , D O E   F o r m u l a   c o u n t s _ 3 f 1 0 5 a e 7 - f e 3 7 - 4 b 9 a - a a 6 3 - 6 9 b 7 6 8 c b 6 c d c , P r i o r   Y e a r   a d j u s t e d   a l l o c a t i o n s _ 8 1 3 0 c 1 8 f - 6 f 1 7 - 4 e d 2 - b d 1 4 - 5 9 7 e 9 d 2 f c 0 d d , P r i o r   Y e a r   A d j u s t e d   F o r m u l a   c o u n t s _ 2 a 5 7 8 e 4 d - 5 3 4 5 - 4 c a 2 - b 6 b 0 - 1 2 d 6 c d b 6 e 7 9 b , D O E   A l l o c a t i o n _ e 2 0 0 d c 5 5 - e 8 3 5 - 4 8 5 f - b 9 a c - 8 6 4 e 5 e 0 8 6 a 2 b , N e w   O r   E x p n a d e d   H H   c a l c _ 7 9 e 3 5 7 e f - a b 8 d - 4 d c b - 9 a 9 b - e d a 3 0 6 b 3 d 2 7 3 , s u m i f _ c 9 c 1 6 b e 1 - 9 4 6 9 - 4 6 2 3 - 9 b 4 e - b c b 3 2 3 c c e 1 4 4 , A d j u s t e d   A l l o c a t i o n _ 1 6 a d 7 0 0 4 - c 0 8 7 - 4 f 8 e - b 5 d d - 1 9 7 2 1 d f e 9 2 b 0 , A d j u s t e d   F o r m u l a   C o u n t s _ f 8 e e 0 e d 7 - 5 4 d 0 - 4 1 3 4 - 9 2 8 b - 8 d 2 5 2 c 8 f 9 7 b 8 , A s s u m p t i o n s - 3 5 6 1 3 9 1 d - e 1 4 b - 4 8 7 5 - a c a 7 - 0 b 3 d b c 1 c 3 8 d 4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s u m i f _ c 9 c 1 6 b e 1 - 9 4 6 9 - 4 6 2 3 - 9 b 4 e - b c b 3 2 3 c c e 1 4 4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 F R P L _ 6 d 9 4 2 e 1 6 - 2 2 d b - 4 f f a - b 3 c 4 - 7 8 e 5 f 7 7 f 3 d 9 7 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 s u m i f _ c 9 c 1 6 b e 1 - 9 4 6 9 - 4 6 2 3 - 9 b 4 e - b c b 3 2 3 c c e 1 4 4 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5 3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 T a g s \ T a b l e s \ & l t ; T a b l e s \ F R P L & g t ; < / K e y > < / D i a g r a m O b j e c t K e y > < D i a g r a m O b j e c t K e y > < K e y > D y n a m i c   T a g s \ T a b l e s \ & l t ; T a b l e s \ C h a r t e r _ T r i b a l S e n d i n g   D i s t r i c t s & g t ; < / K e y > < / D i a g r a m O b j e c t K e y > < D i a g r a m O b j e c t K e y > < K e y > D y n a m i c   T a g s \ T a b l e s \ & l t ; T a b l e s \ C h a r t e r O n l y & g t ; < / K e y > < / D i a g r a m O b j e c t K e y > < D i a g r a m O b j e c t K e y > < K e y > D y n a m i c   T a g s \ T a b l e s \ & l t ; T a b l e s \ S e n d i n g O n l y & g t ; < / K e y > < / D i a g r a m O b j e c t K e y > < D i a g r a m O b j e c t K e y > < K e y > D y n a m i c   T a g s \ T a b l e s \ & l t ; T a b l e s \ A p p e n d 1 & g t ; < / K e y > < / D i a g r a m O b j e c t K e y > < D i a g r a m O b j e c t K e y > < K e y > D y n a m i c   T a g s \ T a b l e s \ & l t ; T a b l e s \ S p l i t   C a l c & g t ; < / K e y > < / D i a g r a m O b j e c t K e y > < D i a g r a m O b j e c t K e y > < K e y > D y n a m i c   T a g s \ T a b l e s \ & l t ; T a b l e s \ C C D D D   L E A i d & g t ; < / K e y > < / D i a g r a m O b j e c t K e y > < D i a g r a m O b j e c t K e y > < K e y > D y n a m i c   T a g s \ T a b l e s \ & l t ; T a b l e s \ A l l o c a t i o n   A d j u s t m e n t s & g t ; < / K e y > < / D i a g r a m O b j e c t K e y > < D i a g r a m O b j e c t K e y > < K e y > D y n a m i c   T a g s \ T a b l e s \ & l t ; T a b l e s \ A l l o c a t i o n   A d j u s t m e n t s   1 & g t ; < / K e y > < / D i a g r a m O b j e c t K e y > < D i a g r a m O b j e c t K e y > < K e y > D y n a m i c   T a g s \ T a b l e s \ & l t ; T a b l e s \ F o r m u l a   C o u n t s   A d j u s t m e n t s & g t ; < / K e y > < / D i a g r a m O b j e c t K e y > < D i a g r a m O b j e c t K e y > < K e y > D y n a m i c   T a g s \ T a b l e s \ & l t ; T a b l e s \ D O E   F o r m u l a   c o u n t s & g t ; < / K e y > < / D i a g r a m O b j e c t K e y > < D i a g r a m O b j e c t K e y > < K e y > D y n a m i c   T a g s \ T a b l e s \ & l t ; T a b l e s \ P r i o r   Y e a r   a d j u s t e d   a l l o c a t i o n s & g t ; < / K e y > < / D i a g r a m O b j e c t K e y > < D i a g r a m O b j e c t K e y > < K e y > D y n a m i c   T a g s \ T a b l e s \ & l t ; T a b l e s \ P r i o r   Y e a r   A d j u s t e d   F o r m u l a   c o u n t s & g t ; < / K e y > < / D i a g r a m O b j e c t K e y > < D i a g r a m O b j e c t K e y > < K e y > D y n a m i c   T a g s \ T a b l e s \ & l t ; T a b l e s \ D O E   A l l o c a t i o n & g t ; < / K e y > < / D i a g r a m O b j e c t K e y > < D i a g r a m O b j e c t K e y > < K e y > D y n a m i c   T a g s \ T a b l e s \ & l t ; T a b l e s \ N e w   O r   E x p n a d e d   H H   c a l c & g t ; < / K e y > < / D i a g r a m O b j e c t K e y > < D i a g r a m O b j e c t K e y > < K e y > D y n a m i c   T a g s \ T a b l e s \ & l t ; T a b l e s \ I n i t i a l   A d j u s t e d   F o r m u l a   C o u n t s & g t ; < / K e y > < / D i a g r a m O b j e c t K e y > < D i a g r a m O b j e c t K e y > < K e y > T a b l e s \ F R P L < / K e y > < / D i a g r a m O b j e c t K e y > < D i a g r a m O b j e c t K e y > < K e y > T a b l e s \ F R P L \ C o l u m n s \ s c h o o l Y e a r < / K e y > < / D i a g r a m O b j e c t K e y > < D i a g r a m O b j e c t K e y > < K e y > T a b l e s \ F R P L \ C o l u m n s \ C C D D D < / K e y > < / D i a g r a m O b j e c t K e y > < D i a g r a m O b j e c t K e y > < K e y > T a b l e s \ F R P L \ C o l u m n s \ D i s t r i c t N a m e < / K e y > < / D i a g r a m O b j e c t K e y > < D i a g r a m O b j e c t K e y > < K e y > T a b l e s \ F R P L \ C o l u m n s \ T o t a l S t u d e n t s < / K e y > < / D i a g r a m O b j e c t K e y > < D i a g r a m O b j e c t K e y > < K e y > T a b l e s \ F R P L \ C o l u m n s \ T o t a l S t u d e n t s I n P o v e r t y < / K e y > < / D i a g r a m O b j e c t K e y > < D i a g r a m O b j e c t K e y > < K e y > T a b l e s \ F R P L \ C o l u m n s \ T o t a l P e r c e n t I n P o v e r t y < / K e y > < / D i a g r a m O b j e c t K e y > < D i a g r a m O b j e c t K e y > < K e y > T a b l e s \ C h a r t e r _ T r i b a l S e n d i n g   D i s t r i c t s < / K e y > < / D i a g r a m O b j e c t K e y > < D i a g r a m O b j e c t K e y > < K e y > T a b l e s \ C h a r t e r _ T r i b a l S e n d i n g   D i s t r i c t s \ C o l u m n s \ C C D D D < / K e y > < / D i a g r a m O b j e c t K e y > < D i a g r a m O b j e c t K e y > < K e y > T a b l e s \ C h a r t e r _ T r i b a l S e n d i n g   D i s t r i c t s \ C o l u m n s \ C h a r t e r / T r i b a l < / K e y > < / D i a g r a m O b j e c t K e y > < D i a g r a m O b j e c t K e y > < K e y > T a b l e s \ C h a r t e r _ T r i b a l S e n d i n g   D i s t r i c t s \ C o l u m n s \ S e n d i n g   D i s t r i c t < / K e y > < / D i a g r a m O b j e c t K e y > < D i a g r a m O b j e c t K e y > < K e y > T a b l e s \ C h a r t e r _ T r i b a l S e n d i n g   D i s t r i c t s \ C o l u m n s \ S e n d i n g   D i s t r i c t   C C D D D < / K e y > < / D i a g r a m O b j e c t K e y > < D i a g r a m O b j e c t K e y > < K e y > T a b l e s \ C h a r t e r _ T r i b a l S e n d i n g   D i s t r i c t s \ C o l u m n s \ L E A I D < / K e y > < / D i a g r a m O b j e c t K e y > < D i a g r a m O b j e c t K e y > < K e y > T a b l e s \ C h a r t e r _ T r i b a l S e n d i n g   D i s t r i c t s \ C o l u m n s \ I s N e w < / K e y > < / D i a g r a m O b j e c t K e y > < D i a g r a m O b j e c t K e y > < K e y > T a b l e s \ C h a r t e r O n l y < / K e y > < / D i a g r a m O b j e c t K e y > < D i a g r a m O b j e c t K e y > < K e y > T a b l e s \ C h a r t e r O n l y \ C o l u m n s \ C C D D D < / K e y > < / D i a g r a m O b j e c t K e y > < D i a g r a m O b j e c t K e y > < K e y > T a b l e s \ C h a r t e r O n l y \ C o l u m n s \ D i s t r i c t N a m e < / K e y > < / D i a g r a m O b j e c t K e y > < D i a g r a m O b j e c t K e y > < K e y > T a b l e s \ C h a r t e r O n l y \ C o l u m n s \ L E A i d < / K e y > < / D i a g r a m O b j e c t K e y > < D i a g r a m O b j e c t K e y > < K e y > T a b l e s \ C h a r t e r O n l y \ C o l u m n s \ I s N e w < / K e y > < / D i a g r a m O b j e c t K e y > < D i a g r a m O b j e c t K e y > < K e y > T a b l e s \ C h a r t e r O n l y \ C o l u m n s \ S e n d i n g L E A i d < / K e y > < / D i a g r a m O b j e c t K e y > < D i a g r a m O b j e c t K e y > < K e y > T a b l e s \ C h a r t e r O n l y \ C o l u m n s \ D i s t r i c t T y p e < / K e y > < / D i a g r a m O b j e c t K e y > < D i a g r a m O b j e c t K e y > < K e y > T a b l e s \ S e n d i n g O n l y < / K e y > < / D i a g r a m O b j e c t K e y > < D i a g r a m O b j e c t K e y > < K e y > T a b l e s \ S e n d i n g O n l y \ C o l u m n s \ C C D D D < / K e y > < / D i a g r a m O b j e c t K e y > < D i a g r a m O b j e c t K e y > < K e y > T a b l e s \ S e n d i n g O n l y \ C o l u m n s \ D i s t r i c t N a m e < / K e y > < / D i a g r a m O b j e c t K e y > < D i a g r a m O b j e c t K e y > < K e y > T a b l e s \ S e n d i n g O n l y \ C o l u m n s \ S e n d i n g L E A i d < / K e y > < / D i a g r a m O b j e c t K e y > < D i a g r a m O b j e c t K e y > < K e y > T a b l e s \ S e n d i n g O n l y \ C o l u m n s \ D i s t r i c t T y p e < / K e y > < / D i a g r a m O b j e c t K e y > < D i a g r a m O b j e c t K e y > < K e y > T a b l e s \ S e n d i n g O n l y \ C o l u m n s \ L E A i d < / K e y > < / D i a g r a m O b j e c t K e y > < D i a g r a m O b j e c t K e y > < K e y > T a b l e s \ A p p e n d 1 < / K e y > < / D i a g r a m O b j e c t K e y > < D i a g r a m O b j e c t K e y > < K e y > T a b l e s \ A p p e n d 1 \ C o l u m n s \ C C D D D < / K e y > < / D i a g r a m O b j e c t K e y > < D i a g r a m O b j e c t K e y > < K e y > T a b l e s \ A p p e n d 1 \ C o l u m n s \ D i s t r i c t N a m e < / K e y > < / D i a g r a m O b j e c t K e y > < D i a g r a m O b j e c t K e y > < K e y > T a b l e s \ A p p e n d 1 \ C o l u m n s \ S e n d i n g L E A i d < / K e y > < / D i a g r a m O b j e c t K e y > < D i a g r a m O b j e c t K e y > < K e y > T a b l e s \ A p p e n d 1 \ C o l u m n s \ D i s t r i c t T y p e < / K e y > < / D i a g r a m O b j e c t K e y > < D i a g r a m O b j e c t K e y > < K e y > T a b l e s \ A p p e n d 1 \ C o l u m n s \ L E A i d < / K e y > < / D i a g r a m O b j e c t K e y > < D i a g r a m O b j e c t K e y > < K e y > T a b l e s \ A p p e n d 1 \ C o l u m n s \ I s N e w < / K e y > < / D i a g r a m O b j e c t K e y > < D i a g r a m O b j e c t K e y > < K e y > T a b l e s \ S p l i t   C a l c < / K e y > < / D i a g r a m O b j e c t K e y > < D i a g r a m O b j e c t K e y > < K e y > T a b l e s \ S p l i t   C a l c \ C o l u m n s \ C C D D D < / K e y > < / D i a g r a m O b j e c t K e y > < D i a g r a m O b j e c t K e y > < K e y > T a b l e s \ S p l i t   C a l c \ C o l u m n s \ C h a r t e r / T r i b a l < / K e y > < / D i a g r a m O b j e c t K e y > < D i a g r a m O b j e c t K e y > < K e y > T a b l e s \ S p l i t   C a l c \ C o l u m n s \ S e n d i n g   D i s t r i c t < / K e y > < / D i a g r a m O b j e c t K e y > < D i a g r a m O b j e c t K e y > < K e y > T a b l e s \ S p l i t   C a l c \ C o l u m n s \ S e n d i n g   D i s t r i c t   C C D D D < / K e y > < / D i a g r a m O b j e c t K e y > < D i a g r a m O b j e c t K e y > < K e y > T a b l e s \ S p l i t   C a l c \ C o l u m n s \ L E A I D < / K e y > < / D i a g r a m O b j e c t K e y > < D i a g r a m O b j e c t K e y > < K e y > T a b l e s \ S p l i t   C a l c \ C o l u m n s \ I s N e w < / K e y > < / D i a g r a m O b j e c t K e y > < D i a g r a m O b j e c t K e y > < K e y > T a b l e s \ S p l i t   C a l c \ C o l u m n s \ T o t a l S t u d e n t s I n P o v e r t y < / K e y > < / D i a g r a m O b j e c t K e y > < D i a g r a m O b j e c t K e y > < K e y > T a b l e s \ S p l i t   C a l c \ C o l u m n s \ S e n d i n g T o t a l S t u d e n t s I n P o v e r t y < / K e y > < / D i a g r a m O b j e c t K e y > < D i a g r a m O b j e c t K e y > < K e y > T a b l e s \ S p l i t   C a l c \ C o l u m n s \ S e n d i n g L E A I d < / K e y > < / D i a g r a m O b j e c t K e y > < D i a g r a m O b j e c t K e y > < K e y > T a b l e s \ C C D D D   L E A i d < / K e y > < / D i a g r a m O b j e c t K e y > < D i a g r a m O b j e c t K e y > < K e y > T a b l e s \ C C D D D   L E A i d \ C o l u m n s \ D i s t r i c t C o d e < / K e y > < / D i a g r a m O b j e c t K e y > < D i a g r a m O b j e c t K e y > < K e y > T a b l e s \ C C D D D   L E A i d \ C o l u m n s \ O r g a n i z a t i o n I d < / K e y > < / D i a g r a m O b j e c t K e y > < D i a g r a m O b j e c t K e y > < K e y > T a b l e s \ C C D D D   L E A i d \ C o l u m n s \ D i s t r i c t N a m e < / K e y > < / D i a g r a m O b j e c t K e y > < D i a g r a m O b j e c t K e y > < K e y > T a b l e s \ C C D D D   L E A i d \ C o l u m n s \ N C E S L E A N u m b e r < / K e y > < / D i a g r a m O b j e c t K e y > < D i a g r a m O b j e c t K e y > < K e y > T a b l e s \ C C D D D   L E A i d \ C o l u m n s \ N C E S L E A N a m e < / K e y > < / D i a g r a m O b j e c t K e y > < D i a g r a m O b j e c t K e y > < K e y > T a b l e s \ C C D D D   L E A i d \ C o l u m n s \ S c h o o l Y e a r I d < / K e y > < / D i a g r a m O b j e c t K e y > < D i a g r a m O b j e c t K e y > < K e y > T a b l e s \ A l l o c a t i o n   A d j u s t m e n t s < / K e y > < / D i a g r a m O b j e c t K e y > < D i a g r a m O b j e c t K e y > < K e y > T a b l e s \ A l l o c a t i o n   A d j u s t m e n t s \ C o l u m n s \ C C D D D < / K e y > < / D i a g r a m O b j e c t K e y > < D i a g r a m O b j e c t K e y > < K e y > T a b l e s \ A l l o c a t i o n   A d j u s t m e n t s \ C o l u m n s \ D i s t r i c t N a m e < / K e y > < / D i a g r a m O b j e c t K e y > < D i a g r a m O b j e c t K e y > < K e y > T a b l e s \ A l l o c a t i o n   A d j u s t m e n t s \ C o l u m n s \ S e n d i n g L E A i d < / K e y > < / D i a g r a m O b j e c t K e y > < D i a g r a m O b j e c t K e y > < K e y > T a b l e s \ A l l o c a t i o n   A d j u s t m e n t s \ C o l u m n s \ D i s t r i c t T y p e < / K e y > < / D i a g r a m O b j e c t K e y > < D i a g r a m O b j e c t K e y > < K e y > T a b l e s \ A l l o c a t i o n   A d j u s t m e n t s \ C o l u m n s \ L E A i d < / K e y > < / D i a g r a m O b j e c t K e y > < D i a g r a m O b j e c t K e y > < K e y > T a b l e s \ A l l o c a t i o n   A d j u s t m e n t s \ C o l u m n s \ I s N e w < / K e y > < / D i a g r a m O b j e c t K e y > < D i a g r a m O b j e c t K e y > < K e y > T a b l e s \ A l l o c a t i o n   A d j u s t m e n t s \ C o l u m n s \ M u l t i p l i e r < / K e y > < / D i a g r a m O b j e c t K e y > < D i a g r a m O b j e c t K e y > < K e y > T a b l e s \ A l l o c a t i o n   A d j u s t m e n t s \ C o l u m n s \ B a s i c   H o l d   H a r m l e s s   B a s e < / K e y > < / D i a g r a m O b j e c t K e y > < D i a g r a m O b j e c t K e y > < K e y > T a b l e s \ A l l o c a t i o n   A d j u s t m e n t s \ C o l u m n s \ C O N C .   H O L D   H a r m l e s s   B a s e < / K e y > < / D i a g r a m O b j e c t K e y > < D i a g r a m O b j e c t K e y > < K e y > T a b l e s \ A l l o c a t i o n   A d j u s t m e n t s \ C o l u m n s \ T A R G E T E D   H O L D   H a r m l e s s   B a s e < / K e y > < / D i a g r a m O b j e c t K e y > < D i a g r a m O b j e c t K e y > < K e y > T a b l e s \ A l l o c a t i o n   A d j u s t m e n t s \ C o l u m n s \ E F I G   H O L D   H a r m l e s s   B a s e < / K e y > < / D i a g r a m O b j e c t K e y > < D i a g r a m O b j e c t K e y > < K e y > T a b l e s \ A l l o c a t i o n   A d j u s t m e n t s \ C o l u m n s \ T O T A L   H O L D   H a r m l e s s   B a s e < / K e y > < / D i a g r a m O b j e c t K e y > < D i a g r a m O b j e c t K e y > < K e y > T a b l e s \ A l l o c a t i o n   A d j u s t m e n t s \ C o l u m n s \ B a s i c   A l l o c a t i o n < / K e y > < / D i a g r a m O b j e c t K e y > < D i a g r a m O b j e c t K e y > < K e y > T a b l e s \ A l l o c a t i o n   A d j u s t m e n t s \ C o l u m n s \ C o n c .   A l l o c a t i o n < / K e y > < / D i a g r a m O b j e c t K e y > < D i a g r a m O b j e c t K e y > < K e y > T a b l e s \ A l l o c a t i o n   A d j u s t m e n t s \ C o l u m n s \ T a r g e t e d   A l l o c a t i o n < / K e y > < / D i a g r a m O b j e c t K e y > < D i a g r a m O b j e c t K e y > < K e y > T a b l e s \ A l l o c a t i o n   A d j u s t m e n t s \ C o l u m n s \ E F I G   A l l o c a t i o n < / K e y > < / D i a g r a m O b j e c t K e y > < D i a g r a m O b j e c t K e y > < K e y > T a b l e s \ A l l o c a t i o n   A d j u s t m e n t s \ C o l u m n s \ T i t l e   I   A l l o c a t i o n < / K e y > < / D i a g r a m O b j e c t K e y > < D i a g r a m O b j e c t K e y > < K e y > T a b l e s \ A l l o c a t i o n   A d j u s t m e n t s \ C o l u m n s \ P e r c e n t a g e   o f   H o l d   H a r m l e s s   B a s e < / K e y > < / D i a g r a m O b j e c t K e y > < D i a g r a m O b j e c t K e y > < K e y > T a b l e s \ A l l o c a t i o n   A d j u s t m e n t s \ C o l u m n s \ R e s i d e n t   P o p < / K e y > < / D i a g r a m O b j e c t K e y > < D i a g r a m O b j e c t K e y > < K e y > T a b l e s \ A l l o c a t i o n   A d j u s t m e n t s   1 < / K e y > < / D i a g r a m O b j e c t K e y > < D i a g r a m O b j e c t K e y > < K e y > T a b l e s \ A l l o c a t i o n   A d j u s t m e n t s   1 \ C o l u m n s \ C C D D D < / K e y > < / D i a g r a m O b j e c t K e y > < D i a g r a m O b j e c t K e y > < K e y > T a b l e s \ A l l o c a t i o n   A d j u s t m e n t s   1 \ C o l u m n s \ D i s t r i c t N a m e < / K e y > < / D i a g r a m O b j e c t K e y > < D i a g r a m O b j e c t K e y > < K e y > T a b l e s \ A l l o c a t i o n   A d j u s t m e n t s   1 \ C o l u m n s \ S e n d i n g L E A i d < / K e y > < / D i a g r a m O b j e c t K e y > < D i a g r a m O b j e c t K e y > < K e y > T a b l e s \ A l l o c a t i o n   A d j u s t m e n t s   1 \ C o l u m n s \ D i s t r i c t T y p e < / K e y > < / D i a g r a m O b j e c t K e y > < D i a g r a m O b j e c t K e y > < K e y > T a b l e s \ A l l o c a t i o n   A d j u s t m e n t s   1 \ C o l u m n s \ L E A i d < / K e y > < / D i a g r a m O b j e c t K e y > < D i a g r a m O b j e c t K e y > < K e y > T a b l e s \ A l l o c a t i o n   A d j u s t m e n t s   1 \ C o l u m n s \ I s N e w < / K e y > < / D i a g r a m O b j e c t K e y > < D i a g r a m O b j e c t K e y > < K e y > T a b l e s \ A l l o c a t i o n   A d j u s t m e n t s   1 \ C o l u m n s \ M u l t i p l i e r < / K e y > < / D i a g r a m O b j e c t K e y > < D i a g r a m O b j e c t K e y > < K e y > T a b l e s \ A l l o c a t i o n   A d j u s t m e n t s   1 \ C o l u m n s \ B a s i c   H o l d   H a r m l e s s   B a s e < / K e y > < / D i a g r a m O b j e c t K e y > < D i a g r a m O b j e c t K e y > < K e y > T a b l e s \ A l l o c a t i o n   A d j u s t m e n t s   1 \ C o l u m n s \ C O N C .   H O L D   H a r m l e s s   B a s e < / K e y > < / D i a g r a m O b j e c t K e y > < D i a g r a m O b j e c t K e y > < K e y > T a b l e s \ A l l o c a t i o n   A d j u s t m e n t s   1 \ C o l u m n s \ T A R G E T E D   H O L D   H a r m l e s s   B a s e < / K e y > < / D i a g r a m O b j e c t K e y > < D i a g r a m O b j e c t K e y > < K e y > T a b l e s \ A l l o c a t i o n   A d j u s t m e n t s   1 \ C o l u m n s \ E F I G   H O L D   H a r m l e s s   B a s e < / K e y > < / D i a g r a m O b j e c t K e y > < D i a g r a m O b j e c t K e y > < K e y > T a b l e s \ A l l o c a t i o n   A d j u s t m e n t s   1 \ C o l u m n s \ T O T A L   H O L D   H a r m l e s s   B a s e < / K e y > < / D i a g r a m O b j e c t K e y > < D i a g r a m O b j e c t K e y > < K e y > T a b l e s \ A l l o c a t i o n   A d j u s t m e n t s   1 \ C o l u m n s \ B a s i c   A l l o c a t i o n < / K e y > < / D i a g r a m O b j e c t K e y > < D i a g r a m O b j e c t K e y > < K e y > T a b l e s \ A l l o c a t i o n   A d j u s t m e n t s   1 \ C o l u m n s \ C o n c .   A l l o c a t i o n < / K e y > < / D i a g r a m O b j e c t K e y > < D i a g r a m O b j e c t K e y > < K e y > T a b l e s \ A l l o c a t i o n   A d j u s t m e n t s   1 \ C o l u m n s \ T a r g e t e d   A l l o c a t i o n < / K e y > < / D i a g r a m O b j e c t K e y > < D i a g r a m O b j e c t K e y > < K e y > T a b l e s \ A l l o c a t i o n   A d j u s t m e n t s   1 \ C o l u m n s \ E F I G   A l l o c a t i o n < / K e y > < / D i a g r a m O b j e c t K e y > < D i a g r a m O b j e c t K e y > < K e y > T a b l e s \ A l l o c a t i o n   A d j u s t m e n t s   1 \ C o l u m n s \ T i t l e   I   A l l o c a t i o n < / K e y > < / D i a g r a m O b j e c t K e y > < D i a g r a m O b j e c t K e y > < K e y > T a b l e s \ A l l o c a t i o n   A d j u s t m e n t s   1 \ C o l u m n s \ P e r c e n t a g e   o f   H o l d   H a r m l e s s   B a s e < / K e y > < / D i a g r a m O b j e c t K e y > < D i a g r a m O b j e c t K e y > < K e y > T a b l e s \ A l l o c a t i o n   A d j u s t m e n t s   1 \ C o l u m n s \ R e s i d e n t   P o p < / K e y > < / D i a g r a m O b j e c t K e y > < D i a g r a m O b j e c t K e y > < K e y > T a b l e s \ F o r m u l a   C o u n t s   A d j u s t m e n t s < / K e y > < / D i a g r a m O b j e c t K e y > < D i a g r a m O b j e c t K e y > < K e y > T a b l e s \ F o r m u l a   C o u n t s   A d j u s t m e n t s \ C o l u m n s \ C C D D D < / K e y > < / D i a g r a m O b j e c t K e y > < D i a g r a m O b j e c t K e y > < K e y > T a b l e s \ F o r m u l a   C o u n t s   A d j u s t m e n t s \ C o l u m n s \ D i s t r i c t N a m e < / K e y > < / D i a g r a m O b j e c t K e y > < D i a g r a m O b j e c t K e y > < K e y > T a b l e s \ F o r m u l a   C o u n t s   A d j u s t m e n t s \ C o l u m n s \ S e n d i n g L E A i d < / K e y > < / D i a g r a m O b j e c t K e y > < D i a g r a m O b j e c t K e y > < K e y > T a b l e s \ F o r m u l a   C o u n t s   A d j u s t m e n t s \ C o l u m n s \ D i s t r i c t T y p e < / K e y > < / D i a g r a m O b j e c t K e y > < D i a g r a m O b j e c t K e y > < K e y > T a b l e s \ F o r m u l a   C o u n t s   A d j u s t m e n t s \ C o l u m n s \ L E A i d < / K e y > < / D i a g r a m O b j e c t K e y > < D i a g r a m O b j e c t K e y > < K e y > T a b l e s \ F o r m u l a   C o u n t s   A d j u s t m e n t s \ C o l u m n s \ I s N e w < / K e y > < / D i a g r a m O b j e c t K e y > < D i a g r a m O b j e c t K e y > < K e y > T a b l e s \ F o r m u l a   C o u n t s   A d j u s t m e n t s \ C o l u m n s \ M u l t i p l i e r < / K e y > < / D i a g r a m O b j e c t K e y > < D i a g r a m O b j e c t K e y > < K e y > T a b l e s \ F o r m u l a   C o u n t s   A d j u s t m e n t s \ C o l u m n s \ 2 0 2 0   P O V R T Y < / K e y > < / D i a g r a m O b j e c t K e y > < D i a g r a m O b j e c t K e y > < K e y > T a b l e s \ F o r m u l a   C o u n t s   A d j u s t m e n t s \ C o l u m n s \ 2 0 2 1   N E G < / K e y > < / D i a g r a m O b j e c t K e y > < D i a g r a m O b j e c t K e y > < K e y > T a b l e s \ F o r m u l a   C o u n t s   A d j u s t m e n t s \ C o l u m n s \ 2 0 2 1 _ 1   D E L . < / K e y > < / D i a g r a m O b j e c t K e y > < D i a g r a m O b j e c t K e y > < K e y > T a b l e s \ F o r m u l a   C o u n t s   A d j u s t m e n t s \ C o l u m n s \ 2 0 2 1 _ 2   F O R S T E R < / K e y > < / D i a g r a m O b j e c t K e y > < D i a g r a m O b j e c t K e y > < K e y > T a b l e s \ F o r m u l a   C o u n t s   A d j u s t m e n t s \ C o l u m n s \ 2 0 2 1 _ 3   T A N F < / K e y > < / D i a g r a m O b j e c t K e y > < D i a g r a m O b j e c t K e y > < K e y > T a b l e s \ F o r m u l a   C o u n t s   A d j u s t m e n t s \ C o l u m n s \ F O R M U L A   C O U N T < / K e y > < / D i a g r a m O b j e c t K e y > < D i a g r a m O b j e c t K e y > < K e y > T a b l e s \ F o r m u l a   C o u n t s   A d j u s t m e n t s \ C o l u m n s \ 5 - 1 7   P O P . < / K e y > < / D i a g r a m O b j e c t K e y > < D i a g r a m O b j e c t K e y > < K e y > T a b l e s \ F o r m u l a   C o u n t s   A d j u s t m e n t s \ C o l u m n s \ P E R C E N T   F O R M U L A < / K e y > < / D i a g r a m O b j e c t K e y > < D i a g r a m O b j e c t K e y > < K e y > T a b l e s \ F o r m u l a   C o u n t s   A d j u s t m e n t s \ C o l u m n s \ B A S I C   E l i g i b l e s < / K e y > < / D i a g r a m O b j e c t K e y > < D i a g r a m O b j e c t K e y > < K e y > T a b l e s \ F o r m u l a   C o u n t s   A d j u s t m e n t s \ C o l u m n s \ C O N C .   E l i g i b l e s < / K e y > < / D i a g r a m O b j e c t K e y > < D i a g r a m O b j e c t K e y > < K e y > T a b l e s \ F o r m u l a   C o u n t s   A d j u s t m e n t s \ C o l u m n s \ E F I G   E l i g i b l e s < / K e y > < / D i a g r a m O b j e c t K e y > < D i a g r a m O b j e c t K e y > < K e y > T a b l e s \ F o r m u l a   C o u n t s   A d j u s t m e n t s \ C o l u m n s \ C O U N T S   T a r g e t e d < / K e y > < / D i a g r a m O b j e c t K e y > < D i a g r a m O b j e c t K e y > < K e y > T a b l e s \ F o r m u l a   C o u n t s   A d j u s t m e n t s \ C o l u m n s \ C O U N T S   E F I G < / K e y > < / D i a g r a m O b j e c t K e y > < D i a g r a m O b j e c t K e y > < K e y > T a b l e s \ D O E   F o r m u l a   c o u n t s < / K e y > < / D i a g r a m O b j e c t K e y > < D i a g r a m O b j e c t K e y > < K e y > T a b l e s \ D O E   F o r m u l a   c o u n t s \ C o l u m n s \ L E A i d < / K e y > < / D i a g r a m O b j e c t K e y > < D i a g r a m O b j e c t K e y > < K e y > T a b l e s \ D O E   F o r m u l a   c o u n t s \ C o l u m n s \ L O C A L   E D U C A T I O N A L   A G E N C Y < / K e y > < / D i a g r a m O b j e c t K e y > < D i a g r a m O b j e c t K e y > < K e y > T a b l e s \ D O E   F o r m u l a   c o u n t s \ C o l u m n s \ 2 0 2 0   P O V R T Y < / K e y > < / D i a g r a m O b j e c t K e y > < D i a g r a m O b j e c t K e y > < K e y > T a b l e s \ D O E   F o r m u l a   c o u n t s \ C o l u m n s \ 2 0 2 1   N E G < / K e y > < / D i a g r a m O b j e c t K e y > < D i a g r a m O b j e c t K e y > < K e y > T a b l e s \ D O E   F o r m u l a   c o u n t s \ C o l u m n s \ 2 0 2 1 _ 1   D E L . < / K e y > < / D i a g r a m O b j e c t K e y > < D i a g r a m O b j e c t K e y > < K e y > T a b l e s \ D O E   F o r m u l a   c o u n t s \ C o l u m n s \ 2 0 2 1 _ 2   F O R S T E R < / K e y > < / D i a g r a m O b j e c t K e y > < D i a g r a m O b j e c t K e y > < K e y > T a b l e s \ D O E   F o r m u l a   c o u n t s \ C o l u m n s \ 2 0 2 1 _ 3   T A N F < / K e y > < / D i a g r a m O b j e c t K e y > < D i a g r a m O b j e c t K e y > < K e y > T a b l e s \ D O E   F o r m u l a   c o u n t s \ C o l u m n s \ F O R M U L A   C O U N T < / K e y > < / D i a g r a m O b j e c t K e y > < D i a g r a m O b j e c t K e y > < K e y > T a b l e s \ D O E   F o r m u l a   c o u n t s \ C o l u m n s \ 5 - 1 7   P O P . < / K e y > < / D i a g r a m O b j e c t K e y > < D i a g r a m O b j e c t K e y > < K e y > T a b l e s \ D O E   F o r m u l a   c o u n t s \ C o l u m n s \ P E R C E N T   F O R M U L A < / K e y > < / D i a g r a m O b j e c t K e y > < D i a g r a m O b j e c t K e y > < K e y > T a b l e s \ D O E   F o r m u l a   c o u n t s \ C o l u m n s \ B A S I C   E l i g i b l e s < / K e y > < / D i a g r a m O b j e c t K e y > < D i a g r a m O b j e c t K e y > < K e y > T a b l e s \ D O E   F o r m u l a   c o u n t s \ C o l u m n s \ C O N C .   E l i g i b l e s < / K e y > < / D i a g r a m O b j e c t K e y > < D i a g r a m O b j e c t K e y > < K e y > T a b l e s \ D O E   F o r m u l a   c o u n t s \ C o l u m n s \ & a m p ;   E F I G   E l i g i b l e s < / K e y > < / D i a g r a m O b j e c t K e y > < D i a g r a m O b j e c t K e y > < K e y > T a b l e s \ D O E   F o r m u l a   c o u n t s \ C o l u m n s \ C O U N T S   T a r g e t e d < / K e y > < / D i a g r a m O b j e c t K e y > < D i a g r a m O b j e c t K e y > < K e y > T a b l e s \ D O E   F o r m u l a   c o u n t s \ C o l u m n s \ C O U N T S   E F I G < / K e y > < / D i a g r a m O b j e c t K e y > < D i a g r a m O b j e c t K e y > < K e y > T a b l e s \ P r i o r   Y e a r   a d j u s t e d   a l l o c a t i o n s < / K e y > < / D i a g r a m O b j e c t K e y > < D i a g r a m O b j e c t K e y > < K e y > T a b l e s \ P r i o r   Y e a r   a d j u s t e d   a l l o c a t i o n s \ C o l u m n s \ L E A i d < / K e y > < / D i a g r a m O b j e c t K e y > < D i a g r a m O b j e c t K e y > < K e y > T a b l e s \ P r i o r   Y e a r   a d j u s t e d   a l l o c a t i o n s \ C o l u m n s \ W A S H I N G T O N < / K e y > < / D i a g r a m O b j e c t K e y > < D i a g r a m O b j e c t K e y > < K e y > T a b l e s \ P r i o r   Y e a r   a d j u s t e d   a l l o c a t i o n s \ C o l u m n s \ B A S I C   H O L D   H A R M L E S S   B A S E < / K e y > < / D i a g r a m O b j e c t K e y > < D i a g r a m O b j e c t K e y > < K e y > T a b l e s \ P r i o r   Y e a r   a d j u s t e d   a l l o c a t i o n s \ C o l u m n s \ C O N C .   H O L D     H A R M L E S S   B A S E < / K e y > < / D i a g r a m O b j e c t K e y > < D i a g r a m O b j e c t K e y > < K e y > T a b l e s \ P r i o r   Y e a r   a d j u s t e d   a l l o c a t i o n s \ C o l u m n s \ T A R G E T E D   H O L D   H A R M L E S S   B A S E < / K e y > < / D i a g r a m O b j e c t K e y > < D i a g r a m O b j e c t K e y > < K e y > T a b l e s \ P r i o r   Y e a r   a d j u s t e d   a l l o c a t i o n s \ C o l u m n s \ E F I G   H O L D   H A R M L E S S   B A S E < / K e y > < / D i a g r a m O b j e c t K e y > < D i a g r a m O b j e c t K e y > < K e y > T a b l e s \ P r i o r   Y e a r   a d j u s t e d   a l l o c a t i o n s \ C o l u m n s \ T O T A L   H O L D   H A R M L E S S   B A S E < / K e y > < / D i a g r a m O b j e c t K e y > < D i a g r a m O b j e c t K e y > < K e y > T a b l e s \ P r i o r   Y e a r   a d j u s t e d   a l l o c a t i o n s \ C o l u m n s \ B A S I C   A L L O C A T I O N < / K e y > < / D i a g r a m O b j e c t K e y > < D i a g r a m O b j e c t K e y > < K e y > T a b l e s \ P r i o r   Y e a r   a d j u s t e d   a l l o c a t i o n s \ C o l u m n s \ C O N C .   A L L O C A T I O N < / K e y > < / D i a g r a m O b j e c t K e y > < D i a g r a m O b j e c t K e y > < K e y > T a b l e s \ P r i o r   Y e a r   a d j u s t e d   a l l o c a t i o n s \ C o l u m n s \ T A R G E T E D   A L L O C A T I O N < / K e y > < / D i a g r a m O b j e c t K e y > < D i a g r a m O b j e c t K e y > < K e y > T a b l e s \ P r i o r   Y e a r   a d j u s t e d   a l l o c a t i o n s \ C o l u m n s \ E F I G   A l L O C A T I O N < / K e y > < / D i a g r a m O b j e c t K e y > < D i a g r a m O b j e c t K e y > < K e y > T a b l e s \ P r i o r   Y e a r   a d j u s t e d   a l l o c a t i o n s \ C o l u m n s \ T O T A L   T I T L e   I   A L L O C A T I O N < / K e y > < / D i a g r a m O b j e c t K e y > < D i a g r a m O b j e c t K e y > < K e y > T a b l e s \ P r i o r   Y e a r   a d j u s t e d   a l l o c a t i o n s \ C o l u m n s \ P E R C E N T A G E   O F   T O T A L   H O L D   H A R M L E S S   B A S E < / K e y > < / D i a g r a m O b j e c t K e y > < D i a g r a m O b j e c t K e y > < K e y > T a b l e s \ P r i o r   Y e a r   a d j u s t e d   a l l o c a t i o n s \ C o l u m n s \ R E S I D E N T   P O P . < / K e y > < / D i a g r a m O b j e c t K e y > < D i a g r a m O b j e c t K e y > < K e y > T a b l e s \ P r i o r   Y e a r   A d j u s t e d   F o r m u l a   c o u n t s < / K e y > < / D i a g r a m O b j e c t K e y > < D i a g r a m O b j e c t K e y > < K e y > T a b l e s \ P r i o r   Y e a r   A d j u s t e d   F o r m u l a   c o u n t s \ C o l u m n s \ L E A i d < / K e y > < / D i a g r a m O b j e c t K e y > < D i a g r a m O b j e c t K e y > < K e y > T a b l e s \ P r i o r   Y e a r   A d j u s t e d   F o r m u l a   c o u n t s \ C o l u m n s \ L E A N a m e < / K e y > < / D i a g r a m O b j e c t K e y > < D i a g r a m O b j e c t K e y > < K e y > T a b l e s \ P r i o r   Y e a r   A d j u s t e d   F o r m u l a   c o u n t s \ C o l u m n s \ C E N S U S   P o v e r t y < / K e y > < / D i a g r a m O b j e c t K e y > < D i a g r a m O b j e c t K e y > < K e y > T a b l e s \ P r i o r   Y e a r   A d j u s t e d   F o r m u l a   c o u n t s \ C o l u m n s \ N E G . < / K e y > < / D i a g r a m O b j e c t K e y > < D i a g r a m O b j e c t K e y > < K e y > T a b l e s \ P r i o r   Y e a r   A d j u s t e d   F o r m u l a   c o u n t s \ C o l u m n s \ D E L . < / K e y > < / D i a g r a m O b j e c t K e y > < D i a g r a m O b j e c t K e y > < K e y > T a b l e s \ P r i o r   Y e a r   A d j u s t e d   F o r m u l a   c o u n t s \ C o l u m n s \ F O S T E R < / K e y > < / D i a g r a m O b j e c t K e y > < D i a g r a m O b j e c t K e y > < K e y > T a b l e s \ P r i o r   Y e a r   A d j u s t e d   F o r m u l a   c o u n t s \ C o l u m n s \ T A N F < / K e y > < / D i a g r a m O b j e c t K e y > < D i a g r a m O b j e c t K e y > < K e y > T a b l e s \ P r i o r   Y e a r   A d j u s t e d   F o r m u l a   c o u n t s \ C o l u m n s \ T O T A L   F O R M U L A   C O U N T < / K e y > < / D i a g r a m O b j e c t K e y > < D i a g r a m O b j e c t K e y > < K e y > T a b l e s \ P r i o r   Y e a r   A d j u s t e d   F o r m u l a   c o u n t s \ C o l u m n s \ 5 - 1 7   P O P . < / K e y > < / D i a g r a m O b j e c t K e y > < D i a g r a m O b j e c t K e y > < K e y > T a b l e s \ P r i o r   Y e a r   A d j u s t e d   F o r m u l a   c o u n t s \ C o l u m n s \ P E R C E N T   F O R M U L A < / K e y > < / D i a g r a m O b j e c t K e y > < D i a g r a m O b j e c t K e y > < K e y > T a b l e s \ P r i o r   Y e a r   A d j u s t e d   F o r m u l a   c o u n t s \ C o l u m n s \ B A S I C   E L I G I B L E S < / K e y > < / D i a g r a m O b j e c t K e y > < D i a g r a m O b j e c t K e y > < K e y > T a b l e s \ P r i o r   Y e a r   A d j u s t e d   F o r m u l a   c o u n t s \ C o l u m n s \ C O N C .   E L I G I B L E S < / K e y > < / D i a g r a m O b j e c t K e y > < D i a g r a m O b j e c t K e y > < K e y > T a b l e s \ P r i o r   Y e a r   A d j u s t e d   F o r m u l a   c o u n t s \ C o l u m n s \ U N W E I G H T E D   T A R G E T E D   & a m p ;   E F I G   E L I G I B L E S < / K e y > < / D i a g r a m O b j e c t K e y > < D i a g r a m O b j e c t K e y > < K e y > T a b l e s \ P r i o r   Y e a r   A d j u s t e d   F o r m u l a   c o u n t s \ C o l u m n s \ W E I G H T E D   C O U N T S   T A R G E T E D < / K e y > < / D i a g r a m O b j e c t K e y > < D i a g r a m O b j e c t K e y > < K e y > T a b l e s \ P r i o r   Y e a r   A d j u s t e d   F o r m u l a   c o u n t s \ C o l u m n s \ W E I G H T E D   C O U N T S   E F I G < / K e y > < / D i a g r a m O b j e c t K e y > < D i a g r a m O b j e c t K e y > < K e y > T a b l e s \ D O E   A l l o c a t i o n < / K e y > < / D i a g r a m O b j e c t K e y > < D i a g r a m O b j e c t K e y > < K e y > T a b l e s \ D O E   A l l o c a t i o n \ C o l u m n s \ L E A i d < / K e y > < / D i a g r a m O b j e c t K e y > < D i a g r a m O b j e c t K e y > < K e y > T a b l e s \ D O E   A l l o c a t i o n \ C o l u m n s \ L E A N a n m e < / K e y > < / D i a g r a m O b j e c t K e y > < D i a g r a m O b j e c t K e y > < K e y > T a b l e s \ D O E   A l l o c a t i o n \ C o l u m n s \ B A S I C   H O L D   H s r m l e s s   B a s e < / K e y > < / D i a g r a m O b j e c t K e y > < D i a g r a m O b j e c t K e y > < K e y > T a b l e s \ D O E   A l l o c a t i o n \ C o l u m n s \ C O N C .   H O L D   H a r m l e s s   B a s e < / K e y > < / D i a g r a m O b j e c t K e y > < D i a g r a m O b j e c t K e y > < K e y > T a b l e s \ D O E   A l l o c a t i o n \ C o l u m n s \ T A R G E T E D   H O L D   H a r m l e s s   B a s e < / K e y > < / D i a g r a m O b j e c t K e y > < D i a g r a m O b j e c t K e y > < K e y > T a b l e s \ D O E   A l l o c a t i o n \ C o l u m n s \ E F I G   H O L D   H a r m l e s s   B a s e < / K e y > < / D i a g r a m O b j e c t K e y > < D i a g r a m O b j e c t K e y > < K e y > T a b l e s \ D O E   A l l o c a t i o n \ C o l u m n s \ T O T A L   H O L D   H a r m l e s s   B a s e < / K e y > < / D i a g r a m O b j e c t K e y > < D i a g r a m O b j e c t K e y > < K e y > T a b l e s \ D O E   A l l o c a t i o n \ C o l u m n s \ B a s i c   A l l o c a t i o n < / K e y > < / D i a g r a m O b j e c t K e y > < D i a g r a m O b j e c t K e y > < K e y > T a b l e s \ D O E   A l l o c a t i o n \ C o l u m n s \ C o n c .   A l l o c a t i o n < / K e y > < / D i a g r a m O b j e c t K e y > < D i a g r a m O b j e c t K e y > < K e y > T a b l e s \ D O E   A l l o c a t i o n \ C o l u m n s \ T a r g e t e d   A l l o c a t i o n < / K e y > < / D i a g r a m O b j e c t K e y > < D i a g r a m O b j e c t K e y > < K e y > T a b l e s \ D O E   A l l o c a t i o n \ C o l u m n s \ E F I G   A l l o c a t i o n < / K e y > < / D i a g r a m O b j e c t K e y > < D i a g r a m O b j e c t K e y > < K e y > T a b l e s \ D O E   A l l o c a t i o n \ C o l u m n s \ T i t l e   I   A l l o c a t i o n < / K e y > < / D i a g r a m O b j e c t K e y > < D i a g r a m O b j e c t K e y > < K e y > T a b l e s \ D O E   A l l o c a t i o n \ C o l u m n s \ P e r c e n t a g e   o f   H o l d   H a r m l e s s   B a s e < / K e y > < / D i a g r a m O b j e c t K e y > < D i a g r a m O b j e c t K e y > < K e y > T a b l e s \ D O E   A l l o c a t i o n \ C o l u m n s \ R e s i d e n t   P o p . < / K e y > < / D i a g r a m O b j e c t K e y > < D i a g r a m O b j e c t K e y > < K e y > T a b l e s \ N e w   O r   E x p n a d e d   H H   c a l c < / K e y > < / D i a g r a m O b j e c t K e y > < D i a g r a m O b j e c t K e y > < K e y > T a b l e s \ N e w   O r   E x p n a d e d   H H   c a l c \ C o l u m n s \ C C D D D < / K e y > < / D i a g r a m O b j e c t K e y > < D i a g r a m O b j e c t K e y > < K e y > T a b l e s \ N e w   O r   E x p n a d e d   H H   c a l c \ C o l u m n s \ D i s t r i c t N a m e < / K e y > < / D i a g r a m O b j e c t K e y > < D i a g r a m O b j e c t K e y > < K e y > T a b l e s \ N e w   O r   E x p n a d e d   H H   c a l c \ C o l u m n s \ L E A i d < / K e y > < / D i a g r a m O b j e c t K e y > < D i a g r a m O b j e c t K e y > < K e y > T a b l e s \ N e w   O r   E x p n a d e d   H H   c a l c \ C o l u m n s \ I s N e w < / K e y > < / D i a g r a m O b j e c t K e y > < D i a g r a m O b j e c t K e y > < K e y > T a b l e s \ N e w   O r   E x p n a d e d   H H   c a l c \ C o l u m n s \ F O R M U L A   C O U N T < / K e y > < / D i a g r a m O b j e c t K e y > < D i a g r a m O b j e c t K e y > < K e y > T a b l e s \ N e w   O r   E x p n a d e d   H H   c a l c \ C o l u m n s \ 5 - 1 7   P O P . < / K e y > < / D i a g r a m O b j e c t K e y > < D i a g r a m O b j e c t K e y > < K e y > T a b l e s \ N e w   O r   E x p n a d e d   H H   c a l c \ C o l u m n s \ P r i o r   Y e a r . T O T A L   F O R M U L A   C O U N T < / K e y > < / D i a g r a m O b j e c t K e y > < D i a g r a m O b j e c t K e y > < K e y > T a b l e s \ N e w   O r   E x p n a d e d   H H   c a l c \ C o l u m n s \ P r i o r   Y e a r . 5 - 1 7   P O P . < / K e y > < / D i a g r a m O b j e c t K e y > < D i a g r a m O b j e c t K e y > < K e y > T a b l e s \ N e w   O r   E x p n a d e d   H H   c a l c \ C o l u m n s \ F o r m u l a   C o u n t   I n c r e a s e < / K e y > < / D i a g r a m O b j e c t K e y > < D i a g r a m O b j e c t K e y > < K e y > T a b l e s \ N e w   O r   E x p n a d e d   H H   c a l c \ C o l u m n s \ P E R C E N T   F O R M U L A < / K e y > < / D i a g r a m O b j e c t K e y > < D i a g r a m O b j e c t K e y > < K e y > T a b l e s \ N e w   O r   E x p n a d e d   H H   c a l c \ C o l u m n s \ H o l d   H a r m l e s s   P e r c e n t a g e < / K e y > < / D i a g r a m O b j e c t K e y > < D i a g r a m O b j e c t K e y > < K e y > T a b l e s \ N e w   O r   E x p n a d e d   H H   c a l c \ C o l u m n s \ A d j u s t e d   A l l o c a t i o n . T O T A L   H O L D   H a r m l e s s   B a s e < / K e y > < / D i a g r a m O b j e c t K e y > < D i a g r a m O b j e c t K e y > < K e y > T a b l e s \ N e w   O r   E x p n a d e d   H H   c a l c \ C o l u m n s \ A d j u s t e d   A l l o c a t i o n . T i t l e   I   A l l o c a t i o n < / K e y > < / D i a g r a m O b j e c t K e y > < D i a g r a m O b j e c t K e y > < K e y > T a b l e s \ N e w   O r   E x p n a d e d   H H   c a l c \ C o l u m n s \ A b o v e   H H < / K e y > < / D i a g r a m O b j e c t K e y > < D i a g r a m O b j e c t K e y > < K e y > T a b l e s \ I n i t i a l   A d j u s t e d   F o r m u l a   C o u n t s < / K e y > < / D i a g r a m O b j e c t K e y > < D i a g r a m O b j e c t K e y > < K e y > T a b l e s \ I n i t i a l   A d j u s t e d   F o r m u l a   C o u n t s \ C o l u m n s \ L E A i d < / K e y > < / D i a g r a m O b j e c t K e y > < D i a g r a m O b j e c t K e y > < K e y > T a b l e s \ I n i t i a l   A d j u s t e d   F o r m u l a   C o u n t s \ C o l u m n s \ L E A N a m e < / K e y > < / D i a g r a m O b j e c t K e y > < D i a g r a m O b j e c t K e y > < K e y > T a b l e s \ I n i t i a l   A d j u s t e d   F o r m u l a   C o u n t s \ C o l u m n s \ 2 0 2 0   P O V R T Y < / K e y > < / D i a g r a m O b j e c t K e y > < D i a g r a m O b j e c t K e y > < K e y > T a b l e s \ I n i t i a l   A d j u s t e d   F o r m u l a   C o u n t s \ C o l u m n s \ 2 0 2 1   N E G < / K e y > < / D i a g r a m O b j e c t K e y > < D i a g r a m O b j e c t K e y > < K e y > T a b l e s \ I n i t i a l   A d j u s t e d   F o r m u l a   C o u n t s \ C o l u m n s \ 2 0 2 1 _ 1   D E L . . 1 < / K e y > < / D i a g r a m O b j e c t K e y > < D i a g r a m O b j e c t K e y > < K e y > T a b l e s \ I n i t i a l   A d j u s t e d   F o r m u l a   C o u n t s \ C o l u m n s \ 2 0 2 1 _ 2   F O R S T E R < / K e y > < / D i a g r a m O b j e c t K e y > < D i a g r a m O b j e c t K e y > < K e y > T a b l e s \ I n i t i a l   A d j u s t e d   F o r m u l a   C o u n t s \ C o l u m n s \ 2 0 2 1 _ 3   T A N F < / K e y > < / D i a g r a m O b j e c t K e y > < D i a g r a m O b j e c t K e y > < K e y > T a b l e s \ I n i t i a l   A d j u s t e d   F o r m u l a   C o u n t s \ C o l u m n s \ F O R M U L A   C O U N T < / K e y > < / D i a g r a m O b j e c t K e y > < D i a g r a m O b j e c t K e y > < K e y > T a b l e s \ I n i t i a l   A d j u s t e d   F o r m u l a   C o u n t s \ C o l u m n s \ 5 - 1 7   P O P . < / K e y > < / D i a g r a m O b j e c t K e y > < D i a g r a m O b j e c t K e y > < K e y > T a b l e s \ I n i t i a l   A d j u s t e d   F o r m u l a   C o u n t s \ C o l u m n s \ P E R C E N T   F O R M U L A < / K e y > < / D i a g r a m O b j e c t K e y > < D i a g r a m O b j e c t K e y > < K e y > T a b l e s \ I n i t i a l   A d j u s t e d   F o r m u l a   C o u n t s \ C o l u m n s \ B A S I C   E l i g i b l e s < / K e y > < / D i a g r a m O b j e c t K e y > < D i a g r a m O b j e c t K e y > < K e y > T a b l e s \ I n i t i a l   A d j u s t e d   F o r m u l a   C o u n t s \ C o l u m n s \ C O N C .   E l i g i b l e s < / K e y > < / D i a g r a m O b j e c t K e y > < D i a g r a m O b j e c t K e y > < K e y > T a b l e s \ I n i t i a l   A d j u s t e d   F o r m u l a   C o u n t s \ C o l u m n s \ E F I G   E l i g i b l e s < / K e y > < / D i a g r a m O b j e c t K e y > < D i a g r a m O b j e c t K e y > < K e y > T a b l e s \ I n i t i a l   A d j u s t e d   F o r m u l a   C o u n t s \ C o l u m n s \ C O U N T S   T a r g e t e d < / K e y > < / D i a g r a m O b j e c t K e y > < D i a g r a m O b j e c t K e y > < K e y > T a b l e s \ I n i t i a l   A d j u s t e d   F o r m u l a   C o u n t s \ C o l u m n s \ C O U N T S   E F I G 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 T a g s \ T a b l e s \ & l t ; T a b l e s \ F R P L & g t ; 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 T a g s \ T a b l e s \ & l t ; T a b l e s \ C h a r t e r _ T r i b a l S e n d i n g   D i s t r i c t s & g t ; 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 T a g s \ T a b l e s \ & l t ; T a b l e s \ C h a r t e r O n l y & g t ; 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 T a g s \ T a b l e s \ & l t ; T a b l e s \ S e n d i n g O n l y & g t ; 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 T a g s \ T a b l e s \ & l t ; T a b l e s \ A p p e n d 1 & g t ; 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 T a g s \ T a b l e s \ & l t ; T a b l e s \ S p l i t   C a l c & g t ; 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 T a g s \ T a b l e s \ & l t ; T a b l e s \ C C D D D   L E A i d & g t ; 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 T a g s \ T a b l e s \ & l t ; T a b l e s \ A l l o c a t i o n   A d j u s t m e n t s & g t ; 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 T a g s \ T a b l e s \ & l t ; T a b l e s \ A l l o c a t i o n   A d j u s t m e n t s  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 T a g s \ T a b l e s \ & l t ; T a b l e s \ F o r m u l a   C o u n t s   A d j u s t m e n t s & g t ; 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 T a g s \ T a b l e s \ & l t ; T a b l e s \ D O E   F o r m u l a   c o u n t s & g t ; 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 T a g s \ T a b l e s \ & l t ; T a b l e s \ P r i o r   Y e a r   a d j u s t e d   a l l o c a t i o n s & g t ; 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 T a g s \ T a b l e s \ & l t ; T a b l e s \ P r i o r   Y e a r   A d j u s t e d   F o r m u l a   c o u n t s & g t ; 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 T a g s \ T a b l e s \ & l t ; T a b l e s \ D O E   A l l o c a t i o n & g t ; 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 T a g s \ T a b l e s \ & l t ; T a b l e s \ N e w   O r   E x p n a d e d   H H   c a l c & g t ; 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 T a g s \ T a b l e s \ & l t ; T a b l e s \ I n i t i a l   A d j u s t e d   F o r m u l a   C o u n t s & g t ; 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 T a b l e s \ F R P L 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 T a b l e s \ F R P L \ C o l u m n s \ s c h o o l Y e a r 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 T a b l e s \ F R P L \ C o l u m n s \ C C D D D 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 T a b l e s \ F R P L \ C o l u m n s \ D i s t r i c t N a m e 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 T a b l e s \ F R P L \ C o l u m n s \ T o t a l S t u d e n t s 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 T a b l e s \ F R P L \ C o l u m n s \ T o t a l S t u d e n t s I n P o v e r t y 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 T a b l e s \ F R P L \ C o l u m n s \ T o t a l P e r c e n t I n P o v e r t y 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 D i s t r i c t s \ C o l u m n s \ C h a r t e r / T r i b a l 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 D i s t r i c t s \ C o l u m n s \ S e n d i n g   D i s t r i c t 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 D i s t r i c t s \ C o l u m n s \ S e n d i n g   D i s t r i c t  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 T a b l e s \ C h a r t e r _ T r i b a l S e n d i n g   D i s t r i c t s \ C o l u m n s \ I s N e w 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 6 5 9 . 8 0 7 6 2 1 1 3 5 3 3 1 6 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 T a b l e s \ C h a r t e r O n l y \ C o l u m n s \ D i s t r i c t T y p e 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 T a b l e s \ S e n d i n g O n l y 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 9 8 9 . 7 1 1 4 3 1 7 0 2 9 9 7 2 9 < / L e f t > < T a b I n d e x > 3 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 T a b l e s \ S e n d i n g O n l y \ C o l u m n s \ C C D D D 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 T a b l e s \ S e n d i n g O n l y \ C o l u m n s \ D i s t r i c t N a m e 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 T a b l e s \ S e n d i n g O n l y \ C o l u m n s \ S e n d i n g L E A i d 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 T a b l e s \ S e n d i n g O n l y \ C o l u m n s \ D i s t r i c t T y p e 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 T a b l e s \ S e n d i n g O n l y \ C o l u m n s \ L E A i d 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 1 3 1 9 . 6 1 5 2 4 2 2 7 0 6 6 3 2 < / L e f t > < T a b I n d e x >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 T a b l e s \ A p p e n d 1 \ C o l u m n s \ D i s t r i c t T y p e 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 T a b l e s \ A p p e n d 1 \ C o l u m n s \ I s N e w 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 1 6 4 9 . 5 1 9 0 5 2 8 3 8 3 2 9 1 < / L e f t > < T a b I n d e x > 5 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 C a l c \ C o l u m n s \ C h a r t e r / T r i b a l 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 C a l c \ C o l u m n s \ S e n d i n g   D i s t r i c t 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 C a l c \ C o l u m n s \ S e n d i n g   D i s t r i c t  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 C a l c \ C o l u m n s \ T o t a l S t u d e n t s I n P o v e r t y 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 C a l c \ C o l u m n s \ S e n d i n g T o t a l S t u d e n t s I n P o v e r t y 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 T a b l e s \ S p l i t   C a l c \ C o l u m n s \ S e n d i n g L E A I d 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 1 9 7 9 . 4 2 2 8 6 3 4 0 5 9 9 5 < / L e f t > < T a b I n d e x > 6 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 L E A i d \ C o l u m n s \ D i s t r i c t C o d e 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 L E A i d \ C o l u m n s \ O r g a n i z a t i o n I d 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 L E A i d \ C o l u m n s \ N C E S L E A N u m b e r 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 L E A i d \ C o l u m n s \ N C E S L E A N a m e 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 T a b l e s \ C C D D D   L E A i d \ C o l u m n s \ S c h o o l Y e a r I d 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 2 3 0 9 . 3 2 6 6 7 3 9 7 3 6 6 0 9 < / L e f t > < T a b I n d e x > 7 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 A d j u s t m e n t s \ C o l u m n s \ D i s t r i c t T y p e 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 A d j u s t m e n t s \ C o l u m n s \ M u l t i p l i e r 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 A d j u s t m e n t s \ C o l u m n s \ B a s i c 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 A d j u s t m e n t s \ C o l u m n s \ C O N C . 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 A d j u s t m e n t s \ C o l u m n s \ T A R G E T E D 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 A d j u s t m e n t s \ C o l u m n s \ E F I G 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 A d j u s t m e n t s \ C o l u m n s \ T O T A L 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 A d j u s t m e n t s \ C o l u m n s \ B a s i c 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 A d j u s t m e n t s \ C o l u m n s \ C o n c . 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 A d j u s t m e n t s \ C o l u m n s \ T a r g e t e d 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 A d j u s t m e n t s \ C o l u m n s \ E F I G 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 A d j u s t m e n t s \ C o l u m n s \ T i t l e   I 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 A d j u s t m e n t s \ C o l u m n s \ P e r c e n t a g e   o f 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 A d j u s t m e n t s \ C o l u m n s \ R e s i d e n t   P o p 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 2 6 3 9 . 2 3 0 4 8 4 5 4 1 3 2 6 9 < / L e f t > < T a b I n d e x > 8 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 1 \ C o l u m n s \ D i s t r i c t T y p e 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 1 \ C o l u m n s \ M u l t i p l i e r 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 1 \ C o l u m n s \ B a s i c 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 1 \ C o l u m n s \ C O N C . 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 1 \ C o l u m n s \ T A R G E T E D 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 1 \ C o l u m n s \ E F I G 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 1 \ C o l u m n s \ T O T A L 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 1 \ C o l u m n s \ B a s i c 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 1 \ C o l u m n s \ C o n c . 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 1 \ C o l u m n s \ T a r g e t e d 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 1 \ C o l u m n s \ E F I G 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 1 \ C o l u m n s \ T i t l e   I 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 1 \ C o l u m n s \ P e r c e n t a g e   o f 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 T a b l e s \ A l l o c a t i o n   A d j u s t m e n t s   1 \ C o l u m n s \ R e s i d e n t   P o p 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 2 9 6 9 . 1 3 4 2 9 5 1 0 8 9 9 2 8 < / L e f t > < T a b I n d e x > 9 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 A d j u s t m e n t s \ C o l u m n s \ S e n d i n g L E A i d 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 A d j u s t m e n t s \ C o l u m n s \ D i s t r i c t T y p e 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 A d j u s t m e n t s \ C o l u m n s \ M u l t i p l i e r 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 A d j u s t m e n t s \ C o l u m n s \ 2 0 2 0   P O V R T Y 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 A d j u s t m e n t s \ C o l u m n s \ 2 0 2 1   N E G 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 A d j u s t m e n t s \ C o l u m n s \ 2 0 2 1 _ 1   D E L . 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 A d j u s t m e n t s \ C o l u m n s \ 2 0 2 1 _ 2   F O R S T E R 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 A d j u s t m e n t s \ C o l u m n s \ 2 0 2 1 _ 3   T A N F 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 A d j u s t m e n t s \ C o l u m n s \ F O R M U L A   C O U N T 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 A d j u s t m e n t s \ C o l u m n s \ 5 - 1 7 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 A d j u s t m e n t s \ C o l u m n s \ P E R C E N T   F O R M U L A 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 A d j u s t m e n t s \ C o l u m n s \ B A S I C 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 A d j u s t m e n t s \ C o l u m n s \ C O N C . 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 A d j u s t m e n t s \ C o l u m n s \ E F I G 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 A d j u s t m e n t s \ C o l u m n s \ C O U N T S   T a r g e t e d 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 T a b l e s \ F o r m u l a   C o u n t s   A d j u s t m e n t s \ C o l u m n s \ C O U N T S   E F I G 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 3 2 9 9 . 0 3 8 1 0 5 6 7 6 6 5 8 7 < / L e f t > < T a b I n d e x > 1 0 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 c o u n t s \ C o l u m n s \ L O C A L   E D U C A T I O N A L   A G E N C Y 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 c o u n t s \ C o l u m n s \ 2 0 2 0   P O V R T Y 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 c o u n t s \ C o l u m n s \ 2 0 2 1   N E G 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 c o u n t s \ C o l u m n s \ 2 0 2 1 _ 1   D E L . 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 c o u n t s \ C o l u m n s \ 2 0 2 1 _ 2   F O R S T E R 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 c o u n t s \ C o l u m n s \ 2 0 2 1 _ 3   T A N F 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 c o u n t s \ C o l u m n s \ F O R M U L A   C O U N T 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 c o u n t s \ C o l u m n s \ 5 - 1 7 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 c o u n t s \ C o l u m n s \ P E R C E N T   F O R M U L A 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 c o u n t s \ C o l u m n s \ B A S I C 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 c o u n t s \ C o l u m n s \ C O N C . 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 c o u n t s \ C o l u m n s \ & a m p ;   E F I G 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 c o u n t s \ C o l u m n s \ C O U N T S   T a r g e t e d 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 F o r m u l a   c o u n t s \ C o l u m n s \ C O U N T S   E F I G 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 3 6 2 8 . 9 4 1 9 1 6 2 4 4 3 2 4 6 < / L e f t > < T a b I n d e x > 1 1 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 a l l o c a t i o n s \ C o l u m n s \ W A S H I N G T O N 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 a l l o c a t i o n s \ C o l u m n s \ B A S I C 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 a l l o c a t i o n s \ C o l u m n s \ C O N C .   H O L D  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 a l l o c a t i o n s \ C o l u m n s \ T A R G E T E D 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 a l l o c a t i o n s \ C o l u m n s \ E F I G 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 a l l o c a t i o n s \ C o l u m n s \ T O T A L 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 a l l o c a t i o n s \ C o l u m n s \ B A S I C 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 a l l o c a t i o n s \ C o l u m n s \ C O N C . 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 a l l o c a t i o n s \ C o l u m n s \ T A R G E T E D 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 a l l o c a t i o n s \ C o l u m n s \ E F I G 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 a l l o c a t i o n s \ C o l u m n s \ T O T A L   T I T L e   I 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 a l l o c a t i o n s \ C o l u m n s \ P E R C E N T A G E   O F   T O T A L 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 a l l o c a t i o n s \ C o l u m n s \ R E S I D E N T 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 3 9 5 8 . 8 4 5 7 2 6 8 1 1 9 9 1 < / L e f t > < T a b I n d e x > 1 2 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 c o u n t s \ C o l u m n s \ L E A N a m e 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 c o u n t s \ C o l u m n s \ C E N S U S   P o v e r t y 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 c o u n t s \ C o l u m n s \ N E G . 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 c o u n t s \ C o l u m n s \ D E L . 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 c o u n t s \ C o l u m n s \ F O S T E R 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 c o u n t s \ C o l u m n s \ T A N F 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 c o u n t s \ C o l u m n s \ T O T A L   F O R M U L A   C O U N T 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 c o u n t s \ C o l u m n s \ 5 - 1 7 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 c o u n t s \ C o l u m n s \ P E R C E N T   F O R M U L A 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 c o u n t s \ C o l u m n s \ B A S I C 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 c o u n t s \ C o l u m n s \ C O N C . 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 c o u n t s \ C o l u m n s \ U N W E I G H T E D   T A R G E T E D   & a m p ;   E F I G 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 c o u n t s \ C o l u m n s \ W E I G H T E D   C O U N T S   T A R G E T E D 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 T a b l e s \ P r i o r   Y e a r   A d j u s t e d   F o r m u l a   c o u n t s \ C o l u m n s \ W E I G H T E D   C O U N T S   E F I G 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 4 2 8 8 . 7 4 9 5 3 7 3 7 9 6 5 6 4 < / L e f t > < T a b I n d e x > 1 3 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 A l l o c a t i o n \ C o l u m n s \ L E A N a n m e 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 A l l o c a t i o n \ C o l u m n s \ B A S I C   H O L D   H s r m l e s s 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 A l l o c a t i o n \ C o l u m n s \ C O N C . 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 A l l o c a t i o n \ C o l u m n s \ T A R G E T E D 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 A l l o c a t i o n \ C o l u m n s \ E F I G 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 A l l o c a t i o n \ C o l u m n s \ T O T A L 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 A l l o c a t i o n \ C o l u m n s \ B a s i c 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 A l l o c a t i o n \ C o l u m n s \ C o n c . 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 A l l o c a t i o n \ C o l u m n s \ T a r g e t e d 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 A l l o c a t i o n \ C o l u m n s \ E F I G 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 A l l o c a t i o n \ C o l u m n s \ T i t l e   I 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 A l l o c a t i o n \ C o l u m n s \ P e r c e n t a g e   o f 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 T a b l e s \ D O E   A l l o c a t i o n \ C o l u m n s \ R e s i d e n t 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 4 6 1 8 . 6 5 3 3 4 7 9 4 7 3 2 1 9 < / L e f t > < T a b I n d e x > 1 4 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 c a l c \ C o l u m n s \ C C D D D 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 c a l c \ C o l u m n s \ D i s t r i c t N a m e 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 c a l c \ C o l u m n s \ I s N e w 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 c a l c \ C o l u m n s \ F O R M U L A   C O U N T 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 c a l c \ C o l u m n s \ 5 - 1 7 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 c a l c \ C o l u m n s \ P r i o r   Y e a r . T O T A L   F O R M U L A   C O U N T 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 c a l c \ C o l u m n s \ P r i o r   Y e a r . 5 - 1 7 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 c a l c \ C o l u m n s \ F o r m u l a   C o u n t   I n c r e a s e 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 c a l c \ C o l u m n s \ P E R C E N T   F O R M U L A 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 c a l c \ C o l u m n s \ H o l d   H a r m l e s s   P e r c e n t a g e 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 c a l c \ C o l u m n s \ A d j u s t e d   A l l o c a t i o n . T O T A L   H O L D   H a r m l e s s   B a s e 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 c a l c \ C o l u m n s \ A d j u s t e d   A l l o c a t i o n . T i t l e   I   A l l o c a t i o n 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 T a b l e s \ N e w   O r   E x p n a d e d   H H   c a l c \ C o l u m n s \ A b o v e   H H 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 5 2 7 8 . 4 6 0 9 6 9 0 8 2 6 5 2 8 < / L e f t > < T a b I n d e x > 1 6 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 C o u n t s \ C o l u m n s \ L E A i d 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 C o u n t s \ C o l u m n s \ L E A N a m e 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 C o u n t s \ C o l u m n s \ 2 0 2 0   P O V R T Y 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 C o u n t s \ C o l u m n s \ 2 0 2 1   N E G 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 C o u n t s \ C o l u m n s \ 2 0 2 1 _ 1   D E L . . 1 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 C o u n t s \ C o l u m n s \ 2 0 2 1 _ 2   F O R S T E R 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 C o u n t s \ C o l u m n s \ 2 0 2 1 _ 3   T A N F 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 C o u n t s \ C o l u m n s \ F O R M U L A   C O U N T 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 C o u n t s \ C o l u m n s \ 5 - 1 7   P O P . 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 C o u n t s \ C o l u m n s \ P E R C E N T   F O R M U L A 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 C o u n t s \ C o l u m n s \ B A S I C 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 C o u n t s \ C o l u m n s \ C O N C . 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 C o u n t s \ C o l u m n s \ E F I G   E l i g i b l e s 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 C o u n t s \ C o l u m n s \ C O U N T S   T a r g e t e d 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 T a b l e s \ I n i t i a l   A d j u s t e d   F o r m u l a   C o u n t s \ C o l u m n s \ C O U N T S   E F I G 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 F R P L 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 F R P L 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 C o l u m n s \ s c h o o l Y e a r < / K e y > < / D i a g r a m O b j e c t K e y > < D i a g r a m O b j e c t K e y > < K e y > C o l u m n s \ C C D D D < / K e y > < / D i a g r a m O b j e c t K e y > < D i a g r a m O b j e c t K e y > < K e y > C o l u m n s \ D i s t r i c t N a m e < / K e y > < / D i a g r a m O b j e c t K e y > < D i a g r a m O b j e c t K e y > < K e y > C o l u m n s \ T o t a l S t u d e n t s < / K e y > < / D i a g r a m O b j e c t K e y > < D i a g r a m O b j e c t K e y > < K e y > C o l u m n s \ T o t a l S t u d e n t s I n P o v e r t y < / K e y > < / D i a g r a m O b j e c t K e y > < D i a g r a m O b j e c t K e y > < K e y > C o l u m n s \ T o t a l P e r c e n t I n P o v e r t y 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 C o l u m n s \ s c h o o l Y e a r 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 C o l u m n s \ C C D D D 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 C o l u m n s \ D i s t r i c t N a m e 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 C o l u m n s \ T o t a l S t u d e n t s 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 C o l u m n s \ T o t a l S t u d e n t s I n P o v e r t y 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 C o l u m n s \ T o t a l P e r c e n t I n P o v e r t y 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 s u m i f 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 s u m i f 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 C o l u m n s \ S e n d i n g   D i s t r i c t   C C D D D < / K e y > < / D i a g r a m O b j e c t K e y > < D i a g r a m O b j e c t K e y > < K e y > C o l u m n s \ S u m T o t a l S t u d e n t s   i n   p o v e r t y 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 C o l u m n s \ S e n d i n g   D i s t r i c t   C C D D D 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 C o l u m n s \ S u m T o t a l S t u d e n t s   i n   p o v e r t y 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2BEB6B10-8085-405D-8D4E-D444EE1E3756}">
  <ds:schemaRefs/>
</ds:datastoreItem>
</file>

<file path=customXml/itemProps10.xml><?xml version="1.0" encoding="utf-8"?>
<ds:datastoreItem xmlns:ds="http://schemas.openxmlformats.org/officeDocument/2006/customXml" ds:itemID="{9A96D58D-B731-4143-AA84-8A4559BB47C0}">
  <ds:schemaRefs/>
</ds:datastoreItem>
</file>

<file path=customXml/itemProps11.xml><?xml version="1.0" encoding="utf-8"?>
<ds:datastoreItem xmlns:ds="http://schemas.openxmlformats.org/officeDocument/2006/customXml" ds:itemID="{80AD095B-9596-4ABB-909D-4433931B1D7B}">
  <ds:schemaRefs/>
</ds:datastoreItem>
</file>

<file path=customXml/itemProps12.xml><?xml version="1.0" encoding="utf-8"?>
<ds:datastoreItem xmlns:ds="http://schemas.openxmlformats.org/officeDocument/2006/customXml" ds:itemID="{A5F61F43-2B1B-4E03-991C-25823BACC69A}">
  <ds:schemaRefs/>
</ds:datastoreItem>
</file>

<file path=customXml/itemProps13.xml><?xml version="1.0" encoding="utf-8"?>
<ds:datastoreItem xmlns:ds="http://schemas.openxmlformats.org/officeDocument/2006/customXml" ds:itemID="{89384747-53B4-4C40-A5DA-2CDB93F62D84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AA84F6FF-B3DA-4CE3-9D95-51C5FF1E7D1E}">
  <ds:schemaRefs/>
</ds:datastoreItem>
</file>

<file path=customXml/itemProps15.xml><?xml version="1.0" encoding="utf-8"?>
<ds:datastoreItem xmlns:ds="http://schemas.openxmlformats.org/officeDocument/2006/customXml" ds:itemID="{C557732F-3E27-4B73-890A-6B7F37F9A3AD}">
  <ds:schemaRefs/>
</ds:datastoreItem>
</file>

<file path=customXml/itemProps16.xml><?xml version="1.0" encoding="utf-8"?>
<ds:datastoreItem xmlns:ds="http://schemas.openxmlformats.org/officeDocument/2006/customXml" ds:itemID="{656B9EA6-AE52-4FCC-B10D-9012246E37FC}">
  <ds:schemaRefs/>
</ds:datastoreItem>
</file>

<file path=customXml/itemProps17.xml><?xml version="1.0" encoding="utf-8"?>
<ds:datastoreItem xmlns:ds="http://schemas.openxmlformats.org/officeDocument/2006/customXml" ds:itemID="{0C45F400-3380-4BBF-9C9A-A434BD245E81}">
  <ds:schemaRefs/>
</ds:datastoreItem>
</file>

<file path=customXml/itemProps18.xml><?xml version="1.0" encoding="utf-8"?>
<ds:datastoreItem xmlns:ds="http://schemas.openxmlformats.org/officeDocument/2006/customXml" ds:itemID="{AE81D1FB-7859-4A17-9925-956C4F45F006}">
  <ds:schemaRefs/>
</ds:datastoreItem>
</file>

<file path=customXml/itemProps2.xml><?xml version="1.0" encoding="utf-8"?>
<ds:datastoreItem xmlns:ds="http://schemas.openxmlformats.org/officeDocument/2006/customXml" ds:itemID="{65E85F9D-28AC-4885-B140-75127D764CB7}">
  <ds:schemaRefs/>
</ds:datastoreItem>
</file>

<file path=customXml/itemProps3.xml><?xml version="1.0" encoding="utf-8"?>
<ds:datastoreItem xmlns:ds="http://schemas.openxmlformats.org/officeDocument/2006/customXml" ds:itemID="{D6AD569A-BACD-49BC-9E08-481DAD7734B7}">
  <ds:schemaRefs/>
</ds:datastoreItem>
</file>

<file path=customXml/itemProps4.xml><?xml version="1.0" encoding="utf-8"?>
<ds:datastoreItem xmlns:ds="http://schemas.openxmlformats.org/officeDocument/2006/customXml" ds:itemID="{BFB5D4B2-EE2B-4D5B-B284-E010D95DC454}">
  <ds:schemaRefs/>
</ds:datastoreItem>
</file>

<file path=customXml/itemProps5.xml><?xml version="1.0" encoding="utf-8"?>
<ds:datastoreItem xmlns:ds="http://schemas.openxmlformats.org/officeDocument/2006/customXml" ds:itemID="{A236602B-1867-4F0C-907E-370B7BB50726}">
  <ds:schemaRefs/>
</ds:datastoreItem>
</file>

<file path=customXml/itemProps6.xml><?xml version="1.0" encoding="utf-8"?>
<ds:datastoreItem xmlns:ds="http://schemas.openxmlformats.org/officeDocument/2006/customXml" ds:itemID="{D8920CEB-1354-47AC-BCEF-2E0FAABFA802}">
  <ds:schemaRefs/>
</ds:datastoreItem>
</file>

<file path=customXml/itemProps7.xml><?xml version="1.0" encoding="utf-8"?>
<ds:datastoreItem xmlns:ds="http://schemas.openxmlformats.org/officeDocument/2006/customXml" ds:itemID="{377BC769-17B2-419D-8521-A8DA9171A817}">
  <ds:schemaRefs/>
</ds:datastoreItem>
</file>

<file path=customXml/itemProps8.xml><?xml version="1.0" encoding="utf-8"?>
<ds:datastoreItem xmlns:ds="http://schemas.openxmlformats.org/officeDocument/2006/customXml" ds:itemID="{8957A5DB-7417-415B-B1A1-47C4546CB9F3}">
  <ds:schemaRefs/>
</ds:datastoreItem>
</file>

<file path=customXml/itemProps9.xml><?xml version="1.0" encoding="utf-8"?>
<ds:datastoreItem xmlns:ds="http://schemas.openxmlformats.org/officeDocument/2006/customXml" ds:itemID="{CFC62887-F348-4B5E-A54B-A06474FEF0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District</vt:lpstr>
      <vt:lpstr>Change log</vt:lpstr>
      <vt:lpstr>Assumptions </vt:lpstr>
      <vt:lpstr>State Reservations</vt:lpstr>
      <vt:lpstr>Basic HH</vt:lpstr>
      <vt:lpstr>Conc. HH</vt:lpstr>
      <vt:lpstr>Targeted HH</vt:lpstr>
      <vt:lpstr>EFIG HH</vt:lpstr>
      <vt:lpstr>Model allocations</vt:lpstr>
      <vt:lpstr>Initial adjusted allocations</vt:lpstr>
      <vt:lpstr>Initial adjusted formula count</vt:lpstr>
      <vt:lpstr>New or Expanded HH check</vt:lpstr>
      <vt:lpstr>Multipliers</vt:lpstr>
      <vt:lpstr>LEA Split Calc</vt:lpstr>
      <vt:lpstr>Prior Year data</vt:lpstr>
      <vt:lpstr>Conc eligibility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Belmaker</dc:creator>
  <cp:lastModifiedBy>Gideon Belmaker (OSPI)</cp:lastModifiedBy>
  <dcterms:created xsi:type="dcterms:W3CDTF">2022-11-08T17:36:19Z</dcterms:created>
  <dcterms:modified xsi:type="dcterms:W3CDTF">2026-07-23T18:53:06Z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2024-05-21T18:19:41Z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0f66f389-e1e7-4d67-948c-aa526a305fae</vt:lpwstr>
  </property>
  <property fmtid="{D5CDD505-2E9C-101B-9397-08002B2CF9AE}" pid="8" name="MSIP_Label_9145f431-4c8c-42c6-a5a5-ba6d3bdea585_ContentBits">
    <vt:lpwstr>0</vt:lpwstr>
  </property>
</Properties>
</file>