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S:\Apportionment_NEW\Federal Funding &amp; Allocations\Federal progran allocation\26-27\Final\Title III-A final\"/>
    </mc:Choice>
  </mc:AlternateContent>
  <xr:revisionPtr revIDLastSave="0" documentId="13_ncr:1_{4C801038-AB12-45E1-9D89-C56C90958A88}" xr6:coauthVersionLast="47" xr6:coauthVersionMax="47" xr10:uidLastSave="{00000000-0000-0000-0000-000000000000}"/>
  <bookViews>
    <workbookView xWindow="-28920" yWindow="-120" windowWidth="29040" windowHeight="15720" activeTab="1" xr2:uid="{20C8A46D-5F0D-42D8-A321-7BC090B3D6A4}"/>
  </bookViews>
  <sheets>
    <sheet name="District" sheetId="5" r:id="rId1"/>
    <sheet name="Allocations 2026-27" sheetId="12" r:id="rId2"/>
    <sheet name="Allocations 2025-26" sheetId="10" r:id="rId3"/>
    <sheet name="Enrollment 26-27" sheetId="11" r:id="rId4"/>
    <sheet name="Enrollment 25-26" sheetId="9" r:id="rId5"/>
    <sheet name="Assuptions" sheetId="2" r:id="rId6"/>
    <sheet name="CCDDD" sheetId="6" r:id="rId7"/>
  </sheets>
  <definedNames>
    <definedName name="_xlnm._FilterDatabase" localSheetId="2" hidden="1">'Allocations 2025-26'!$AC$1:$AC$330</definedName>
    <definedName name="_xlnm._FilterDatabase" localSheetId="1" hidden="1">'Allocations 2026-27'!$A$8:$AK$330</definedName>
    <definedName name="_xlnm._FilterDatabase" localSheetId="4" hidden="1">'Enrollment 25-26'!$B$7:$Q$332</definedName>
    <definedName name="_xlnm._FilterDatabase" localSheetId="3" hidden="1">'Enrollment 26-27'!$B$7:$Q$331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1" l="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306" i="11"/>
  <c r="K307" i="11"/>
  <c r="K308" i="11"/>
  <c r="K309" i="11"/>
  <c r="K310" i="11"/>
  <c r="K311" i="11"/>
  <c r="K312" i="11"/>
  <c r="K313" i="11"/>
  <c r="K314" i="11"/>
  <c r="K315" i="11"/>
  <c r="K316" i="11"/>
  <c r="K317" i="11"/>
  <c r="K318" i="11"/>
  <c r="K319" i="11"/>
  <c r="K320" i="11"/>
  <c r="K321" i="11"/>
  <c r="K322" i="11"/>
  <c r="K323" i="11"/>
  <c r="K324" i="11"/>
  <c r="K325" i="11"/>
  <c r="K326" i="11"/>
  <c r="K327" i="11"/>
  <c r="K328" i="11"/>
  <c r="K329" i="11"/>
  <c r="K330" i="11"/>
  <c r="K331" i="11"/>
  <c r="K8" i="11"/>
  <c r="C6" i="2" l="1"/>
  <c r="C8" i="2" s="1"/>
  <c r="C10" i="2"/>
  <c r="D83" i="12"/>
  <c r="D84" i="12"/>
  <c r="D85" i="12"/>
  <c r="D118" i="12"/>
  <c r="D218" i="12"/>
  <c r="D243" i="12"/>
  <c r="D244" i="12"/>
  <c r="D275" i="12"/>
  <c r="X330" i="12"/>
  <c r="G330" i="12"/>
  <c r="F330" i="12"/>
  <c r="X329" i="12"/>
  <c r="Q328" i="12"/>
  <c r="Q327" i="12"/>
  <c r="Q326" i="12"/>
  <c r="Q325" i="12"/>
  <c r="Q324" i="12"/>
  <c r="Q7" i="12" s="1"/>
  <c r="Q323" i="12"/>
  <c r="Q322" i="12"/>
  <c r="Q321" i="12"/>
  <c r="Q320" i="12"/>
  <c r="Q319" i="12"/>
  <c r="Q318" i="12"/>
  <c r="Q317" i="12"/>
  <c r="Q316" i="12"/>
  <c r="Q315" i="12"/>
  <c r="Q314" i="12"/>
  <c r="Q313" i="12"/>
  <c r="Q312" i="12"/>
  <c r="Q311" i="12"/>
  <c r="Q310" i="12"/>
  <c r="Q309" i="12"/>
  <c r="Q308" i="12"/>
  <c r="Q307" i="12"/>
  <c r="Q306" i="12"/>
  <c r="Q305" i="12"/>
  <c r="Q304" i="12"/>
  <c r="Q303" i="12"/>
  <c r="Q302" i="12"/>
  <c r="Q301" i="12"/>
  <c r="Q300" i="12"/>
  <c r="Q299" i="12"/>
  <c r="Q298" i="12"/>
  <c r="Q297" i="12"/>
  <c r="Q296" i="12"/>
  <c r="Q295" i="12"/>
  <c r="Q294" i="12"/>
  <c r="Q293" i="12"/>
  <c r="Q292" i="12"/>
  <c r="Q291" i="12"/>
  <c r="Q290" i="12"/>
  <c r="Q289" i="12"/>
  <c r="Q288" i="12"/>
  <c r="Q287" i="12"/>
  <c r="Q286" i="12"/>
  <c r="Q285" i="12"/>
  <c r="Q284" i="12"/>
  <c r="Q283" i="12"/>
  <c r="Q282" i="12"/>
  <c r="Q281" i="12"/>
  <c r="Q280" i="12"/>
  <c r="Q279" i="12"/>
  <c r="Q278" i="12"/>
  <c r="Q277" i="12"/>
  <c r="Q276" i="12"/>
  <c r="Q275" i="12"/>
  <c r="Q274" i="12"/>
  <c r="Q273" i="12"/>
  <c r="Q272" i="12"/>
  <c r="Q271" i="12"/>
  <c r="Q270" i="12"/>
  <c r="Q269" i="12"/>
  <c r="Q268" i="12"/>
  <c r="Q267" i="12"/>
  <c r="Q266" i="12"/>
  <c r="Q265" i="12"/>
  <c r="Q264" i="12"/>
  <c r="Q263" i="12"/>
  <c r="Q262" i="12"/>
  <c r="Q261" i="12"/>
  <c r="Q260" i="12"/>
  <c r="Q259" i="12"/>
  <c r="Q258" i="12"/>
  <c r="Q257" i="12"/>
  <c r="Q256" i="12"/>
  <c r="Q255" i="12"/>
  <c r="Q254" i="12"/>
  <c r="Q253" i="12"/>
  <c r="Q252" i="12"/>
  <c r="Q251" i="12"/>
  <c r="Q250" i="12"/>
  <c r="Q249" i="12"/>
  <c r="Q248" i="12"/>
  <c r="Q247" i="12"/>
  <c r="Q246" i="12"/>
  <c r="Q245" i="12"/>
  <c r="Q244" i="12"/>
  <c r="Q243" i="12"/>
  <c r="Q242" i="12"/>
  <c r="Q241" i="12"/>
  <c r="Q240" i="12"/>
  <c r="Q239" i="12"/>
  <c r="Q238" i="12"/>
  <c r="Q237" i="12"/>
  <c r="Q236" i="12"/>
  <c r="Q235" i="12"/>
  <c r="Q234" i="12"/>
  <c r="Q233" i="12"/>
  <c r="Q232" i="12"/>
  <c r="Q231" i="12"/>
  <c r="Q230" i="12"/>
  <c r="Q229" i="12"/>
  <c r="Q228" i="12"/>
  <c r="Q227" i="12"/>
  <c r="Q226" i="12"/>
  <c r="Q225" i="12"/>
  <c r="Q224" i="12"/>
  <c r="Q223" i="12"/>
  <c r="Q222" i="12"/>
  <c r="Q221" i="12"/>
  <c r="Q220" i="12"/>
  <c r="Q219" i="12"/>
  <c r="Q218" i="12"/>
  <c r="Q217" i="12"/>
  <c r="Q216" i="12"/>
  <c r="Q215" i="12"/>
  <c r="Q214" i="12"/>
  <c r="Q213" i="12"/>
  <c r="Q212" i="12"/>
  <c r="Q211" i="12"/>
  <c r="Q210" i="12"/>
  <c r="Q209" i="12"/>
  <c r="Q208" i="12"/>
  <c r="Q207" i="12"/>
  <c r="Q206" i="12"/>
  <c r="Q205" i="12"/>
  <c r="Q204" i="12"/>
  <c r="Q203" i="12"/>
  <c r="Q202" i="12"/>
  <c r="Q201" i="12"/>
  <c r="Q200" i="12"/>
  <c r="Q199" i="12"/>
  <c r="Q198" i="12"/>
  <c r="Q197" i="12"/>
  <c r="Q196" i="12"/>
  <c r="Q195" i="12"/>
  <c r="Q194" i="12"/>
  <c r="Q193" i="12"/>
  <c r="Q192" i="12"/>
  <c r="Q191" i="12"/>
  <c r="Q190" i="12"/>
  <c r="Q189" i="12"/>
  <c r="Q188" i="12"/>
  <c r="Q187" i="12"/>
  <c r="Q186" i="12"/>
  <c r="Q185" i="12"/>
  <c r="Q184" i="12"/>
  <c r="Q183" i="12"/>
  <c r="Q182" i="12"/>
  <c r="Q181" i="12"/>
  <c r="Q180" i="12"/>
  <c r="Q179" i="12"/>
  <c r="Q178" i="12"/>
  <c r="Q177" i="12"/>
  <c r="Q176" i="12"/>
  <c r="Q175" i="12"/>
  <c r="Q174" i="12"/>
  <c r="Q173" i="12"/>
  <c r="Q172" i="12"/>
  <c r="Q171" i="12"/>
  <c r="Q170" i="12"/>
  <c r="Q169" i="12"/>
  <c r="Q168" i="12"/>
  <c r="Q167" i="12"/>
  <c r="Q166" i="12"/>
  <c r="Q165" i="12"/>
  <c r="Q164" i="12"/>
  <c r="Q163" i="12"/>
  <c r="Q162" i="12"/>
  <c r="Q161" i="12"/>
  <c r="Q160" i="12"/>
  <c r="Q159" i="12"/>
  <c r="Q158" i="12"/>
  <c r="Q157" i="12"/>
  <c r="Q156" i="12"/>
  <c r="Q155" i="12"/>
  <c r="Q154" i="12"/>
  <c r="Q153" i="12"/>
  <c r="Q152" i="12"/>
  <c r="Q151" i="12"/>
  <c r="Q150" i="12"/>
  <c r="Q149" i="12"/>
  <c r="Q148" i="12"/>
  <c r="Q147" i="12"/>
  <c r="Q146" i="12"/>
  <c r="Q145" i="12"/>
  <c r="Q144" i="12"/>
  <c r="Q143" i="12"/>
  <c r="Q142" i="12"/>
  <c r="Q141" i="12"/>
  <c r="Q140" i="12"/>
  <c r="Q139" i="12"/>
  <c r="Q138" i="12"/>
  <c r="Q137" i="12"/>
  <c r="Q136" i="12"/>
  <c r="Q135" i="12"/>
  <c r="Q134" i="12"/>
  <c r="Q133" i="12"/>
  <c r="Q132" i="12"/>
  <c r="Q131" i="12"/>
  <c r="Q130" i="12"/>
  <c r="Q129" i="12"/>
  <c r="Q128" i="12"/>
  <c r="Q127" i="12"/>
  <c r="Q126" i="12"/>
  <c r="Q125" i="12"/>
  <c r="Q124" i="12"/>
  <c r="Q123" i="12"/>
  <c r="Q122" i="12"/>
  <c r="Q121" i="12"/>
  <c r="Q120" i="12"/>
  <c r="Q119" i="12"/>
  <c r="Q118" i="12"/>
  <c r="Q117" i="12"/>
  <c r="Q116" i="12"/>
  <c r="Q115" i="12"/>
  <c r="Q114" i="12"/>
  <c r="Q113" i="12"/>
  <c r="Q112" i="12"/>
  <c r="Q111" i="12"/>
  <c r="Q110" i="12"/>
  <c r="Q109" i="12"/>
  <c r="Q108" i="12"/>
  <c r="Q107" i="12"/>
  <c r="Q106" i="12"/>
  <c r="Q105" i="12"/>
  <c r="Q104" i="12"/>
  <c r="Q103" i="12"/>
  <c r="Q102" i="12"/>
  <c r="Q101" i="12"/>
  <c r="Q100" i="12"/>
  <c r="Q99" i="12"/>
  <c r="Q98" i="12"/>
  <c r="Q97" i="12"/>
  <c r="Q96" i="12"/>
  <c r="Q95" i="12"/>
  <c r="Q94" i="12"/>
  <c r="R93" i="12"/>
  <c r="Q93" i="12"/>
  <c r="Q92" i="12"/>
  <c r="Q91" i="12"/>
  <c r="Q90" i="12"/>
  <c r="Q89" i="12"/>
  <c r="Q88" i="12"/>
  <c r="Q87" i="12"/>
  <c r="Q86" i="12"/>
  <c r="Q85" i="12"/>
  <c r="Q84" i="12"/>
  <c r="Q83" i="12"/>
  <c r="Q82" i="12"/>
  <c r="Q81" i="12"/>
  <c r="Q80" i="12"/>
  <c r="Q79" i="12"/>
  <c r="Q78" i="12"/>
  <c r="Q77" i="12"/>
  <c r="Q76" i="12"/>
  <c r="Q75" i="12"/>
  <c r="Q74" i="12"/>
  <c r="Q73" i="12"/>
  <c r="Q72" i="12"/>
  <c r="Q71" i="12"/>
  <c r="Q70" i="12"/>
  <c r="Q69" i="12"/>
  <c r="Q68" i="12"/>
  <c r="Q67" i="12"/>
  <c r="Q66" i="12"/>
  <c r="Q65" i="12"/>
  <c r="Q64" i="12"/>
  <c r="R63" i="12"/>
  <c r="Q63" i="12"/>
  <c r="Q62" i="12"/>
  <c r="Q61" i="12"/>
  <c r="Q60" i="12"/>
  <c r="R59" i="12"/>
  <c r="Q59" i="12"/>
  <c r="Q58" i="12"/>
  <c r="Q57" i="12"/>
  <c r="Q56" i="12"/>
  <c r="Q55" i="12"/>
  <c r="Q54" i="12"/>
  <c r="Q53" i="12"/>
  <c r="Q52" i="12"/>
  <c r="R51" i="12"/>
  <c r="Q51" i="12"/>
  <c r="Q50" i="12"/>
  <c r="Q49" i="12"/>
  <c r="Q48" i="12"/>
  <c r="Q47" i="12"/>
  <c r="Q46" i="12"/>
  <c r="Q45" i="12"/>
  <c r="R44" i="12"/>
  <c r="Q44" i="12"/>
  <c r="Q43" i="12"/>
  <c r="Q42" i="12"/>
  <c r="Q41" i="12"/>
  <c r="Q40" i="12"/>
  <c r="Q39" i="12"/>
  <c r="Q38" i="12"/>
  <c r="Q37" i="12"/>
  <c r="Q36" i="12"/>
  <c r="Q35" i="12"/>
  <c r="Q34" i="12"/>
  <c r="Q33" i="12"/>
  <c r="R32" i="12"/>
  <c r="Q32" i="12"/>
  <c r="Q31" i="12"/>
  <c r="Q30" i="12"/>
  <c r="Q29" i="12"/>
  <c r="Q28" i="12"/>
  <c r="Q27" i="12"/>
  <c r="Q26" i="12"/>
  <c r="R25" i="12"/>
  <c r="Q25" i="12"/>
  <c r="Q24" i="12"/>
  <c r="Q23" i="12"/>
  <c r="Q22" i="12"/>
  <c r="R21" i="12"/>
  <c r="Q21" i="12"/>
  <c r="R20" i="12"/>
  <c r="Q20" i="12"/>
  <c r="Q19" i="12"/>
  <c r="R18" i="12"/>
  <c r="Q18" i="12"/>
  <c r="Q17" i="12"/>
  <c r="Q16" i="12"/>
  <c r="Q15" i="12"/>
  <c r="Q14" i="12"/>
  <c r="Q13" i="12"/>
  <c r="Q12" i="12"/>
  <c r="Q11" i="12"/>
  <c r="Q10" i="12"/>
  <c r="R9" i="12"/>
  <c r="Q9" i="12"/>
  <c r="G8" i="12"/>
  <c r="F8" i="12"/>
  <c r="G7" i="12"/>
  <c r="F7" i="12"/>
  <c r="AA1" i="12"/>
  <c r="Z1" i="12"/>
  <c r="Y1" i="12"/>
  <c r="X1" i="12"/>
  <c r="W1" i="12"/>
  <c r="V1" i="12"/>
  <c r="U1" i="12"/>
  <c r="T1" i="12"/>
  <c r="S1" i="12"/>
  <c r="R1" i="12"/>
  <c r="Q1" i="12"/>
  <c r="P1" i="12"/>
  <c r="O1" i="12"/>
  <c r="N1" i="12"/>
  <c r="M1" i="12"/>
  <c r="L1" i="12"/>
  <c r="K1" i="12"/>
  <c r="J1" i="12"/>
  <c r="I1" i="12"/>
  <c r="H1" i="12"/>
  <c r="G1" i="12"/>
  <c r="F1" i="12"/>
  <c r="E1" i="12"/>
  <c r="D1" i="12"/>
  <c r="C1" i="12"/>
  <c r="B1" i="12"/>
  <c r="I8" i="9"/>
  <c r="C7" i="2" l="1"/>
  <c r="C9" i="2"/>
  <c r="Q8" i="12"/>
  <c r="R328" i="12"/>
  <c r="R316" i="12"/>
  <c r="R304" i="12"/>
  <c r="R292" i="12"/>
  <c r="R280" i="12"/>
  <c r="R321" i="12"/>
  <c r="R309" i="12"/>
  <c r="R297" i="12"/>
  <c r="R285" i="12"/>
  <c r="R326" i="12"/>
  <c r="R314" i="12"/>
  <c r="R302" i="12"/>
  <c r="R290" i="12"/>
  <c r="R319" i="12"/>
  <c r="R307" i="12"/>
  <c r="R295" i="12"/>
  <c r="R283" i="12"/>
  <c r="R324" i="12"/>
  <c r="R312" i="12"/>
  <c r="R300" i="12"/>
  <c r="R288" i="12"/>
  <c r="R317" i="12"/>
  <c r="R305" i="12"/>
  <c r="R293" i="12"/>
  <c r="R281" i="12"/>
  <c r="R322" i="12"/>
  <c r="R310" i="12"/>
  <c r="R298" i="12"/>
  <c r="R286" i="12"/>
  <c r="R274" i="12"/>
  <c r="R327" i="12"/>
  <c r="R315" i="12"/>
  <c r="R303" i="12"/>
  <c r="R291" i="12"/>
  <c r="R279" i="12"/>
  <c r="R267" i="12"/>
  <c r="R320" i="12"/>
  <c r="R308" i="12"/>
  <c r="R296" i="12"/>
  <c r="R284" i="12"/>
  <c r="R323" i="12"/>
  <c r="R311" i="12"/>
  <c r="R299" i="12"/>
  <c r="R287" i="12"/>
  <c r="R275" i="12"/>
  <c r="R294" i="12"/>
  <c r="R256" i="12"/>
  <c r="R244" i="12"/>
  <c r="R232" i="12"/>
  <c r="R306" i="12"/>
  <c r="R273" i="12"/>
  <c r="R261" i="12"/>
  <c r="R249" i="12"/>
  <c r="R301" i="12"/>
  <c r="R289" i="12"/>
  <c r="R262" i="12"/>
  <c r="R250" i="12"/>
  <c r="R238" i="12"/>
  <c r="R226" i="12"/>
  <c r="R325" i="12"/>
  <c r="R318" i="12"/>
  <c r="R313" i="12"/>
  <c r="R278" i="12"/>
  <c r="R243" i="12"/>
  <c r="R216" i="12"/>
  <c r="R266" i="12"/>
  <c r="R282" i="12"/>
  <c r="R276" i="12"/>
  <c r="R265" i="12"/>
  <c r="R264" i="12"/>
  <c r="R263" i="12"/>
  <c r="R277" i="12"/>
  <c r="R268" i="12"/>
  <c r="R227" i="12"/>
  <c r="R208" i="12"/>
  <c r="R196" i="12"/>
  <c r="R260" i="12"/>
  <c r="R259" i="12"/>
  <c r="R248" i="12"/>
  <c r="R247" i="12"/>
  <c r="R237" i="12"/>
  <c r="R218" i="12"/>
  <c r="R201" i="12"/>
  <c r="R269" i="12"/>
  <c r="R258" i="12"/>
  <c r="R246" i="12"/>
  <c r="R241" i="12"/>
  <c r="R271" i="12"/>
  <c r="R255" i="12"/>
  <c r="R254" i="12"/>
  <c r="R236" i="12"/>
  <c r="R217" i="12"/>
  <c r="R202" i="12"/>
  <c r="R257" i="12"/>
  <c r="R233" i="12"/>
  <c r="R240" i="12"/>
  <c r="R239" i="12"/>
  <c r="R220" i="12"/>
  <c r="R209" i="12"/>
  <c r="R252" i="12"/>
  <c r="R242" i="12"/>
  <c r="R225" i="12"/>
  <c r="R219" i="12"/>
  <c r="R270" i="12"/>
  <c r="R272" i="12"/>
  <c r="R253" i="12"/>
  <c r="R212" i="12"/>
  <c r="R204" i="12"/>
  <c r="R200" i="12"/>
  <c r="R190" i="12"/>
  <c r="R178" i="12"/>
  <c r="R166" i="12"/>
  <c r="R154" i="12"/>
  <c r="R142" i="12"/>
  <c r="R130" i="12"/>
  <c r="R118" i="12"/>
  <c r="R245" i="12"/>
  <c r="R223" i="12"/>
  <c r="R211" i="12"/>
  <c r="R207" i="12"/>
  <c r="R199" i="12"/>
  <c r="R183" i="12"/>
  <c r="R171" i="12"/>
  <c r="R159" i="12"/>
  <c r="R147" i="12"/>
  <c r="R251" i="12"/>
  <c r="R234" i="12"/>
  <c r="R231" i="12"/>
  <c r="R198" i="12"/>
  <c r="R191" i="12"/>
  <c r="R179" i="12"/>
  <c r="R167" i="12"/>
  <c r="R155" i="12"/>
  <c r="R143" i="12"/>
  <c r="R131" i="12"/>
  <c r="R119" i="12"/>
  <c r="R228" i="12"/>
  <c r="R210" i="12"/>
  <c r="R186" i="12"/>
  <c r="R174" i="12"/>
  <c r="R162" i="12"/>
  <c r="R150" i="12"/>
  <c r="R128" i="12"/>
  <c r="R123" i="12"/>
  <c r="R117" i="12"/>
  <c r="R112" i="12"/>
  <c r="R110" i="12"/>
  <c r="R103" i="12"/>
  <c r="R215" i="12"/>
  <c r="R182" i="12"/>
  <c r="R170" i="12"/>
  <c r="R230" i="12"/>
  <c r="R221" i="12"/>
  <c r="R195" i="12"/>
  <c r="R188" i="12"/>
  <c r="R185" i="12"/>
  <c r="R176" i="12"/>
  <c r="R173" i="12"/>
  <c r="R164" i="12"/>
  <c r="R161" i="12"/>
  <c r="R152" i="12"/>
  <c r="R149" i="12"/>
  <c r="R141" i="12"/>
  <c r="R116" i="12"/>
  <c r="R99" i="12"/>
  <c r="R87" i="12"/>
  <c r="R235" i="12"/>
  <c r="R197" i="12"/>
  <c r="R189" i="12"/>
  <c r="R175" i="12"/>
  <c r="R172" i="12"/>
  <c r="R168" i="12"/>
  <c r="R139" i="12"/>
  <c r="R127" i="12"/>
  <c r="R224" i="12"/>
  <c r="R187" i="12"/>
  <c r="R181" i="12"/>
  <c r="R180" i="12"/>
  <c r="R151" i="12"/>
  <c r="R135" i="12"/>
  <c r="R122" i="12"/>
  <c r="R222" i="12"/>
  <c r="R213" i="12"/>
  <c r="R184" i="12"/>
  <c r="R165" i="12"/>
  <c r="R148" i="12"/>
  <c r="R192" i="12"/>
  <c r="R146" i="12"/>
  <c r="R145" i="12"/>
  <c r="R214" i="12"/>
  <c r="R193" i="12"/>
  <c r="R205" i="12"/>
  <c r="R194" i="12"/>
  <c r="R137" i="12"/>
  <c r="R203" i="12"/>
  <c r="R158" i="12"/>
  <c r="R157" i="12"/>
  <c r="R177" i="12"/>
  <c r="R169" i="12"/>
  <c r="R153" i="12"/>
  <c r="R115" i="12"/>
  <c r="R105" i="12"/>
  <c r="R102" i="12"/>
  <c r="R88" i="12"/>
  <c r="R74" i="12"/>
  <c r="R160" i="12"/>
  <c r="R156" i="12"/>
  <c r="R138" i="12"/>
  <c r="R132" i="12"/>
  <c r="R106" i="12"/>
  <c r="R98" i="12"/>
  <c r="R95" i="12"/>
  <c r="R92" i="12"/>
  <c r="R84" i="12"/>
  <c r="R133" i="12"/>
  <c r="R79" i="12"/>
  <c r="R229" i="12"/>
  <c r="R163" i="12"/>
  <c r="R129" i="12"/>
  <c r="R114" i="12"/>
  <c r="R111" i="12"/>
  <c r="R206" i="12"/>
  <c r="R144" i="12"/>
  <c r="R140" i="12"/>
  <c r="R124" i="12"/>
  <c r="R113" i="12"/>
  <c r="R101" i="12"/>
  <c r="R97" i="12"/>
  <c r="R89" i="12"/>
  <c r="R86" i="12"/>
  <c r="R81" i="12"/>
  <c r="R76" i="12"/>
  <c r="R134" i="12"/>
  <c r="R120" i="12"/>
  <c r="R94" i="12"/>
  <c r="R109" i="12"/>
  <c r="R83" i="12"/>
  <c r="R78" i="12"/>
  <c r="R67" i="12"/>
  <c r="R55" i="12"/>
  <c r="R43" i="12"/>
  <c r="R125" i="12"/>
  <c r="R108" i="12"/>
  <c r="R104" i="12"/>
  <c r="R100" i="12"/>
  <c r="R96" i="12"/>
  <c r="R71" i="12"/>
  <c r="R69" i="12"/>
  <c r="R60" i="12"/>
  <c r="R48" i="12"/>
  <c r="R36" i="12"/>
  <c r="R121" i="12"/>
  <c r="R91" i="12"/>
  <c r="R85" i="12"/>
  <c r="R80" i="12"/>
  <c r="R73" i="12"/>
  <c r="R65" i="12"/>
  <c r="R53" i="12"/>
  <c r="R41" i="12"/>
  <c r="R90" i="12"/>
  <c r="R82" i="12"/>
  <c r="R126" i="12"/>
  <c r="R62" i="12"/>
  <c r="R58" i="12"/>
  <c r="R35" i="12"/>
  <c r="R28" i="12"/>
  <c r="R72" i="12"/>
  <c r="R70" i="12"/>
  <c r="R68" i="12"/>
  <c r="R54" i="12"/>
  <c r="R50" i="12"/>
  <c r="R46" i="12"/>
  <c r="R33" i="12"/>
  <c r="R42" i="12"/>
  <c r="R38" i="12"/>
  <c r="R26" i="12"/>
  <c r="R136" i="12"/>
  <c r="R66" i="12"/>
  <c r="R61" i="12"/>
  <c r="R31" i="12"/>
  <c r="R19" i="12"/>
  <c r="R49" i="12"/>
  <c r="R24" i="12"/>
  <c r="R12" i="12"/>
  <c r="R57" i="12"/>
  <c r="R37" i="12"/>
  <c r="R29" i="12"/>
  <c r="R17" i="12"/>
  <c r="R75" i="12"/>
  <c r="R45" i="12"/>
  <c r="R34" i="12"/>
  <c r="R22" i="12"/>
  <c r="R10" i="12"/>
  <c r="R27" i="12"/>
  <c r="R107" i="12"/>
  <c r="R64" i="12"/>
  <c r="R56" i="12"/>
  <c r="R52" i="12"/>
  <c r="R15" i="12"/>
  <c r="R47" i="12"/>
  <c r="R23" i="12"/>
  <c r="R11" i="12"/>
  <c r="R16" i="12"/>
  <c r="R30" i="12"/>
  <c r="R40" i="12"/>
  <c r="R14" i="12"/>
  <c r="R13" i="12"/>
  <c r="R39" i="12"/>
  <c r="R77" i="12"/>
  <c r="Q330" i="12"/>
  <c r="G7" i="11"/>
  <c r="F7" i="11"/>
  <c r="E7" i="11"/>
  <c r="D7" i="11"/>
  <c r="O331" i="11"/>
  <c r="N331" i="11"/>
  <c r="O330" i="11"/>
  <c r="N330" i="11"/>
  <c r="O329" i="11"/>
  <c r="N329" i="11"/>
  <c r="O328" i="11"/>
  <c r="N328" i="11"/>
  <c r="O327" i="11"/>
  <c r="N327" i="11"/>
  <c r="O326" i="11"/>
  <c r="N326" i="11"/>
  <c r="O325" i="11"/>
  <c r="N325" i="11"/>
  <c r="O324" i="11"/>
  <c r="N324" i="11"/>
  <c r="O323" i="11"/>
  <c r="N323" i="11"/>
  <c r="O322" i="11"/>
  <c r="N322" i="11"/>
  <c r="O321" i="11"/>
  <c r="N321" i="11"/>
  <c r="O320" i="11"/>
  <c r="N320" i="11"/>
  <c r="O319" i="11"/>
  <c r="N319" i="11"/>
  <c r="O318" i="11"/>
  <c r="N318" i="11"/>
  <c r="O317" i="11"/>
  <c r="N317" i="11"/>
  <c r="O316" i="11"/>
  <c r="N316" i="11"/>
  <c r="O315" i="11"/>
  <c r="N315" i="11"/>
  <c r="O314" i="11"/>
  <c r="N314" i="11"/>
  <c r="O313" i="11"/>
  <c r="N313" i="11"/>
  <c r="O312" i="11"/>
  <c r="N312" i="11"/>
  <c r="O311" i="11"/>
  <c r="N311" i="11"/>
  <c r="O310" i="11"/>
  <c r="N310" i="11"/>
  <c r="O309" i="11"/>
  <c r="N309" i="11"/>
  <c r="O308" i="11"/>
  <c r="N308" i="11"/>
  <c r="O307" i="11"/>
  <c r="N307" i="11"/>
  <c r="O306" i="11"/>
  <c r="N306" i="11"/>
  <c r="O305" i="11"/>
  <c r="N305" i="11"/>
  <c r="O304" i="11"/>
  <c r="N304" i="11"/>
  <c r="O303" i="11"/>
  <c r="N303" i="11"/>
  <c r="O302" i="11"/>
  <c r="N302" i="11"/>
  <c r="O301" i="11"/>
  <c r="N301" i="11"/>
  <c r="O300" i="11"/>
  <c r="N300" i="11"/>
  <c r="O299" i="11"/>
  <c r="N299" i="11"/>
  <c r="O298" i="11"/>
  <c r="N298" i="11"/>
  <c r="O297" i="11"/>
  <c r="N297" i="11"/>
  <c r="O296" i="11"/>
  <c r="N296" i="11"/>
  <c r="O295" i="11"/>
  <c r="N295" i="11"/>
  <c r="O294" i="11"/>
  <c r="N294" i="11"/>
  <c r="O293" i="11"/>
  <c r="N293" i="11"/>
  <c r="O292" i="11"/>
  <c r="N292" i="11"/>
  <c r="O291" i="11"/>
  <c r="N291" i="11"/>
  <c r="O290" i="11"/>
  <c r="N290" i="11"/>
  <c r="O289" i="11"/>
  <c r="N289" i="11"/>
  <c r="O288" i="11"/>
  <c r="N288" i="11"/>
  <c r="O287" i="11"/>
  <c r="N287" i="11"/>
  <c r="O286" i="11"/>
  <c r="N286" i="11"/>
  <c r="O285" i="11"/>
  <c r="N285" i="11"/>
  <c r="O284" i="11"/>
  <c r="N284" i="11"/>
  <c r="O283" i="11"/>
  <c r="N283" i="11"/>
  <c r="O282" i="11"/>
  <c r="N282" i="11"/>
  <c r="O281" i="11"/>
  <c r="N281" i="11"/>
  <c r="O280" i="11"/>
  <c r="N280" i="11"/>
  <c r="O279" i="11"/>
  <c r="N279" i="11"/>
  <c r="O278" i="11"/>
  <c r="N278" i="11"/>
  <c r="O277" i="11"/>
  <c r="N277" i="11"/>
  <c r="O276" i="11"/>
  <c r="N276" i="11"/>
  <c r="O275" i="11"/>
  <c r="N275" i="11"/>
  <c r="O274" i="11"/>
  <c r="N274" i="11"/>
  <c r="O273" i="11"/>
  <c r="N273" i="11"/>
  <c r="O272" i="11"/>
  <c r="N272" i="11"/>
  <c r="O271" i="11"/>
  <c r="N271" i="11"/>
  <c r="O270" i="11"/>
  <c r="N270" i="11"/>
  <c r="O269" i="11"/>
  <c r="N269" i="11"/>
  <c r="O268" i="11"/>
  <c r="N268" i="11"/>
  <c r="O267" i="11"/>
  <c r="N267" i="11"/>
  <c r="O266" i="11"/>
  <c r="N266" i="11"/>
  <c r="O265" i="11"/>
  <c r="N265" i="11"/>
  <c r="O264" i="11"/>
  <c r="N264" i="11"/>
  <c r="O263" i="11"/>
  <c r="N263" i="11"/>
  <c r="O262" i="11"/>
  <c r="N262" i="11"/>
  <c r="O261" i="11"/>
  <c r="N261" i="11"/>
  <c r="O260" i="11"/>
  <c r="N260" i="11"/>
  <c r="O259" i="11"/>
  <c r="N259" i="11"/>
  <c r="O258" i="11"/>
  <c r="N258" i="11"/>
  <c r="O257" i="11"/>
  <c r="N257" i="11"/>
  <c r="O256" i="11"/>
  <c r="N256" i="11"/>
  <c r="O255" i="11"/>
  <c r="N255" i="11"/>
  <c r="O254" i="11"/>
  <c r="N254" i="11"/>
  <c r="O253" i="11"/>
  <c r="N253" i="11"/>
  <c r="O252" i="11"/>
  <c r="N252" i="11"/>
  <c r="O251" i="11"/>
  <c r="N251" i="11"/>
  <c r="O250" i="11"/>
  <c r="N250" i="11"/>
  <c r="O249" i="11"/>
  <c r="N249" i="11"/>
  <c r="O248" i="11"/>
  <c r="N248" i="11"/>
  <c r="O247" i="11"/>
  <c r="N247" i="11"/>
  <c r="O246" i="11"/>
  <c r="N246" i="11"/>
  <c r="O245" i="11"/>
  <c r="N245" i="11"/>
  <c r="O244" i="11"/>
  <c r="N244" i="11"/>
  <c r="O243" i="11"/>
  <c r="N243" i="11"/>
  <c r="O242" i="11"/>
  <c r="N242" i="11"/>
  <c r="O241" i="11"/>
  <c r="N241" i="11"/>
  <c r="O240" i="11"/>
  <c r="N240" i="11"/>
  <c r="O239" i="11"/>
  <c r="N239" i="11"/>
  <c r="O238" i="11"/>
  <c r="N238" i="11"/>
  <c r="O237" i="11"/>
  <c r="N237" i="11"/>
  <c r="O236" i="11"/>
  <c r="N236" i="11"/>
  <c r="O235" i="11"/>
  <c r="N235" i="11"/>
  <c r="O234" i="11"/>
  <c r="N234" i="11"/>
  <c r="O233" i="11"/>
  <c r="N233" i="11"/>
  <c r="O232" i="11"/>
  <c r="N232" i="11"/>
  <c r="O231" i="11"/>
  <c r="N231" i="11"/>
  <c r="O230" i="11"/>
  <c r="N230" i="11"/>
  <c r="O229" i="11"/>
  <c r="N229" i="11"/>
  <c r="O228" i="11"/>
  <c r="N228" i="11"/>
  <c r="O227" i="11"/>
  <c r="N227" i="11"/>
  <c r="O226" i="11"/>
  <c r="N226" i="11"/>
  <c r="O225" i="11"/>
  <c r="N225" i="11"/>
  <c r="O224" i="11"/>
  <c r="N224" i="11"/>
  <c r="O223" i="11"/>
  <c r="N223" i="11"/>
  <c r="O222" i="11"/>
  <c r="N222" i="11"/>
  <c r="O221" i="11"/>
  <c r="N221" i="11"/>
  <c r="O220" i="11"/>
  <c r="N220" i="11"/>
  <c r="O219" i="11"/>
  <c r="N219" i="11"/>
  <c r="O218" i="11"/>
  <c r="N218" i="11"/>
  <c r="O217" i="11"/>
  <c r="N217" i="11"/>
  <c r="O216" i="11"/>
  <c r="N216" i="11"/>
  <c r="O215" i="11"/>
  <c r="N215" i="11"/>
  <c r="O214" i="11"/>
  <c r="N214" i="11"/>
  <c r="O213" i="11"/>
  <c r="N213" i="11"/>
  <c r="O212" i="11"/>
  <c r="N212" i="11"/>
  <c r="O211" i="11"/>
  <c r="N211" i="11"/>
  <c r="O210" i="11"/>
  <c r="N210" i="11"/>
  <c r="O209" i="11"/>
  <c r="N209" i="11"/>
  <c r="O208" i="11"/>
  <c r="N208" i="11"/>
  <c r="O207" i="11"/>
  <c r="N207" i="11"/>
  <c r="O206" i="11"/>
  <c r="N206" i="11"/>
  <c r="O205" i="11"/>
  <c r="N205" i="11"/>
  <c r="O204" i="11"/>
  <c r="N204" i="11"/>
  <c r="O203" i="11"/>
  <c r="N203" i="11"/>
  <c r="O202" i="11"/>
  <c r="N202" i="11"/>
  <c r="O201" i="11"/>
  <c r="N201" i="11"/>
  <c r="O200" i="11"/>
  <c r="N200" i="11"/>
  <c r="O199" i="11"/>
  <c r="N199" i="11"/>
  <c r="O198" i="11"/>
  <c r="N198" i="11"/>
  <c r="O197" i="11"/>
  <c r="N197" i="11"/>
  <c r="O196" i="11"/>
  <c r="N196" i="11"/>
  <c r="O195" i="11"/>
  <c r="N195" i="11"/>
  <c r="O194" i="11"/>
  <c r="N194" i="11"/>
  <c r="O193" i="11"/>
  <c r="N193" i="11"/>
  <c r="O192" i="11"/>
  <c r="N192" i="11"/>
  <c r="O191" i="11"/>
  <c r="N191" i="11"/>
  <c r="O190" i="11"/>
  <c r="N190" i="11"/>
  <c r="O189" i="11"/>
  <c r="N189" i="11"/>
  <c r="O188" i="11"/>
  <c r="N188" i="11"/>
  <c r="O187" i="11"/>
  <c r="N187" i="11"/>
  <c r="O186" i="11"/>
  <c r="N186" i="11"/>
  <c r="O185" i="11"/>
  <c r="N185" i="11"/>
  <c r="O184" i="11"/>
  <c r="N184" i="11"/>
  <c r="O183" i="11"/>
  <c r="N183" i="11"/>
  <c r="O182" i="11"/>
  <c r="N182" i="11"/>
  <c r="O181" i="11"/>
  <c r="N181" i="11"/>
  <c r="O180" i="11"/>
  <c r="N180" i="11"/>
  <c r="O179" i="11"/>
  <c r="N179" i="11"/>
  <c r="O178" i="11"/>
  <c r="N178" i="11"/>
  <c r="O177" i="11"/>
  <c r="N177" i="11"/>
  <c r="O176" i="11"/>
  <c r="N176" i="11"/>
  <c r="O175" i="11"/>
  <c r="N175" i="11"/>
  <c r="O174" i="11"/>
  <c r="N174" i="11"/>
  <c r="O173" i="11"/>
  <c r="N173" i="11"/>
  <c r="O172" i="11"/>
  <c r="N172" i="11"/>
  <c r="O171" i="11"/>
  <c r="N171" i="11"/>
  <c r="O170" i="11"/>
  <c r="N170" i="11"/>
  <c r="O169" i="11"/>
  <c r="N169" i="11"/>
  <c r="O168" i="11"/>
  <c r="N168" i="11"/>
  <c r="O167" i="11"/>
  <c r="N167" i="11"/>
  <c r="O166" i="11"/>
  <c r="N166" i="11"/>
  <c r="O165" i="11"/>
  <c r="N165" i="11"/>
  <c r="O164" i="11"/>
  <c r="N164" i="11"/>
  <c r="O163" i="11"/>
  <c r="N163" i="11"/>
  <c r="O162" i="11"/>
  <c r="N162" i="11"/>
  <c r="O161" i="11"/>
  <c r="N161" i="11"/>
  <c r="O160" i="11"/>
  <c r="N160" i="11"/>
  <c r="O159" i="11"/>
  <c r="N159" i="11"/>
  <c r="O158" i="11"/>
  <c r="N158" i="11"/>
  <c r="O157" i="11"/>
  <c r="N157" i="11"/>
  <c r="O156" i="11"/>
  <c r="N156" i="11"/>
  <c r="O155" i="11"/>
  <c r="N155" i="11"/>
  <c r="O154" i="11"/>
  <c r="N154" i="11"/>
  <c r="O153" i="11"/>
  <c r="N153" i="11"/>
  <c r="O152" i="11"/>
  <c r="N152" i="11"/>
  <c r="O151" i="11"/>
  <c r="N151" i="11"/>
  <c r="O150" i="11"/>
  <c r="N150" i="11"/>
  <c r="O149" i="11"/>
  <c r="N149" i="11"/>
  <c r="O148" i="11"/>
  <c r="N148" i="11"/>
  <c r="O147" i="11"/>
  <c r="N147" i="11"/>
  <c r="O146" i="11"/>
  <c r="N146" i="11"/>
  <c r="O145" i="11"/>
  <c r="N145" i="11"/>
  <c r="O144" i="11"/>
  <c r="N144" i="11"/>
  <c r="O143" i="11"/>
  <c r="N143" i="11"/>
  <c r="O142" i="11"/>
  <c r="N142" i="11"/>
  <c r="O141" i="11"/>
  <c r="N141" i="11"/>
  <c r="O140" i="11"/>
  <c r="N140" i="11"/>
  <c r="O139" i="11"/>
  <c r="N139" i="11"/>
  <c r="O138" i="11"/>
  <c r="N138" i="11"/>
  <c r="O137" i="11"/>
  <c r="N137" i="11"/>
  <c r="O136" i="11"/>
  <c r="N136" i="11"/>
  <c r="O135" i="11"/>
  <c r="N135" i="11"/>
  <c r="O134" i="11"/>
  <c r="N134" i="11"/>
  <c r="O133" i="11"/>
  <c r="N133" i="11"/>
  <c r="O132" i="11"/>
  <c r="N132" i="11"/>
  <c r="O131" i="11"/>
  <c r="N131" i="11"/>
  <c r="O130" i="11"/>
  <c r="N130" i="11"/>
  <c r="O129" i="11"/>
  <c r="N129" i="11"/>
  <c r="O128" i="11"/>
  <c r="N128" i="11"/>
  <c r="O127" i="11"/>
  <c r="N127" i="11"/>
  <c r="O126" i="11"/>
  <c r="N126" i="11"/>
  <c r="O125" i="11"/>
  <c r="N125" i="11"/>
  <c r="O124" i="11"/>
  <c r="N124" i="11"/>
  <c r="O123" i="11"/>
  <c r="N123" i="11"/>
  <c r="O122" i="11"/>
  <c r="N122" i="11"/>
  <c r="O121" i="11"/>
  <c r="N121" i="11"/>
  <c r="O120" i="11"/>
  <c r="N120" i="11"/>
  <c r="O119" i="11"/>
  <c r="N119" i="11"/>
  <c r="O118" i="11"/>
  <c r="N118" i="11"/>
  <c r="O117" i="11"/>
  <c r="N117" i="11"/>
  <c r="O116" i="11"/>
  <c r="N116" i="11"/>
  <c r="O115" i="11"/>
  <c r="N115" i="11"/>
  <c r="O114" i="11"/>
  <c r="N114" i="11"/>
  <c r="O113" i="11"/>
  <c r="N113" i="11"/>
  <c r="O112" i="11"/>
  <c r="N112" i="11"/>
  <c r="O111" i="11"/>
  <c r="N111" i="11"/>
  <c r="O110" i="11"/>
  <c r="N110" i="11"/>
  <c r="O109" i="11"/>
  <c r="N109" i="11"/>
  <c r="O108" i="11"/>
  <c r="N108" i="11"/>
  <c r="O107" i="11"/>
  <c r="N107" i="11"/>
  <c r="O106" i="11"/>
  <c r="N106" i="11"/>
  <c r="O105" i="11"/>
  <c r="N105" i="11"/>
  <c r="O104" i="11"/>
  <c r="N104" i="11"/>
  <c r="O103" i="11"/>
  <c r="N103" i="11"/>
  <c r="O102" i="11"/>
  <c r="N102" i="11"/>
  <c r="O101" i="11"/>
  <c r="N101" i="11"/>
  <c r="O100" i="11"/>
  <c r="N100" i="11"/>
  <c r="O99" i="11"/>
  <c r="N99" i="11"/>
  <c r="O98" i="11"/>
  <c r="N98" i="11"/>
  <c r="O97" i="11"/>
  <c r="N97" i="11"/>
  <c r="O96" i="11"/>
  <c r="N96" i="11"/>
  <c r="O95" i="11"/>
  <c r="N95" i="11"/>
  <c r="O94" i="11"/>
  <c r="N94" i="11"/>
  <c r="O93" i="11"/>
  <c r="N93" i="11"/>
  <c r="O92" i="11"/>
  <c r="N92" i="11"/>
  <c r="O91" i="11"/>
  <c r="N91" i="11"/>
  <c r="O90" i="11"/>
  <c r="N90" i="11"/>
  <c r="O89" i="11"/>
  <c r="N89" i="11"/>
  <c r="O88" i="11"/>
  <c r="N88" i="11"/>
  <c r="O87" i="11"/>
  <c r="N87" i="11"/>
  <c r="O86" i="11"/>
  <c r="N86" i="11"/>
  <c r="O85" i="11"/>
  <c r="N85" i="11"/>
  <c r="O84" i="11"/>
  <c r="N84" i="11"/>
  <c r="O83" i="11"/>
  <c r="N83" i="11"/>
  <c r="O82" i="11"/>
  <c r="N82" i="11"/>
  <c r="O81" i="11"/>
  <c r="N81" i="11"/>
  <c r="O80" i="11"/>
  <c r="N80" i="11"/>
  <c r="O79" i="11"/>
  <c r="N79" i="11"/>
  <c r="O78" i="11"/>
  <c r="N78" i="11"/>
  <c r="O77" i="11"/>
  <c r="N77" i="11"/>
  <c r="O76" i="11"/>
  <c r="N76" i="11"/>
  <c r="O75" i="11"/>
  <c r="N75" i="11"/>
  <c r="O74" i="11"/>
  <c r="N74" i="11"/>
  <c r="O73" i="11"/>
  <c r="N73" i="11"/>
  <c r="O72" i="11"/>
  <c r="N72" i="11"/>
  <c r="O71" i="11"/>
  <c r="N71" i="11"/>
  <c r="O70" i="11"/>
  <c r="N70" i="11"/>
  <c r="O69" i="11"/>
  <c r="N69" i="11"/>
  <c r="O68" i="11"/>
  <c r="N68" i="11"/>
  <c r="O67" i="11"/>
  <c r="N67" i="11"/>
  <c r="O66" i="11"/>
  <c r="N66" i="11"/>
  <c r="O65" i="11"/>
  <c r="N65" i="11"/>
  <c r="O64" i="11"/>
  <c r="N64" i="11"/>
  <c r="O63" i="11"/>
  <c r="N63" i="11"/>
  <c r="O62" i="11"/>
  <c r="N62" i="11"/>
  <c r="O61" i="11"/>
  <c r="N61" i="11"/>
  <c r="O60" i="11"/>
  <c r="N60" i="11"/>
  <c r="O59" i="11"/>
  <c r="N59" i="11"/>
  <c r="O58" i="11"/>
  <c r="N58" i="11"/>
  <c r="O57" i="11"/>
  <c r="N57" i="11"/>
  <c r="O56" i="11"/>
  <c r="N56" i="11"/>
  <c r="O55" i="11"/>
  <c r="N55" i="11"/>
  <c r="O54" i="11"/>
  <c r="N54" i="11"/>
  <c r="O53" i="11"/>
  <c r="N53" i="11"/>
  <c r="O52" i="11"/>
  <c r="N52" i="11"/>
  <c r="O51" i="11"/>
  <c r="N51" i="11"/>
  <c r="O50" i="11"/>
  <c r="N50" i="11"/>
  <c r="O49" i="11"/>
  <c r="N49" i="11"/>
  <c r="O48" i="11"/>
  <c r="N48" i="11"/>
  <c r="O47" i="11"/>
  <c r="N47" i="11"/>
  <c r="O46" i="11"/>
  <c r="N46" i="11"/>
  <c r="O45" i="11"/>
  <c r="N45" i="11"/>
  <c r="O44" i="11"/>
  <c r="N44" i="11"/>
  <c r="O43" i="11"/>
  <c r="N43" i="11"/>
  <c r="O42" i="11"/>
  <c r="N42" i="11"/>
  <c r="O41" i="11"/>
  <c r="N41" i="11"/>
  <c r="O40" i="11"/>
  <c r="N40" i="11"/>
  <c r="O39" i="11"/>
  <c r="N39" i="11"/>
  <c r="O38" i="11"/>
  <c r="N38" i="11"/>
  <c r="O37" i="11"/>
  <c r="N37" i="11"/>
  <c r="O36" i="11"/>
  <c r="N36" i="11"/>
  <c r="O35" i="11"/>
  <c r="N35" i="11"/>
  <c r="O34" i="11"/>
  <c r="N34" i="11"/>
  <c r="O33" i="11"/>
  <c r="N33" i="11"/>
  <c r="O32" i="11"/>
  <c r="N32" i="11"/>
  <c r="O31" i="11"/>
  <c r="N31" i="11"/>
  <c r="O30" i="11"/>
  <c r="N30" i="11"/>
  <c r="O29" i="11"/>
  <c r="N29" i="11"/>
  <c r="O28" i="11"/>
  <c r="N28" i="11"/>
  <c r="O27" i="11"/>
  <c r="N27" i="11"/>
  <c r="O26" i="11"/>
  <c r="N26" i="11"/>
  <c r="O25" i="11"/>
  <c r="N25" i="11"/>
  <c r="O24" i="11"/>
  <c r="N24" i="11"/>
  <c r="O23" i="11"/>
  <c r="N23" i="11"/>
  <c r="O22" i="11"/>
  <c r="N22" i="11"/>
  <c r="O21" i="11"/>
  <c r="N21" i="11"/>
  <c r="O20" i="11"/>
  <c r="N20" i="11"/>
  <c r="O19" i="11"/>
  <c r="N19" i="11"/>
  <c r="O18" i="11"/>
  <c r="N18" i="11"/>
  <c r="O17" i="11"/>
  <c r="N17" i="11"/>
  <c r="O16" i="11"/>
  <c r="N16" i="11"/>
  <c r="O15" i="11"/>
  <c r="N15" i="11"/>
  <c r="O14" i="11"/>
  <c r="N14" i="11"/>
  <c r="O13" i="11"/>
  <c r="N13" i="11"/>
  <c r="O12" i="11"/>
  <c r="N12" i="11"/>
  <c r="O11" i="11"/>
  <c r="N11" i="11"/>
  <c r="O10" i="11"/>
  <c r="N10" i="11"/>
  <c r="O9" i="11"/>
  <c r="N9" i="11"/>
  <c r="O8" i="11"/>
  <c r="N8" i="11"/>
  <c r="J7" i="11"/>
  <c r="Q246" i="11" l="1"/>
  <c r="I246" i="11" s="1"/>
  <c r="D241" i="12" s="1"/>
  <c r="Q270" i="11"/>
  <c r="I270" i="11" s="1"/>
  <c r="D267" i="12" s="1"/>
  <c r="Q190" i="11"/>
  <c r="I190" i="11" s="1"/>
  <c r="D187" i="12" s="1"/>
  <c r="Q250" i="11"/>
  <c r="I250" i="11" s="1"/>
  <c r="D247" i="12" s="1"/>
  <c r="Q146" i="11"/>
  <c r="I146" i="11" s="1"/>
  <c r="D144" i="12" s="1"/>
  <c r="Q242" i="11"/>
  <c r="I242" i="11" s="1"/>
  <c r="D238" i="12" s="1"/>
  <c r="C12" i="2"/>
  <c r="C14" i="2"/>
  <c r="C18" i="2" s="1"/>
  <c r="E6" i="12" s="1"/>
  <c r="R8" i="12"/>
  <c r="Q11" i="11"/>
  <c r="I11" i="11" s="1"/>
  <c r="D12" i="12" s="1"/>
  <c r="Q95" i="11"/>
  <c r="I95" i="11" s="1"/>
  <c r="D96" i="12" s="1"/>
  <c r="Q179" i="11"/>
  <c r="I179" i="11" s="1"/>
  <c r="D176" i="12" s="1"/>
  <c r="Q251" i="11"/>
  <c r="I251" i="11" s="1"/>
  <c r="D248" i="12" s="1"/>
  <c r="Q299" i="11"/>
  <c r="I299" i="11" s="1"/>
  <c r="D296" i="12" s="1"/>
  <c r="Q311" i="11"/>
  <c r="I311" i="11" s="1"/>
  <c r="D307" i="12" s="1"/>
  <c r="Q323" i="11"/>
  <c r="I323" i="11" s="1"/>
  <c r="D319" i="12" s="1"/>
  <c r="Q148" i="11"/>
  <c r="I148" i="11" s="1"/>
  <c r="D146" i="12" s="1"/>
  <c r="Q184" i="11"/>
  <c r="I184" i="11" s="1"/>
  <c r="D181" i="12" s="1"/>
  <c r="Q196" i="11"/>
  <c r="I196" i="11" s="1"/>
  <c r="D193" i="12" s="1"/>
  <c r="Q204" i="11"/>
  <c r="I204" i="11" s="1"/>
  <c r="D201" i="12" s="1"/>
  <c r="Q244" i="11"/>
  <c r="I244" i="11" s="1"/>
  <c r="D239" i="12" s="1"/>
  <c r="Q304" i="11"/>
  <c r="I304" i="11" s="1"/>
  <c r="D300" i="12" s="1"/>
  <c r="Q191" i="11"/>
  <c r="I191" i="11" s="1"/>
  <c r="D188" i="12" s="1"/>
  <c r="Q214" i="11"/>
  <c r="I214" i="11" s="1"/>
  <c r="D210" i="12" s="1"/>
  <c r="Q203" i="11"/>
  <c r="I203" i="11" s="1"/>
  <c r="D200" i="12" s="1"/>
  <c r="Q182" i="11"/>
  <c r="I182" i="11" s="1"/>
  <c r="D179" i="12" s="1"/>
  <c r="Q226" i="11"/>
  <c r="I226" i="11" s="1"/>
  <c r="D223" i="12" s="1"/>
  <c r="Q274" i="11"/>
  <c r="I274" i="11" s="1"/>
  <c r="D271" i="12" s="1"/>
  <c r="Q278" i="11"/>
  <c r="I278" i="11" s="1"/>
  <c r="D276" i="12" s="1"/>
  <c r="Q298" i="11"/>
  <c r="I298" i="11" s="1"/>
  <c r="D295" i="12" s="1"/>
  <c r="Q302" i="11"/>
  <c r="I302" i="11" s="1"/>
  <c r="Q310" i="11"/>
  <c r="I310" i="11" s="1"/>
  <c r="D306" i="12" s="1"/>
  <c r="Q330" i="11"/>
  <c r="I330" i="11" s="1"/>
  <c r="D325" i="12" s="1"/>
  <c r="Q329" i="11"/>
  <c r="I329" i="11" s="1"/>
  <c r="D324" i="12" s="1"/>
  <c r="Q12" i="11"/>
  <c r="I12" i="11" s="1"/>
  <c r="D13" i="12" s="1"/>
  <c r="Q29" i="11"/>
  <c r="I29" i="11" s="1"/>
  <c r="D29" i="12" s="1"/>
  <c r="Q157" i="11"/>
  <c r="I157" i="11" s="1"/>
  <c r="D155" i="12" s="1"/>
  <c r="Q314" i="11"/>
  <c r="I314" i="11" s="1"/>
  <c r="D310" i="12" s="1"/>
  <c r="Q33" i="11"/>
  <c r="I33" i="11" s="1"/>
  <c r="D33" i="12" s="1"/>
  <c r="Q41" i="11"/>
  <c r="I41" i="11" s="1"/>
  <c r="D41" i="12" s="1"/>
  <c r="Q45" i="11"/>
  <c r="I45" i="11" s="1"/>
  <c r="D45" i="12" s="1"/>
  <c r="Q155" i="11"/>
  <c r="I155" i="11" s="1"/>
  <c r="D153" i="12" s="1"/>
  <c r="Q312" i="11"/>
  <c r="I312" i="11" s="1"/>
  <c r="D308" i="12" s="1"/>
  <c r="Q16" i="11"/>
  <c r="I16" i="11" s="1"/>
  <c r="Q24" i="11"/>
  <c r="I24" i="11" s="1"/>
  <c r="D24" i="12" s="1"/>
  <c r="Q52" i="11"/>
  <c r="I52" i="11" s="1"/>
  <c r="D51" i="12" s="1"/>
  <c r="Q68" i="11"/>
  <c r="I68" i="11" s="1"/>
  <c r="D67" i="12" s="1"/>
  <c r="Q72" i="11"/>
  <c r="I72" i="11" s="1"/>
  <c r="D71" i="12" s="1"/>
  <c r="Q88" i="11"/>
  <c r="I88" i="11" s="1"/>
  <c r="D89" i="12" s="1"/>
  <c r="Q100" i="11"/>
  <c r="I100" i="11" s="1"/>
  <c r="D101" i="12" s="1"/>
  <c r="Q108" i="11"/>
  <c r="I108" i="11" s="1"/>
  <c r="D109" i="12" s="1"/>
  <c r="Q322" i="11"/>
  <c r="I322" i="11" s="1"/>
  <c r="D318" i="12" s="1"/>
  <c r="Q326" i="11"/>
  <c r="I326" i="11" s="1"/>
  <c r="D322" i="12" s="1"/>
  <c r="Q158" i="11"/>
  <c r="I158" i="11" s="1"/>
  <c r="D156" i="12" s="1"/>
  <c r="Q170" i="11"/>
  <c r="I170" i="11" s="1"/>
  <c r="Q119" i="11"/>
  <c r="I119" i="11" s="1"/>
  <c r="D119" i="12" s="1"/>
  <c r="Q123" i="11"/>
  <c r="I123" i="11" s="1"/>
  <c r="D123" i="12" s="1"/>
  <c r="Q139" i="11"/>
  <c r="I139" i="11" s="1"/>
  <c r="D138" i="12" s="1"/>
  <c r="Q143" i="11"/>
  <c r="I143" i="11" s="1"/>
  <c r="D142" i="12" s="1"/>
  <c r="Q151" i="11"/>
  <c r="I151" i="11" s="1"/>
  <c r="D149" i="12" s="1"/>
  <c r="Q64" i="11"/>
  <c r="I64" i="11" s="1"/>
  <c r="D63" i="12" s="1"/>
  <c r="Q76" i="11"/>
  <c r="I76" i="11" s="1"/>
  <c r="D75" i="12" s="1"/>
  <c r="Q84" i="11"/>
  <c r="I84" i="11" s="1"/>
  <c r="Q122" i="11"/>
  <c r="I122" i="11" s="1"/>
  <c r="D122" i="12" s="1"/>
  <c r="Q132" i="11"/>
  <c r="I132" i="11" s="1"/>
  <c r="D132" i="12" s="1"/>
  <c r="Q152" i="11"/>
  <c r="I152" i="11" s="1"/>
  <c r="D150" i="12" s="1"/>
  <c r="Q168" i="11"/>
  <c r="I168" i="11" s="1"/>
  <c r="D166" i="12" s="1"/>
  <c r="Q228" i="11"/>
  <c r="I228" i="11" s="1"/>
  <c r="D225" i="12" s="1"/>
  <c r="Q324" i="11"/>
  <c r="I324" i="11" s="1"/>
  <c r="D320" i="12" s="1"/>
  <c r="Q121" i="11"/>
  <c r="I121" i="11" s="1"/>
  <c r="D121" i="12" s="1"/>
  <c r="Q305" i="11"/>
  <c r="I305" i="11" s="1"/>
  <c r="D301" i="12" s="1"/>
  <c r="Q309" i="11"/>
  <c r="I309" i="11" s="1"/>
  <c r="D305" i="12" s="1"/>
  <c r="Q62" i="11"/>
  <c r="I62" i="11" s="1"/>
  <c r="D61" i="12" s="1"/>
  <c r="Q70" i="11"/>
  <c r="I70" i="11" s="1"/>
  <c r="D69" i="12" s="1"/>
  <c r="Q94" i="11"/>
  <c r="I94" i="11" s="1"/>
  <c r="D95" i="12" s="1"/>
  <c r="Q98" i="11"/>
  <c r="I98" i="11" s="1"/>
  <c r="D99" i="12" s="1"/>
  <c r="Q112" i="11"/>
  <c r="I112" i="11" s="1"/>
  <c r="D327" i="12" s="1"/>
  <c r="Q56" i="11"/>
  <c r="I56" i="11" s="1"/>
  <c r="D55" i="12" s="1"/>
  <c r="Q60" i="11"/>
  <c r="I60" i="11" s="1"/>
  <c r="D59" i="12" s="1"/>
  <c r="Q96" i="11"/>
  <c r="I96" i="11" s="1"/>
  <c r="D97" i="12" s="1"/>
  <c r="Q206" i="11"/>
  <c r="I206" i="11" s="1"/>
  <c r="D203" i="12" s="1"/>
  <c r="Q218" i="11"/>
  <c r="I218" i="11" s="1"/>
  <c r="D214" i="12" s="1"/>
  <c r="Q9" i="11"/>
  <c r="I9" i="11" s="1"/>
  <c r="D10" i="12" s="1"/>
  <c r="Q120" i="11"/>
  <c r="I120" i="11" s="1"/>
  <c r="D120" i="12" s="1"/>
  <c r="Q167" i="11"/>
  <c r="I167" i="11" s="1"/>
  <c r="D165" i="12" s="1"/>
  <c r="Q258" i="11"/>
  <c r="I258" i="11" s="1"/>
  <c r="D255" i="12" s="1"/>
  <c r="Q294" i="11"/>
  <c r="I294" i="11" s="1"/>
  <c r="D291" i="12" s="1"/>
  <c r="Q144" i="11"/>
  <c r="I144" i="11" s="1"/>
  <c r="D143" i="12" s="1"/>
  <c r="Q223" i="11"/>
  <c r="I223" i="11" s="1"/>
  <c r="D221" i="12" s="1"/>
  <c r="Q14" i="11"/>
  <c r="I14" i="11" s="1"/>
  <c r="D15" i="12" s="1"/>
  <c r="Q22" i="11"/>
  <c r="I22" i="11" s="1"/>
  <c r="D22" i="12" s="1"/>
  <c r="Q26" i="11"/>
  <c r="I26" i="11" s="1"/>
  <c r="D26" i="12" s="1"/>
  <c r="Q34" i="11"/>
  <c r="I34" i="11" s="1"/>
  <c r="D34" i="12" s="1"/>
  <c r="Q38" i="11"/>
  <c r="I38" i="11" s="1"/>
  <c r="D38" i="12" s="1"/>
  <c r="Q46" i="11"/>
  <c r="I46" i="11" s="1"/>
  <c r="D46" i="12" s="1"/>
  <c r="Q50" i="11"/>
  <c r="I50" i="11" s="1"/>
  <c r="D49" i="12" s="1"/>
  <c r="Q77" i="11"/>
  <c r="I77" i="11" s="1"/>
  <c r="D76" i="12" s="1"/>
  <c r="Q81" i="11"/>
  <c r="I81" i="11" s="1"/>
  <c r="D80" i="12" s="1"/>
  <c r="Q156" i="11"/>
  <c r="I156" i="11" s="1"/>
  <c r="D154" i="12" s="1"/>
  <c r="Q160" i="11"/>
  <c r="I160" i="11" s="1"/>
  <c r="D158" i="12" s="1"/>
  <c r="Q231" i="11"/>
  <c r="I231" i="11" s="1"/>
  <c r="D228" i="12" s="1"/>
  <c r="Q271" i="11"/>
  <c r="I271" i="11" s="1"/>
  <c r="D268" i="12" s="1"/>
  <c r="Q279" i="11"/>
  <c r="I279" i="11" s="1"/>
  <c r="D277" i="12" s="1"/>
  <c r="Q315" i="11"/>
  <c r="I315" i="11" s="1"/>
  <c r="D311" i="12" s="1"/>
  <c r="Q180" i="11"/>
  <c r="I180" i="11" s="1"/>
  <c r="D177" i="12" s="1"/>
  <c r="Q192" i="11"/>
  <c r="I192" i="11" s="1"/>
  <c r="D189" i="12" s="1"/>
  <c r="Q212" i="11"/>
  <c r="I212" i="11" s="1"/>
  <c r="D208" i="12" s="1"/>
  <c r="Q216" i="11"/>
  <c r="I216" i="11" s="1"/>
  <c r="D212" i="12" s="1"/>
  <c r="Q331" i="11"/>
  <c r="I331" i="11" s="1"/>
  <c r="D326" i="12" s="1"/>
  <c r="Q23" i="11"/>
  <c r="I23" i="11" s="1"/>
  <c r="D23" i="12" s="1"/>
  <c r="Q35" i="11"/>
  <c r="I35" i="11" s="1"/>
  <c r="D35" i="12" s="1"/>
  <c r="Q47" i="11"/>
  <c r="I47" i="11" s="1"/>
  <c r="D47" i="12" s="1"/>
  <c r="Q78" i="11"/>
  <c r="I78" i="11" s="1"/>
  <c r="D77" i="12" s="1"/>
  <c r="Q114" i="11"/>
  <c r="I114" i="11" s="1"/>
  <c r="D113" i="12" s="1"/>
  <c r="Q118" i="11"/>
  <c r="I118" i="11" s="1"/>
  <c r="D215" i="12" s="1"/>
  <c r="Q126" i="11"/>
  <c r="I126" i="11" s="1"/>
  <c r="D126" i="12" s="1"/>
  <c r="Q130" i="11"/>
  <c r="I130" i="11" s="1"/>
  <c r="D130" i="12" s="1"/>
  <c r="Q134" i="11"/>
  <c r="I134" i="11" s="1"/>
  <c r="D134" i="12" s="1"/>
  <c r="Q138" i="11"/>
  <c r="I138" i="11" s="1"/>
  <c r="D137" i="12" s="1"/>
  <c r="Q142" i="11"/>
  <c r="I142" i="11" s="1"/>
  <c r="D141" i="12" s="1"/>
  <c r="Q240" i="11"/>
  <c r="I240" i="11" s="1"/>
  <c r="D236" i="12" s="1"/>
  <c r="Q268" i="11"/>
  <c r="I268" i="11" s="1"/>
  <c r="D265" i="12" s="1"/>
  <c r="Q276" i="11"/>
  <c r="I276" i="11" s="1"/>
  <c r="D273" i="12" s="1"/>
  <c r="Q300" i="11"/>
  <c r="I300" i="11" s="1"/>
  <c r="D297" i="12" s="1"/>
  <c r="Q55" i="11"/>
  <c r="I55" i="11" s="1"/>
  <c r="D54" i="12" s="1"/>
  <c r="Q28" i="11"/>
  <c r="I28" i="11" s="1"/>
  <c r="D28" i="12" s="1"/>
  <c r="Q36" i="11"/>
  <c r="I36" i="11" s="1"/>
  <c r="D36" i="12" s="1"/>
  <c r="Q40" i="11"/>
  <c r="I40" i="11" s="1"/>
  <c r="D40" i="12" s="1"/>
  <c r="Q48" i="11"/>
  <c r="I48" i="11" s="1"/>
  <c r="D48" i="12" s="1"/>
  <c r="Q67" i="11"/>
  <c r="I67" i="11" s="1"/>
  <c r="D66" i="12" s="1"/>
  <c r="Q79" i="11"/>
  <c r="I79" i="11" s="1"/>
  <c r="D78" i="12" s="1"/>
  <c r="Q103" i="11"/>
  <c r="I103" i="11" s="1"/>
  <c r="D104" i="12" s="1"/>
  <c r="Q162" i="11"/>
  <c r="I162" i="11" s="1"/>
  <c r="D160" i="12" s="1"/>
  <c r="Q166" i="11"/>
  <c r="I166" i="11" s="1"/>
  <c r="D164" i="12" s="1"/>
  <c r="Q253" i="11"/>
  <c r="I253" i="11" s="1"/>
  <c r="D250" i="12" s="1"/>
  <c r="Q257" i="11"/>
  <c r="I257" i="11" s="1"/>
  <c r="D254" i="12" s="1"/>
  <c r="Q261" i="11"/>
  <c r="I261" i="11" s="1"/>
  <c r="D258" i="12" s="1"/>
  <c r="Q269" i="11"/>
  <c r="I269" i="11" s="1"/>
  <c r="D266" i="12" s="1"/>
  <c r="Q273" i="11"/>
  <c r="I273" i="11" s="1"/>
  <c r="D270" i="12" s="1"/>
  <c r="Q281" i="11"/>
  <c r="I281" i="11" s="1"/>
  <c r="D279" i="12" s="1"/>
  <c r="Q289" i="11"/>
  <c r="I289" i="11" s="1"/>
  <c r="D286" i="12" s="1"/>
  <c r="Q293" i="11"/>
  <c r="I293" i="11" s="1"/>
  <c r="D290" i="12" s="1"/>
  <c r="Q297" i="11"/>
  <c r="I297" i="11" s="1"/>
  <c r="D294" i="12" s="1"/>
  <c r="Q53" i="11"/>
  <c r="I53" i="11" s="1"/>
  <c r="D52" i="12" s="1"/>
  <c r="Q175" i="11"/>
  <c r="I175" i="11" s="1"/>
  <c r="D172" i="12" s="1"/>
  <c r="Q229" i="11"/>
  <c r="I229" i="11" s="1"/>
  <c r="D226" i="12" s="1"/>
  <c r="Q18" i="11"/>
  <c r="I18" i="11" s="1"/>
  <c r="D18" i="12" s="1"/>
  <c r="Q92" i="11"/>
  <c r="I92" i="11" s="1"/>
  <c r="D93" i="12" s="1"/>
  <c r="Q115" i="11"/>
  <c r="I115" i="11" s="1"/>
  <c r="D115" i="12" s="1"/>
  <c r="Q245" i="11"/>
  <c r="I245" i="11" s="1"/>
  <c r="D240" i="12" s="1"/>
  <c r="Q249" i="11"/>
  <c r="I249" i="11" s="1"/>
  <c r="D246" i="12" s="1"/>
  <c r="Q280" i="11"/>
  <c r="I280" i="11" s="1"/>
  <c r="D278" i="12" s="1"/>
  <c r="Q288" i="11"/>
  <c r="I288" i="11" s="1"/>
  <c r="D285" i="12" s="1"/>
  <c r="Q292" i="11"/>
  <c r="I292" i="11" s="1"/>
  <c r="D289" i="12" s="1"/>
  <c r="Q307" i="11"/>
  <c r="I307" i="11" s="1"/>
  <c r="D303" i="12" s="1"/>
  <c r="Q57" i="11"/>
  <c r="I57" i="11" s="1"/>
  <c r="D56" i="12" s="1"/>
  <c r="Q30" i="11"/>
  <c r="I30" i="11" s="1"/>
  <c r="D30" i="12" s="1"/>
  <c r="Q42" i="11"/>
  <c r="I42" i="11" s="1"/>
  <c r="D42" i="12" s="1"/>
  <c r="Q58" i="11"/>
  <c r="I58" i="11" s="1"/>
  <c r="D57" i="12" s="1"/>
  <c r="Q104" i="11"/>
  <c r="I104" i="11" s="1"/>
  <c r="D105" i="12" s="1"/>
  <c r="Q131" i="11"/>
  <c r="I131" i="11" s="1"/>
  <c r="D131" i="12" s="1"/>
  <c r="Q172" i="11"/>
  <c r="I172" i="11" s="1"/>
  <c r="D169" i="12" s="1"/>
  <c r="Q215" i="11"/>
  <c r="I215" i="11" s="1"/>
  <c r="D211" i="12" s="1"/>
  <c r="Q230" i="11"/>
  <c r="I230" i="11" s="1"/>
  <c r="D227" i="12" s="1"/>
  <c r="Q234" i="11"/>
  <c r="I234" i="11" s="1"/>
  <c r="Q238" i="11"/>
  <c r="I238" i="11" s="1"/>
  <c r="D234" i="12" s="1"/>
  <c r="Q19" i="11"/>
  <c r="I19" i="11" s="1"/>
  <c r="D19" i="12" s="1"/>
  <c r="Q89" i="11"/>
  <c r="I89" i="11" s="1"/>
  <c r="D90" i="12" s="1"/>
  <c r="Q93" i="11"/>
  <c r="I93" i="11" s="1"/>
  <c r="D94" i="12" s="1"/>
  <c r="Q116" i="11"/>
  <c r="I116" i="11" s="1"/>
  <c r="D116" i="12" s="1"/>
  <c r="Q150" i="11"/>
  <c r="I150" i="11" s="1"/>
  <c r="D148" i="12" s="1"/>
  <c r="Q154" i="11"/>
  <c r="I154" i="11" s="1"/>
  <c r="D152" i="12" s="1"/>
  <c r="Q227" i="11"/>
  <c r="I227" i="11" s="1"/>
  <c r="D224" i="12" s="1"/>
  <c r="Q254" i="11"/>
  <c r="I254" i="11" s="1"/>
  <c r="D251" i="12" s="1"/>
  <c r="Q262" i="11"/>
  <c r="I262" i="11" s="1"/>
  <c r="D259" i="12" s="1"/>
  <c r="Q266" i="11"/>
  <c r="I266" i="11" s="1"/>
  <c r="D263" i="12" s="1"/>
  <c r="Q285" i="11"/>
  <c r="I285" i="11" s="1"/>
  <c r="D282" i="12" s="1"/>
  <c r="Q308" i="11"/>
  <c r="I308" i="11" s="1"/>
  <c r="D304" i="12" s="1"/>
  <c r="Q316" i="11"/>
  <c r="I316" i="11" s="1"/>
  <c r="D312" i="12" s="1"/>
  <c r="Q327" i="11"/>
  <c r="I327" i="11" s="1"/>
  <c r="D323" i="12" s="1"/>
  <c r="Q8" i="11"/>
  <c r="I8" i="11" s="1"/>
  <c r="D9" i="12" s="1"/>
  <c r="Q31" i="11"/>
  <c r="I31" i="11" s="1"/>
  <c r="D31" i="12" s="1"/>
  <c r="Q59" i="11"/>
  <c r="I59" i="11" s="1"/>
  <c r="D58" i="12" s="1"/>
  <c r="Q66" i="11"/>
  <c r="I66" i="11" s="1"/>
  <c r="D65" i="12" s="1"/>
  <c r="Q74" i="11"/>
  <c r="I74" i="11" s="1"/>
  <c r="D73" i="12" s="1"/>
  <c r="Q82" i="11"/>
  <c r="I82" i="11" s="1"/>
  <c r="D81" i="12" s="1"/>
  <c r="Q86" i="11"/>
  <c r="I86" i="11" s="1"/>
  <c r="D87" i="12" s="1"/>
  <c r="Q101" i="11"/>
  <c r="I101" i="11" s="1"/>
  <c r="D102" i="12" s="1"/>
  <c r="Q105" i="11"/>
  <c r="I105" i="11" s="1"/>
  <c r="D106" i="12" s="1"/>
  <c r="Q124" i="11"/>
  <c r="I124" i="11" s="1"/>
  <c r="D124" i="12" s="1"/>
  <c r="Q169" i="11"/>
  <c r="I169" i="11" s="1"/>
  <c r="D167" i="12" s="1"/>
  <c r="Q208" i="11"/>
  <c r="I208" i="11" s="1"/>
  <c r="D204" i="12" s="1"/>
  <c r="Q239" i="11"/>
  <c r="I239" i="11" s="1"/>
  <c r="D235" i="12" s="1"/>
  <c r="Q328" i="11"/>
  <c r="I328" i="11" s="1"/>
  <c r="Q20" i="11"/>
  <c r="I20" i="11" s="1"/>
  <c r="D20" i="12" s="1"/>
  <c r="Q71" i="11"/>
  <c r="I71" i="11" s="1"/>
  <c r="D70" i="12" s="1"/>
  <c r="Q90" i="11"/>
  <c r="I90" i="11" s="1"/>
  <c r="D91" i="12" s="1"/>
  <c r="Q106" i="11"/>
  <c r="I106" i="11" s="1"/>
  <c r="D107" i="12" s="1"/>
  <c r="Q136" i="11"/>
  <c r="I136" i="11" s="1"/>
  <c r="D135" i="12" s="1"/>
  <c r="Q181" i="11"/>
  <c r="I181" i="11" s="1"/>
  <c r="D178" i="12" s="1"/>
  <c r="Q220" i="11"/>
  <c r="I220" i="11" s="1"/>
  <c r="D217" i="12" s="1"/>
  <c r="Q263" i="11"/>
  <c r="I263" i="11" s="1"/>
  <c r="D260" i="12" s="1"/>
  <c r="Q282" i="11"/>
  <c r="I282" i="11" s="1"/>
  <c r="Q286" i="11"/>
  <c r="I286" i="11" s="1"/>
  <c r="D283" i="12" s="1"/>
  <c r="Q290" i="11"/>
  <c r="I290" i="11" s="1"/>
  <c r="D287" i="12" s="1"/>
  <c r="Q301" i="11"/>
  <c r="I301" i="11" s="1"/>
  <c r="D298" i="12" s="1"/>
  <c r="Q317" i="11"/>
  <c r="I317" i="11" s="1"/>
  <c r="D313" i="12" s="1"/>
  <c r="Q44" i="11"/>
  <c r="I44" i="11" s="1"/>
  <c r="D44" i="12" s="1"/>
  <c r="Q83" i="11"/>
  <c r="I83" i="11" s="1"/>
  <c r="D82" i="12" s="1"/>
  <c r="Q110" i="11"/>
  <c r="I110" i="11" s="1"/>
  <c r="D111" i="12" s="1"/>
  <c r="Q178" i="11"/>
  <c r="I178" i="11" s="1"/>
  <c r="D175" i="12" s="1"/>
  <c r="Q197" i="11"/>
  <c r="I197" i="11" s="1"/>
  <c r="D194" i="12" s="1"/>
  <c r="Q201" i="11"/>
  <c r="I201" i="11" s="1"/>
  <c r="D198" i="12" s="1"/>
  <c r="Q205" i="11"/>
  <c r="I205" i="11" s="1"/>
  <c r="D202" i="12" s="1"/>
  <c r="Q232" i="11"/>
  <c r="I232" i="11" s="1"/>
  <c r="D229" i="12" s="1"/>
  <c r="Q275" i="11"/>
  <c r="I275" i="11" s="1"/>
  <c r="D272" i="12" s="1"/>
  <c r="Q325" i="11"/>
  <c r="I325" i="11" s="1"/>
  <c r="D321" i="12" s="1"/>
  <c r="Q10" i="11"/>
  <c r="I10" i="11" s="1"/>
  <c r="D11" i="12" s="1"/>
  <c r="Q99" i="11"/>
  <c r="I99" i="11" s="1"/>
  <c r="D100" i="12" s="1"/>
  <c r="Q107" i="11"/>
  <c r="I107" i="11" s="1"/>
  <c r="D108" i="12" s="1"/>
  <c r="Q133" i="11"/>
  <c r="I133" i="11" s="1"/>
  <c r="D133" i="12" s="1"/>
  <c r="Q159" i="11"/>
  <c r="I159" i="11" s="1"/>
  <c r="D157" i="12" s="1"/>
  <c r="Q194" i="11"/>
  <c r="I194" i="11" s="1"/>
  <c r="D191" i="12" s="1"/>
  <c r="Q202" i="11"/>
  <c r="I202" i="11" s="1"/>
  <c r="D199" i="12" s="1"/>
  <c r="Q217" i="11"/>
  <c r="I217" i="11" s="1"/>
  <c r="D213" i="12" s="1"/>
  <c r="Q252" i="11"/>
  <c r="I252" i="11" s="1"/>
  <c r="D249" i="12" s="1"/>
  <c r="Q256" i="11"/>
  <c r="I256" i="11" s="1"/>
  <c r="D253" i="12" s="1"/>
  <c r="Q264" i="11"/>
  <c r="I264" i="11" s="1"/>
  <c r="D261" i="12" s="1"/>
  <c r="Q287" i="11"/>
  <c r="I287" i="11" s="1"/>
  <c r="D284" i="12" s="1"/>
  <c r="Q102" i="11"/>
  <c r="I102" i="11" s="1"/>
  <c r="D103" i="12" s="1"/>
  <c r="Q113" i="11"/>
  <c r="I113" i="11" s="1"/>
  <c r="D114" i="12" s="1"/>
  <c r="Q117" i="11"/>
  <c r="I117" i="11" s="1"/>
  <c r="D117" i="12" s="1"/>
  <c r="Q149" i="11"/>
  <c r="I149" i="11" s="1"/>
  <c r="D147" i="12" s="1"/>
  <c r="Q153" i="11"/>
  <c r="I153" i="11" s="1"/>
  <c r="D151" i="12" s="1"/>
  <c r="Q193" i="11"/>
  <c r="I193" i="11" s="1"/>
  <c r="D190" i="12" s="1"/>
  <c r="Q241" i="11"/>
  <c r="I241" i="11" s="1"/>
  <c r="D237" i="12" s="1"/>
  <c r="Q259" i="11"/>
  <c r="I259" i="11" s="1"/>
  <c r="D256" i="12" s="1"/>
  <c r="Q277" i="11"/>
  <c r="I277" i="11" s="1"/>
  <c r="D274" i="12" s="1"/>
  <c r="Q295" i="11"/>
  <c r="I295" i="11" s="1"/>
  <c r="D292" i="12" s="1"/>
  <c r="Q109" i="11"/>
  <c r="I109" i="11" s="1"/>
  <c r="D110" i="12" s="1"/>
  <c r="Q145" i="11"/>
  <c r="I145" i="11" s="1"/>
  <c r="Q237" i="11"/>
  <c r="I237" i="11" s="1"/>
  <c r="D233" i="12" s="1"/>
  <c r="Q73" i="11"/>
  <c r="I73" i="11" s="1"/>
  <c r="D72" i="12" s="1"/>
  <c r="Q128" i="11"/>
  <c r="I128" i="11" s="1"/>
  <c r="D128" i="12" s="1"/>
  <c r="Q135" i="11"/>
  <c r="I135" i="11" s="1"/>
  <c r="Q164" i="11"/>
  <c r="I164" i="11" s="1"/>
  <c r="D162" i="12" s="1"/>
  <c r="Q171" i="11"/>
  <c r="I171" i="11" s="1"/>
  <c r="D168" i="12" s="1"/>
  <c r="Q219" i="11"/>
  <c r="I219" i="11" s="1"/>
  <c r="D216" i="12" s="1"/>
  <c r="Q200" i="11"/>
  <c r="I200" i="11" s="1"/>
  <c r="D197" i="12" s="1"/>
  <c r="Q255" i="11"/>
  <c r="I255" i="11" s="1"/>
  <c r="D252" i="12" s="1"/>
  <c r="Q51" i="11"/>
  <c r="I51" i="11" s="1"/>
  <c r="D50" i="12" s="1"/>
  <c r="Q186" i="11"/>
  <c r="I186" i="11" s="1"/>
  <c r="D183" i="12" s="1"/>
  <c r="Q313" i="11"/>
  <c r="I313" i="11" s="1"/>
  <c r="D309" i="12" s="1"/>
  <c r="Q320" i="11"/>
  <c r="I320" i="11" s="1"/>
  <c r="D316" i="12" s="1"/>
  <c r="Q61" i="11"/>
  <c r="I61" i="11" s="1"/>
  <c r="D60" i="12" s="1"/>
  <c r="Q163" i="11"/>
  <c r="I163" i="11" s="1"/>
  <c r="D161" i="12" s="1"/>
  <c r="Q69" i="11"/>
  <c r="I69" i="11" s="1"/>
  <c r="D68" i="12" s="1"/>
  <c r="Q260" i="11"/>
  <c r="I260" i="11" s="1"/>
  <c r="D257" i="12" s="1"/>
  <c r="Q267" i="11"/>
  <c r="I267" i="11" s="1"/>
  <c r="D264" i="12" s="1"/>
  <c r="Q296" i="11"/>
  <c r="I296" i="11" s="1"/>
  <c r="D293" i="12" s="1"/>
  <c r="Q306" i="11"/>
  <c r="I306" i="11" s="1"/>
  <c r="D302" i="12" s="1"/>
  <c r="Q207" i="11"/>
  <c r="I207" i="11" s="1"/>
  <c r="Q189" i="11"/>
  <c r="I189" i="11" s="1"/>
  <c r="D186" i="12" s="1"/>
  <c r="Q211" i="11"/>
  <c r="I211" i="11" s="1"/>
  <c r="D207" i="12" s="1"/>
  <c r="Q233" i="11"/>
  <c r="I233" i="11" s="1"/>
  <c r="D230" i="12" s="1"/>
  <c r="Q17" i="11"/>
  <c r="I17" i="11" s="1"/>
  <c r="D17" i="12" s="1"/>
  <c r="Q32" i="11"/>
  <c r="I32" i="11" s="1"/>
  <c r="D32" i="12" s="1"/>
  <c r="Q43" i="11"/>
  <c r="I43" i="11" s="1"/>
  <c r="D43" i="12" s="1"/>
  <c r="Q80" i="11"/>
  <c r="I80" i="11" s="1"/>
  <c r="D79" i="12" s="1"/>
  <c r="Q25" i="11"/>
  <c r="I25" i="11" s="1"/>
  <c r="D25" i="12" s="1"/>
  <c r="Q161" i="11"/>
  <c r="I161" i="11" s="1"/>
  <c r="D159" i="12" s="1"/>
  <c r="Q165" i="11"/>
  <c r="I165" i="11" s="1"/>
  <c r="D163" i="12" s="1"/>
  <c r="Q183" i="11"/>
  <c r="I183" i="11" s="1"/>
  <c r="D180" i="12" s="1"/>
  <c r="Q303" i="11"/>
  <c r="I303" i="11" s="1"/>
  <c r="D299" i="12" s="1"/>
  <c r="Q13" i="11"/>
  <c r="I13" i="11" s="1"/>
  <c r="D14" i="12" s="1"/>
  <c r="Q87" i="11"/>
  <c r="I87" i="11" s="1"/>
  <c r="D88" i="12" s="1"/>
  <c r="Q185" i="11"/>
  <c r="I185" i="11" s="1"/>
  <c r="D182" i="12" s="1"/>
  <c r="Q54" i="11"/>
  <c r="I54" i="11" s="1"/>
  <c r="D53" i="12" s="1"/>
  <c r="Q65" i="11"/>
  <c r="I65" i="11" s="1"/>
  <c r="D64" i="12" s="1"/>
  <c r="Q37" i="11"/>
  <c r="I37" i="11" s="1"/>
  <c r="D37" i="12" s="1"/>
  <c r="Q85" i="11"/>
  <c r="I85" i="11" s="1"/>
  <c r="D86" i="12" s="1"/>
  <c r="Q125" i="11"/>
  <c r="I125" i="11" s="1"/>
  <c r="D125" i="12" s="1"/>
  <c r="Q129" i="11"/>
  <c r="I129" i="11" s="1"/>
  <c r="D129" i="12" s="1"/>
  <c r="Q15" i="11"/>
  <c r="I15" i="11" s="1"/>
  <c r="D16" i="12" s="1"/>
  <c r="Q63" i="11"/>
  <c r="I63" i="11" s="1"/>
  <c r="D62" i="12" s="1"/>
  <c r="Q111" i="11"/>
  <c r="I111" i="11" s="1"/>
  <c r="D112" i="12" s="1"/>
  <c r="Q140" i="11"/>
  <c r="I140" i="11" s="1"/>
  <c r="D139" i="12" s="1"/>
  <c r="Q147" i="11"/>
  <c r="I147" i="11" s="1"/>
  <c r="D145" i="12" s="1"/>
  <c r="Q176" i="11"/>
  <c r="I176" i="11" s="1"/>
  <c r="D173" i="12" s="1"/>
  <c r="Q187" i="11"/>
  <c r="I187" i="11" s="1"/>
  <c r="D184" i="12" s="1"/>
  <c r="Q198" i="11"/>
  <c r="I198" i="11" s="1"/>
  <c r="D195" i="12" s="1"/>
  <c r="Q209" i="11"/>
  <c r="I209" i="11" s="1"/>
  <c r="D205" i="12" s="1"/>
  <c r="Q213" i="11"/>
  <c r="I213" i="11" s="1"/>
  <c r="D209" i="12" s="1"/>
  <c r="Q224" i="11"/>
  <c r="I224" i="11" s="1"/>
  <c r="Q235" i="11"/>
  <c r="I235" i="11" s="1"/>
  <c r="D231" i="12" s="1"/>
  <c r="Q321" i="11"/>
  <c r="I321" i="11" s="1"/>
  <c r="D317" i="12" s="1"/>
  <c r="Q174" i="11"/>
  <c r="I174" i="11" s="1"/>
  <c r="D171" i="12" s="1"/>
  <c r="Q222" i="11"/>
  <c r="I222" i="11" s="1"/>
  <c r="D220" i="12" s="1"/>
  <c r="Q284" i="11"/>
  <c r="I284" i="11" s="1"/>
  <c r="D281" i="12" s="1"/>
  <c r="Q39" i="11"/>
  <c r="I39" i="11" s="1"/>
  <c r="D39" i="12" s="1"/>
  <c r="Q248" i="11"/>
  <c r="I248" i="11" s="1"/>
  <c r="D245" i="12" s="1"/>
  <c r="Q319" i="11"/>
  <c r="I319" i="11" s="1"/>
  <c r="D315" i="12" s="1"/>
  <c r="Q21" i="11"/>
  <c r="I21" i="11" s="1"/>
  <c r="D21" i="12" s="1"/>
  <c r="Q91" i="11"/>
  <c r="I91" i="11" s="1"/>
  <c r="D92" i="12" s="1"/>
  <c r="Q49" i="11"/>
  <c r="I49" i="11" s="1"/>
  <c r="Q97" i="11"/>
  <c r="I97" i="11" s="1"/>
  <c r="D98" i="12" s="1"/>
  <c r="Q195" i="11"/>
  <c r="I195" i="11" s="1"/>
  <c r="D192" i="12" s="1"/>
  <c r="Q243" i="11"/>
  <c r="I243" i="11" s="1"/>
  <c r="D328" i="12" s="1"/>
  <c r="Q272" i="11"/>
  <c r="I272" i="11" s="1"/>
  <c r="D269" i="12" s="1"/>
  <c r="Q127" i="11"/>
  <c r="I127" i="11" s="1"/>
  <c r="D127" i="12" s="1"/>
  <c r="Q291" i="11"/>
  <c r="I291" i="11" s="1"/>
  <c r="D288" i="12" s="1"/>
  <c r="Q27" i="11"/>
  <c r="I27" i="11" s="1"/>
  <c r="D27" i="12" s="1"/>
  <c r="Q75" i="11"/>
  <c r="I75" i="11" s="1"/>
  <c r="D74" i="12" s="1"/>
  <c r="Q137" i="11"/>
  <c r="I137" i="11" s="1"/>
  <c r="D136" i="12" s="1"/>
  <c r="Q141" i="11"/>
  <c r="I141" i="11" s="1"/>
  <c r="D140" i="12" s="1"/>
  <c r="Q173" i="11"/>
  <c r="I173" i="11" s="1"/>
  <c r="D170" i="12" s="1"/>
  <c r="Q177" i="11"/>
  <c r="I177" i="11" s="1"/>
  <c r="D174" i="12" s="1"/>
  <c r="Q188" i="11"/>
  <c r="I188" i="11" s="1"/>
  <c r="D185" i="12" s="1"/>
  <c r="Q199" i="11"/>
  <c r="I199" i="11" s="1"/>
  <c r="D196" i="12" s="1"/>
  <c r="Q210" i="11"/>
  <c r="I210" i="11" s="1"/>
  <c r="D206" i="12" s="1"/>
  <c r="Q221" i="11"/>
  <c r="I221" i="11" s="1"/>
  <c r="D219" i="12" s="1"/>
  <c r="Q225" i="11"/>
  <c r="I225" i="11" s="1"/>
  <c r="D222" i="12" s="1"/>
  <c r="Q236" i="11"/>
  <c r="I236" i="11" s="1"/>
  <c r="D232" i="12" s="1"/>
  <c r="Q247" i="11"/>
  <c r="I247" i="11" s="1"/>
  <c r="D242" i="12" s="1"/>
  <c r="Q265" i="11"/>
  <c r="I265" i="11" s="1"/>
  <c r="D262" i="12" s="1"/>
  <c r="Q283" i="11"/>
  <c r="I283" i="11" s="1"/>
  <c r="D280" i="12" s="1"/>
  <c r="Q318" i="11"/>
  <c r="I318" i="11" s="1"/>
  <c r="D314" i="12" s="1"/>
  <c r="I7" i="11" l="1"/>
  <c r="D8" i="12"/>
  <c r="D330" i="12"/>
  <c r="D7" i="12" s="1"/>
  <c r="I177" i="12" s="1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9" i="10"/>
  <c r="X329" i="10"/>
  <c r="X330" i="10"/>
  <c r="I332" i="9"/>
  <c r="G330" i="10"/>
  <c r="F330" i="10"/>
  <c r="Q328" i="10"/>
  <c r="Q327" i="10"/>
  <c r="Q326" i="10"/>
  <c r="Q325" i="10"/>
  <c r="Q324" i="10"/>
  <c r="Q7" i="10" s="1"/>
  <c r="Q323" i="10"/>
  <c r="Q322" i="10"/>
  <c r="Q321" i="10"/>
  <c r="Q320" i="10"/>
  <c r="Q319" i="10"/>
  <c r="Q318" i="10"/>
  <c r="Q317" i="10"/>
  <c r="Q316" i="10"/>
  <c r="Q315" i="10"/>
  <c r="Q314" i="10"/>
  <c r="Q313" i="10"/>
  <c r="Q312" i="10"/>
  <c r="Q311" i="10"/>
  <c r="Q310" i="10"/>
  <c r="Q309" i="10"/>
  <c r="Q308" i="10"/>
  <c r="Q307" i="10"/>
  <c r="Q306" i="10"/>
  <c r="Q305" i="10"/>
  <c r="Q304" i="10"/>
  <c r="Q303" i="10"/>
  <c r="Q302" i="10"/>
  <c r="Q301" i="10"/>
  <c r="Q300" i="10"/>
  <c r="Q299" i="10"/>
  <c r="Q298" i="10"/>
  <c r="Q297" i="10"/>
  <c r="Q296" i="10"/>
  <c r="Q295" i="10"/>
  <c r="Q294" i="10"/>
  <c r="Q293" i="10"/>
  <c r="Q292" i="10"/>
  <c r="Q291" i="10"/>
  <c r="Q290" i="10"/>
  <c r="Q289" i="10"/>
  <c r="Q288" i="10"/>
  <c r="Q287" i="10"/>
  <c r="Q286" i="10"/>
  <c r="Q285" i="10"/>
  <c r="Q284" i="10"/>
  <c r="Q283" i="10"/>
  <c r="Q282" i="10"/>
  <c r="Q281" i="10"/>
  <c r="Q280" i="10"/>
  <c r="Q279" i="10"/>
  <c r="Q278" i="10"/>
  <c r="Q277" i="10"/>
  <c r="Q276" i="10"/>
  <c r="Q275" i="10"/>
  <c r="Q274" i="10"/>
  <c r="Q273" i="10"/>
  <c r="Q272" i="10"/>
  <c r="Q271" i="10"/>
  <c r="Q270" i="10"/>
  <c r="Q269" i="10"/>
  <c r="Q268" i="10"/>
  <c r="Q267" i="10"/>
  <c r="Q266" i="10"/>
  <c r="Q265" i="10"/>
  <c r="Q264" i="10"/>
  <c r="Q263" i="10"/>
  <c r="Q262" i="10"/>
  <c r="Q261" i="10"/>
  <c r="Q260" i="10"/>
  <c r="Q259" i="10"/>
  <c r="Q258" i="10"/>
  <c r="Q257" i="10"/>
  <c r="Q256" i="10"/>
  <c r="Q255" i="10"/>
  <c r="Q254" i="10"/>
  <c r="Q253" i="10"/>
  <c r="Q252" i="10"/>
  <c r="Q251" i="10"/>
  <c r="Q250" i="10"/>
  <c r="Q249" i="10"/>
  <c r="Q248" i="10"/>
  <c r="Q247" i="10"/>
  <c r="Q246" i="10"/>
  <c r="Q245" i="10"/>
  <c r="Q244" i="10"/>
  <c r="Q243" i="10"/>
  <c r="Q242" i="10"/>
  <c r="Q241" i="10"/>
  <c r="Q240" i="10"/>
  <c r="Q239" i="10"/>
  <c r="Q238" i="10"/>
  <c r="Q237" i="10"/>
  <c r="Q236" i="10"/>
  <c r="Q235" i="10"/>
  <c r="Q234" i="10"/>
  <c r="Q233" i="10"/>
  <c r="Q232" i="10"/>
  <c r="Q231" i="10"/>
  <c r="Q230" i="10"/>
  <c r="Q229" i="10"/>
  <c r="Q228" i="10"/>
  <c r="Q227" i="10"/>
  <c r="Q226" i="10"/>
  <c r="Q225" i="10"/>
  <c r="Q224" i="10"/>
  <c r="Q223" i="10"/>
  <c r="Q222" i="10"/>
  <c r="Q221" i="10"/>
  <c r="Q220" i="10"/>
  <c r="Q219" i="10"/>
  <c r="Q218" i="10"/>
  <c r="Q217" i="10"/>
  <c r="Q216" i="10"/>
  <c r="Q215" i="10"/>
  <c r="Q214" i="10"/>
  <c r="Q213" i="10"/>
  <c r="Q212" i="10"/>
  <c r="Q211" i="10"/>
  <c r="Q210" i="10"/>
  <c r="Q209" i="10"/>
  <c r="Q208" i="10"/>
  <c r="Q207" i="10"/>
  <c r="Q206" i="10"/>
  <c r="Q205" i="10"/>
  <c r="Q204" i="10"/>
  <c r="Q203" i="10"/>
  <c r="Q202" i="10"/>
  <c r="Q201" i="10"/>
  <c r="Q200" i="10"/>
  <c r="Q199" i="10"/>
  <c r="Q198" i="10"/>
  <c r="Q197" i="10"/>
  <c r="Q196" i="10"/>
  <c r="Q195" i="10"/>
  <c r="Q194" i="10"/>
  <c r="Q193" i="10"/>
  <c r="Q192" i="10"/>
  <c r="Q191" i="10"/>
  <c r="Q190" i="10"/>
  <c r="Q189" i="10"/>
  <c r="Q188" i="10"/>
  <c r="Q187" i="10"/>
  <c r="Q186" i="10"/>
  <c r="Q185" i="10"/>
  <c r="Q184" i="10"/>
  <c r="Q183" i="10"/>
  <c r="Q182" i="10"/>
  <c r="Q181" i="10"/>
  <c r="Q180" i="10"/>
  <c r="Q179" i="10"/>
  <c r="Q178" i="10"/>
  <c r="Q177" i="10"/>
  <c r="Q176" i="10"/>
  <c r="Q175" i="10"/>
  <c r="Q174" i="10"/>
  <c r="Q173" i="10"/>
  <c r="Q172" i="10"/>
  <c r="Q171" i="10"/>
  <c r="Q170" i="10"/>
  <c r="Q169" i="10"/>
  <c r="Q168" i="10"/>
  <c r="Q167" i="10"/>
  <c r="Q166" i="10"/>
  <c r="Q165" i="10"/>
  <c r="Q164" i="10"/>
  <c r="Q163" i="10"/>
  <c r="Q162" i="10"/>
  <c r="Q161" i="10"/>
  <c r="Q160" i="10"/>
  <c r="Q159" i="10"/>
  <c r="Q158" i="10"/>
  <c r="Q157" i="10"/>
  <c r="Q156" i="10"/>
  <c r="Q155" i="10"/>
  <c r="Q154" i="10"/>
  <c r="Q153" i="10"/>
  <c r="Q152" i="10"/>
  <c r="Q151" i="10"/>
  <c r="Q150" i="10"/>
  <c r="Q149" i="10"/>
  <c r="Q148" i="10"/>
  <c r="Q147" i="10"/>
  <c r="Q146" i="10"/>
  <c r="Q145" i="10"/>
  <c r="Q144" i="10"/>
  <c r="Q143" i="10"/>
  <c r="Q142" i="10"/>
  <c r="Q141" i="10"/>
  <c r="Q140" i="10"/>
  <c r="Q139" i="10"/>
  <c r="Q138" i="10"/>
  <c r="Q137" i="10"/>
  <c r="Q136" i="10"/>
  <c r="Q135" i="10"/>
  <c r="Q134" i="10"/>
  <c r="Q133" i="10"/>
  <c r="Q132" i="10"/>
  <c r="Q131" i="10"/>
  <c r="Q130" i="10"/>
  <c r="Q129" i="10"/>
  <c r="Q128" i="10"/>
  <c r="Q127" i="10"/>
  <c r="Q126" i="10"/>
  <c r="Q125" i="10"/>
  <c r="Q124" i="10"/>
  <c r="Q123" i="10"/>
  <c r="Q122" i="10"/>
  <c r="Q121" i="10"/>
  <c r="Q120" i="10"/>
  <c r="Q119" i="10"/>
  <c r="Q118" i="10"/>
  <c r="Q117" i="10"/>
  <c r="Q116" i="10"/>
  <c r="Q115" i="10"/>
  <c r="Q114" i="10"/>
  <c r="Q113" i="10"/>
  <c r="Q112" i="10"/>
  <c r="Q111" i="10"/>
  <c r="Q110" i="10"/>
  <c r="Q109" i="10"/>
  <c r="Q108" i="10"/>
  <c r="Q107" i="10"/>
  <c r="Q106" i="10"/>
  <c r="Q105" i="10"/>
  <c r="Q104" i="10"/>
  <c r="Q103" i="10"/>
  <c r="Q102" i="10"/>
  <c r="Q101" i="10"/>
  <c r="Q100" i="10"/>
  <c r="Q99" i="10"/>
  <c r="Q98" i="10"/>
  <c r="Q97" i="10"/>
  <c r="Q96" i="10"/>
  <c r="Q95" i="10"/>
  <c r="Q94" i="10"/>
  <c r="Q93" i="10"/>
  <c r="Q92" i="10"/>
  <c r="Q91" i="10"/>
  <c r="Q90" i="10"/>
  <c r="Q89" i="10"/>
  <c r="Q88" i="10"/>
  <c r="Q87" i="10"/>
  <c r="Q86" i="10"/>
  <c r="Q85" i="10"/>
  <c r="Q84" i="10"/>
  <c r="Q83" i="10"/>
  <c r="Q82" i="10"/>
  <c r="Q81" i="10"/>
  <c r="Q80" i="10"/>
  <c r="Q79" i="10"/>
  <c r="Q78" i="10"/>
  <c r="Q77" i="10"/>
  <c r="Q76" i="10"/>
  <c r="Q75" i="10"/>
  <c r="Q74" i="10"/>
  <c r="Q73" i="10"/>
  <c r="Q72" i="10"/>
  <c r="Q71" i="10"/>
  <c r="Q70" i="10"/>
  <c r="Q69" i="10"/>
  <c r="Q68" i="10"/>
  <c r="Q67" i="10"/>
  <c r="Q66" i="10"/>
  <c r="Q65" i="10"/>
  <c r="Q64" i="10"/>
  <c r="Q63" i="10"/>
  <c r="Q62" i="10"/>
  <c r="Q61" i="10"/>
  <c r="Q60" i="10"/>
  <c r="Q59" i="10"/>
  <c r="Q58" i="10"/>
  <c r="Q57" i="10"/>
  <c r="Q56" i="10"/>
  <c r="Q55" i="10"/>
  <c r="Q54" i="10"/>
  <c r="Q53" i="10"/>
  <c r="Q52" i="10"/>
  <c r="Q51" i="10"/>
  <c r="Q50" i="10"/>
  <c r="Q49" i="10"/>
  <c r="Q48" i="10"/>
  <c r="Q47" i="10"/>
  <c r="Q46" i="10"/>
  <c r="Q45" i="10"/>
  <c r="Q44" i="10"/>
  <c r="Q43" i="10"/>
  <c r="Q42" i="10"/>
  <c r="Q41" i="10"/>
  <c r="Q40" i="10"/>
  <c r="Q39" i="10"/>
  <c r="Q38" i="10"/>
  <c r="Q37" i="10"/>
  <c r="Q36" i="10"/>
  <c r="Q35" i="10"/>
  <c r="Q34" i="10"/>
  <c r="Q33" i="10"/>
  <c r="Q32" i="10"/>
  <c r="Q31" i="10"/>
  <c r="Q30" i="10"/>
  <c r="Q29" i="10"/>
  <c r="Q28" i="10"/>
  <c r="Q27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Q9" i="10"/>
  <c r="G8" i="10"/>
  <c r="F8" i="10"/>
  <c r="R145" i="10"/>
  <c r="G7" i="10"/>
  <c r="F7" i="10"/>
  <c r="AA1" i="10"/>
  <c r="Z1" i="10"/>
  <c r="Y1" i="10"/>
  <c r="X1" i="10"/>
  <c r="W1" i="10"/>
  <c r="V1" i="10"/>
  <c r="U1" i="10"/>
  <c r="T1" i="10"/>
  <c r="S1" i="10"/>
  <c r="R1" i="10"/>
  <c r="Q1" i="10"/>
  <c r="P1" i="10"/>
  <c r="O1" i="10"/>
  <c r="N1" i="10"/>
  <c r="M1" i="10"/>
  <c r="L1" i="10"/>
  <c r="K1" i="10"/>
  <c r="J1" i="10"/>
  <c r="I1" i="10"/>
  <c r="H1" i="10"/>
  <c r="G1" i="10"/>
  <c r="F1" i="10"/>
  <c r="E1" i="10"/>
  <c r="D1" i="10"/>
  <c r="C1" i="10"/>
  <c r="B1" i="10"/>
  <c r="I130" i="12" l="1"/>
  <c r="I251" i="12"/>
  <c r="I28" i="12"/>
  <c r="I87" i="12"/>
  <c r="I104" i="12"/>
  <c r="I112" i="12"/>
  <c r="I307" i="12"/>
  <c r="I41" i="12"/>
  <c r="I50" i="12"/>
  <c r="I107" i="12"/>
  <c r="I225" i="12"/>
  <c r="I266" i="12"/>
  <c r="I67" i="12"/>
  <c r="I102" i="12"/>
  <c r="I52" i="12"/>
  <c r="I11" i="12"/>
  <c r="I235" i="12"/>
  <c r="I223" i="12"/>
  <c r="I43" i="12"/>
  <c r="I49" i="12"/>
  <c r="I44" i="12"/>
  <c r="I133" i="12"/>
  <c r="I258" i="12"/>
  <c r="I311" i="12"/>
  <c r="I289" i="12"/>
  <c r="I169" i="12"/>
  <c r="I227" i="12"/>
  <c r="I167" i="12"/>
  <c r="I175" i="12"/>
  <c r="I199" i="12"/>
  <c r="I139" i="12"/>
  <c r="I56" i="12"/>
  <c r="I27" i="12"/>
  <c r="I316" i="12"/>
  <c r="I292" i="12"/>
  <c r="I287" i="12"/>
  <c r="I17" i="12"/>
  <c r="I33" i="12"/>
  <c r="I114" i="12"/>
  <c r="I122" i="12"/>
  <c r="I205" i="12"/>
  <c r="I59" i="12"/>
  <c r="I312" i="12"/>
  <c r="I201" i="12"/>
  <c r="I26" i="12"/>
  <c r="I96" i="12"/>
  <c r="I30" i="12"/>
  <c r="I128" i="12"/>
  <c r="I158" i="12"/>
  <c r="I54" i="12"/>
  <c r="I324" i="12"/>
  <c r="I7" i="12" s="1"/>
  <c r="I40" i="12"/>
  <c r="I135" i="12"/>
  <c r="I303" i="12"/>
  <c r="I39" i="12"/>
  <c r="I46" i="12"/>
  <c r="I233" i="12"/>
  <c r="I100" i="12"/>
  <c r="I318" i="12"/>
  <c r="I9" i="12"/>
  <c r="I322" i="12"/>
  <c r="I86" i="12"/>
  <c r="I131" i="12"/>
  <c r="I279" i="12"/>
  <c r="I274" i="12"/>
  <c r="I81" i="12"/>
  <c r="I178" i="12"/>
  <c r="I186" i="12"/>
  <c r="I190" i="12"/>
  <c r="I293" i="12"/>
  <c r="I176" i="12"/>
  <c r="I90" i="12"/>
  <c r="I242" i="12"/>
  <c r="I53" i="12"/>
  <c r="I232" i="12"/>
  <c r="I284" i="12"/>
  <c r="I184" i="12"/>
  <c r="I109" i="12"/>
  <c r="I72" i="12"/>
  <c r="I143" i="12"/>
  <c r="I92" i="12"/>
  <c r="I317" i="12"/>
  <c r="I117" i="12"/>
  <c r="I283" i="12"/>
  <c r="I129" i="12"/>
  <c r="I77" i="12"/>
  <c r="I180" i="12"/>
  <c r="I299" i="12"/>
  <c r="I278" i="12"/>
  <c r="I145" i="12"/>
  <c r="I31" i="12"/>
  <c r="I298" i="12"/>
  <c r="I313" i="12"/>
  <c r="I198" i="12"/>
  <c r="I236" i="12"/>
  <c r="I115" i="12"/>
  <c r="I257" i="12"/>
  <c r="I224" i="12"/>
  <c r="I263" i="12"/>
  <c r="I222" i="12"/>
  <c r="I111" i="12"/>
  <c r="I216" i="12"/>
  <c r="I193" i="12"/>
  <c r="I168" i="12"/>
  <c r="I206" i="12"/>
  <c r="I210" i="12"/>
  <c r="I323" i="12"/>
  <c r="I173" i="12"/>
  <c r="I315" i="12"/>
  <c r="I200" i="12"/>
  <c r="I230" i="12"/>
  <c r="I280" i="12"/>
  <c r="I95" i="12"/>
  <c r="I60" i="12"/>
  <c r="I297" i="12"/>
  <c r="I275" i="12"/>
  <c r="I187" i="12"/>
  <c r="I238" i="12"/>
  <c r="I247" i="12"/>
  <c r="I85" i="12"/>
  <c r="I241" i="12"/>
  <c r="I137" i="12"/>
  <c r="I51" i="12"/>
  <c r="I121" i="12"/>
  <c r="I15" i="12"/>
  <c r="I84" i="12"/>
  <c r="I244" i="12"/>
  <c r="I13" i="12"/>
  <c r="I156" i="12"/>
  <c r="I276" i="12"/>
  <c r="I218" i="12"/>
  <c r="I78" i="12"/>
  <c r="I38" i="12"/>
  <c r="I83" i="12"/>
  <c r="I325" i="12"/>
  <c r="I118" i="12"/>
  <c r="I10" i="12"/>
  <c r="I239" i="12"/>
  <c r="I300" i="12"/>
  <c r="I153" i="12"/>
  <c r="I267" i="12"/>
  <c r="I146" i="12"/>
  <c r="I144" i="12"/>
  <c r="I243" i="12"/>
  <c r="I309" i="12"/>
  <c r="I166" i="12"/>
  <c r="I116" i="12"/>
  <c r="I160" i="12"/>
  <c r="I94" i="12"/>
  <c r="I22" i="12"/>
  <c r="I47" i="12"/>
  <c r="I20" i="12"/>
  <c r="I99" i="12"/>
  <c r="I64" i="12"/>
  <c r="I256" i="12"/>
  <c r="I63" i="12"/>
  <c r="I211" i="12"/>
  <c r="I217" i="12"/>
  <c r="I248" i="12"/>
  <c r="I291" i="12"/>
  <c r="I261" i="12"/>
  <c r="I321" i="12"/>
  <c r="I253" i="12"/>
  <c r="I103" i="12"/>
  <c r="I69" i="12"/>
  <c r="I66" i="12"/>
  <c r="I82" i="12"/>
  <c r="I215" i="12"/>
  <c r="I73" i="12"/>
  <c r="I194" i="12"/>
  <c r="I19" i="12"/>
  <c r="I151" i="12"/>
  <c r="I16" i="12"/>
  <c r="I308" i="12"/>
  <c r="I264" i="12"/>
  <c r="I320" i="12"/>
  <c r="I29" i="12"/>
  <c r="I204" i="12"/>
  <c r="I74" i="12"/>
  <c r="I136" i="12"/>
  <c r="I155" i="12"/>
  <c r="I182" i="12"/>
  <c r="I48" i="12"/>
  <c r="I154" i="12"/>
  <c r="I32" i="12"/>
  <c r="I254" i="12"/>
  <c r="I269" i="12"/>
  <c r="I91" i="12"/>
  <c r="I237" i="12"/>
  <c r="I288" i="12"/>
  <c r="I162" i="12"/>
  <c r="I159" i="12"/>
  <c r="I71" i="12"/>
  <c r="I170" i="12"/>
  <c r="I171" i="12"/>
  <c r="I273" i="12"/>
  <c r="I195" i="12"/>
  <c r="I93" i="12"/>
  <c r="I214" i="12"/>
  <c r="I192" i="12"/>
  <c r="I282" i="12"/>
  <c r="I24" i="12"/>
  <c r="I138" i="12"/>
  <c r="I245" i="12"/>
  <c r="I197" i="12"/>
  <c r="I45" i="12"/>
  <c r="I147" i="12"/>
  <c r="I163" i="12"/>
  <c r="I181" i="12"/>
  <c r="I277" i="12"/>
  <c r="I231" i="12"/>
  <c r="I149" i="12"/>
  <c r="I272" i="12"/>
  <c r="I310" i="12"/>
  <c r="I286" i="12"/>
  <c r="I61" i="12"/>
  <c r="I262" i="12"/>
  <c r="I234" i="12"/>
  <c r="I250" i="12"/>
  <c r="I304" i="12"/>
  <c r="I62" i="12"/>
  <c r="I179" i="12"/>
  <c r="I37" i="12"/>
  <c r="I132" i="12"/>
  <c r="I68" i="12"/>
  <c r="I328" i="12"/>
  <c r="I150" i="12"/>
  <c r="I125" i="12"/>
  <c r="I285" i="12"/>
  <c r="I36" i="12"/>
  <c r="I196" i="12"/>
  <c r="I305" i="12"/>
  <c r="I110" i="12"/>
  <c r="I101" i="12"/>
  <c r="I302" i="12"/>
  <c r="I165" i="12"/>
  <c r="I75" i="12"/>
  <c r="I249" i="12"/>
  <c r="I18" i="12"/>
  <c r="I140" i="12"/>
  <c r="I152" i="12"/>
  <c r="I220" i="12"/>
  <c r="I142" i="12"/>
  <c r="I226" i="12"/>
  <c r="I157" i="12"/>
  <c r="I327" i="12"/>
  <c r="I79" i="12"/>
  <c r="I123" i="12"/>
  <c r="I55" i="12"/>
  <c r="I98" i="12"/>
  <c r="I213" i="12"/>
  <c r="I270" i="12"/>
  <c r="I119" i="12"/>
  <c r="I189" i="12"/>
  <c r="I120" i="12"/>
  <c r="I183" i="12"/>
  <c r="I255" i="12"/>
  <c r="I12" i="12"/>
  <c r="I76" i="12"/>
  <c r="I80" i="12"/>
  <c r="I127" i="12"/>
  <c r="I57" i="12"/>
  <c r="I314" i="12"/>
  <c r="I65" i="12"/>
  <c r="I188" i="12"/>
  <c r="I296" i="12"/>
  <c r="I191" i="12"/>
  <c r="I203" i="12"/>
  <c r="I105" i="12"/>
  <c r="I295" i="12"/>
  <c r="I221" i="12"/>
  <c r="I209" i="12"/>
  <c r="I34" i="12"/>
  <c r="I185" i="12"/>
  <c r="I290" i="12"/>
  <c r="I246" i="12"/>
  <c r="I97" i="12"/>
  <c r="I124" i="12"/>
  <c r="I212" i="12"/>
  <c r="I207" i="12"/>
  <c r="I23" i="12"/>
  <c r="I134" i="12"/>
  <c r="I326" i="12"/>
  <c r="I265" i="12"/>
  <c r="I294" i="12"/>
  <c r="I148" i="12"/>
  <c r="I319" i="12"/>
  <c r="I70" i="12"/>
  <c r="I229" i="12"/>
  <c r="I89" i="12"/>
  <c r="I161" i="12"/>
  <c r="I25" i="12"/>
  <c r="I21" i="12"/>
  <c r="I219" i="12"/>
  <c r="I301" i="12"/>
  <c r="I268" i="12"/>
  <c r="I208" i="12"/>
  <c r="I35" i="12"/>
  <c r="I240" i="12"/>
  <c r="I228" i="12"/>
  <c r="I174" i="12"/>
  <c r="I106" i="12"/>
  <c r="I113" i="12"/>
  <c r="I306" i="12"/>
  <c r="I202" i="12"/>
  <c r="I259" i="12"/>
  <c r="I126" i="12"/>
  <c r="I252" i="12"/>
  <c r="I141" i="12"/>
  <c r="I88" i="12"/>
  <c r="I164" i="12"/>
  <c r="I260" i="12"/>
  <c r="I172" i="12"/>
  <c r="I42" i="12"/>
  <c r="I281" i="12"/>
  <c r="I58" i="12"/>
  <c r="I271" i="12"/>
  <c r="I108" i="12"/>
  <c r="I14" i="12"/>
  <c r="R63" i="10"/>
  <c r="R97" i="10"/>
  <c r="R69" i="10"/>
  <c r="R18" i="10"/>
  <c r="R53" i="10"/>
  <c r="R19" i="10"/>
  <c r="R137" i="10"/>
  <c r="R93" i="10"/>
  <c r="R38" i="10"/>
  <c r="R88" i="10"/>
  <c r="R34" i="10"/>
  <c r="R73" i="10"/>
  <c r="R46" i="10"/>
  <c r="R56" i="10"/>
  <c r="R81" i="10"/>
  <c r="R12" i="10"/>
  <c r="R76" i="10"/>
  <c r="R26" i="10"/>
  <c r="R85" i="10"/>
  <c r="R66" i="10"/>
  <c r="R22" i="10"/>
  <c r="R27" i="10"/>
  <c r="R42" i="10"/>
  <c r="R72" i="10"/>
  <c r="R92" i="10"/>
  <c r="R109" i="10"/>
  <c r="R195" i="10"/>
  <c r="R15" i="10"/>
  <c r="R30" i="10"/>
  <c r="R45" i="10"/>
  <c r="R50" i="10"/>
  <c r="R105" i="10"/>
  <c r="R31" i="10"/>
  <c r="R82" i="10"/>
  <c r="R169" i="10"/>
  <c r="R9" i="10"/>
  <c r="R39" i="10"/>
  <c r="R43" i="10"/>
  <c r="R54" i="10"/>
  <c r="R57" i="10"/>
  <c r="R64" i="10"/>
  <c r="R67" i="10"/>
  <c r="R70" i="10"/>
  <c r="R128" i="10"/>
  <c r="R146" i="10"/>
  <c r="R13" i="10"/>
  <c r="R16" i="10"/>
  <c r="R20" i="10"/>
  <c r="R24" i="10"/>
  <c r="R28" i="10"/>
  <c r="R51" i="10"/>
  <c r="R74" i="10"/>
  <c r="R107" i="10"/>
  <c r="R111" i="10"/>
  <c r="R133" i="10"/>
  <c r="R188" i="10"/>
  <c r="R83" i="10"/>
  <c r="R86" i="10"/>
  <c r="R120" i="10"/>
  <c r="R124" i="10"/>
  <c r="R180" i="10"/>
  <c r="R10" i="10"/>
  <c r="R32" i="10"/>
  <c r="R40" i="10"/>
  <c r="R58" i="10"/>
  <c r="R14" i="10"/>
  <c r="R17" i="10"/>
  <c r="R21" i="10"/>
  <c r="R44" i="10"/>
  <c r="R55" i="10"/>
  <c r="R62" i="10"/>
  <c r="R65" i="10"/>
  <c r="R68" i="10"/>
  <c r="R71" i="10"/>
  <c r="R99" i="10"/>
  <c r="R143" i="10"/>
  <c r="R29" i="10"/>
  <c r="R52" i="10"/>
  <c r="R33" i="10"/>
  <c r="R41" i="10"/>
  <c r="R84" i="10"/>
  <c r="R87" i="10"/>
  <c r="R96" i="10"/>
  <c r="Q330" i="10"/>
  <c r="Q8" i="10"/>
  <c r="R36" i="10"/>
  <c r="R48" i="10"/>
  <c r="R60" i="10"/>
  <c r="R75" i="10"/>
  <c r="R80" i="10"/>
  <c r="R98" i="10"/>
  <c r="R110" i="10"/>
  <c r="R112" i="10"/>
  <c r="R129" i="10"/>
  <c r="R136" i="10"/>
  <c r="R139" i="10"/>
  <c r="R181" i="10"/>
  <c r="R323" i="10"/>
  <c r="R311" i="10"/>
  <c r="R299" i="10"/>
  <c r="R328" i="10"/>
  <c r="R316" i="10"/>
  <c r="R304" i="10"/>
  <c r="R292" i="10"/>
  <c r="R321" i="10"/>
  <c r="R309" i="10"/>
  <c r="R297" i="10"/>
  <c r="R326" i="10"/>
  <c r="R314" i="10"/>
  <c r="R302" i="10"/>
  <c r="R290" i="10"/>
  <c r="R319" i="10"/>
  <c r="R307" i="10"/>
  <c r="R295" i="10"/>
  <c r="R324" i="10"/>
  <c r="R312" i="10"/>
  <c r="R300" i="10"/>
  <c r="R317" i="10"/>
  <c r="R305" i="10"/>
  <c r="R293" i="10"/>
  <c r="R281" i="10"/>
  <c r="R269" i="10"/>
  <c r="R322" i="10"/>
  <c r="R310" i="10"/>
  <c r="R298" i="10"/>
  <c r="R286" i="10"/>
  <c r="R327" i="10"/>
  <c r="R315" i="10"/>
  <c r="R303" i="10"/>
  <c r="R291" i="10"/>
  <c r="R320" i="10"/>
  <c r="R308" i="10"/>
  <c r="R296" i="10"/>
  <c r="R301" i="10"/>
  <c r="R325" i="10"/>
  <c r="R271" i="10"/>
  <c r="R263" i="10"/>
  <c r="R313" i="10"/>
  <c r="R289" i="10"/>
  <c r="R285" i="10"/>
  <c r="R282" i="10"/>
  <c r="R279" i="10"/>
  <c r="R277" i="10"/>
  <c r="R275" i="10"/>
  <c r="R273" i="10"/>
  <c r="R256" i="10"/>
  <c r="R244" i="10"/>
  <c r="R284" i="10"/>
  <c r="R268" i="10"/>
  <c r="R259" i="10"/>
  <c r="R247" i="10"/>
  <c r="R235" i="10"/>
  <c r="R223" i="10"/>
  <c r="R287" i="10"/>
  <c r="R270" i="10"/>
  <c r="R264" i="10"/>
  <c r="R252" i="10"/>
  <c r="R240" i="10"/>
  <c r="R306" i="10"/>
  <c r="R274" i="10"/>
  <c r="R272" i="10"/>
  <c r="R257" i="10"/>
  <c r="R258" i="10"/>
  <c r="R251" i="10"/>
  <c r="R239" i="10"/>
  <c r="R255" i="10"/>
  <c r="R245" i="10"/>
  <c r="R234" i="10"/>
  <c r="R217" i="10"/>
  <c r="R205" i="10"/>
  <c r="R254" i="10"/>
  <c r="R318" i="10"/>
  <c r="R294" i="10"/>
  <c r="R208" i="10"/>
  <c r="R196" i="10"/>
  <c r="R184" i="10"/>
  <c r="R172" i="10"/>
  <c r="R261" i="10"/>
  <c r="R253" i="10"/>
  <c r="R220" i="10"/>
  <c r="R213" i="10"/>
  <c r="R278" i="10"/>
  <c r="R266" i="10"/>
  <c r="R250" i="10"/>
  <c r="R225" i="10"/>
  <c r="R222" i="10"/>
  <c r="R198" i="10"/>
  <c r="R232" i="10"/>
  <c r="R221" i="10"/>
  <c r="R283" i="10"/>
  <c r="R246" i="10"/>
  <c r="R236" i="10"/>
  <c r="R231" i="10"/>
  <c r="R219" i="10"/>
  <c r="R200" i="10"/>
  <c r="R288" i="10"/>
  <c r="R237" i="10"/>
  <c r="R218" i="10"/>
  <c r="R202" i="10"/>
  <c r="R193" i="10"/>
  <c r="R191" i="10"/>
  <c r="R276" i="10"/>
  <c r="R267" i="10"/>
  <c r="R238" i="10"/>
  <c r="R214" i="10"/>
  <c r="R229" i="10"/>
  <c r="R207" i="10"/>
  <c r="R248" i="10"/>
  <c r="R265" i="10"/>
  <c r="R260" i="10"/>
  <c r="R241" i="10"/>
  <c r="R228" i="10"/>
  <c r="R201" i="10"/>
  <c r="R249" i="10"/>
  <c r="R242" i="10"/>
  <c r="R197" i="10"/>
  <c r="R165" i="10"/>
  <c r="R233" i="10"/>
  <c r="R226" i="10"/>
  <c r="R224" i="10"/>
  <c r="R209" i="10"/>
  <c r="R199" i="10"/>
  <c r="R194" i="10"/>
  <c r="R187" i="10"/>
  <c r="R171" i="10"/>
  <c r="R163" i="10"/>
  <c r="R151" i="10"/>
  <c r="R210" i="10"/>
  <c r="R192" i="10"/>
  <c r="R173" i="10"/>
  <c r="R156" i="10"/>
  <c r="R144" i="10"/>
  <c r="R215" i="10"/>
  <c r="R211" i="10"/>
  <c r="R177" i="10"/>
  <c r="R175" i="10"/>
  <c r="R161" i="10"/>
  <c r="R227" i="10"/>
  <c r="R204" i="10"/>
  <c r="R203" i="10"/>
  <c r="R190" i="10"/>
  <c r="R262" i="10"/>
  <c r="R159" i="10"/>
  <c r="R147" i="10"/>
  <c r="R135" i="10"/>
  <c r="R123" i="10"/>
  <c r="R280" i="10"/>
  <c r="R243" i="10"/>
  <c r="R212" i="10"/>
  <c r="R206" i="10"/>
  <c r="R189" i="10"/>
  <c r="R186" i="10"/>
  <c r="R170" i="10"/>
  <c r="R168" i="10"/>
  <c r="R166" i="10"/>
  <c r="R164" i="10"/>
  <c r="R152" i="10"/>
  <c r="R140" i="10"/>
  <c r="R230" i="10"/>
  <c r="R216" i="10"/>
  <c r="R183" i="10"/>
  <c r="R162" i="10"/>
  <c r="R150" i="10"/>
  <c r="R157" i="10"/>
  <c r="R142" i="10"/>
  <c r="R103" i="10"/>
  <c r="R91" i="10"/>
  <c r="R79" i="10"/>
  <c r="R182" i="10"/>
  <c r="R158" i="10"/>
  <c r="R138" i="10"/>
  <c r="R130" i="10"/>
  <c r="R108" i="10"/>
  <c r="R185" i="10"/>
  <c r="R179" i="10"/>
  <c r="R141" i="10"/>
  <c r="R121" i="10"/>
  <c r="R119" i="10"/>
  <c r="R117" i="10"/>
  <c r="R115" i="10"/>
  <c r="R113" i="10"/>
  <c r="R101" i="10"/>
  <c r="R89" i="10"/>
  <c r="R77" i="10"/>
  <c r="R176" i="10"/>
  <c r="R155" i="10"/>
  <c r="R149" i="10"/>
  <c r="R106" i="10"/>
  <c r="R94" i="10"/>
  <c r="R167" i="10"/>
  <c r="R160" i="10"/>
  <c r="R154" i="10"/>
  <c r="R153" i="10"/>
  <c r="R148" i="10"/>
  <c r="R132" i="10"/>
  <c r="R125" i="10"/>
  <c r="R104" i="10"/>
  <c r="R174" i="10"/>
  <c r="R134" i="10"/>
  <c r="R116" i="10"/>
  <c r="R114" i="10"/>
  <c r="R102" i="10"/>
  <c r="R90" i="10"/>
  <c r="R78" i="10"/>
  <c r="R11" i="10"/>
  <c r="R23" i="10"/>
  <c r="R35" i="10"/>
  <c r="R47" i="10"/>
  <c r="R59" i="10"/>
  <c r="R100" i="10"/>
  <c r="R127" i="10"/>
  <c r="R95" i="10"/>
  <c r="R118" i="10"/>
  <c r="R126" i="10"/>
  <c r="R131" i="10"/>
  <c r="R25" i="10"/>
  <c r="R37" i="10"/>
  <c r="R49" i="10"/>
  <c r="R61" i="10"/>
  <c r="R122" i="10"/>
  <c r="R178" i="10"/>
  <c r="D6" i="2"/>
  <c r="D7" i="2" s="1"/>
  <c r="D10" i="2"/>
  <c r="I330" i="12" l="1"/>
  <c r="I8" i="12"/>
  <c r="R8" i="10"/>
  <c r="D9" i="2"/>
  <c r="D8" i="2"/>
  <c r="K332" i="9"/>
  <c r="K198" i="10" l="1"/>
  <c r="AA198" i="10" s="1"/>
  <c r="K206" i="10"/>
  <c r="K174" i="10"/>
  <c r="K59" i="10"/>
  <c r="K47" i="10"/>
  <c r="D14" i="2"/>
  <c r="D18" i="2" s="1"/>
  <c r="D12" i="2"/>
  <c r="E6" i="10" l="1"/>
  <c r="O3" i="10" s="1"/>
  <c r="AA59" i="10"/>
  <c r="AA47" i="10"/>
  <c r="K46" i="10"/>
  <c r="AA174" i="10"/>
  <c r="AA206" i="10"/>
  <c r="E128" i="12" l="1"/>
  <c r="H128" i="12" s="1"/>
  <c r="J128" i="12" s="1"/>
  <c r="K128" i="12" s="1"/>
  <c r="E239" i="12"/>
  <c r="H239" i="12" s="1"/>
  <c r="J239" i="12" s="1"/>
  <c r="K239" i="12" s="1"/>
  <c r="E310" i="12"/>
  <c r="H310" i="12" s="1"/>
  <c r="J310" i="12" s="1"/>
  <c r="K310" i="12" s="1"/>
  <c r="O3" i="12"/>
  <c r="E232" i="12"/>
  <c r="H232" i="12" s="1"/>
  <c r="J232" i="12" s="1"/>
  <c r="K232" i="12" s="1"/>
  <c r="E264" i="12"/>
  <c r="H264" i="12" s="1"/>
  <c r="J264" i="12" s="1"/>
  <c r="K264" i="12" s="1"/>
  <c r="E282" i="12"/>
  <c r="H282" i="12" s="1"/>
  <c r="J282" i="12" s="1"/>
  <c r="K282" i="12" s="1"/>
  <c r="E143" i="12"/>
  <c r="H143" i="12" s="1"/>
  <c r="J143" i="12" s="1"/>
  <c r="K143" i="12" s="1"/>
  <c r="E127" i="12"/>
  <c r="H127" i="12" s="1"/>
  <c r="J127" i="12" s="1"/>
  <c r="K127" i="12" s="1"/>
  <c r="E251" i="12"/>
  <c r="H251" i="12" s="1"/>
  <c r="J251" i="12" s="1"/>
  <c r="K251" i="12" s="1"/>
  <c r="E296" i="12"/>
  <c r="H296" i="12" s="1"/>
  <c r="J296" i="12" s="1"/>
  <c r="K296" i="12" s="1"/>
  <c r="E289" i="12"/>
  <c r="H289" i="12" s="1"/>
  <c r="J289" i="12" s="1"/>
  <c r="K289" i="12" s="1"/>
  <c r="E116" i="12"/>
  <c r="H116" i="12" s="1"/>
  <c r="J116" i="12" s="1"/>
  <c r="K116" i="12" s="1"/>
  <c r="E157" i="12"/>
  <c r="H157" i="12" s="1"/>
  <c r="J157" i="12" s="1"/>
  <c r="K157" i="12" s="1"/>
  <c r="E132" i="12"/>
  <c r="H132" i="12" s="1"/>
  <c r="J132" i="12" s="1"/>
  <c r="K132" i="12" s="1"/>
  <c r="E290" i="12"/>
  <c r="H290" i="12" s="1"/>
  <c r="J290" i="12" s="1"/>
  <c r="K290" i="12" s="1"/>
  <c r="E313" i="12"/>
  <c r="H313" i="12" s="1"/>
  <c r="J313" i="12" s="1"/>
  <c r="K313" i="12" s="1"/>
  <c r="E41" i="12"/>
  <c r="H41" i="12" s="1"/>
  <c r="J41" i="12" s="1"/>
  <c r="K41" i="12" s="1"/>
  <c r="E259" i="12"/>
  <c r="H259" i="12" s="1"/>
  <c r="J259" i="12" s="1"/>
  <c r="K259" i="12" s="1"/>
  <c r="E283" i="12"/>
  <c r="H283" i="12" s="1"/>
  <c r="J283" i="12" s="1"/>
  <c r="K283" i="12" s="1"/>
  <c r="E133" i="12"/>
  <c r="H133" i="12" s="1"/>
  <c r="J133" i="12" s="1"/>
  <c r="K133" i="12" s="1"/>
  <c r="E43" i="12"/>
  <c r="H43" i="12" s="1"/>
  <c r="J43" i="12" s="1"/>
  <c r="K43" i="12" s="1"/>
  <c r="E191" i="12"/>
  <c r="H191" i="12" s="1"/>
  <c r="J191" i="12" s="1"/>
  <c r="K191" i="12" s="1"/>
  <c r="E308" i="12"/>
  <c r="H308" i="12" s="1"/>
  <c r="J308" i="12" s="1"/>
  <c r="K308" i="12" s="1"/>
  <c r="E325" i="12"/>
  <c r="H325" i="12" s="1"/>
  <c r="J325" i="12" s="1"/>
  <c r="K325" i="12" s="1"/>
  <c r="E307" i="12"/>
  <c r="H307" i="12" s="1"/>
  <c r="J307" i="12" s="1"/>
  <c r="K307" i="12" s="1"/>
  <c r="E20" i="12"/>
  <c r="H20" i="12" s="1"/>
  <c r="J20" i="12" s="1"/>
  <c r="K20" i="12" s="1"/>
  <c r="E250" i="12"/>
  <c r="H250" i="12" s="1"/>
  <c r="J250" i="12" s="1"/>
  <c r="K250" i="12" s="1"/>
  <c r="E285" i="12"/>
  <c r="H285" i="12" s="1"/>
  <c r="J285" i="12" s="1"/>
  <c r="K285" i="12" s="1"/>
  <c r="E320" i="12"/>
  <c r="H320" i="12" s="1"/>
  <c r="J320" i="12" s="1"/>
  <c r="K320" i="12" s="1"/>
  <c r="E277" i="12"/>
  <c r="H277" i="12" s="1"/>
  <c r="J277" i="12" s="1"/>
  <c r="K277" i="12" s="1"/>
  <c r="E15" i="12"/>
  <c r="H15" i="12" s="1"/>
  <c r="J15" i="12" s="1"/>
  <c r="K15" i="12" s="1"/>
  <c r="E126" i="12"/>
  <c r="H126" i="12" s="1"/>
  <c r="J126" i="12" s="1"/>
  <c r="K126" i="12" s="1"/>
  <c r="E177" i="12"/>
  <c r="H177" i="12" s="1"/>
  <c r="J177" i="12" s="1"/>
  <c r="K177" i="12" s="1"/>
  <c r="E244" i="12"/>
  <c r="H244" i="12" s="1"/>
  <c r="J244" i="12" s="1"/>
  <c r="K244" i="12" s="1"/>
  <c r="E260" i="12"/>
  <c r="H260" i="12" s="1"/>
  <c r="J260" i="12" s="1"/>
  <c r="K260" i="12" s="1"/>
  <c r="E297" i="12"/>
  <c r="H297" i="12" s="1"/>
  <c r="J297" i="12" s="1"/>
  <c r="K297" i="12" s="1"/>
  <c r="E305" i="12"/>
  <c r="H305" i="12" s="1"/>
  <c r="J305" i="12" s="1"/>
  <c r="K305" i="12" s="1"/>
  <c r="E240" i="12"/>
  <c r="H240" i="12" s="1"/>
  <c r="J240" i="12" s="1"/>
  <c r="K240" i="12" s="1"/>
  <c r="E314" i="12"/>
  <c r="H314" i="12" s="1"/>
  <c r="J314" i="12" s="1"/>
  <c r="K314" i="12" s="1"/>
  <c r="E161" i="12"/>
  <c r="H161" i="12" s="1"/>
  <c r="J161" i="12" s="1"/>
  <c r="K161" i="12" s="1"/>
  <c r="E117" i="12"/>
  <c r="H117" i="12" s="1"/>
  <c r="J117" i="12" s="1"/>
  <c r="K117" i="12" s="1"/>
  <c r="E206" i="12"/>
  <c r="H206" i="12" s="1"/>
  <c r="J206" i="12" s="1"/>
  <c r="K206" i="12" s="1"/>
  <c r="E257" i="12"/>
  <c r="H257" i="12" s="1"/>
  <c r="J257" i="12" s="1"/>
  <c r="K257" i="12" s="1"/>
  <c r="E18" i="12"/>
  <c r="H18" i="12" s="1"/>
  <c r="J18" i="12" s="1"/>
  <c r="K18" i="12" s="1"/>
  <c r="E83" i="12"/>
  <c r="H83" i="12" s="1"/>
  <c r="J83" i="12" s="1"/>
  <c r="K83" i="12" s="1"/>
  <c r="E66" i="12"/>
  <c r="H66" i="12" s="1"/>
  <c r="J66" i="12" s="1"/>
  <c r="K66" i="12" s="1"/>
  <c r="E42" i="12"/>
  <c r="H42" i="12" s="1"/>
  <c r="J42" i="12" s="1"/>
  <c r="K42" i="12" s="1"/>
  <c r="E109" i="12"/>
  <c r="H109" i="12" s="1"/>
  <c r="J109" i="12" s="1"/>
  <c r="K109" i="12" s="1"/>
  <c r="E150" i="12"/>
  <c r="H150" i="12" s="1"/>
  <c r="J150" i="12" s="1"/>
  <c r="K150" i="12" s="1"/>
  <c r="E14" i="12"/>
  <c r="H14" i="12" s="1"/>
  <c r="J14" i="12" s="1"/>
  <c r="K14" i="12" s="1"/>
  <c r="E57" i="12"/>
  <c r="H57" i="12" s="1"/>
  <c r="J57" i="12" s="1"/>
  <c r="K57" i="12" s="1"/>
  <c r="E165" i="12"/>
  <c r="H165" i="12" s="1"/>
  <c r="J165" i="12" s="1"/>
  <c r="K165" i="12" s="1"/>
  <c r="E74" i="12"/>
  <c r="H74" i="12" s="1"/>
  <c r="J74" i="12" s="1"/>
  <c r="K74" i="12" s="1"/>
  <c r="E303" i="12"/>
  <c r="H303" i="12" s="1"/>
  <c r="J303" i="12" s="1"/>
  <c r="K303" i="12" s="1"/>
  <c r="E323" i="12"/>
  <c r="H323" i="12" s="1"/>
  <c r="J323" i="12" s="1"/>
  <c r="K323" i="12" s="1"/>
  <c r="E144" i="12"/>
  <c r="H144" i="12" s="1"/>
  <c r="J144" i="12" s="1"/>
  <c r="K144" i="12" s="1"/>
  <c r="E190" i="12"/>
  <c r="H190" i="12" s="1"/>
  <c r="J190" i="12" s="1"/>
  <c r="K190" i="12" s="1"/>
  <c r="E142" i="12"/>
  <c r="H142" i="12" s="1"/>
  <c r="J142" i="12" s="1"/>
  <c r="K142" i="12" s="1"/>
  <c r="E107" i="12"/>
  <c r="H107" i="12" s="1"/>
  <c r="J107" i="12" s="1"/>
  <c r="K107" i="12" s="1"/>
  <c r="E10" i="12"/>
  <c r="H10" i="12" s="1"/>
  <c r="J10" i="12" s="1"/>
  <c r="K10" i="12" s="1"/>
  <c r="E70" i="12"/>
  <c r="H70" i="12" s="1"/>
  <c r="J70" i="12" s="1"/>
  <c r="K70" i="12" s="1"/>
  <c r="E71" i="12"/>
  <c r="H71" i="12" s="1"/>
  <c r="J71" i="12" s="1"/>
  <c r="K71" i="12" s="1"/>
  <c r="E19" i="12"/>
  <c r="H19" i="12" s="1"/>
  <c r="J19" i="12" s="1"/>
  <c r="K19" i="12" s="1"/>
  <c r="E327" i="12"/>
  <c r="H327" i="12" s="1"/>
  <c r="J327" i="12" s="1"/>
  <c r="K327" i="12" s="1"/>
  <c r="E176" i="12"/>
  <c r="H176" i="12" s="1"/>
  <c r="J176" i="12" s="1"/>
  <c r="K176" i="12" s="1"/>
  <c r="E214" i="12"/>
  <c r="H214" i="12" s="1"/>
  <c r="J214" i="12" s="1"/>
  <c r="K214" i="12" s="1"/>
  <c r="E163" i="12"/>
  <c r="H163" i="12" s="1"/>
  <c r="J163" i="12" s="1"/>
  <c r="K163" i="12" s="1"/>
  <c r="E99" i="12"/>
  <c r="H99" i="12" s="1"/>
  <c r="J99" i="12" s="1"/>
  <c r="K99" i="12" s="1"/>
  <c r="E317" i="12"/>
  <c r="H317" i="12" s="1"/>
  <c r="J317" i="12" s="1"/>
  <c r="K317" i="12" s="1"/>
  <c r="E29" i="12"/>
  <c r="H29" i="12" s="1"/>
  <c r="J29" i="12" s="1"/>
  <c r="K29" i="12" s="1"/>
  <c r="E279" i="12"/>
  <c r="H279" i="12" s="1"/>
  <c r="J279" i="12" s="1"/>
  <c r="K279" i="12" s="1"/>
  <c r="E237" i="12"/>
  <c r="H237" i="12" s="1"/>
  <c r="J237" i="12" s="1"/>
  <c r="K237" i="12" s="1"/>
  <c r="E220" i="12"/>
  <c r="H220" i="12" s="1"/>
  <c r="J220" i="12" s="1"/>
  <c r="K220" i="12" s="1"/>
  <c r="E108" i="12"/>
  <c r="H108" i="12" s="1"/>
  <c r="J108" i="12" s="1"/>
  <c r="K108" i="12" s="1"/>
  <c r="E106" i="12"/>
  <c r="H106" i="12" s="1"/>
  <c r="J106" i="12" s="1"/>
  <c r="K106" i="12" s="1"/>
  <c r="E68" i="12"/>
  <c r="H68" i="12" s="1"/>
  <c r="J68" i="12" s="1"/>
  <c r="K68" i="12" s="1"/>
  <c r="E35" i="12"/>
  <c r="H35" i="12" s="1"/>
  <c r="J35" i="12" s="1"/>
  <c r="K35" i="12" s="1"/>
  <c r="E100" i="12"/>
  <c r="H100" i="12" s="1"/>
  <c r="J100" i="12" s="1"/>
  <c r="K100" i="12" s="1"/>
  <c r="E175" i="12"/>
  <c r="H175" i="12" s="1"/>
  <c r="J175" i="12" s="1"/>
  <c r="K175" i="12" s="1"/>
  <c r="E263" i="12"/>
  <c r="H263" i="12" s="1"/>
  <c r="J263" i="12" s="1"/>
  <c r="E53" i="12"/>
  <c r="H53" i="12" s="1"/>
  <c r="J53" i="12" s="1"/>
  <c r="K53" i="12" s="1"/>
  <c r="E162" i="12"/>
  <c r="H162" i="12" s="1"/>
  <c r="J162" i="12" s="1"/>
  <c r="K162" i="12" s="1"/>
  <c r="E93" i="12"/>
  <c r="H93" i="12" s="1"/>
  <c r="J93" i="12" s="1"/>
  <c r="K93" i="12" s="1"/>
  <c r="E90" i="12"/>
  <c r="H90" i="12" s="1"/>
  <c r="J90" i="12" s="1"/>
  <c r="K90" i="12" s="1"/>
  <c r="E89" i="12"/>
  <c r="H89" i="12" s="1"/>
  <c r="J89" i="12" s="1"/>
  <c r="K89" i="12" s="1"/>
  <c r="E316" i="12"/>
  <c r="H316" i="12" s="1"/>
  <c r="J316" i="12" s="1"/>
  <c r="K316" i="12" s="1"/>
  <c r="E228" i="12"/>
  <c r="H228" i="12" s="1"/>
  <c r="J228" i="12" s="1"/>
  <c r="K228" i="12" s="1"/>
  <c r="E222" i="12"/>
  <c r="H222" i="12" s="1"/>
  <c r="J222" i="12" s="1"/>
  <c r="K222" i="12" s="1"/>
  <c r="E174" i="12"/>
  <c r="H174" i="12" s="1"/>
  <c r="J174" i="12" s="1"/>
  <c r="K174" i="12" s="1"/>
  <c r="E183" i="12"/>
  <c r="H183" i="12" s="1"/>
  <c r="J183" i="12" s="1"/>
  <c r="K183" i="12" s="1"/>
  <c r="E86" i="12"/>
  <c r="H86" i="12" s="1"/>
  <c r="J86" i="12" s="1"/>
  <c r="K86" i="12" s="1"/>
  <c r="E40" i="12"/>
  <c r="H40" i="12" s="1"/>
  <c r="J40" i="12" s="1"/>
  <c r="K40" i="12" s="1"/>
  <c r="E38" i="12"/>
  <c r="H38" i="12" s="1"/>
  <c r="J38" i="12" s="1"/>
  <c r="K38" i="12" s="1"/>
  <c r="E312" i="12"/>
  <c r="H312" i="12" s="1"/>
  <c r="J312" i="12" s="1"/>
  <c r="K312" i="12" s="1"/>
  <c r="E85" i="12"/>
  <c r="H85" i="12" s="1"/>
  <c r="J85" i="12" s="1"/>
  <c r="K85" i="12" s="1"/>
  <c r="E253" i="12"/>
  <c r="H253" i="12" s="1"/>
  <c r="J253" i="12" s="1"/>
  <c r="K253" i="12" s="1"/>
  <c r="E230" i="12"/>
  <c r="H230" i="12" s="1"/>
  <c r="J230" i="12" s="1"/>
  <c r="K230" i="12" s="1"/>
  <c r="E62" i="12"/>
  <c r="H62" i="12" s="1"/>
  <c r="J62" i="12" s="1"/>
  <c r="K62" i="12" s="1"/>
  <c r="E58" i="12"/>
  <c r="H58" i="12" s="1"/>
  <c r="J58" i="12" s="1"/>
  <c r="K58" i="12" s="1"/>
  <c r="E146" i="12"/>
  <c r="H146" i="12" s="1"/>
  <c r="J146" i="12" s="1"/>
  <c r="K146" i="12" s="1"/>
  <c r="E186" i="12"/>
  <c r="H186" i="12" s="1"/>
  <c r="J186" i="12" s="1"/>
  <c r="K186" i="12" s="1"/>
  <c r="E173" i="12"/>
  <c r="H173" i="12" s="1"/>
  <c r="J173" i="12" s="1"/>
  <c r="K173" i="12" s="1"/>
  <c r="E119" i="12"/>
  <c r="H119" i="12" s="1"/>
  <c r="J119" i="12" s="1"/>
  <c r="K119" i="12" s="1"/>
  <c r="E309" i="12"/>
  <c r="H309" i="12" s="1"/>
  <c r="J309" i="12" s="1"/>
  <c r="K309" i="12" s="1"/>
  <c r="E274" i="12"/>
  <c r="H274" i="12" s="1"/>
  <c r="J274" i="12" s="1"/>
  <c r="K274" i="12" s="1"/>
  <c r="E49" i="12"/>
  <c r="H49" i="12" s="1"/>
  <c r="J49" i="12" s="1"/>
  <c r="K49" i="12" s="1"/>
  <c r="E199" i="12"/>
  <c r="H199" i="12" s="1"/>
  <c r="J199" i="12" s="1"/>
  <c r="K199" i="12" s="1"/>
  <c r="E153" i="12"/>
  <c r="H153" i="12" s="1"/>
  <c r="J153" i="12" s="1"/>
  <c r="K153" i="12" s="1"/>
  <c r="E209" i="12"/>
  <c r="H209" i="12" s="1"/>
  <c r="J209" i="12" s="1"/>
  <c r="K209" i="12" s="1"/>
  <c r="E291" i="12"/>
  <c r="H291" i="12" s="1"/>
  <c r="J291" i="12" s="1"/>
  <c r="K291" i="12" s="1"/>
  <c r="E287" i="12"/>
  <c r="H287" i="12" s="1"/>
  <c r="J287" i="12" s="1"/>
  <c r="K287" i="12" s="1"/>
  <c r="E246" i="12"/>
  <c r="H246" i="12" s="1"/>
  <c r="J246" i="12" s="1"/>
  <c r="K246" i="12" s="1"/>
  <c r="E238" i="12"/>
  <c r="H238" i="12" s="1"/>
  <c r="J238" i="12" s="1"/>
  <c r="K238" i="12" s="1"/>
  <c r="E225" i="12"/>
  <c r="H225" i="12" s="1"/>
  <c r="J225" i="12" s="1"/>
  <c r="K225" i="12" s="1"/>
  <c r="E203" i="12"/>
  <c r="H203" i="12" s="1"/>
  <c r="J203" i="12" s="1"/>
  <c r="K203" i="12" s="1"/>
  <c r="E115" i="12"/>
  <c r="H115" i="12" s="1"/>
  <c r="J115" i="12" s="1"/>
  <c r="K115" i="12" s="1"/>
  <c r="E60" i="12"/>
  <c r="H60" i="12" s="1"/>
  <c r="J60" i="12" s="1"/>
  <c r="K60" i="12" s="1"/>
  <c r="E36" i="12"/>
  <c r="H36" i="12" s="1"/>
  <c r="J36" i="12" s="1"/>
  <c r="K36" i="12" s="1"/>
  <c r="E69" i="12"/>
  <c r="H69" i="12" s="1"/>
  <c r="J69" i="12" s="1"/>
  <c r="E324" i="12"/>
  <c r="H324" i="12" s="1"/>
  <c r="J324" i="12" s="1"/>
  <c r="K324" i="12" s="1"/>
  <c r="E301" i="12"/>
  <c r="H301" i="12" s="1"/>
  <c r="J301" i="12" s="1"/>
  <c r="K301" i="12" s="1"/>
  <c r="E315" i="12"/>
  <c r="H315" i="12" s="1"/>
  <c r="J315" i="12" s="1"/>
  <c r="K315" i="12" s="1"/>
  <c r="E192" i="12"/>
  <c r="H192" i="12" s="1"/>
  <c r="J192" i="12" s="1"/>
  <c r="K192" i="12" s="1"/>
  <c r="E37" i="12"/>
  <c r="H37" i="12" s="1"/>
  <c r="J37" i="12" s="1"/>
  <c r="K37" i="12" s="1"/>
  <c r="E208" i="12"/>
  <c r="H208" i="12" s="1"/>
  <c r="J208" i="12" s="1"/>
  <c r="K208" i="12" s="1"/>
  <c r="E293" i="12"/>
  <c r="H293" i="12" s="1"/>
  <c r="J293" i="12" s="1"/>
  <c r="K293" i="12" s="1"/>
  <c r="E201" i="12"/>
  <c r="H201" i="12" s="1"/>
  <c r="J201" i="12" s="1"/>
  <c r="K201" i="12" s="1"/>
  <c r="E184" i="12"/>
  <c r="H184" i="12" s="1"/>
  <c r="J184" i="12" s="1"/>
  <c r="K184" i="12" s="1"/>
  <c r="E80" i="12"/>
  <c r="H80" i="12" s="1"/>
  <c r="J80" i="12" s="1"/>
  <c r="K80" i="12" s="1"/>
  <c r="E44" i="12"/>
  <c r="H44" i="12" s="1"/>
  <c r="J44" i="12" s="1"/>
  <c r="K44" i="12" s="1"/>
  <c r="E61" i="12"/>
  <c r="H61" i="12" s="1"/>
  <c r="J61" i="12" s="1"/>
  <c r="K61" i="12" s="1"/>
  <c r="E295" i="12"/>
  <c r="H295" i="12" s="1"/>
  <c r="J295" i="12" s="1"/>
  <c r="K295" i="12" s="1"/>
  <c r="E227" i="12"/>
  <c r="H227" i="12" s="1"/>
  <c r="J227" i="12" s="1"/>
  <c r="K227" i="12" s="1"/>
  <c r="E326" i="12"/>
  <c r="H326" i="12" s="1"/>
  <c r="J326" i="12" s="1"/>
  <c r="K326" i="12" s="1"/>
  <c r="E322" i="12"/>
  <c r="H322" i="12" s="1"/>
  <c r="J322" i="12" s="1"/>
  <c r="K322" i="12" s="1"/>
  <c r="E200" i="12"/>
  <c r="H200" i="12" s="1"/>
  <c r="J200" i="12" s="1"/>
  <c r="K200" i="12" s="1"/>
  <c r="E112" i="12"/>
  <c r="H112" i="12" s="1"/>
  <c r="J112" i="12" s="1"/>
  <c r="K112" i="12" s="1"/>
  <c r="E24" i="12"/>
  <c r="H24" i="12" s="1"/>
  <c r="J24" i="12" s="1"/>
  <c r="K24" i="12" s="1"/>
  <c r="E281" i="12"/>
  <c r="H281" i="12" s="1"/>
  <c r="J281" i="12" s="1"/>
  <c r="K281" i="12" s="1"/>
  <c r="E64" i="12"/>
  <c r="H64" i="12" s="1"/>
  <c r="J64" i="12" s="1"/>
  <c r="K64" i="12" s="1"/>
  <c r="E275" i="12"/>
  <c r="H275" i="12" s="1"/>
  <c r="J275" i="12" s="1"/>
  <c r="K275" i="12" s="1"/>
  <c r="E73" i="12"/>
  <c r="H73" i="12" s="1"/>
  <c r="J73" i="12" s="1"/>
  <c r="K73" i="12" s="1"/>
  <c r="E270" i="12"/>
  <c r="H270" i="12" s="1"/>
  <c r="J270" i="12" s="1"/>
  <c r="K270" i="12" s="1"/>
  <c r="E59" i="12"/>
  <c r="H59" i="12" s="1"/>
  <c r="J59" i="12" s="1"/>
  <c r="K59" i="12" s="1"/>
  <c r="E72" i="12"/>
  <c r="H72" i="12" s="1"/>
  <c r="J72" i="12" s="1"/>
  <c r="K72" i="12" s="1"/>
  <c r="E248" i="12"/>
  <c r="H248" i="12" s="1"/>
  <c r="J248" i="12" s="1"/>
  <c r="K248" i="12" s="1"/>
  <c r="E319" i="12"/>
  <c r="H319" i="12" s="1"/>
  <c r="J319" i="12" s="1"/>
  <c r="K319" i="12" s="1"/>
  <c r="E51" i="12"/>
  <c r="H51" i="12" s="1"/>
  <c r="J51" i="12" s="1"/>
  <c r="K51" i="12" s="1"/>
  <c r="E182" i="12"/>
  <c r="H182" i="12" s="1"/>
  <c r="J182" i="12" s="1"/>
  <c r="K182" i="12" s="1"/>
  <c r="E265" i="12"/>
  <c r="H265" i="12" s="1"/>
  <c r="J265" i="12" s="1"/>
  <c r="K265" i="12" s="1"/>
  <c r="E145" i="12"/>
  <c r="H145" i="12" s="1"/>
  <c r="J145" i="12" s="1"/>
  <c r="K145" i="12" s="1"/>
  <c r="E185" i="12"/>
  <c r="H185" i="12" s="1"/>
  <c r="J185" i="12" s="1"/>
  <c r="K185" i="12" s="1"/>
  <c r="E212" i="12"/>
  <c r="H212" i="12" s="1"/>
  <c r="J212" i="12" s="1"/>
  <c r="K212" i="12" s="1"/>
  <c r="E276" i="12"/>
  <c r="H276" i="12" s="1"/>
  <c r="J276" i="12" s="1"/>
  <c r="K276" i="12" s="1"/>
  <c r="E193" i="12"/>
  <c r="H193" i="12" s="1"/>
  <c r="J193" i="12" s="1"/>
  <c r="K193" i="12" s="1"/>
  <c r="E78" i="12"/>
  <c r="H78" i="12" s="1"/>
  <c r="J78" i="12" s="1"/>
  <c r="K78" i="12" s="1"/>
  <c r="E7" i="12"/>
  <c r="E215" i="12"/>
  <c r="H215" i="12" s="1"/>
  <c r="J215" i="12" s="1"/>
  <c r="K215" i="12" s="1"/>
  <c r="E160" i="12"/>
  <c r="H160" i="12" s="1"/>
  <c r="J160" i="12" s="1"/>
  <c r="K160" i="12" s="1"/>
  <c r="E166" i="12"/>
  <c r="H166" i="12" s="1"/>
  <c r="J166" i="12" s="1"/>
  <c r="K166" i="12" s="1"/>
  <c r="E95" i="12"/>
  <c r="H95" i="12" s="1"/>
  <c r="J95" i="12" s="1"/>
  <c r="K95" i="12" s="1"/>
  <c r="E110" i="12"/>
  <c r="H110" i="12" s="1"/>
  <c r="J110" i="12" s="1"/>
  <c r="K110" i="12" s="1"/>
  <c r="E180" i="12"/>
  <c r="H180" i="12" s="1"/>
  <c r="J180" i="12" s="1"/>
  <c r="K180" i="12" s="1"/>
  <c r="E139" i="12"/>
  <c r="H139" i="12" s="1"/>
  <c r="J139" i="12" s="1"/>
  <c r="K139" i="12" s="1"/>
  <c r="E9" i="12"/>
  <c r="E25" i="12"/>
  <c r="H25" i="12" s="1"/>
  <c r="J25" i="12" s="1"/>
  <c r="K25" i="12" s="1"/>
  <c r="E223" i="12"/>
  <c r="H223" i="12" s="1"/>
  <c r="J223" i="12" s="1"/>
  <c r="K223" i="12" s="1"/>
  <c r="E103" i="12"/>
  <c r="H103" i="12" s="1"/>
  <c r="J103" i="12" s="1"/>
  <c r="K103" i="12" s="1"/>
  <c r="E311" i="12"/>
  <c r="H311" i="12" s="1"/>
  <c r="J311" i="12" s="1"/>
  <c r="K311" i="12" s="1"/>
  <c r="E141" i="12"/>
  <c r="H141" i="12" s="1"/>
  <c r="J141" i="12" s="1"/>
  <c r="K141" i="12" s="1"/>
  <c r="E179" i="12"/>
  <c r="H179" i="12" s="1"/>
  <c r="J179" i="12" s="1"/>
  <c r="K179" i="12" s="1"/>
  <c r="E32" i="12"/>
  <c r="H32" i="12" s="1"/>
  <c r="J32" i="12" s="1"/>
  <c r="K32" i="12" s="1"/>
  <c r="E242" i="12"/>
  <c r="H242" i="12" s="1"/>
  <c r="J242" i="12" s="1"/>
  <c r="K242" i="12" s="1"/>
  <c r="E52" i="12"/>
  <c r="H52" i="12" s="1"/>
  <c r="J52" i="12" s="1"/>
  <c r="K52" i="12" s="1"/>
  <c r="E167" i="12"/>
  <c r="H167" i="12" s="1"/>
  <c r="J167" i="12" s="1"/>
  <c r="K167" i="12" s="1"/>
  <c r="E318" i="12"/>
  <c r="H318" i="12" s="1"/>
  <c r="J318" i="12" s="1"/>
  <c r="K318" i="12" s="1"/>
  <c r="E164" i="12"/>
  <c r="H164" i="12" s="1"/>
  <c r="J164" i="12" s="1"/>
  <c r="K164" i="12" s="1"/>
  <c r="E46" i="12"/>
  <c r="H46" i="12" s="1"/>
  <c r="J46" i="12" s="1"/>
  <c r="K46" i="12" s="1"/>
  <c r="E280" i="12"/>
  <c r="H280" i="12" s="1"/>
  <c r="J280" i="12" s="1"/>
  <c r="K280" i="12" s="1"/>
  <c r="E256" i="12"/>
  <c r="H256" i="12" s="1"/>
  <c r="J256" i="12" s="1"/>
  <c r="K256" i="12" s="1"/>
  <c r="E231" i="12"/>
  <c r="H231" i="12" s="1"/>
  <c r="J231" i="12" s="1"/>
  <c r="K231" i="12" s="1"/>
  <c r="E210" i="12"/>
  <c r="H210" i="12" s="1"/>
  <c r="J210" i="12" s="1"/>
  <c r="K210" i="12" s="1"/>
  <c r="E194" i="12"/>
  <c r="H194" i="12" s="1"/>
  <c r="J194" i="12" s="1"/>
  <c r="K194" i="12" s="1"/>
  <c r="E235" i="12"/>
  <c r="H235" i="12" s="1"/>
  <c r="J235" i="12" s="1"/>
  <c r="K235" i="12" s="1"/>
  <c r="E204" i="12"/>
  <c r="H204" i="12" s="1"/>
  <c r="J204" i="12" s="1"/>
  <c r="K204" i="12" s="1"/>
  <c r="E172" i="12"/>
  <c r="H172" i="12" s="1"/>
  <c r="J172" i="12" s="1"/>
  <c r="K172" i="12" s="1"/>
  <c r="E135" i="12"/>
  <c r="H135" i="12" s="1"/>
  <c r="J135" i="12" s="1"/>
  <c r="K135" i="12" s="1"/>
  <c r="E154" i="12"/>
  <c r="H154" i="12" s="1"/>
  <c r="J154" i="12" s="1"/>
  <c r="K154" i="12" s="1"/>
  <c r="E45" i="12"/>
  <c r="H45" i="12" s="1"/>
  <c r="J45" i="12" s="1"/>
  <c r="K45" i="12" s="1"/>
  <c r="E272" i="12"/>
  <c r="H272" i="12" s="1"/>
  <c r="J272" i="12" s="1"/>
  <c r="K272" i="12" s="1"/>
  <c r="E75" i="12"/>
  <c r="H75" i="12" s="1"/>
  <c r="J75" i="12" s="1"/>
  <c r="K75" i="12" s="1"/>
  <c r="E288" i="12"/>
  <c r="H288" i="12" s="1"/>
  <c r="J288" i="12" s="1"/>
  <c r="K288" i="12" s="1"/>
  <c r="E122" i="12"/>
  <c r="H122" i="12" s="1"/>
  <c r="J122" i="12" s="1"/>
  <c r="K122" i="12" s="1"/>
  <c r="E82" i="12"/>
  <c r="H82" i="12" s="1"/>
  <c r="J82" i="12" s="1"/>
  <c r="K82" i="12" s="1"/>
  <c r="E306" i="12"/>
  <c r="H306" i="12" s="1"/>
  <c r="J306" i="12" s="1"/>
  <c r="K306" i="12" s="1"/>
  <c r="E207" i="12"/>
  <c r="H207" i="12" s="1"/>
  <c r="J207" i="12" s="1"/>
  <c r="K207" i="12" s="1"/>
  <c r="E168" i="12"/>
  <c r="H168" i="12" s="1"/>
  <c r="J168" i="12" s="1"/>
  <c r="K168" i="12" s="1"/>
  <c r="E56" i="12"/>
  <c r="H56" i="12" s="1"/>
  <c r="J56" i="12" s="1"/>
  <c r="K56" i="12" s="1"/>
  <c r="E321" i="12"/>
  <c r="H321" i="12" s="1"/>
  <c r="J321" i="12" s="1"/>
  <c r="K321" i="12" s="1"/>
  <c r="E65" i="12"/>
  <c r="H65" i="12" s="1"/>
  <c r="J65" i="12" s="1"/>
  <c r="K65" i="12" s="1"/>
  <c r="E170" i="12"/>
  <c r="H170" i="12" s="1"/>
  <c r="J170" i="12" s="1"/>
  <c r="K170" i="12" s="1"/>
  <c r="E30" i="12"/>
  <c r="H30" i="12" s="1"/>
  <c r="J30" i="12" s="1"/>
  <c r="K30" i="12" s="1"/>
  <c r="E299" i="12"/>
  <c r="H299" i="12" s="1"/>
  <c r="J299" i="12" s="1"/>
  <c r="K299" i="12" s="1"/>
  <c r="E11" i="12"/>
  <c r="H11" i="12" s="1"/>
  <c r="J11" i="12" s="1"/>
  <c r="K11" i="12" s="1"/>
  <c r="E114" i="12"/>
  <c r="H114" i="12" s="1"/>
  <c r="J114" i="12" s="1"/>
  <c r="K114" i="12" s="1"/>
  <c r="E39" i="12"/>
  <c r="H39" i="12" s="1"/>
  <c r="J39" i="12" s="1"/>
  <c r="K39" i="12" s="1"/>
  <c r="E63" i="12"/>
  <c r="H63" i="12" s="1"/>
  <c r="J63" i="12" s="1"/>
  <c r="K63" i="12" s="1"/>
  <c r="E216" i="12"/>
  <c r="H216" i="12" s="1"/>
  <c r="J216" i="12" s="1"/>
  <c r="K216" i="12" s="1"/>
  <c r="E189" i="12"/>
  <c r="H189" i="12" s="1"/>
  <c r="J189" i="12" s="1"/>
  <c r="K189" i="12" s="1"/>
  <c r="E233" i="12"/>
  <c r="H233" i="12" s="1"/>
  <c r="J233" i="12" s="1"/>
  <c r="K233" i="12" s="1"/>
  <c r="E298" i="12"/>
  <c r="H298" i="12" s="1"/>
  <c r="J298" i="12" s="1"/>
  <c r="K298" i="12" s="1"/>
  <c r="E217" i="12"/>
  <c r="H217" i="12" s="1"/>
  <c r="J217" i="12" s="1"/>
  <c r="K217" i="12" s="1"/>
  <c r="E136" i="12"/>
  <c r="H136" i="12" s="1"/>
  <c r="J136" i="12" s="1"/>
  <c r="K136" i="12" s="1"/>
  <c r="E92" i="12"/>
  <c r="H92" i="12" s="1"/>
  <c r="J92" i="12" s="1"/>
  <c r="K92" i="12" s="1"/>
  <c r="E34" i="12"/>
  <c r="H34" i="12" s="1"/>
  <c r="J34" i="12" s="1"/>
  <c r="K34" i="12" s="1"/>
  <c r="E125" i="12"/>
  <c r="H125" i="12" s="1"/>
  <c r="J125" i="12" s="1"/>
  <c r="K125" i="12" s="1"/>
  <c r="E102" i="12"/>
  <c r="H102" i="12" s="1"/>
  <c r="J102" i="12" s="1"/>
  <c r="K102" i="12" s="1"/>
  <c r="E149" i="12"/>
  <c r="H149" i="12" s="1"/>
  <c r="J149" i="12" s="1"/>
  <c r="K149" i="12" s="1"/>
  <c r="E76" i="12"/>
  <c r="H76" i="12" s="1"/>
  <c r="J76" i="12" s="1"/>
  <c r="K76" i="12" s="1"/>
  <c r="E241" i="12"/>
  <c r="H241" i="12" s="1"/>
  <c r="J241" i="12" s="1"/>
  <c r="K241" i="12" s="1"/>
  <c r="E118" i="12"/>
  <c r="H118" i="12" s="1"/>
  <c r="J118" i="12" s="1"/>
  <c r="K118" i="12" s="1"/>
  <c r="E254" i="12"/>
  <c r="H254" i="12" s="1"/>
  <c r="J254" i="12" s="1"/>
  <c r="K254" i="12" s="1"/>
  <c r="E12" i="12"/>
  <c r="H12" i="12" s="1"/>
  <c r="J12" i="12" s="1"/>
  <c r="K12" i="12" s="1"/>
  <c r="E247" i="12"/>
  <c r="H247" i="12" s="1"/>
  <c r="J247" i="12" s="1"/>
  <c r="K247" i="12" s="1"/>
  <c r="E47" i="12"/>
  <c r="H47" i="12" s="1"/>
  <c r="J47" i="12" s="1"/>
  <c r="K47" i="12" s="1"/>
  <c r="E33" i="12"/>
  <c r="H33" i="12" s="1"/>
  <c r="J33" i="12" s="1"/>
  <c r="K33" i="12" s="1"/>
  <c r="E97" i="12"/>
  <c r="H97" i="12" s="1"/>
  <c r="J97" i="12" s="1"/>
  <c r="K97" i="12" s="1"/>
  <c r="E286" i="12"/>
  <c r="H286" i="12" s="1"/>
  <c r="J286" i="12" s="1"/>
  <c r="K286" i="12" s="1"/>
  <c r="E278" i="12"/>
  <c r="H278" i="12" s="1"/>
  <c r="J278" i="12" s="1"/>
  <c r="K278" i="12" s="1"/>
  <c r="E113" i="12"/>
  <c r="H113" i="12" s="1"/>
  <c r="J113" i="12" s="1"/>
  <c r="K113" i="12" s="1"/>
  <c r="E187" i="12"/>
  <c r="H187" i="12" s="1"/>
  <c r="J187" i="12" s="1"/>
  <c r="K187" i="12" s="1"/>
  <c r="E50" i="12"/>
  <c r="H50" i="12" s="1"/>
  <c r="J50" i="12" s="1"/>
  <c r="K50" i="12" s="1"/>
  <c r="E302" i="12"/>
  <c r="H302" i="12" s="1"/>
  <c r="J302" i="12" s="1"/>
  <c r="K302" i="12" s="1"/>
  <c r="E258" i="12"/>
  <c r="H258" i="12" s="1"/>
  <c r="J258" i="12" s="1"/>
  <c r="K258" i="12" s="1"/>
  <c r="E87" i="12"/>
  <c r="H87" i="12" s="1"/>
  <c r="J87" i="12" s="1"/>
  <c r="K87" i="12" s="1"/>
  <c r="E304" i="12"/>
  <c r="H304" i="12" s="1"/>
  <c r="J304" i="12" s="1"/>
  <c r="K304" i="12" s="1"/>
  <c r="E255" i="12"/>
  <c r="H255" i="12" s="1"/>
  <c r="J255" i="12" s="1"/>
  <c r="K255" i="12" s="1"/>
  <c r="E269" i="12"/>
  <c r="H269" i="12" s="1"/>
  <c r="J269" i="12" s="1"/>
  <c r="K269" i="12" s="1"/>
  <c r="E159" i="12"/>
  <c r="H159" i="12" s="1"/>
  <c r="J159" i="12" s="1"/>
  <c r="K159" i="12" s="1"/>
  <c r="E197" i="12"/>
  <c r="H197" i="12" s="1"/>
  <c r="J197" i="12" s="1"/>
  <c r="K197" i="12" s="1"/>
  <c r="E171" i="12"/>
  <c r="H171" i="12" s="1"/>
  <c r="J171" i="12" s="1"/>
  <c r="K171" i="12" s="1"/>
  <c r="E219" i="12"/>
  <c r="H219" i="12" s="1"/>
  <c r="J219" i="12" s="1"/>
  <c r="K219" i="12" s="1"/>
  <c r="E148" i="12"/>
  <c r="H148" i="12" s="1"/>
  <c r="J148" i="12" s="1"/>
  <c r="K148" i="12" s="1"/>
  <c r="E96" i="12"/>
  <c r="H96" i="12" s="1"/>
  <c r="J96" i="12" s="1"/>
  <c r="K96" i="12" s="1"/>
  <c r="E17" i="12"/>
  <c r="H17" i="12" s="1"/>
  <c r="J17" i="12" s="1"/>
  <c r="K17" i="12" s="1"/>
  <c r="E67" i="12"/>
  <c r="H67" i="12" s="1"/>
  <c r="J67" i="12" s="1"/>
  <c r="K67" i="12" s="1"/>
  <c r="E13" i="12"/>
  <c r="H13" i="12" s="1"/>
  <c r="J13" i="12" s="1"/>
  <c r="K13" i="12" s="1"/>
  <c r="E188" i="12"/>
  <c r="H188" i="12" s="1"/>
  <c r="J188" i="12" s="1"/>
  <c r="K188" i="12" s="1"/>
  <c r="E205" i="12"/>
  <c r="H205" i="12" s="1"/>
  <c r="J205" i="12" s="1"/>
  <c r="K205" i="12" s="1"/>
  <c r="E27" i="12"/>
  <c r="H27" i="12" s="1"/>
  <c r="J27" i="12" s="1"/>
  <c r="K27" i="12" s="1"/>
  <c r="E328" i="12"/>
  <c r="H328" i="12" s="1"/>
  <c r="J328" i="12" s="1"/>
  <c r="K328" i="12" s="1"/>
  <c r="E249" i="12"/>
  <c r="H249" i="12" s="1"/>
  <c r="J249" i="12" s="1"/>
  <c r="K249" i="12" s="1"/>
  <c r="E224" i="12"/>
  <c r="H224" i="12" s="1"/>
  <c r="J224" i="12" s="1"/>
  <c r="K224" i="12" s="1"/>
  <c r="E243" i="12"/>
  <c r="H243" i="12" s="1"/>
  <c r="J243" i="12" s="1"/>
  <c r="K243" i="12" s="1"/>
  <c r="E138" i="12"/>
  <c r="H138" i="12" s="1"/>
  <c r="J138" i="12" s="1"/>
  <c r="K138" i="12" s="1"/>
  <c r="E91" i="12"/>
  <c r="H91" i="12" s="1"/>
  <c r="J91" i="12" s="1"/>
  <c r="K91" i="12" s="1"/>
  <c r="E211" i="12"/>
  <c r="H211" i="12" s="1"/>
  <c r="J211" i="12" s="1"/>
  <c r="K211" i="12" s="1"/>
  <c r="E28" i="12"/>
  <c r="H28" i="12" s="1"/>
  <c r="J28" i="12" s="1"/>
  <c r="K28" i="12" s="1"/>
  <c r="E129" i="12"/>
  <c r="H129" i="12" s="1"/>
  <c r="J129" i="12" s="1"/>
  <c r="K129" i="12" s="1"/>
  <c r="E213" i="12"/>
  <c r="H213" i="12" s="1"/>
  <c r="J213" i="12" s="1"/>
  <c r="K213" i="12" s="1"/>
  <c r="E226" i="12"/>
  <c r="H226" i="12" s="1"/>
  <c r="J226" i="12" s="1"/>
  <c r="K226" i="12" s="1"/>
  <c r="E266" i="12"/>
  <c r="H266" i="12" s="1"/>
  <c r="J266" i="12" s="1"/>
  <c r="K266" i="12" s="1"/>
  <c r="E202" i="12"/>
  <c r="H202" i="12" s="1"/>
  <c r="J202" i="12" s="1"/>
  <c r="K202" i="12" s="1"/>
  <c r="E156" i="12"/>
  <c r="H156" i="12" s="1"/>
  <c r="J156" i="12" s="1"/>
  <c r="K156" i="12" s="1"/>
  <c r="E218" i="12"/>
  <c r="H218" i="12" s="1"/>
  <c r="J218" i="12" s="1"/>
  <c r="K218" i="12" s="1"/>
  <c r="E104" i="12"/>
  <c r="H104" i="12" s="1"/>
  <c r="J104" i="12" s="1"/>
  <c r="K104" i="12" s="1"/>
  <c r="E88" i="12"/>
  <c r="H88" i="12" s="1"/>
  <c r="J88" i="12" s="1"/>
  <c r="K88" i="12" s="1"/>
  <c r="E48" i="12"/>
  <c r="H48" i="12" s="1"/>
  <c r="J48" i="12" s="1"/>
  <c r="K48" i="12" s="1"/>
  <c r="E16" i="12"/>
  <c r="H16" i="12" s="1"/>
  <c r="J16" i="12" s="1"/>
  <c r="K16" i="12" s="1"/>
  <c r="E294" i="12"/>
  <c r="H294" i="12" s="1"/>
  <c r="J294" i="12" s="1"/>
  <c r="K294" i="12" s="1"/>
  <c r="E120" i="12"/>
  <c r="H120" i="12" s="1"/>
  <c r="J120" i="12" s="1"/>
  <c r="K120" i="12" s="1"/>
  <c r="E77" i="12"/>
  <c r="H77" i="12" s="1"/>
  <c r="J77" i="12" s="1"/>
  <c r="K77" i="12" s="1"/>
  <c r="E151" i="12"/>
  <c r="H151" i="12" s="1"/>
  <c r="J151" i="12" s="1"/>
  <c r="K151" i="12" s="1"/>
  <c r="E178" i="12"/>
  <c r="H178" i="12" s="1"/>
  <c r="J178" i="12" s="1"/>
  <c r="K178" i="12" s="1"/>
  <c r="E55" i="12"/>
  <c r="H55" i="12" s="1"/>
  <c r="J55" i="12" s="1"/>
  <c r="K55" i="12" s="1"/>
  <c r="E292" i="12"/>
  <c r="H292" i="12" s="1"/>
  <c r="J292" i="12" s="1"/>
  <c r="K292" i="12" s="1"/>
  <c r="E196" i="12"/>
  <c r="H196" i="12" s="1"/>
  <c r="J196" i="12" s="1"/>
  <c r="K196" i="12" s="1"/>
  <c r="E121" i="12"/>
  <c r="H121" i="12" s="1"/>
  <c r="J121" i="12" s="1"/>
  <c r="K121" i="12" s="1"/>
  <c r="E54" i="12"/>
  <c r="H54" i="12" s="1"/>
  <c r="J54" i="12" s="1"/>
  <c r="K54" i="12" s="1"/>
  <c r="E137" i="12"/>
  <c r="H137" i="12" s="1"/>
  <c r="J137" i="12" s="1"/>
  <c r="K137" i="12" s="1"/>
  <c r="E181" i="12"/>
  <c r="H181" i="12" s="1"/>
  <c r="J181" i="12" s="1"/>
  <c r="K181" i="12" s="1"/>
  <c r="E273" i="12"/>
  <c r="H273" i="12" s="1"/>
  <c r="J273" i="12" s="1"/>
  <c r="K273" i="12" s="1"/>
  <c r="E26" i="12"/>
  <c r="H26" i="12" s="1"/>
  <c r="J26" i="12" s="1"/>
  <c r="K26" i="12" s="1"/>
  <c r="E123" i="12"/>
  <c r="H123" i="12" s="1"/>
  <c r="J123" i="12" s="1"/>
  <c r="K123" i="12" s="1"/>
  <c r="E22" i="12"/>
  <c r="H22" i="12" s="1"/>
  <c r="J22" i="12" s="1"/>
  <c r="K22" i="12" s="1"/>
  <c r="E300" i="12"/>
  <c r="H300" i="12" s="1"/>
  <c r="J300" i="12" s="1"/>
  <c r="K300" i="12" s="1"/>
  <c r="E155" i="12"/>
  <c r="H155" i="12" s="1"/>
  <c r="J155" i="12" s="1"/>
  <c r="K155" i="12" s="1"/>
  <c r="E98" i="12"/>
  <c r="H98" i="12" s="1"/>
  <c r="J98" i="12" s="1"/>
  <c r="K98" i="12" s="1"/>
  <c r="E94" i="12"/>
  <c r="H94" i="12" s="1"/>
  <c r="J94" i="12" s="1"/>
  <c r="K94" i="12" s="1"/>
  <c r="E198" i="12"/>
  <c r="H198" i="12" s="1"/>
  <c r="J198" i="12" s="1"/>
  <c r="E236" i="12"/>
  <c r="H236" i="12" s="1"/>
  <c r="J236" i="12" s="1"/>
  <c r="K236" i="12" s="1"/>
  <c r="E81" i="12"/>
  <c r="H81" i="12" s="1"/>
  <c r="J81" i="12" s="1"/>
  <c r="K81" i="12" s="1"/>
  <c r="E169" i="12"/>
  <c r="H169" i="12" s="1"/>
  <c r="J169" i="12" s="1"/>
  <c r="K169" i="12" s="1"/>
  <c r="E105" i="12"/>
  <c r="H105" i="12" s="1"/>
  <c r="J105" i="12" s="1"/>
  <c r="K105" i="12" s="1"/>
  <c r="E140" i="12"/>
  <c r="H140" i="12" s="1"/>
  <c r="J140" i="12" s="1"/>
  <c r="K140" i="12" s="1"/>
  <c r="E23" i="12"/>
  <c r="H23" i="12" s="1"/>
  <c r="J23" i="12" s="1"/>
  <c r="K23" i="12" s="1"/>
  <c r="E268" i="12"/>
  <c r="H268" i="12" s="1"/>
  <c r="J268" i="12" s="1"/>
  <c r="K268" i="12" s="1"/>
  <c r="E261" i="12"/>
  <c r="H261" i="12" s="1"/>
  <c r="J261" i="12" s="1"/>
  <c r="K261" i="12" s="1"/>
  <c r="E245" i="12"/>
  <c r="E221" i="12"/>
  <c r="H221" i="12" s="1"/>
  <c r="J221" i="12" s="1"/>
  <c r="K221" i="12" s="1"/>
  <c r="E124" i="12"/>
  <c r="H124" i="12" s="1"/>
  <c r="J124" i="12" s="1"/>
  <c r="K124" i="12" s="1"/>
  <c r="E158" i="12"/>
  <c r="H158" i="12" s="1"/>
  <c r="J158" i="12" s="1"/>
  <c r="K158" i="12" s="1"/>
  <c r="E147" i="12"/>
  <c r="H147" i="12" s="1"/>
  <c r="J147" i="12" s="1"/>
  <c r="K147" i="12" s="1"/>
  <c r="E131" i="12"/>
  <c r="H131" i="12" s="1"/>
  <c r="J131" i="12" s="1"/>
  <c r="K131" i="12" s="1"/>
  <c r="E130" i="12"/>
  <c r="H130" i="12" s="1"/>
  <c r="J130" i="12" s="1"/>
  <c r="K130" i="12" s="1"/>
  <c r="E134" i="12"/>
  <c r="H134" i="12" s="1"/>
  <c r="J134" i="12" s="1"/>
  <c r="K134" i="12" s="1"/>
  <c r="E31" i="12"/>
  <c r="H31" i="12" s="1"/>
  <c r="J31" i="12" s="1"/>
  <c r="K31" i="12" s="1"/>
  <c r="E284" i="12"/>
  <c r="H284" i="12" s="1"/>
  <c r="J284" i="12" s="1"/>
  <c r="K284" i="12" s="1"/>
  <c r="E152" i="12"/>
  <c r="H152" i="12" s="1"/>
  <c r="J152" i="12" s="1"/>
  <c r="K152" i="12" s="1"/>
  <c r="E229" i="12"/>
  <c r="H229" i="12" s="1"/>
  <c r="J229" i="12" s="1"/>
  <c r="K229" i="12" s="1"/>
  <c r="E195" i="12"/>
  <c r="H195" i="12" s="1"/>
  <c r="J195" i="12" s="1"/>
  <c r="E111" i="12"/>
  <c r="H111" i="12" s="1"/>
  <c r="J111" i="12" s="1"/>
  <c r="K111" i="12" s="1"/>
  <c r="E101" i="12"/>
  <c r="H101" i="12" s="1"/>
  <c r="J101" i="12" s="1"/>
  <c r="K101" i="12" s="1"/>
  <c r="E21" i="12"/>
  <c r="H21" i="12" s="1"/>
  <c r="J21" i="12" s="1"/>
  <c r="K21" i="12" s="1"/>
  <c r="E84" i="12"/>
  <c r="H84" i="12" s="1"/>
  <c r="J84" i="12" s="1"/>
  <c r="K84" i="12" s="1"/>
  <c r="E271" i="12"/>
  <c r="H271" i="12" s="1"/>
  <c r="J271" i="12" s="1"/>
  <c r="K271" i="12" s="1"/>
  <c r="E252" i="12"/>
  <c r="H252" i="12" s="1"/>
  <c r="J252" i="12" s="1"/>
  <c r="K252" i="12" s="1"/>
  <c r="E79" i="12"/>
  <c r="H79" i="12" s="1"/>
  <c r="J79" i="12" s="1"/>
  <c r="K79" i="12" s="1"/>
  <c r="E234" i="12"/>
  <c r="H234" i="12" s="1"/>
  <c r="J234" i="12" s="1"/>
  <c r="K234" i="12" s="1"/>
  <c r="E267" i="12"/>
  <c r="H267" i="12" s="1"/>
  <c r="J267" i="12" s="1"/>
  <c r="K267" i="12" s="1"/>
  <c r="E262" i="12"/>
  <c r="H262" i="12" s="1"/>
  <c r="J262" i="12" s="1"/>
  <c r="K262" i="12" s="1"/>
  <c r="AA46" i="10"/>
  <c r="H245" i="12" l="1"/>
  <c r="J245" i="12" s="1"/>
  <c r="L55" i="12"/>
  <c r="M55" i="12" s="1"/>
  <c r="AA55" i="12"/>
  <c r="AA299" i="12"/>
  <c r="L299" i="12"/>
  <c r="M299" i="12" s="1"/>
  <c r="L199" i="12"/>
  <c r="M199" i="12" s="1"/>
  <c r="AA199" i="12"/>
  <c r="AA266" i="12"/>
  <c r="L266" i="12"/>
  <c r="M266" i="12" s="1"/>
  <c r="AA73" i="12"/>
  <c r="L73" i="12"/>
  <c r="M73" i="12" s="1"/>
  <c r="AA244" i="12"/>
  <c r="L244" i="12"/>
  <c r="M244" i="12" s="1"/>
  <c r="AA255" i="12"/>
  <c r="L255" i="12"/>
  <c r="M255" i="12" s="1"/>
  <c r="H9" i="12"/>
  <c r="E8" i="12"/>
  <c r="E330" i="12"/>
  <c r="AA53" i="12"/>
  <c r="L53" i="12"/>
  <c r="M53" i="12" s="1"/>
  <c r="AA188" i="12"/>
  <c r="L188" i="12"/>
  <c r="M188" i="12" s="1"/>
  <c r="AA318" i="12"/>
  <c r="L318" i="12"/>
  <c r="M318" i="12" s="1"/>
  <c r="L309" i="12"/>
  <c r="M309" i="12" s="1"/>
  <c r="AA309" i="12"/>
  <c r="AA40" i="12"/>
  <c r="L40" i="12"/>
  <c r="M40" i="12" s="1"/>
  <c r="K263" i="12"/>
  <c r="AA263" i="12" s="1"/>
  <c r="L99" i="12"/>
  <c r="M99" i="12" s="1"/>
  <c r="AA99" i="12"/>
  <c r="AA144" i="12"/>
  <c r="L144" i="12"/>
  <c r="M144" i="12" s="1"/>
  <c r="L18" i="12"/>
  <c r="M18" i="12" s="1"/>
  <c r="AA18" i="12"/>
  <c r="L126" i="12"/>
  <c r="M126" i="12" s="1"/>
  <c r="AA126" i="12"/>
  <c r="AA133" i="12"/>
  <c r="L133" i="12"/>
  <c r="M133" i="12" s="1"/>
  <c r="AA127" i="12"/>
  <c r="L127" i="12"/>
  <c r="M127" i="12" s="1"/>
  <c r="AA34" i="12"/>
  <c r="L34" i="12"/>
  <c r="M34" i="12" s="1"/>
  <c r="AA279" i="12"/>
  <c r="L279" i="12"/>
  <c r="M279" i="12" s="1"/>
  <c r="AA229" i="12"/>
  <c r="L229" i="12"/>
  <c r="M229" i="12" s="1"/>
  <c r="AA30" i="12"/>
  <c r="L30" i="12"/>
  <c r="M30" i="12" s="1"/>
  <c r="L29" i="12"/>
  <c r="M29" i="12" s="1"/>
  <c r="AA29" i="12"/>
  <c r="L151" i="12"/>
  <c r="M151" i="12" s="1"/>
  <c r="AA151" i="12"/>
  <c r="AA212" i="12"/>
  <c r="L212" i="12"/>
  <c r="M212" i="12" s="1"/>
  <c r="L83" i="12"/>
  <c r="M83" i="12" s="1"/>
  <c r="AA83" i="12"/>
  <c r="L213" i="12"/>
  <c r="M213" i="12" s="1"/>
  <c r="AA213" i="12"/>
  <c r="L185" i="12"/>
  <c r="M185" i="12" s="1"/>
  <c r="AA185" i="12"/>
  <c r="AA234" i="12"/>
  <c r="L234" i="12"/>
  <c r="M234" i="12" s="1"/>
  <c r="L31" i="12"/>
  <c r="M31" i="12" s="1"/>
  <c r="AA31" i="12"/>
  <c r="L140" i="12"/>
  <c r="M140" i="12" s="1"/>
  <c r="AA140" i="12"/>
  <c r="AA26" i="12"/>
  <c r="L26" i="12"/>
  <c r="M26" i="12" s="1"/>
  <c r="L120" i="12"/>
  <c r="M120" i="12" s="1"/>
  <c r="AA120" i="12"/>
  <c r="L129" i="12"/>
  <c r="M129" i="12" s="1"/>
  <c r="AA129" i="12"/>
  <c r="AA13" i="12"/>
  <c r="L13" i="12"/>
  <c r="M13" i="12" s="1"/>
  <c r="L87" i="12"/>
  <c r="M87" i="12" s="1"/>
  <c r="AA87" i="12"/>
  <c r="L12" i="12"/>
  <c r="M12" i="12" s="1"/>
  <c r="AA12" i="12"/>
  <c r="AA298" i="12"/>
  <c r="L298" i="12"/>
  <c r="M298" i="12" s="1"/>
  <c r="AA321" i="12"/>
  <c r="L321" i="12"/>
  <c r="M321" i="12" s="1"/>
  <c r="AA135" i="12"/>
  <c r="L135" i="12"/>
  <c r="M135" i="12" s="1"/>
  <c r="AA167" i="12"/>
  <c r="L167" i="12"/>
  <c r="M167" i="12" s="1"/>
  <c r="AA180" i="12"/>
  <c r="L180" i="12"/>
  <c r="M180" i="12" s="1"/>
  <c r="L145" i="12"/>
  <c r="M145" i="12" s="1"/>
  <c r="AA145" i="12"/>
  <c r="AA281" i="12"/>
  <c r="L281" i="12"/>
  <c r="M281" i="12" s="1"/>
  <c r="AA201" i="12"/>
  <c r="L201" i="12"/>
  <c r="M201" i="12" s="1"/>
  <c r="AA203" i="12"/>
  <c r="L203" i="12"/>
  <c r="M203" i="12" s="1"/>
  <c r="L119" i="12"/>
  <c r="M119" i="12" s="1"/>
  <c r="AA119" i="12"/>
  <c r="AA86" i="12"/>
  <c r="L86" i="12"/>
  <c r="M86" i="12" s="1"/>
  <c r="L175" i="12"/>
  <c r="M175" i="12" s="1"/>
  <c r="AA175" i="12"/>
  <c r="AA163" i="12"/>
  <c r="L163" i="12"/>
  <c r="M163" i="12" s="1"/>
  <c r="AA323" i="12"/>
  <c r="L323" i="12"/>
  <c r="M323" i="12" s="1"/>
  <c r="AA257" i="12"/>
  <c r="L257" i="12"/>
  <c r="M257" i="12" s="1"/>
  <c r="AA15" i="12"/>
  <c r="L15" i="12"/>
  <c r="M15" i="12" s="1"/>
  <c r="AA283" i="12"/>
  <c r="L283" i="12"/>
  <c r="M283" i="12" s="1"/>
  <c r="AA143" i="12"/>
  <c r="L143" i="12"/>
  <c r="M143" i="12" s="1"/>
  <c r="V143" i="12" s="1"/>
  <c r="AA75" i="12"/>
  <c r="L75" i="12"/>
  <c r="M75" i="12" s="1"/>
  <c r="L260" i="12"/>
  <c r="M260" i="12" s="1"/>
  <c r="AA260" i="12"/>
  <c r="AA25" i="12"/>
  <c r="L25" i="12"/>
  <c r="M25" i="12" s="1"/>
  <c r="AA66" i="12"/>
  <c r="L66" i="12"/>
  <c r="M66" i="12" s="1"/>
  <c r="AA170" i="12"/>
  <c r="L170" i="12"/>
  <c r="M170" i="12" s="1"/>
  <c r="AA274" i="12"/>
  <c r="L274" i="12"/>
  <c r="M274" i="12" s="1"/>
  <c r="L267" i="12"/>
  <c r="M267" i="12" s="1"/>
  <c r="AA267" i="12"/>
  <c r="L154" i="12"/>
  <c r="M154" i="12" s="1"/>
  <c r="AA154" i="12"/>
  <c r="L105" i="12"/>
  <c r="M105" i="12" s="1"/>
  <c r="AA105" i="12"/>
  <c r="L273" i="12"/>
  <c r="M273" i="12" s="1"/>
  <c r="AA273" i="12"/>
  <c r="L294" i="12"/>
  <c r="M294" i="12" s="1"/>
  <c r="AA294" i="12"/>
  <c r="AA28" i="12"/>
  <c r="L28" i="12"/>
  <c r="M28" i="12" s="1"/>
  <c r="AA67" i="12"/>
  <c r="L67" i="12"/>
  <c r="M67" i="12" s="1"/>
  <c r="L258" i="12"/>
  <c r="M258" i="12" s="1"/>
  <c r="AA258" i="12"/>
  <c r="L254" i="12"/>
  <c r="M254" i="12" s="1"/>
  <c r="AA254" i="12"/>
  <c r="AA233" i="12"/>
  <c r="L233" i="12"/>
  <c r="M233" i="12" s="1"/>
  <c r="AA56" i="12"/>
  <c r="L56" i="12"/>
  <c r="M56" i="12" s="1"/>
  <c r="AA172" i="12"/>
  <c r="L172" i="12"/>
  <c r="M172" i="12" s="1"/>
  <c r="L52" i="12"/>
  <c r="M52" i="12" s="1"/>
  <c r="AA52" i="12"/>
  <c r="L110" i="12"/>
  <c r="M110" i="12" s="1"/>
  <c r="AA110" i="12"/>
  <c r="L265" i="12"/>
  <c r="M265" i="12" s="1"/>
  <c r="AA265" i="12"/>
  <c r="AA24" i="12"/>
  <c r="L24" i="12"/>
  <c r="M24" i="12" s="1"/>
  <c r="AA293" i="12"/>
  <c r="L293" i="12"/>
  <c r="M293" i="12" s="1"/>
  <c r="AA225" i="12"/>
  <c r="L225" i="12"/>
  <c r="M225" i="12" s="1"/>
  <c r="L173" i="12"/>
  <c r="M173" i="12" s="1"/>
  <c r="AA173" i="12"/>
  <c r="L183" i="12"/>
  <c r="M183" i="12" s="1"/>
  <c r="AA183" i="12"/>
  <c r="L100" i="12"/>
  <c r="M100" i="12" s="1"/>
  <c r="AA100" i="12"/>
  <c r="L214" i="12"/>
  <c r="M214" i="12" s="1"/>
  <c r="AA214" i="12"/>
  <c r="AA303" i="12"/>
  <c r="L303" i="12"/>
  <c r="M303" i="12" s="1"/>
  <c r="AA206" i="12"/>
  <c r="L206" i="12"/>
  <c r="M206" i="12" s="1"/>
  <c r="V206" i="12" s="1"/>
  <c r="L277" i="12"/>
  <c r="M277" i="12" s="1"/>
  <c r="AA277" i="12"/>
  <c r="AA259" i="12"/>
  <c r="L259" i="12"/>
  <c r="M259" i="12" s="1"/>
  <c r="L282" i="12"/>
  <c r="M282" i="12" s="1"/>
  <c r="AA282" i="12"/>
  <c r="L155" i="12"/>
  <c r="M155" i="12" s="1"/>
  <c r="AA155" i="12"/>
  <c r="L159" i="12"/>
  <c r="M159" i="12" s="1"/>
  <c r="AA159" i="12"/>
  <c r="L61" i="12"/>
  <c r="M61" i="12" s="1"/>
  <c r="AA61" i="12"/>
  <c r="AA308" i="12"/>
  <c r="L308" i="12"/>
  <c r="M308" i="12" s="1"/>
  <c r="V308" i="12" s="1"/>
  <c r="L300" i="12"/>
  <c r="M300" i="12" s="1"/>
  <c r="AA300" i="12"/>
  <c r="L92" i="12"/>
  <c r="M92" i="12" s="1"/>
  <c r="AA92" i="12"/>
  <c r="AA44" i="12"/>
  <c r="L44" i="12"/>
  <c r="M44" i="12" s="1"/>
  <c r="L191" i="12"/>
  <c r="M191" i="12" s="1"/>
  <c r="AA191" i="12"/>
  <c r="AA205" i="12"/>
  <c r="L205" i="12"/>
  <c r="M205" i="12" s="1"/>
  <c r="L80" i="12"/>
  <c r="M80" i="12" s="1"/>
  <c r="AA80" i="12"/>
  <c r="L43" i="12"/>
  <c r="M43" i="12" s="1"/>
  <c r="AA43" i="12"/>
  <c r="L284" i="12"/>
  <c r="M284" i="12" s="1"/>
  <c r="AA284" i="12"/>
  <c r="L304" i="12"/>
  <c r="M304" i="12" s="1"/>
  <c r="AA304" i="12"/>
  <c r="AA139" i="12"/>
  <c r="L139" i="12"/>
  <c r="M139" i="12" s="1"/>
  <c r="AA134" i="12"/>
  <c r="L134" i="12"/>
  <c r="M134" i="12" s="1"/>
  <c r="L252" i="12"/>
  <c r="M252" i="12" s="1"/>
  <c r="AA252" i="12"/>
  <c r="AA130" i="12"/>
  <c r="L130" i="12"/>
  <c r="M130" i="12" s="1"/>
  <c r="AA169" i="12"/>
  <c r="L169" i="12"/>
  <c r="M169" i="12" s="1"/>
  <c r="L181" i="12"/>
  <c r="M181" i="12" s="1"/>
  <c r="AA181" i="12"/>
  <c r="AA16" i="12"/>
  <c r="L16" i="12"/>
  <c r="M16" i="12" s="1"/>
  <c r="AA211" i="12"/>
  <c r="L211" i="12"/>
  <c r="M211" i="12" s="1"/>
  <c r="L17" i="12"/>
  <c r="M17" i="12" s="1"/>
  <c r="AA17" i="12"/>
  <c r="AA302" i="12"/>
  <c r="L302" i="12"/>
  <c r="M302" i="12" s="1"/>
  <c r="AA118" i="12"/>
  <c r="L118" i="12"/>
  <c r="M118" i="12" s="1"/>
  <c r="AA189" i="12"/>
  <c r="L189" i="12"/>
  <c r="M189" i="12" s="1"/>
  <c r="AA168" i="12"/>
  <c r="L168" i="12"/>
  <c r="M168" i="12" s="1"/>
  <c r="L204" i="12"/>
  <c r="M204" i="12" s="1"/>
  <c r="AA204" i="12"/>
  <c r="AA242" i="12"/>
  <c r="L242" i="12"/>
  <c r="M242" i="12" s="1"/>
  <c r="AA95" i="12"/>
  <c r="L95" i="12"/>
  <c r="M95" i="12" s="1"/>
  <c r="AA182" i="12"/>
  <c r="L182" i="12"/>
  <c r="M182" i="12" s="1"/>
  <c r="L112" i="12"/>
  <c r="M112" i="12" s="1"/>
  <c r="AA112" i="12"/>
  <c r="AA208" i="12"/>
  <c r="L208" i="12"/>
  <c r="M208" i="12" s="1"/>
  <c r="AA238" i="12"/>
  <c r="L238" i="12"/>
  <c r="M238" i="12" s="1"/>
  <c r="L186" i="12"/>
  <c r="M186" i="12" s="1"/>
  <c r="AA186" i="12"/>
  <c r="AA174" i="12"/>
  <c r="L174" i="12"/>
  <c r="M174" i="12" s="1"/>
  <c r="AA35" i="12"/>
  <c r="L35" i="12"/>
  <c r="M35" i="12" s="1"/>
  <c r="AA176" i="12"/>
  <c r="L176" i="12"/>
  <c r="M176" i="12" s="1"/>
  <c r="L74" i="12"/>
  <c r="M74" i="12" s="1"/>
  <c r="AA74" i="12"/>
  <c r="AA117" i="12"/>
  <c r="L117" i="12"/>
  <c r="M117" i="12" s="1"/>
  <c r="AA320" i="12"/>
  <c r="L320" i="12"/>
  <c r="M320" i="12" s="1"/>
  <c r="AA41" i="12"/>
  <c r="L41" i="12"/>
  <c r="M41" i="12" s="1"/>
  <c r="AA264" i="12"/>
  <c r="L264" i="12"/>
  <c r="M264" i="12" s="1"/>
  <c r="L328" i="12"/>
  <c r="M328" i="12" s="1"/>
  <c r="AA328" i="12"/>
  <c r="L270" i="12"/>
  <c r="M270" i="12" s="1"/>
  <c r="AA270" i="12"/>
  <c r="K69" i="12"/>
  <c r="AA69" i="12" s="1"/>
  <c r="L289" i="12"/>
  <c r="M289" i="12" s="1"/>
  <c r="AA289" i="12"/>
  <c r="AA27" i="12"/>
  <c r="L27" i="12"/>
  <c r="M27" i="12" s="1"/>
  <c r="L272" i="12"/>
  <c r="M272" i="12" s="1"/>
  <c r="AA272" i="12"/>
  <c r="L36" i="12"/>
  <c r="M36" i="12" s="1"/>
  <c r="AA36" i="12"/>
  <c r="L296" i="12"/>
  <c r="M296" i="12" s="1"/>
  <c r="AA296" i="12"/>
  <c r="L152" i="12"/>
  <c r="M152" i="12" s="1"/>
  <c r="AA152" i="12"/>
  <c r="AA47" i="12"/>
  <c r="L47" i="12"/>
  <c r="M47" i="12" s="1"/>
  <c r="V47" i="12" s="1"/>
  <c r="AA60" i="12"/>
  <c r="L60" i="12"/>
  <c r="M60" i="12" s="1"/>
  <c r="L251" i="12"/>
  <c r="M251" i="12" s="1"/>
  <c r="AA251" i="12"/>
  <c r="L23" i="12"/>
  <c r="M23" i="12" s="1"/>
  <c r="AA23" i="12"/>
  <c r="AA247" i="12"/>
  <c r="L247" i="12"/>
  <c r="M247" i="12" s="1"/>
  <c r="AA64" i="12"/>
  <c r="L64" i="12"/>
  <c r="M64" i="12" s="1"/>
  <c r="L79" i="12"/>
  <c r="M79" i="12" s="1"/>
  <c r="AA79" i="12"/>
  <c r="AA271" i="12"/>
  <c r="L271" i="12"/>
  <c r="M271" i="12" s="1"/>
  <c r="AA131" i="12"/>
  <c r="L131" i="12"/>
  <c r="M131" i="12" s="1"/>
  <c r="L81" i="12"/>
  <c r="M81" i="12" s="1"/>
  <c r="AA81" i="12"/>
  <c r="AA137" i="12"/>
  <c r="L137" i="12"/>
  <c r="M137" i="12" s="1"/>
  <c r="AA48" i="12"/>
  <c r="L48" i="12"/>
  <c r="M48" i="12" s="1"/>
  <c r="L91" i="12"/>
  <c r="M91" i="12" s="1"/>
  <c r="AA91" i="12"/>
  <c r="AA96" i="12"/>
  <c r="L96" i="12"/>
  <c r="M96" i="12" s="1"/>
  <c r="L50" i="12"/>
  <c r="M50" i="12" s="1"/>
  <c r="AA50" i="12"/>
  <c r="AA241" i="12"/>
  <c r="L241" i="12"/>
  <c r="M241" i="12" s="1"/>
  <c r="L216" i="12"/>
  <c r="M216" i="12" s="1"/>
  <c r="AA216" i="12"/>
  <c r="AA207" i="12"/>
  <c r="L207" i="12"/>
  <c r="M207" i="12" s="1"/>
  <c r="AA235" i="12"/>
  <c r="L235" i="12"/>
  <c r="M235" i="12" s="1"/>
  <c r="AA32" i="12"/>
  <c r="L32" i="12"/>
  <c r="M32" i="12" s="1"/>
  <c r="AA166" i="12"/>
  <c r="L166" i="12"/>
  <c r="M166" i="12" s="1"/>
  <c r="AA51" i="12"/>
  <c r="L51" i="12"/>
  <c r="M51" i="12" s="1"/>
  <c r="AA200" i="12"/>
  <c r="L200" i="12"/>
  <c r="M200" i="12" s="1"/>
  <c r="AA37" i="12"/>
  <c r="L37" i="12"/>
  <c r="M37" i="12" s="1"/>
  <c r="L246" i="12"/>
  <c r="M246" i="12" s="1"/>
  <c r="AA246" i="12"/>
  <c r="AA146" i="12"/>
  <c r="L146" i="12"/>
  <c r="M146" i="12" s="1"/>
  <c r="L222" i="12"/>
  <c r="M222" i="12" s="1"/>
  <c r="AA222" i="12"/>
  <c r="L68" i="12"/>
  <c r="M68" i="12" s="1"/>
  <c r="AA68" i="12"/>
  <c r="AA327" i="12"/>
  <c r="L327" i="12"/>
  <c r="M327" i="12" s="1"/>
  <c r="AA165" i="12"/>
  <c r="L165" i="12"/>
  <c r="M165" i="12" s="1"/>
  <c r="AA161" i="12"/>
  <c r="L161" i="12"/>
  <c r="M161" i="12" s="1"/>
  <c r="L285" i="12"/>
  <c r="M285" i="12" s="1"/>
  <c r="AA285" i="12"/>
  <c r="AA313" i="12"/>
  <c r="L313" i="12"/>
  <c r="M313" i="12" s="1"/>
  <c r="AA232" i="12"/>
  <c r="L232" i="12"/>
  <c r="M232" i="12" s="1"/>
  <c r="AA202" i="12"/>
  <c r="L202" i="12"/>
  <c r="M202" i="12" s="1"/>
  <c r="AA193" i="12"/>
  <c r="L193" i="12"/>
  <c r="M193" i="12" s="1"/>
  <c r="AA85" i="12"/>
  <c r="L85" i="12"/>
  <c r="M85" i="12" s="1"/>
  <c r="L178" i="12"/>
  <c r="M178" i="12" s="1"/>
  <c r="AA178" i="12"/>
  <c r="L276" i="12"/>
  <c r="M276" i="12" s="1"/>
  <c r="AA276" i="12"/>
  <c r="L162" i="12"/>
  <c r="M162" i="12" s="1"/>
  <c r="AA162" i="12"/>
  <c r="AA268" i="12"/>
  <c r="L268" i="12"/>
  <c r="M268" i="12" s="1"/>
  <c r="AA45" i="12"/>
  <c r="L45" i="12"/>
  <c r="M45" i="12" s="1"/>
  <c r="V45" i="12" s="1"/>
  <c r="AA177" i="12"/>
  <c r="L177" i="12"/>
  <c r="M177" i="12" s="1"/>
  <c r="L77" i="12"/>
  <c r="M77" i="12" s="1"/>
  <c r="AA77" i="12"/>
  <c r="L184" i="12"/>
  <c r="M184" i="12" s="1"/>
  <c r="AA184" i="12"/>
  <c r="L84" i="12"/>
  <c r="M84" i="12" s="1"/>
  <c r="AA84" i="12"/>
  <c r="AA147" i="12"/>
  <c r="L147" i="12"/>
  <c r="M147" i="12" s="1"/>
  <c r="AA236" i="12"/>
  <c r="L236" i="12"/>
  <c r="M236" i="12" s="1"/>
  <c r="AA54" i="12"/>
  <c r="L54" i="12"/>
  <c r="M54" i="12" s="1"/>
  <c r="AA88" i="12"/>
  <c r="L88" i="12"/>
  <c r="M88" i="12" s="1"/>
  <c r="L138" i="12"/>
  <c r="M138" i="12" s="1"/>
  <c r="AA138" i="12"/>
  <c r="AA148" i="12"/>
  <c r="L148" i="12"/>
  <c r="M148" i="12" s="1"/>
  <c r="AA187" i="12"/>
  <c r="L187" i="12"/>
  <c r="M187" i="12" s="1"/>
  <c r="AA76" i="12"/>
  <c r="L76" i="12"/>
  <c r="M76" i="12" s="1"/>
  <c r="L63" i="12"/>
  <c r="M63" i="12" s="1"/>
  <c r="AA63" i="12"/>
  <c r="AA306" i="12"/>
  <c r="L306" i="12"/>
  <c r="M306" i="12" s="1"/>
  <c r="L194" i="12"/>
  <c r="M194" i="12" s="1"/>
  <c r="AA194" i="12"/>
  <c r="L179" i="12"/>
  <c r="M179" i="12" s="1"/>
  <c r="AA179" i="12"/>
  <c r="AA160" i="12"/>
  <c r="L160" i="12"/>
  <c r="M160" i="12" s="1"/>
  <c r="L319" i="12"/>
  <c r="M319" i="12" s="1"/>
  <c r="AA319" i="12"/>
  <c r="AA322" i="12"/>
  <c r="L322" i="12"/>
  <c r="M322" i="12" s="1"/>
  <c r="AA192" i="12"/>
  <c r="L192" i="12"/>
  <c r="M192" i="12" s="1"/>
  <c r="AA287" i="12"/>
  <c r="L287" i="12"/>
  <c r="M287" i="12" s="1"/>
  <c r="L58" i="12"/>
  <c r="M58" i="12" s="1"/>
  <c r="AA58" i="12"/>
  <c r="AA228" i="12"/>
  <c r="L228" i="12"/>
  <c r="M228" i="12" s="1"/>
  <c r="AA106" i="12"/>
  <c r="L106" i="12"/>
  <c r="M106" i="12" s="1"/>
  <c r="AA19" i="12"/>
  <c r="L19" i="12"/>
  <c r="M19" i="12" s="1"/>
  <c r="L57" i="12"/>
  <c r="M57" i="12" s="1"/>
  <c r="AA57" i="12"/>
  <c r="AA314" i="12"/>
  <c r="L314" i="12"/>
  <c r="M314" i="12" s="1"/>
  <c r="AA250" i="12"/>
  <c r="L250" i="12"/>
  <c r="M250" i="12" s="1"/>
  <c r="AA290" i="12"/>
  <c r="L290" i="12"/>
  <c r="M290" i="12" s="1"/>
  <c r="K195" i="12"/>
  <c r="AA195" i="12" s="1"/>
  <c r="L97" i="12"/>
  <c r="M97" i="12" s="1"/>
  <c r="AA97" i="12"/>
  <c r="L93" i="12"/>
  <c r="M93" i="12" s="1"/>
  <c r="AA93" i="12"/>
  <c r="AA261" i="12"/>
  <c r="L261" i="12"/>
  <c r="M261" i="12" s="1"/>
  <c r="AA46" i="12"/>
  <c r="L46" i="12"/>
  <c r="M46" i="12" s="1"/>
  <c r="V46" i="12" s="1"/>
  <c r="AA142" i="12"/>
  <c r="L142" i="12"/>
  <c r="M142" i="12" s="1"/>
  <c r="AA22" i="12"/>
  <c r="L22" i="12"/>
  <c r="M22" i="12" s="1"/>
  <c r="AA164" i="12"/>
  <c r="L164" i="12"/>
  <c r="M164" i="12" s="1"/>
  <c r="AA190" i="12"/>
  <c r="L190" i="12"/>
  <c r="M190" i="12" s="1"/>
  <c r="AA123" i="12"/>
  <c r="L123" i="12"/>
  <c r="M123" i="12" s="1"/>
  <c r="AA115" i="12"/>
  <c r="L115" i="12"/>
  <c r="M115" i="12" s="1"/>
  <c r="AA21" i="12"/>
  <c r="L21" i="12"/>
  <c r="M21" i="12" s="1"/>
  <c r="AA158" i="12"/>
  <c r="L158" i="12"/>
  <c r="M158" i="12" s="1"/>
  <c r="K198" i="12"/>
  <c r="L121" i="12"/>
  <c r="M121" i="12" s="1"/>
  <c r="AA121" i="12"/>
  <c r="L104" i="12"/>
  <c r="M104" i="12" s="1"/>
  <c r="AA104" i="12"/>
  <c r="L243" i="12"/>
  <c r="M243" i="12" s="1"/>
  <c r="AA243" i="12"/>
  <c r="AA219" i="12"/>
  <c r="L219" i="12"/>
  <c r="M219" i="12" s="1"/>
  <c r="AA113" i="12"/>
  <c r="L113" i="12"/>
  <c r="M113" i="12" s="1"/>
  <c r="L149" i="12"/>
  <c r="M149" i="12" s="1"/>
  <c r="AA149" i="12"/>
  <c r="L39" i="12"/>
  <c r="M39" i="12" s="1"/>
  <c r="AA39" i="12"/>
  <c r="AA82" i="12"/>
  <c r="L82" i="12"/>
  <c r="M82" i="12" s="1"/>
  <c r="L210" i="12"/>
  <c r="M210" i="12" s="1"/>
  <c r="AA210" i="12"/>
  <c r="AA141" i="12"/>
  <c r="L141" i="12"/>
  <c r="M141" i="12" s="1"/>
  <c r="AA215" i="12"/>
  <c r="L215" i="12"/>
  <c r="M215" i="12" s="1"/>
  <c r="AA248" i="12"/>
  <c r="L248" i="12"/>
  <c r="M248" i="12" s="1"/>
  <c r="AA326" i="12"/>
  <c r="L326" i="12"/>
  <c r="M326" i="12" s="1"/>
  <c r="L315" i="12"/>
  <c r="M315" i="12" s="1"/>
  <c r="AA315" i="12"/>
  <c r="AA291" i="12"/>
  <c r="L291" i="12"/>
  <c r="M291" i="12" s="1"/>
  <c r="L62" i="12"/>
  <c r="M62" i="12" s="1"/>
  <c r="AA62" i="12"/>
  <c r="L316" i="12"/>
  <c r="M316" i="12" s="1"/>
  <c r="AA316" i="12"/>
  <c r="AA108" i="12"/>
  <c r="L108" i="12"/>
  <c r="M108" i="12" s="1"/>
  <c r="AA71" i="12"/>
  <c r="L71" i="12"/>
  <c r="M71" i="12" s="1"/>
  <c r="AA14" i="12"/>
  <c r="L14" i="12"/>
  <c r="M14" i="12" s="1"/>
  <c r="L240" i="12"/>
  <c r="M240" i="12" s="1"/>
  <c r="AA240" i="12"/>
  <c r="AA20" i="12"/>
  <c r="L20" i="12"/>
  <c r="M20" i="12" s="1"/>
  <c r="AA132" i="12"/>
  <c r="L132" i="12"/>
  <c r="M132" i="12" s="1"/>
  <c r="AA310" i="12"/>
  <c r="L310" i="12"/>
  <c r="M310" i="12" s="1"/>
  <c r="AA280" i="12"/>
  <c r="L280" i="12"/>
  <c r="M280" i="12" s="1"/>
  <c r="AA107" i="12"/>
  <c r="L107" i="12"/>
  <c r="M107" i="12" s="1"/>
  <c r="AA33" i="12"/>
  <c r="L33" i="12"/>
  <c r="M33" i="12" s="1"/>
  <c r="AA49" i="12"/>
  <c r="L49" i="12"/>
  <c r="M49" i="12" s="1"/>
  <c r="AA262" i="12"/>
  <c r="L262" i="12"/>
  <c r="M262" i="12" s="1"/>
  <c r="L136" i="12"/>
  <c r="M136" i="12" s="1"/>
  <c r="AA136" i="12"/>
  <c r="L38" i="12"/>
  <c r="M38" i="12" s="1"/>
  <c r="AA38" i="12"/>
  <c r="L217" i="12"/>
  <c r="M217" i="12" s="1"/>
  <c r="AA217" i="12"/>
  <c r="AA101" i="12"/>
  <c r="L101" i="12"/>
  <c r="M101" i="12" s="1"/>
  <c r="L124" i="12"/>
  <c r="M124" i="12" s="1"/>
  <c r="AA124" i="12"/>
  <c r="AA94" i="12"/>
  <c r="L94" i="12"/>
  <c r="M94" i="12" s="1"/>
  <c r="AA196" i="12"/>
  <c r="L196" i="12"/>
  <c r="M196" i="12" s="1"/>
  <c r="L218" i="12"/>
  <c r="M218" i="12" s="1"/>
  <c r="AA218" i="12"/>
  <c r="AA224" i="12"/>
  <c r="L224" i="12"/>
  <c r="M224" i="12" s="1"/>
  <c r="AA171" i="12"/>
  <c r="L171" i="12"/>
  <c r="M171" i="12" s="1"/>
  <c r="AA278" i="12"/>
  <c r="L278" i="12"/>
  <c r="M278" i="12" s="1"/>
  <c r="AA102" i="12"/>
  <c r="L102" i="12"/>
  <c r="M102" i="12" s="1"/>
  <c r="AA114" i="12"/>
  <c r="L114" i="12"/>
  <c r="M114" i="12" s="1"/>
  <c r="L122" i="12"/>
  <c r="M122" i="12" s="1"/>
  <c r="AA122" i="12"/>
  <c r="AA231" i="12"/>
  <c r="L231" i="12"/>
  <c r="M231" i="12" s="1"/>
  <c r="AA311" i="12"/>
  <c r="L311" i="12"/>
  <c r="M311" i="12" s="1"/>
  <c r="L72" i="12"/>
  <c r="M72" i="12" s="1"/>
  <c r="AA72" i="12"/>
  <c r="AA227" i="12"/>
  <c r="L227" i="12"/>
  <c r="M227" i="12" s="1"/>
  <c r="L301" i="12"/>
  <c r="M301" i="12" s="1"/>
  <c r="AA301" i="12"/>
  <c r="L209" i="12"/>
  <c r="M209" i="12" s="1"/>
  <c r="AA209" i="12"/>
  <c r="L230" i="12"/>
  <c r="M230" i="12" s="1"/>
  <c r="AA230" i="12"/>
  <c r="AA89" i="12"/>
  <c r="L89" i="12"/>
  <c r="M89" i="12" s="1"/>
  <c r="L220" i="12"/>
  <c r="M220" i="12" s="1"/>
  <c r="AA220" i="12"/>
  <c r="AA70" i="12"/>
  <c r="L70" i="12"/>
  <c r="M70" i="12" s="1"/>
  <c r="L150" i="12"/>
  <c r="M150" i="12" s="1"/>
  <c r="AA150" i="12"/>
  <c r="L305" i="12"/>
  <c r="M305" i="12" s="1"/>
  <c r="AA305" i="12"/>
  <c r="AA307" i="12"/>
  <c r="L307" i="12"/>
  <c r="M307" i="12" s="1"/>
  <c r="AA157" i="12"/>
  <c r="L157" i="12"/>
  <c r="M157" i="12" s="1"/>
  <c r="AA239" i="12"/>
  <c r="L239" i="12"/>
  <c r="M239" i="12" s="1"/>
  <c r="AA223" i="12"/>
  <c r="L223" i="12"/>
  <c r="M223" i="12" s="1"/>
  <c r="AA42" i="12"/>
  <c r="L42" i="12"/>
  <c r="M42" i="12" s="1"/>
  <c r="AA269" i="12"/>
  <c r="L269" i="12"/>
  <c r="M269" i="12" s="1"/>
  <c r="L312" i="12"/>
  <c r="M312" i="12" s="1"/>
  <c r="AA312" i="12"/>
  <c r="L226" i="12"/>
  <c r="M226" i="12" s="1"/>
  <c r="AA226" i="12"/>
  <c r="L275" i="12"/>
  <c r="M275" i="12" s="1"/>
  <c r="AA275" i="12"/>
  <c r="AA317" i="12"/>
  <c r="L317" i="12"/>
  <c r="M317" i="12" s="1"/>
  <c r="L65" i="12"/>
  <c r="M65" i="12" s="1"/>
  <c r="AA65" i="12"/>
  <c r="L111" i="12"/>
  <c r="M111" i="12" s="1"/>
  <c r="AA111" i="12"/>
  <c r="AA221" i="12"/>
  <c r="L221" i="12"/>
  <c r="M221" i="12" s="1"/>
  <c r="L98" i="12"/>
  <c r="M98" i="12" s="1"/>
  <c r="AA98" i="12"/>
  <c r="AA292" i="12"/>
  <c r="L292" i="12"/>
  <c r="M292" i="12" s="1"/>
  <c r="L156" i="12"/>
  <c r="M156" i="12" s="1"/>
  <c r="AA156" i="12"/>
  <c r="AA249" i="12"/>
  <c r="L249" i="12"/>
  <c r="M249" i="12" s="1"/>
  <c r="L197" i="12"/>
  <c r="M197" i="12" s="1"/>
  <c r="AA197" i="12"/>
  <c r="AA286" i="12"/>
  <c r="L286" i="12"/>
  <c r="M286" i="12" s="1"/>
  <c r="L125" i="12"/>
  <c r="M125" i="12" s="1"/>
  <c r="AA125" i="12"/>
  <c r="L11" i="12"/>
  <c r="M11" i="12" s="1"/>
  <c r="AA11" i="12"/>
  <c r="L288" i="12"/>
  <c r="M288" i="12" s="1"/>
  <c r="AA288" i="12"/>
  <c r="L256" i="12"/>
  <c r="M256" i="12" s="1"/>
  <c r="AA256" i="12"/>
  <c r="L103" i="12"/>
  <c r="M103" i="12" s="1"/>
  <c r="AA103" i="12"/>
  <c r="AA78" i="12"/>
  <c r="L78" i="12"/>
  <c r="M78" i="12" s="1"/>
  <c r="AA59" i="12"/>
  <c r="L59" i="12"/>
  <c r="M59" i="12" s="1"/>
  <c r="AA295" i="12"/>
  <c r="L295" i="12"/>
  <c r="M295" i="12" s="1"/>
  <c r="AA324" i="12"/>
  <c r="L324" i="12"/>
  <c r="M324" i="12" s="1"/>
  <c r="AA153" i="12"/>
  <c r="L153" i="12"/>
  <c r="M153" i="12" s="1"/>
  <c r="L253" i="12"/>
  <c r="M253" i="12" s="1"/>
  <c r="AA253" i="12"/>
  <c r="L90" i="12"/>
  <c r="M90" i="12" s="1"/>
  <c r="AA90" i="12"/>
  <c r="AA237" i="12"/>
  <c r="L237" i="12"/>
  <c r="M237" i="12" s="1"/>
  <c r="L10" i="12"/>
  <c r="M10" i="12" s="1"/>
  <c r="AA10" i="12"/>
  <c r="AA109" i="12"/>
  <c r="L109" i="12"/>
  <c r="M109" i="12" s="1"/>
  <c r="L297" i="12"/>
  <c r="M297" i="12" s="1"/>
  <c r="AA297" i="12"/>
  <c r="AA325" i="12"/>
  <c r="L325" i="12"/>
  <c r="M325" i="12" s="1"/>
  <c r="L116" i="12"/>
  <c r="M116" i="12" s="1"/>
  <c r="AA116" i="12"/>
  <c r="L128" i="12"/>
  <c r="M128" i="12" s="1"/>
  <c r="AA128" i="12"/>
  <c r="O331" i="9"/>
  <c r="N331" i="9"/>
  <c r="K331" i="9"/>
  <c r="O330" i="9"/>
  <c r="N330" i="9"/>
  <c r="K330" i="9"/>
  <c r="O329" i="9"/>
  <c r="N329" i="9"/>
  <c r="K329" i="9"/>
  <c r="O328" i="9"/>
  <c r="N328" i="9"/>
  <c r="K328" i="9"/>
  <c r="O327" i="9"/>
  <c r="N327" i="9"/>
  <c r="K327" i="9"/>
  <c r="O326" i="9"/>
  <c r="N326" i="9"/>
  <c r="K326" i="9"/>
  <c r="O325" i="9"/>
  <c r="N325" i="9"/>
  <c r="K325" i="9"/>
  <c r="O324" i="9"/>
  <c r="N324" i="9"/>
  <c r="K324" i="9"/>
  <c r="O323" i="9"/>
  <c r="N323" i="9"/>
  <c r="K323" i="9"/>
  <c r="O322" i="9"/>
  <c r="N322" i="9"/>
  <c r="K322" i="9"/>
  <c r="O321" i="9"/>
  <c r="N321" i="9"/>
  <c r="K321" i="9"/>
  <c r="O320" i="9"/>
  <c r="N320" i="9"/>
  <c r="K320" i="9"/>
  <c r="O319" i="9"/>
  <c r="N319" i="9"/>
  <c r="K319" i="9"/>
  <c r="O318" i="9"/>
  <c r="N318" i="9"/>
  <c r="K318" i="9"/>
  <c r="O317" i="9"/>
  <c r="N317" i="9"/>
  <c r="K317" i="9"/>
  <c r="O316" i="9"/>
  <c r="N316" i="9"/>
  <c r="K316" i="9"/>
  <c r="O315" i="9"/>
  <c r="N315" i="9"/>
  <c r="K315" i="9"/>
  <c r="O314" i="9"/>
  <c r="N314" i="9"/>
  <c r="K314" i="9"/>
  <c r="O313" i="9"/>
  <c r="N313" i="9"/>
  <c r="K313" i="9"/>
  <c r="O312" i="9"/>
  <c r="N312" i="9"/>
  <c r="K312" i="9"/>
  <c r="O311" i="9"/>
  <c r="N311" i="9"/>
  <c r="K311" i="9"/>
  <c r="O310" i="9"/>
  <c r="N310" i="9"/>
  <c r="K310" i="9"/>
  <c r="O309" i="9"/>
  <c r="N309" i="9"/>
  <c r="K309" i="9"/>
  <c r="O308" i="9"/>
  <c r="N308" i="9"/>
  <c r="K308" i="9"/>
  <c r="O307" i="9"/>
  <c r="N307" i="9"/>
  <c r="K307" i="9"/>
  <c r="O306" i="9"/>
  <c r="N306" i="9"/>
  <c r="K306" i="9"/>
  <c r="O305" i="9"/>
  <c r="N305" i="9"/>
  <c r="K305" i="9"/>
  <c r="O304" i="9"/>
  <c r="N304" i="9"/>
  <c r="K304" i="9"/>
  <c r="O303" i="9"/>
  <c r="N303" i="9"/>
  <c r="K303" i="9"/>
  <c r="O302" i="9"/>
  <c r="N302" i="9"/>
  <c r="K302" i="9"/>
  <c r="O301" i="9"/>
  <c r="N301" i="9"/>
  <c r="K301" i="9"/>
  <c r="O300" i="9"/>
  <c r="N300" i="9"/>
  <c r="K300" i="9"/>
  <c r="O299" i="9"/>
  <c r="N299" i="9"/>
  <c r="K299" i="9"/>
  <c r="O298" i="9"/>
  <c r="N298" i="9"/>
  <c r="K298" i="9"/>
  <c r="O297" i="9"/>
  <c r="N297" i="9"/>
  <c r="K297" i="9"/>
  <c r="O296" i="9"/>
  <c r="N296" i="9"/>
  <c r="K296" i="9"/>
  <c r="O295" i="9"/>
  <c r="N295" i="9"/>
  <c r="K295" i="9"/>
  <c r="O294" i="9"/>
  <c r="N294" i="9"/>
  <c r="K294" i="9"/>
  <c r="O293" i="9"/>
  <c r="N293" i="9"/>
  <c r="K293" i="9"/>
  <c r="O292" i="9"/>
  <c r="N292" i="9"/>
  <c r="K292" i="9"/>
  <c r="O291" i="9"/>
  <c r="N291" i="9"/>
  <c r="K291" i="9"/>
  <c r="O290" i="9"/>
  <c r="N290" i="9"/>
  <c r="K290" i="9"/>
  <c r="O289" i="9"/>
  <c r="N289" i="9"/>
  <c r="K289" i="9"/>
  <c r="O288" i="9"/>
  <c r="N288" i="9"/>
  <c r="K288" i="9"/>
  <c r="O287" i="9"/>
  <c r="N287" i="9"/>
  <c r="K287" i="9"/>
  <c r="O286" i="9"/>
  <c r="N286" i="9"/>
  <c r="K286" i="9"/>
  <c r="O285" i="9"/>
  <c r="N285" i="9"/>
  <c r="K285" i="9"/>
  <c r="O284" i="9"/>
  <c r="N284" i="9"/>
  <c r="K284" i="9"/>
  <c r="O283" i="9"/>
  <c r="N283" i="9"/>
  <c r="K283" i="9"/>
  <c r="O282" i="9"/>
  <c r="N282" i="9"/>
  <c r="K282" i="9"/>
  <c r="O281" i="9"/>
  <c r="N281" i="9"/>
  <c r="K281" i="9"/>
  <c r="O280" i="9"/>
  <c r="N280" i="9"/>
  <c r="K280" i="9"/>
  <c r="O279" i="9"/>
  <c r="N279" i="9"/>
  <c r="K279" i="9"/>
  <c r="O278" i="9"/>
  <c r="N278" i="9"/>
  <c r="K278" i="9"/>
  <c r="O277" i="9"/>
  <c r="N277" i="9"/>
  <c r="K277" i="9"/>
  <c r="O276" i="9"/>
  <c r="N276" i="9"/>
  <c r="K276" i="9"/>
  <c r="O275" i="9"/>
  <c r="N275" i="9"/>
  <c r="K275" i="9"/>
  <c r="O274" i="9"/>
  <c r="N274" i="9"/>
  <c r="K274" i="9"/>
  <c r="O273" i="9"/>
  <c r="N273" i="9"/>
  <c r="K273" i="9"/>
  <c r="O272" i="9"/>
  <c r="N272" i="9"/>
  <c r="K272" i="9"/>
  <c r="O271" i="9"/>
  <c r="N271" i="9"/>
  <c r="K271" i="9"/>
  <c r="O270" i="9"/>
  <c r="N270" i="9"/>
  <c r="K270" i="9"/>
  <c r="O269" i="9"/>
  <c r="N269" i="9"/>
  <c r="K269" i="9"/>
  <c r="O268" i="9"/>
  <c r="N268" i="9"/>
  <c r="K268" i="9"/>
  <c r="O267" i="9"/>
  <c r="N267" i="9"/>
  <c r="K267" i="9"/>
  <c r="O266" i="9"/>
  <c r="N266" i="9"/>
  <c r="K266" i="9"/>
  <c r="O265" i="9"/>
  <c r="N265" i="9"/>
  <c r="K265" i="9"/>
  <c r="O264" i="9"/>
  <c r="N264" i="9"/>
  <c r="K264" i="9"/>
  <c r="O263" i="9"/>
  <c r="N263" i="9"/>
  <c r="K263" i="9"/>
  <c r="O262" i="9"/>
  <c r="N262" i="9"/>
  <c r="K262" i="9"/>
  <c r="O261" i="9"/>
  <c r="N261" i="9"/>
  <c r="K261" i="9"/>
  <c r="O260" i="9"/>
  <c r="N260" i="9"/>
  <c r="K260" i="9"/>
  <c r="O259" i="9"/>
  <c r="N259" i="9"/>
  <c r="K259" i="9"/>
  <c r="O258" i="9"/>
  <c r="N258" i="9"/>
  <c r="K258" i="9"/>
  <c r="O257" i="9"/>
  <c r="N257" i="9"/>
  <c r="K257" i="9"/>
  <c r="O256" i="9"/>
  <c r="N256" i="9"/>
  <c r="K256" i="9"/>
  <c r="O255" i="9"/>
  <c r="N255" i="9"/>
  <c r="K255" i="9"/>
  <c r="O254" i="9"/>
  <c r="N254" i="9"/>
  <c r="K254" i="9"/>
  <c r="O253" i="9"/>
  <c r="N253" i="9"/>
  <c r="K253" i="9"/>
  <c r="O252" i="9"/>
  <c r="N252" i="9"/>
  <c r="K252" i="9"/>
  <c r="O251" i="9"/>
  <c r="N251" i="9"/>
  <c r="K251" i="9"/>
  <c r="O250" i="9"/>
  <c r="N250" i="9"/>
  <c r="K250" i="9"/>
  <c r="O249" i="9"/>
  <c r="N249" i="9"/>
  <c r="K249" i="9"/>
  <c r="O248" i="9"/>
  <c r="N248" i="9"/>
  <c r="K248" i="9"/>
  <c r="O247" i="9"/>
  <c r="N247" i="9"/>
  <c r="K247" i="9"/>
  <c r="O246" i="9"/>
  <c r="N246" i="9"/>
  <c r="K246" i="9"/>
  <c r="O245" i="9"/>
  <c r="N245" i="9"/>
  <c r="K245" i="9"/>
  <c r="O244" i="9"/>
  <c r="N244" i="9"/>
  <c r="K244" i="9"/>
  <c r="O243" i="9"/>
  <c r="N243" i="9"/>
  <c r="K243" i="9"/>
  <c r="O242" i="9"/>
  <c r="N242" i="9"/>
  <c r="K242" i="9"/>
  <c r="O241" i="9"/>
  <c r="N241" i="9"/>
  <c r="K241" i="9"/>
  <c r="O240" i="9"/>
  <c r="N240" i="9"/>
  <c r="K240" i="9"/>
  <c r="O239" i="9"/>
  <c r="N239" i="9"/>
  <c r="K239" i="9"/>
  <c r="O238" i="9"/>
  <c r="N238" i="9"/>
  <c r="K238" i="9"/>
  <c r="O237" i="9"/>
  <c r="N237" i="9"/>
  <c r="K237" i="9"/>
  <c r="O236" i="9"/>
  <c r="N236" i="9"/>
  <c r="K236" i="9"/>
  <c r="O235" i="9"/>
  <c r="N235" i="9"/>
  <c r="Q235" i="9" s="1"/>
  <c r="I235" i="9" s="1"/>
  <c r="K235" i="9"/>
  <c r="O234" i="9"/>
  <c r="N234" i="9"/>
  <c r="K234" i="9"/>
  <c r="O233" i="9"/>
  <c r="N233" i="9"/>
  <c r="K233" i="9"/>
  <c r="O232" i="9"/>
  <c r="N232" i="9"/>
  <c r="K232" i="9"/>
  <c r="O231" i="9"/>
  <c r="N231" i="9"/>
  <c r="K231" i="9"/>
  <c r="O230" i="9"/>
  <c r="N230" i="9"/>
  <c r="K230" i="9"/>
  <c r="O229" i="9"/>
  <c r="N229" i="9"/>
  <c r="K229" i="9"/>
  <c r="O228" i="9"/>
  <c r="N228" i="9"/>
  <c r="K228" i="9"/>
  <c r="O227" i="9"/>
  <c r="N227" i="9"/>
  <c r="K227" i="9"/>
  <c r="O226" i="9"/>
  <c r="N226" i="9"/>
  <c r="K226" i="9"/>
  <c r="O225" i="9"/>
  <c r="N225" i="9"/>
  <c r="K225" i="9"/>
  <c r="O224" i="9"/>
  <c r="N224" i="9"/>
  <c r="K224" i="9"/>
  <c r="O223" i="9"/>
  <c r="N223" i="9"/>
  <c r="K223" i="9"/>
  <c r="O222" i="9"/>
  <c r="N222" i="9"/>
  <c r="K222" i="9"/>
  <c r="O221" i="9"/>
  <c r="N221" i="9"/>
  <c r="K221" i="9"/>
  <c r="O220" i="9"/>
  <c r="N220" i="9"/>
  <c r="K220" i="9"/>
  <c r="O219" i="9"/>
  <c r="N219" i="9"/>
  <c r="K219" i="9"/>
  <c r="O218" i="9"/>
  <c r="N218" i="9"/>
  <c r="K218" i="9"/>
  <c r="O217" i="9"/>
  <c r="N217" i="9"/>
  <c r="K217" i="9"/>
  <c r="O216" i="9"/>
  <c r="N216" i="9"/>
  <c r="K216" i="9"/>
  <c r="O215" i="9"/>
  <c r="N215" i="9"/>
  <c r="K215" i="9"/>
  <c r="O214" i="9"/>
  <c r="N214" i="9"/>
  <c r="K214" i="9"/>
  <c r="O213" i="9"/>
  <c r="N213" i="9"/>
  <c r="K213" i="9"/>
  <c r="O212" i="9"/>
  <c r="N212" i="9"/>
  <c r="K212" i="9"/>
  <c r="O211" i="9"/>
  <c r="N211" i="9"/>
  <c r="K211" i="9"/>
  <c r="O210" i="9"/>
  <c r="N210" i="9"/>
  <c r="K210" i="9"/>
  <c r="O209" i="9"/>
  <c r="N209" i="9"/>
  <c r="K209" i="9"/>
  <c r="O208" i="9"/>
  <c r="N208" i="9"/>
  <c r="K208" i="9"/>
  <c r="O207" i="9"/>
  <c r="N207" i="9"/>
  <c r="K207" i="9"/>
  <c r="O206" i="9"/>
  <c r="N206" i="9"/>
  <c r="K206" i="9"/>
  <c r="O205" i="9"/>
  <c r="N205" i="9"/>
  <c r="K205" i="9"/>
  <c r="O204" i="9"/>
  <c r="N204" i="9"/>
  <c r="K204" i="9"/>
  <c r="O203" i="9"/>
  <c r="N203" i="9"/>
  <c r="K203" i="9"/>
  <c r="O202" i="9"/>
  <c r="N202" i="9"/>
  <c r="K202" i="9"/>
  <c r="O201" i="9"/>
  <c r="N201" i="9"/>
  <c r="K201" i="9"/>
  <c r="O200" i="9"/>
  <c r="N200" i="9"/>
  <c r="K200" i="9"/>
  <c r="O199" i="9"/>
  <c r="N199" i="9"/>
  <c r="K199" i="9"/>
  <c r="O198" i="9"/>
  <c r="N198" i="9"/>
  <c r="K198" i="9"/>
  <c r="O197" i="9"/>
  <c r="N197" i="9"/>
  <c r="K197" i="9"/>
  <c r="O196" i="9"/>
  <c r="N196" i="9"/>
  <c r="K196" i="9"/>
  <c r="O195" i="9"/>
  <c r="N195" i="9"/>
  <c r="K195" i="9"/>
  <c r="O194" i="9"/>
  <c r="N194" i="9"/>
  <c r="K194" i="9"/>
  <c r="O193" i="9"/>
  <c r="N193" i="9"/>
  <c r="K193" i="9"/>
  <c r="O192" i="9"/>
  <c r="N192" i="9"/>
  <c r="K192" i="9"/>
  <c r="O191" i="9"/>
  <c r="N191" i="9"/>
  <c r="K191" i="9"/>
  <c r="O190" i="9"/>
  <c r="N190" i="9"/>
  <c r="K190" i="9"/>
  <c r="O189" i="9"/>
  <c r="N189" i="9"/>
  <c r="K189" i="9"/>
  <c r="O188" i="9"/>
  <c r="N188" i="9"/>
  <c r="K188" i="9"/>
  <c r="O187" i="9"/>
  <c r="N187" i="9"/>
  <c r="K187" i="9"/>
  <c r="O186" i="9"/>
  <c r="N186" i="9"/>
  <c r="K186" i="9"/>
  <c r="O185" i="9"/>
  <c r="N185" i="9"/>
  <c r="K185" i="9"/>
  <c r="O184" i="9"/>
  <c r="N184" i="9"/>
  <c r="K184" i="9"/>
  <c r="O183" i="9"/>
  <c r="N183" i="9"/>
  <c r="K183" i="9"/>
  <c r="O182" i="9"/>
  <c r="N182" i="9"/>
  <c r="K182" i="9"/>
  <c r="O181" i="9"/>
  <c r="N181" i="9"/>
  <c r="K181" i="9"/>
  <c r="O180" i="9"/>
  <c r="N180" i="9"/>
  <c r="K180" i="9"/>
  <c r="O179" i="9"/>
  <c r="N179" i="9"/>
  <c r="K179" i="9"/>
  <c r="O178" i="9"/>
  <c r="N178" i="9"/>
  <c r="K178" i="9"/>
  <c r="O177" i="9"/>
  <c r="N177" i="9"/>
  <c r="K177" i="9"/>
  <c r="O176" i="9"/>
  <c r="N176" i="9"/>
  <c r="K176" i="9"/>
  <c r="O175" i="9"/>
  <c r="N175" i="9"/>
  <c r="K175" i="9"/>
  <c r="O174" i="9"/>
  <c r="N174" i="9"/>
  <c r="K174" i="9"/>
  <c r="O173" i="9"/>
  <c r="N173" i="9"/>
  <c r="K173" i="9"/>
  <c r="O172" i="9"/>
  <c r="N172" i="9"/>
  <c r="K172" i="9"/>
  <c r="O171" i="9"/>
  <c r="N171" i="9"/>
  <c r="K171" i="9"/>
  <c r="O170" i="9"/>
  <c r="N170" i="9"/>
  <c r="K170" i="9"/>
  <c r="O169" i="9"/>
  <c r="N169" i="9"/>
  <c r="K169" i="9"/>
  <c r="O168" i="9"/>
  <c r="N168" i="9"/>
  <c r="K168" i="9"/>
  <c r="O167" i="9"/>
  <c r="N167" i="9"/>
  <c r="K167" i="9"/>
  <c r="O166" i="9"/>
  <c r="N166" i="9"/>
  <c r="K166" i="9"/>
  <c r="O165" i="9"/>
  <c r="N165" i="9"/>
  <c r="K165" i="9"/>
  <c r="O164" i="9"/>
  <c r="N164" i="9"/>
  <c r="K164" i="9"/>
  <c r="O163" i="9"/>
  <c r="N163" i="9"/>
  <c r="K163" i="9"/>
  <c r="O162" i="9"/>
  <c r="N162" i="9"/>
  <c r="K162" i="9"/>
  <c r="O161" i="9"/>
  <c r="N161" i="9"/>
  <c r="K161" i="9"/>
  <c r="O160" i="9"/>
  <c r="N160" i="9"/>
  <c r="K160" i="9"/>
  <c r="O159" i="9"/>
  <c r="N159" i="9"/>
  <c r="K159" i="9"/>
  <c r="O158" i="9"/>
  <c r="N158" i="9"/>
  <c r="K158" i="9"/>
  <c r="O157" i="9"/>
  <c r="N157" i="9"/>
  <c r="K157" i="9"/>
  <c r="O156" i="9"/>
  <c r="N156" i="9"/>
  <c r="K156" i="9"/>
  <c r="O155" i="9"/>
  <c r="N155" i="9"/>
  <c r="K155" i="9"/>
  <c r="O154" i="9"/>
  <c r="N154" i="9"/>
  <c r="K154" i="9"/>
  <c r="O153" i="9"/>
  <c r="N153" i="9"/>
  <c r="K153" i="9"/>
  <c r="O152" i="9"/>
  <c r="N152" i="9"/>
  <c r="K152" i="9"/>
  <c r="O151" i="9"/>
  <c r="N151" i="9"/>
  <c r="K151" i="9"/>
  <c r="O150" i="9"/>
  <c r="N150" i="9"/>
  <c r="K150" i="9"/>
  <c r="O149" i="9"/>
  <c r="N149" i="9"/>
  <c r="K149" i="9"/>
  <c r="O148" i="9"/>
  <c r="N148" i="9"/>
  <c r="K148" i="9"/>
  <c r="O147" i="9"/>
  <c r="N147" i="9"/>
  <c r="Q147" i="9" s="1"/>
  <c r="I147" i="9" s="1"/>
  <c r="K147" i="9"/>
  <c r="O146" i="9"/>
  <c r="N146" i="9"/>
  <c r="K146" i="9"/>
  <c r="O145" i="9"/>
  <c r="N145" i="9"/>
  <c r="K145" i="9"/>
  <c r="O144" i="9"/>
  <c r="N144" i="9"/>
  <c r="K144" i="9"/>
  <c r="O143" i="9"/>
  <c r="N143" i="9"/>
  <c r="K143" i="9"/>
  <c r="O142" i="9"/>
  <c r="N142" i="9"/>
  <c r="K142" i="9"/>
  <c r="O141" i="9"/>
  <c r="N141" i="9"/>
  <c r="K141" i="9"/>
  <c r="O140" i="9"/>
  <c r="N140" i="9"/>
  <c r="K140" i="9"/>
  <c r="O139" i="9"/>
  <c r="N139" i="9"/>
  <c r="K139" i="9"/>
  <c r="O138" i="9"/>
  <c r="N138" i="9"/>
  <c r="K138" i="9"/>
  <c r="O137" i="9"/>
  <c r="N137" i="9"/>
  <c r="K137" i="9"/>
  <c r="O136" i="9"/>
  <c r="N136" i="9"/>
  <c r="K136" i="9"/>
  <c r="O135" i="9"/>
  <c r="N135" i="9"/>
  <c r="K135" i="9"/>
  <c r="O134" i="9"/>
  <c r="N134" i="9"/>
  <c r="K134" i="9"/>
  <c r="O133" i="9"/>
  <c r="N133" i="9"/>
  <c r="K133" i="9"/>
  <c r="O132" i="9"/>
  <c r="N132" i="9"/>
  <c r="K132" i="9"/>
  <c r="O131" i="9"/>
  <c r="N131" i="9"/>
  <c r="K131" i="9"/>
  <c r="O130" i="9"/>
  <c r="N130" i="9"/>
  <c r="K130" i="9"/>
  <c r="O129" i="9"/>
  <c r="N129" i="9"/>
  <c r="K129" i="9"/>
  <c r="O128" i="9"/>
  <c r="N128" i="9"/>
  <c r="K128" i="9"/>
  <c r="O127" i="9"/>
  <c r="N127" i="9"/>
  <c r="K127" i="9"/>
  <c r="O126" i="9"/>
  <c r="N126" i="9"/>
  <c r="K126" i="9"/>
  <c r="O125" i="9"/>
  <c r="N125" i="9"/>
  <c r="K125" i="9"/>
  <c r="O124" i="9"/>
  <c r="N124" i="9"/>
  <c r="K124" i="9"/>
  <c r="O123" i="9"/>
  <c r="N123" i="9"/>
  <c r="K123" i="9"/>
  <c r="O122" i="9"/>
  <c r="N122" i="9"/>
  <c r="K122" i="9"/>
  <c r="O121" i="9"/>
  <c r="N121" i="9"/>
  <c r="K121" i="9"/>
  <c r="O120" i="9"/>
  <c r="N120" i="9"/>
  <c r="K120" i="9"/>
  <c r="O119" i="9"/>
  <c r="N119" i="9"/>
  <c r="K119" i="9"/>
  <c r="O118" i="9"/>
  <c r="N118" i="9"/>
  <c r="K118" i="9"/>
  <c r="O117" i="9"/>
  <c r="N117" i="9"/>
  <c r="K117" i="9"/>
  <c r="O116" i="9"/>
  <c r="N116" i="9"/>
  <c r="K116" i="9"/>
  <c r="O115" i="9"/>
  <c r="N115" i="9"/>
  <c r="K115" i="9"/>
  <c r="O114" i="9"/>
  <c r="N114" i="9"/>
  <c r="K114" i="9"/>
  <c r="O113" i="9"/>
  <c r="N113" i="9"/>
  <c r="K113" i="9"/>
  <c r="O112" i="9"/>
  <c r="N112" i="9"/>
  <c r="K112" i="9"/>
  <c r="O111" i="9"/>
  <c r="N111" i="9"/>
  <c r="K111" i="9"/>
  <c r="O110" i="9"/>
  <c r="N110" i="9"/>
  <c r="K110" i="9"/>
  <c r="O109" i="9"/>
  <c r="N109" i="9"/>
  <c r="K109" i="9"/>
  <c r="O108" i="9"/>
  <c r="N108" i="9"/>
  <c r="K108" i="9"/>
  <c r="O107" i="9"/>
  <c r="N107" i="9"/>
  <c r="K107" i="9"/>
  <c r="O106" i="9"/>
  <c r="N106" i="9"/>
  <c r="K106" i="9"/>
  <c r="O105" i="9"/>
  <c r="N105" i="9"/>
  <c r="K105" i="9"/>
  <c r="O104" i="9"/>
  <c r="N104" i="9"/>
  <c r="K104" i="9"/>
  <c r="O103" i="9"/>
  <c r="N103" i="9"/>
  <c r="K103" i="9"/>
  <c r="O102" i="9"/>
  <c r="N102" i="9"/>
  <c r="K102" i="9"/>
  <c r="O101" i="9"/>
  <c r="N101" i="9"/>
  <c r="K101" i="9"/>
  <c r="O100" i="9"/>
  <c r="N100" i="9"/>
  <c r="K100" i="9"/>
  <c r="O99" i="9"/>
  <c r="N99" i="9"/>
  <c r="K99" i="9"/>
  <c r="O98" i="9"/>
  <c r="N98" i="9"/>
  <c r="K98" i="9"/>
  <c r="O97" i="9"/>
  <c r="N97" i="9"/>
  <c r="K97" i="9"/>
  <c r="O96" i="9"/>
  <c r="N96" i="9"/>
  <c r="K96" i="9"/>
  <c r="O95" i="9"/>
  <c r="N95" i="9"/>
  <c r="K95" i="9"/>
  <c r="O94" i="9"/>
  <c r="N94" i="9"/>
  <c r="K94" i="9"/>
  <c r="O93" i="9"/>
  <c r="N93" i="9"/>
  <c r="K93" i="9"/>
  <c r="O92" i="9"/>
  <c r="N92" i="9"/>
  <c r="K92" i="9"/>
  <c r="O91" i="9"/>
  <c r="N91" i="9"/>
  <c r="K91" i="9"/>
  <c r="O90" i="9"/>
  <c r="N90" i="9"/>
  <c r="K90" i="9"/>
  <c r="O89" i="9"/>
  <c r="N89" i="9"/>
  <c r="K89" i="9"/>
  <c r="O88" i="9"/>
  <c r="N88" i="9"/>
  <c r="K88" i="9"/>
  <c r="O87" i="9"/>
  <c r="N87" i="9"/>
  <c r="K87" i="9"/>
  <c r="O86" i="9"/>
  <c r="N86" i="9"/>
  <c r="K86" i="9"/>
  <c r="O85" i="9"/>
  <c r="N85" i="9"/>
  <c r="K85" i="9"/>
  <c r="O84" i="9"/>
  <c r="N84" i="9"/>
  <c r="K84" i="9"/>
  <c r="O83" i="9"/>
  <c r="N83" i="9"/>
  <c r="K83" i="9"/>
  <c r="O82" i="9"/>
  <c r="N82" i="9"/>
  <c r="K82" i="9"/>
  <c r="O81" i="9"/>
  <c r="N81" i="9"/>
  <c r="K81" i="9"/>
  <c r="O80" i="9"/>
  <c r="N80" i="9"/>
  <c r="K80" i="9"/>
  <c r="O79" i="9"/>
  <c r="N79" i="9"/>
  <c r="K79" i="9"/>
  <c r="O78" i="9"/>
  <c r="N78" i="9"/>
  <c r="K78" i="9"/>
  <c r="O77" i="9"/>
  <c r="N77" i="9"/>
  <c r="K77" i="9"/>
  <c r="O76" i="9"/>
  <c r="N76" i="9"/>
  <c r="K76" i="9"/>
  <c r="O75" i="9"/>
  <c r="N75" i="9"/>
  <c r="K75" i="9"/>
  <c r="O74" i="9"/>
  <c r="N74" i="9"/>
  <c r="K74" i="9"/>
  <c r="O73" i="9"/>
  <c r="N73" i="9"/>
  <c r="K73" i="9"/>
  <c r="O72" i="9"/>
  <c r="N72" i="9"/>
  <c r="K72" i="9"/>
  <c r="O71" i="9"/>
  <c r="N71" i="9"/>
  <c r="K71" i="9"/>
  <c r="O70" i="9"/>
  <c r="N70" i="9"/>
  <c r="K70" i="9"/>
  <c r="O69" i="9"/>
  <c r="N69" i="9"/>
  <c r="K69" i="9"/>
  <c r="O68" i="9"/>
  <c r="N68" i="9"/>
  <c r="K68" i="9"/>
  <c r="O67" i="9"/>
  <c r="N67" i="9"/>
  <c r="K67" i="9"/>
  <c r="O66" i="9"/>
  <c r="N66" i="9"/>
  <c r="K66" i="9"/>
  <c r="O65" i="9"/>
  <c r="N65" i="9"/>
  <c r="K65" i="9"/>
  <c r="O64" i="9"/>
  <c r="N64" i="9"/>
  <c r="K64" i="9"/>
  <c r="O63" i="9"/>
  <c r="N63" i="9"/>
  <c r="K63" i="9"/>
  <c r="O62" i="9"/>
  <c r="N62" i="9"/>
  <c r="K62" i="9"/>
  <c r="O61" i="9"/>
  <c r="N61" i="9"/>
  <c r="K61" i="9"/>
  <c r="O60" i="9"/>
  <c r="N60" i="9"/>
  <c r="K60" i="9"/>
  <c r="O59" i="9"/>
  <c r="N59" i="9"/>
  <c r="K59" i="9"/>
  <c r="O58" i="9"/>
  <c r="N58" i="9"/>
  <c r="K58" i="9"/>
  <c r="O57" i="9"/>
  <c r="N57" i="9"/>
  <c r="K57" i="9"/>
  <c r="O56" i="9"/>
  <c r="N56" i="9"/>
  <c r="K56" i="9"/>
  <c r="O55" i="9"/>
  <c r="N55" i="9"/>
  <c r="K55" i="9"/>
  <c r="O54" i="9"/>
  <c r="N54" i="9"/>
  <c r="K54" i="9"/>
  <c r="O53" i="9"/>
  <c r="N53" i="9"/>
  <c r="K53" i="9"/>
  <c r="O52" i="9"/>
  <c r="N52" i="9"/>
  <c r="K52" i="9"/>
  <c r="O51" i="9"/>
  <c r="N51" i="9"/>
  <c r="K51" i="9"/>
  <c r="O50" i="9"/>
  <c r="N50" i="9"/>
  <c r="K50" i="9"/>
  <c r="O49" i="9"/>
  <c r="N49" i="9"/>
  <c r="K49" i="9"/>
  <c r="O48" i="9"/>
  <c r="N48" i="9"/>
  <c r="K48" i="9"/>
  <c r="O47" i="9"/>
  <c r="N47" i="9"/>
  <c r="K47" i="9"/>
  <c r="O46" i="9"/>
  <c r="N46" i="9"/>
  <c r="K46" i="9"/>
  <c r="O45" i="9"/>
  <c r="N45" i="9"/>
  <c r="K45" i="9"/>
  <c r="O44" i="9"/>
  <c r="N44" i="9"/>
  <c r="K44" i="9"/>
  <c r="O43" i="9"/>
  <c r="N43" i="9"/>
  <c r="K43" i="9"/>
  <c r="O42" i="9"/>
  <c r="N42" i="9"/>
  <c r="K42" i="9"/>
  <c r="O41" i="9"/>
  <c r="N41" i="9"/>
  <c r="K41" i="9"/>
  <c r="O40" i="9"/>
  <c r="N40" i="9"/>
  <c r="K40" i="9"/>
  <c r="O39" i="9"/>
  <c r="N39" i="9"/>
  <c r="K39" i="9"/>
  <c r="O38" i="9"/>
  <c r="N38" i="9"/>
  <c r="K38" i="9"/>
  <c r="O37" i="9"/>
  <c r="N37" i="9"/>
  <c r="K37" i="9"/>
  <c r="O36" i="9"/>
  <c r="N36" i="9"/>
  <c r="K36" i="9"/>
  <c r="O35" i="9"/>
  <c r="N35" i="9"/>
  <c r="K35" i="9"/>
  <c r="O34" i="9"/>
  <c r="N34" i="9"/>
  <c r="K34" i="9"/>
  <c r="O33" i="9"/>
  <c r="N33" i="9"/>
  <c r="K33" i="9"/>
  <c r="O32" i="9"/>
  <c r="N32" i="9"/>
  <c r="K32" i="9"/>
  <c r="O31" i="9"/>
  <c r="N31" i="9"/>
  <c r="K31" i="9"/>
  <c r="O30" i="9"/>
  <c r="N30" i="9"/>
  <c r="K30" i="9"/>
  <c r="O29" i="9"/>
  <c r="N29" i="9"/>
  <c r="K29" i="9"/>
  <c r="O28" i="9"/>
  <c r="N28" i="9"/>
  <c r="K28" i="9"/>
  <c r="O27" i="9"/>
  <c r="N27" i="9"/>
  <c r="K27" i="9"/>
  <c r="O26" i="9"/>
  <c r="N26" i="9"/>
  <c r="K26" i="9"/>
  <c r="O25" i="9"/>
  <c r="N25" i="9"/>
  <c r="K25" i="9"/>
  <c r="O24" i="9"/>
  <c r="N24" i="9"/>
  <c r="K24" i="9"/>
  <c r="O23" i="9"/>
  <c r="N23" i="9"/>
  <c r="K23" i="9"/>
  <c r="O22" i="9"/>
  <c r="N22" i="9"/>
  <c r="K22" i="9"/>
  <c r="O21" i="9"/>
  <c r="N21" i="9"/>
  <c r="K21" i="9"/>
  <c r="O20" i="9"/>
  <c r="N20" i="9"/>
  <c r="K20" i="9"/>
  <c r="O19" i="9"/>
  <c r="N19" i="9"/>
  <c r="K19" i="9"/>
  <c r="O18" i="9"/>
  <c r="N18" i="9"/>
  <c r="K18" i="9"/>
  <c r="O17" i="9"/>
  <c r="N17" i="9"/>
  <c r="K17" i="9"/>
  <c r="O16" i="9"/>
  <c r="N16" i="9"/>
  <c r="K16" i="9"/>
  <c r="O15" i="9"/>
  <c r="N15" i="9"/>
  <c r="Q15" i="9" s="1"/>
  <c r="I15" i="9" s="1"/>
  <c r="K15" i="9"/>
  <c r="O14" i="9"/>
  <c r="N14" i="9"/>
  <c r="K14" i="9"/>
  <c r="O13" i="9"/>
  <c r="N13" i="9"/>
  <c r="K13" i="9"/>
  <c r="O12" i="9"/>
  <c r="N12" i="9"/>
  <c r="K12" i="9"/>
  <c r="O11" i="9"/>
  <c r="N11" i="9"/>
  <c r="K11" i="9"/>
  <c r="O10" i="9"/>
  <c r="N10" i="9"/>
  <c r="K10" i="9"/>
  <c r="O9" i="9"/>
  <c r="N9" i="9"/>
  <c r="K9" i="9"/>
  <c r="O8" i="9"/>
  <c r="N8" i="9"/>
  <c r="K8" i="9"/>
  <c r="J7" i="9"/>
  <c r="F6" i="2"/>
  <c r="F7" i="2" s="1"/>
  <c r="F10" i="2"/>
  <c r="F21" i="2"/>
  <c r="E10" i="2"/>
  <c r="E6" i="2"/>
  <c r="E9" i="2" s="1"/>
  <c r="K245" i="12" l="1"/>
  <c r="L245" i="12" s="1"/>
  <c r="V244" i="12"/>
  <c r="V284" i="12"/>
  <c r="V265" i="12"/>
  <c r="V105" i="12"/>
  <c r="V276" i="12"/>
  <c r="V306" i="12"/>
  <c r="V32" i="12"/>
  <c r="V213" i="12"/>
  <c r="V253" i="12"/>
  <c r="V75" i="12"/>
  <c r="V249" i="12"/>
  <c r="V322" i="12"/>
  <c r="V54" i="12"/>
  <c r="V85" i="12"/>
  <c r="V161" i="12"/>
  <c r="V235" i="12"/>
  <c r="V254" i="12"/>
  <c r="V194" i="12"/>
  <c r="V272" i="12"/>
  <c r="V95" i="12"/>
  <c r="V60" i="12"/>
  <c r="V154" i="12"/>
  <c r="V260" i="12"/>
  <c r="V197" i="12"/>
  <c r="V104" i="12"/>
  <c r="V57" i="12"/>
  <c r="V242" i="12"/>
  <c r="V67" i="12"/>
  <c r="V281" i="12"/>
  <c r="V65" i="12"/>
  <c r="V209" i="12"/>
  <c r="V122" i="12"/>
  <c r="V218" i="12"/>
  <c r="V121" i="12"/>
  <c r="V129" i="12"/>
  <c r="V229" i="12"/>
  <c r="V103" i="12"/>
  <c r="V144" i="12"/>
  <c r="V317" i="12"/>
  <c r="V196" i="12"/>
  <c r="V248" i="12"/>
  <c r="AA198" i="12"/>
  <c r="L198" i="12"/>
  <c r="M198" i="12" s="1"/>
  <c r="V185" i="12"/>
  <c r="V96" i="12"/>
  <c r="V43" i="12"/>
  <c r="V111" i="12"/>
  <c r="V126" i="12"/>
  <c r="V138" i="12"/>
  <c r="V174" i="12"/>
  <c r="V321" i="12"/>
  <c r="V271" i="12"/>
  <c r="V120" i="12"/>
  <c r="V285" i="12"/>
  <c r="V150" i="12"/>
  <c r="V301" i="12"/>
  <c r="V149" i="12"/>
  <c r="V97" i="12"/>
  <c r="V63" i="12"/>
  <c r="V79" i="12"/>
  <c r="V289" i="12"/>
  <c r="V186" i="12"/>
  <c r="V277" i="12"/>
  <c r="V173" i="12"/>
  <c r="V52" i="12"/>
  <c r="V267" i="12"/>
  <c r="V83" i="12"/>
  <c r="V70" i="12"/>
  <c r="V132" i="12"/>
  <c r="V215" i="12"/>
  <c r="V158" i="12"/>
  <c r="V22" i="12"/>
  <c r="V106" i="12"/>
  <c r="V193" i="12"/>
  <c r="V37" i="12"/>
  <c r="V207" i="12"/>
  <c r="V64" i="12"/>
  <c r="V117" i="12"/>
  <c r="V238" i="12"/>
  <c r="V211" i="12"/>
  <c r="V205" i="12"/>
  <c r="V225" i="12"/>
  <c r="V172" i="12"/>
  <c r="V28" i="12"/>
  <c r="V212" i="12"/>
  <c r="V10" i="12"/>
  <c r="V11" i="12"/>
  <c r="V275" i="12"/>
  <c r="V316" i="12"/>
  <c r="L195" i="12"/>
  <c r="M195" i="12" s="1"/>
  <c r="V319" i="12"/>
  <c r="V152" i="12"/>
  <c r="L69" i="12"/>
  <c r="M69" i="12" s="1"/>
  <c r="V61" i="12"/>
  <c r="V12" i="12"/>
  <c r="V239" i="12"/>
  <c r="V49" i="12"/>
  <c r="V20" i="12"/>
  <c r="V141" i="12"/>
  <c r="V290" i="12"/>
  <c r="V160" i="12"/>
  <c r="V147" i="12"/>
  <c r="V268" i="12"/>
  <c r="V137" i="12"/>
  <c r="V170" i="12"/>
  <c r="V283" i="12"/>
  <c r="V86" i="12"/>
  <c r="V180" i="12"/>
  <c r="V199" i="12"/>
  <c r="V128" i="12"/>
  <c r="V220" i="12"/>
  <c r="V62" i="12"/>
  <c r="V296" i="12"/>
  <c r="V74" i="12"/>
  <c r="V31" i="12"/>
  <c r="L263" i="12"/>
  <c r="M263" i="12" s="1"/>
  <c r="V299" i="12"/>
  <c r="V286" i="12"/>
  <c r="V221" i="12"/>
  <c r="V89" i="12"/>
  <c r="V291" i="12"/>
  <c r="V250" i="12"/>
  <c r="V51" i="12"/>
  <c r="V176" i="12"/>
  <c r="V189" i="12"/>
  <c r="V44" i="12"/>
  <c r="V24" i="12"/>
  <c r="V66" i="12"/>
  <c r="V234" i="12"/>
  <c r="H330" i="12"/>
  <c r="H7" i="12" s="1"/>
  <c r="H8" i="12"/>
  <c r="H6" i="12" s="1"/>
  <c r="J9" i="12"/>
  <c r="V116" i="12"/>
  <c r="V312" i="12"/>
  <c r="V210" i="12"/>
  <c r="V243" i="12"/>
  <c r="V58" i="12"/>
  <c r="V84" i="12"/>
  <c r="V68" i="12"/>
  <c r="V36" i="12"/>
  <c r="V328" i="12"/>
  <c r="V269" i="12"/>
  <c r="V307" i="12"/>
  <c r="V231" i="12"/>
  <c r="V107" i="12"/>
  <c r="V14" i="12"/>
  <c r="V261" i="12"/>
  <c r="V313" i="12"/>
  <c r="V166" i="12"/>
  <c r="V264" i="12"/>
  <c r="V182" i="12"/>
  <c r="V118" i="12"/>
  <c r="V203" i="12"/>
  <c r="V55" i="12"/>
  <c r="Q247" i="9"/>
  <c r="I247" i="9" s="1"/>
  <c r="Q221" i="9"/>
  <c r="I221" i="9" s="1"/>
  <c r="Q233" i="9"/>
  <c r="I233" i="9" s="1"/>
  <c r="Q138" i="9"/>
  <c r="I138" i="9" s="1"/>
  <c r="Q142" i="9"/>
  <c r="I142" i="9" s="1"/>
  <c r="Q210" i="9"/>
  <c r="I210" i="9" s="1"/>
  <c r="Q214" i="9"/>
  <c r="I214" i="9" s="1"/>
  <c r="Q282" i="9"/>
  <c r="I282" i="9" s="1"/>
  <c r="Q298" i="9"/>
  <c r="I298" i="9" s="1"/>
  <c r="Q302" i="9"/>
  <c r="I302" i="9" s="1"/>
  <c r="Q111" i="9"/>
  <c r="I111" i="9" s="1"/>
  <c r="Q115" i="9"/>
  <c r="I115" i="9" s="1"/>
  <c r="Q119" i="9"/>
  <c r="I119" i="9" s="1"/>
  <c r="Q209" i="9"/>
  <c r="I209" i="9" s="1"/>
  <c r="Q34" i="9"/>
  <c r="I34" i="9" s="1"/>
  <c r="Q78" i="9"/>
  <c r="I78" i="9" s="1"/>
  <c r="Q98" i="9"/>
  <c r="I98" i="9" s="1"/>
  <c r="Q102" i="9"/>
  <c r="I102" i="9" s="1"/>
  <c r="Q134" i="9"/>
  <c r="I134" i="9" s="1"/>
  <c r="Q146" i="9"/>
  <c r="I146" i="9" s="1"/>
  <c r="Q222" i="9"/>
  <c r="I222" i="9" s="1"/>
  <c r="Q49" i="9"/>
  <c r="I49" i="9" s="1"/>
  <c r="Q53" i="9"/>
  <c r="I53" i="9" s="1"/>
  <c r="Q85" i="9"/>
  <c r="I85" i="9" s="1"/>
  <c r="Q117" i="9"/>
  <c r="I117" i="9" s="1"/>
  <c r="Q236" i="9"/>
  <c r="I236" i="9" s="1"/>
  <c r="Q240" i="9"/>
  <c r="I240" i="9" s="1"/>
  <c r="Q244" i="9"/>
  <c r="I244" i="9" s="1"/>
  <c r="Q292" i="9"/>
  <c r="I292" i="9" s="1"/>
  <c r="Q22" i="9"/>
  <c r="I22" i="9" s="1"/>
  <c r="Q30" i="9"/>
  <c r="I30" i="9" s="1"/>
  <c r="Q145" i="9"/>
  <c r="I145" i="9" s="1"/>
  <c r="Q177" i="9"/>
  <c r="I177" i="9" s="1"/>
  <c r="Q189" i="9"/>
  <c r="I189" i="9" s="1"/>
  <c r="Q237" i="9"/>
  <c r="I237" i="9" s="1"/>
  <c r="Q273" i="9"/>
  <c r="I273" i="9" s="1"/>
  <c r="Q285" i="9"/>
  <c r="I285" i="9" s="1"/>
  <c r="Q321" i="9"/>
  <c r="I321" i="9" s="1"/>
  <c r="Q325" i="9"/>
  <c r="I325" i="9" s="1"/>
  <c r="Q114" i="9"/>
  <c r="I114" i="9" s="1"/>
  <c r="D113" i="10" s="1"/>
  <c r="Q118" i="9"/>
  <c r="I118" i="9" s="1"/>
  <c r="Q122" i="9"/>
  <c r="I122" i="9" s="1"/>
  <c r="Q130" i="9"/>
  <c r="I130" i="9" s="1"/>
  <c r="Q218" i="9"/>
  <c r="I218" i="9" s="1"/>
  <c r="Q310" i="9"/>
  <c r="I310" i="9" s="1"/>
  <c r="Q79" i="9"/>
  <c r="I79" i="9" s="1"/>
  <c r="Q83" i="9"/>
  <c r="I83" i="9" s="1"/>
  <c r="Q87" i="9"/>
  <c r="I87" i="9" s="1"/>
  <c r="Q150" i="9"/>
  <c r="I150" i="9" s="1"/>
  <c r="Q170" i="9"/>
  <c r="I170" i="9" s="1"/>
  <c r="Q174" i="9"/>
  <c r="I174" i="9" s="1"/>
  <c r="Q182" i="9"/>
  <c r="I182" i="9" s="1"/>
  <c r="Q186" i="9"/>
  <c r="I186" i="9" s="1"/>
  <c r="Q234" i="9"/>
  <c r="I234" i="9" s="1"/>
  <c r="Q258" i="9"/>
  <c r="I258" i="9" s="1"/>
  <c r="Q270" i="9"/>
  <c r="I270" i="9" s="1"/>
  <c r="Q294" i="9"/>
  <c r="I294" i="9" s="1"/>
  <c r="Q135" i="9"/>
  <c r="I135" i="9" s="1"/>
  <c r="Q207" i="9"/>
  <c r="I207" i="9" s="1"/>
  <c r="Q231" i="9"/>
  <c r="I231" i="9" s="1"/>
  <c r="Q267" i="9"/>
  <c r="I267" i="9" s="1"/>
  <c r="Q279" i="9"/>
  <c r="I279" i="9" s="1"/>
  <c r="Q295" i="9"/>
  <c r="I295" i="9" s="1"/>
  <c r="Q319" i="9"/>
  <c r="I319" i="9" s="1"/>
  <c r="Q331" i="9"/>
  <c r="I331" i="9" s="1"/>
  <c r="Q68" i="9"/>
  <c r="I68" i="9" s="1"/>
  <c r="Q320" i="9"/>
  <c r="I320" i="9" s="1"/>
  <c r="Q104" i="9"/>
  <c r="I104" i="9" s="1"/>
  <c r="Q108" i="9"/>
  <c r="I108" i="9" s="1"/>
  <c r="Q253" i="9"/>
  <c r="I253" i="9" s="1"/>
  <c r="Q304" i="9"/>
  <c r="I304" i="9" s="1"/>
  <c r="Q21" i="9"/>
  <c r="I21" i="9" s="1"/>
  <c r="Q29" i="9"/>
  <c r="I29" i="9" s="1"/>
  <c r="Q93" i="9"/>
  <c r="I93" i="9" s="1"/>
  <c r="Q124" i="9"/>
  <c r="I124" i="9" s="1"/>
  <c r="Q159" i="9"/>
  <c r="I159" i="9" s="1"/>
  <c r="Q163" i="9"/>
  <c r="I163" i="9" s="1"/>
  <c r="Q167" i="9"/>
  <c r="I167" i="9" s="1"/>
  <c r="Q183" i="9"/>
  <c r="I183" i="9" s="1"/>
  <c r="Q64" i="9"/>
  <c r="I64" i="9" s="1"/>
  <c r="Q72" i="9"/>
  <c r="I72" i="9" s="1"/>
  <c r="Q324" i="9"/>
  <c r="I324" i="9" s="1"/>
  <c r="Q105" i="9"/>
  <c r="I105" i="9" s="1"/>
  <c r="Q211" i="9"/>
  <c r="I211" i="9" s="1"/>
  <c r="Q215" i="9"/>
  <c r="I215" i="9" s="1"/>
  <c r="Q242" i="9"/>
  <c r="I242" i="9" s="1"/>
  <c r="Q250" i="9"/>
  <c r="I250" i="9" s="1"/>
  <c r="Q254" i="9"/>
  <c r="I254" i="9" s="1"/>
  <c r="Q262" i="9"/>
  <c r="I262" i="9" s="1"/>
  <c r="Q266" i="9"/>
  <c r="I266" i="9" s="1"/>
  <c r="Q274" i="9"/>
  <c r="I274" i="9" s="1"/>
  <c r="Q278" i="9"/>
  <c r="I278" i="9" s="1"/>
  <c r="Q18" i="9"/>
  <c r="I18" i="9" s="1"/>
  <c r="Q42" i="9"/>
  <c r="I42" i="9" s="1"/>
  <c r="Q46" i="9"/>
  <c r="I46" i="9" s="1"/>
  <c r="Q54" i="9"/>
  <c r="I54" i="9" s="1"/>
  <c r="Q58" i="9"/>
  <c r="I58" i="9" s="1"/>
  <c r="Q82" i="9"/>
  <c r="I82" i="9" s="1"/>
  <c r="Q90" i="9"/>
  <c r="I90" i="9" s="1"/>
  <c r="Q94" i="9"/>
  <c r="I94" i="9" s="1"/>
  <c r="Q160" i="9"/>
  <c r="I160" i="9" s="1"/>
  <c r="Q200" i="9"/>
  <c r="I200" i="9" s="1"/>
  <c r="Q204" i="9"/>
  <c r="I204" i="9" s="1"/>
  <c r="Q290" i="9"/>
  <c r="I290" i="9" s="1"/>
  <c r="Q243" i="9"/>
  <c r="I243" i="9" s="1"/>
  <c r="D328" i="10" s="1"/>
  <c r="Q259" i="9"/>
  <c r="I259" i="9" s="1"/>
  <c r="Q306" i="9"/>
  <c r="I306" i="9" s="1"/>
  <c r="Q314" i="9"/>
  <c r="I314" i="9" s="1"/>
  <c r="Q330" i="9"/>
  <c r="I330" i="9" s="1"/>
  <c r="Q19" i="9"/>
  <c r="I19" i="9" s="1"/>
  <c r="Q23" i="9"/>
  <c r="I23" i="9" s="1"/>
  <c r="Q39" i="9"/>
  <c r="I39" i="9" s="1"/>
  <c r="Q51" i="9"/>
  <c r="I51" i="9" s="1"/>
  <c r="Q63" i="9"/>
  <c r="I63" i="9" s="1"/>
  <c r="Q126" i="9"/>
  <c r="I126" i="9" s="1"/>
  <c r="Q232" i="9"/>
  <c r="I232" i="9" s="1"/>
  <c r="Q283" i="9"/>
  <c r="I283" i="9" s="1"/>
  <c r="Q303" i="9"/>
  <c r="I303" i="9" s="1"/>
  <c r="Q315" i="9"/>
  <c r="I315" i="9" s="1"/>
  <c r="Q327" i="9"/>
  <c r="I327" i="9" s="1"/>
  <c r="Q32" i="9"/>
  <c r="I32" i="9" s="1"/>
  <c r="Q225" i="9"/>
  <c r="I225" i="9" s="1"/>
  <c r="Q123" i="9"/>
  <c r="I123" i="9" s="1"/>
  <c r="Q154" i="9"/>
  <c r="I154" i="9" s="1"/>
  <c r="Q158" i="9"/>
  <c r="I158" i="9" s="1"/>
  <c r="Q178" i="9"/>
  <c r="I178" i="9" s="1"/>
  <c r="Q190" i="9"/>
  <c r="I190" i="9" s="1"/>
  <c r="Q194" i="9"/>
  <c r="I194" i="9" s="1"/>
  <c r="Q198" i="9"/>
  <c r="I198" i="9" s="1"/>
  <c r="Q268" i="9"/>
  <c r="I268" i="9" s="1"/>
  <c r="Q27" i="9"/>
  <c r="I27" i="9" s="1"/>
  <c r="Q38" i="9"/>
  <c r="I38" i="9" s="1"/>
  <c r="Q66" i="9"/>
  <c r="I66" i="9" s="1"/>
  <c r="Q70" i="9"/>
  <c r="I70" i="9" s="1"/>
  <c r="Q97" i="9"/>
  <c r="I97" i="9" s="1"/>
  <c r="Q162" i="9"/>
  <c r="I162" i="9" s="1"/>
  <c r="Q166" i="9"/>
  <c r="I166" i="9" s="1"/>
  <c r="Q246" i="9"/>
  <c r="I246" i="9" s="1"/>
  <c r="Q261" i="9"/>
  <c r="I261" i="9" s="1"/>
  <c r="Q272" i="9"/>
  <c r="I272" i="9" s="1"/>
  <c r="Q276" i="9"/>
  <c r="I276" i="9" s="1"/>
  <c r="Q287" i="9"/>
  <c r="I287" i="9" s="1"/>
  <c r="Q291" i="9"/>
  <c r="I291" i="9" s="1"/>
  <c r="Q208" i="9"/>
  <c r="I208" i="9" s="1"/>
  <c r="Q220" i="9"/>
  <c r="I220" i="9" s="1"/>
  <c r="Q269" i="9"/>
  <c r="I269" i="9" s="1"/>
  <c r="Q280" i="9"/>
  <c r="I280" i="9" s="1"/>
  <c r="Q12" i="9"/>
  <c r="I12" i="9" s="1"/>
  <c r="Q43" i="9"/>
  <c r="I43" i="9" s="1"/>
  <c r="Q47" i="9"/>
  <c r="I47" i="9" s="1"/>
  <c r="Q55" i="9"/>
  <c r="I55" i="9" s="1"/>
  <c r="Q59" i="9"/>
  <c r="I59" i="9" s="1"/>
  <c r="Q75" i="9"/>
  <c r="I75" i="9" s="1"/>
  <c r="Q113" i="9"/>
  <c r="I113" i="9" s="1"/>
  <c r="Q193" i="9"/>
  <c r="I193" i="9" s="1"/>
  <c r="Q197" i="9"/>
  <c r="I197" i="9" s="1"/>
  <c r="Q201" i="9"/>
  <c r="I201" i="9" s="1"/>
  <c r="Q284" i="9"/>
  <c r="I284" i="9" s="1"/>
  <c r="Q288" i="9"/>
  <c r="I288" i="9" s="1"/>
  <c r="Q318" i="9"/>
  <c r="I318" i="9" s="1"/>
  <c r="Q106" i="9"/>
  <c r="I106" i="9" s="1"/>
  <c r="Q110" i="9"/>
  <c r="I110" i="9" s="1"/>
  <c r="Q129" i="9"/>
  <c r="I129" i="9" s="1"/>
  <c r="Q171" i="9"/>
  <c r="I171" i="9" s="1"/>
  <c r="Q213" i="9"/>
  <c r="I213" i="9" s="1"/>
  <c r="Q255" i="9"/>
  <c r="I255" i="9" s="1"/>
  <c r="Q307" i="9"/>
  <c r="I307" i="9" s="1"/>
  <c r="Q322" i="9"/>
  <c r="I322" i="9" s="1"/>
  <c r="Q326" i="9"/>
  <c r="I326" i="9" s="1"/>
  <c r="Q40" i="9"/>
  <c r="I40" i="9" s="1"/>
  <c r="Q99" i="9"/>
  <c r="I99" i="9" s="1"/>
  <c r="Q141" i="9"/>
  <c r="I141" i="9" s="1"/>
  <c r="Q152" i="9"/>
  <c r="I152" i="9" s="1"/>
  <c r="Q156" i="9"/>
  <c r="I156" i="9" s="1"/>
  <c r="Q202" i="9"/>
  <c r="I202" i="9" s="1"/>
  <c r="Q206" i="9"/>
  <c r="I206" i="9" s="1"/>
  <c r="Q289" i="9"/>
  <c r="I289" i="9" s="1"/>
  <c r="Q10" i="9"/>
  <c r="I10" i="9" s="1"/>
  <c r="Q45" i="9"/>
  <c r="I45" i="9" s="1"/>
  <c r="Q57" i="9"/>
  <c r="I57" i="9" s="1"/>
  <c r="Q149" i="9"/>
  <c r="I149" i="9" s="1"/>
  <c r="Q153" i="9"/>
  <c r="I153" i="9" s="1"/>
  <c r="Q172" i="9"/>
  <c r="I172" i="9" s="1"/>
  <c r="Q195" i="9"/>
  <c r="I195" i="9" s="1"/>
  <c r="Q226" i="9"/>
  <c r="I226" i="9" s="1"/>
  <c r="Q230" i="9"/>
  <c r="I230" i="9" s="1"/>
  <c r="D227" i="10" s="1"/>
  <c r="Q248" i="9"/>
  <c r="I248" i="9" s="1"/>
  <c r="Q252" i="9"/>
  <c r="I252" i="9" s="1"/>
  <c r="Q256" i="9"/>
  <c r="I256" i="9" s="1"/>
  <c r="Q271" i="9"/>
  <c r="I271" i="9" s="1"/>
  <c r="Q286" i="9"/>
  <c r="I286" i="9" s="1"/>
  <c r="Q297" i="9"/>
  <c r="I297" i="9" s="1"/>
  <c r="Q308" i="9"/>
  <c r="I308" i="9" s="1"/>
  <c r="Q312" i="9"/>
  <c r="I312" i="9" s="1"/>
  <c r="Q323" i="9"/>
  <c r="I323" i="9" s="1"/>
  <c r="Q69" i="9"/>
  <c r="I69" i="9" s="1"/>
  <c r="Q165" i="9"/>
  <c r="I165" i="9" s="1"/>
  <c r="Q81" i="9"/>
  <c r="I81" i="9" s="1"/>
  <c r="Q161" i="9"/>
  <c r="I161" i="9" s="1"/>
  <c r="Q219" i="9"/>
  <c r="I219" i="9" s="1"/>
  <c r="Q238" i="9"/>
  <c r="I238" i="9" s="1"/>
  <c r="Q249" i="9"/>
  <c r="I249" i="9" s="1"/>
  <c r="Q305" i="9"/>
  <c r="I305" i="9" s="1"/>
  <c r="Q309" i="9"/>
  <c r="I309" i="9" s="1"/>
  <c r="Q316" i="9"/>
  <c r="I316" i="9" s="1"/>
  <c r="Q328" i="9"/>
  <c r="I328" i="9" s="1"/>
  <c r="Q128" i="9"/>
  <c r="I128" i="9" s="1"/>
  <c r="Q132" i="9"/>
  <c r="I132" i="9" s="1"/>
  <c r="Q169" i="9"/>
  <c r="I169" i="9" s="1"/>
  <c r="Q187" i="9"/>
  <c r="I187" i="9" s="1"/>
  <c r="Q260" i="9"/>
  <c r="I260" i="9" s="1"/>
  <c r="Q20" i="9"/>
  <c r="I20" i="9" s="1"/>
  <c r="Q31" i="9"/>
  <c r="I31" i="9" s="1"/>
  <c r="Q239" i="9"/>
  <c r="I239" i="9" s="1"/>
  <c r="Q257" i="9"/>
  <c r="I257" i="9" s="1"/>
  <c r="Q275" i="9"/>
  <c r="I275" i="9" s="1"/>
  <c r="Q293" i="9"/>
  <c r="I293" i="9" s="1"/>
  <c r="Q311" i="9"/>
  <c r="I311" i="9" s="1"/>
  <c r="Q329" i="9"/>
  <c r="I329" i="9" s="1"/>
  <c r="Q16" i="9"/>
  <c r="I16" i="9" s="1"/>
  <c r="Q76" i="9"/>
  <c r="I76" i="9" s="1"/>
  <c r="Q139" i="9"/>
  <c r="I139" i="9" s="1"/>
  <c r="Q143" i="9"/>
  <c r="I143" i="9" s="1"/>
  <c r="Q176" i="9"/>
  <c r="I176" i="9" s="1"/>
  <c r="Q180" i="9"/>
  <c r="I180" i="9" s="1"/>
  <c r="Q191" i="9"/>
  <c r="I191" i="9" s="1"/>
  <c r="Q50" i="9"/>
  <c r="I50" i="9" s="1"/>
  <c r="Q84" i="9"/>
  <c r="I84" i="9" s="1"/>
  <c r="Q9" i="9"/>
  <c r="I9" i="9" s="1"/>
  <c r="Q13" i="9"/>
  <c r="I13" i="9" s="1"/>
  <c r="Q24" i="9"/>
  <c r="I24" i="9" s="1"/>
  <c r="Q35" i="9"/>
  <c r="I35" i="9" s="1"/>
  <c r="Q73" i="9"/>
  <c r="I73" i="9" s="1"/>
  <c r="Q88" i="9"/>
  <c r="I88" i="9" s="1"/>
  <c r="Q125" i="9"/>
  <c r="I125" i="9" s="1"/>
  <c r="Q136" i="9"/>
  <c r="I136" i="9" s="1"/>
  <c r="Q173" i="9"/>
  <c r="I173" i="9" s="1"/>
  <c r="Q184" i="9"/>
  <c r="I184" i="9" s="1"/>
  <c r="Q95" i="9"/>
  <c r="I95" i="9" s="1"/>
  <c r="Q217" i="9"/>
  <c r="I217" i="9" s="1"/>
  <c r="Q224" i="9"/>
  <c r="I224" i="9" s="1"/>
  <c r="Q228" i="9"/>
  <c r="I228" i="9" s="1"/>
  <c r="Q65" i="9"/>
  <c r="I65" i="9" s="1"/>
  <c r="Q80" i="9"/>
  <c r="I80" i="9" s="1"/>
  <c r="Q17" i="9"/>
  <c r="I17" i="9" s="1"/>
  <c r="Q28" i="9"/>
  <c r="I28" i="9" s="1"/>
  <c r="Q62" i="9"/>
  <c r="I62" i="9" s="1"/>
  <c r="Q77" i="9"/>
  <c r="I77" i="9" s="1"/>
  <c r="Q92" i="9"/>
  <c r="I92" i="9" s="1"/>
  <c r="Q96" i="9"/>
  <c r="I96" i="9" s="1"/>
  <c r="Q103" i="9"/>
  <c r="I103" i="9" s="1"/>
  <c r="Q107" i="9"/>
  <c r="I107" i="9" s="1"/>
  <c r="Q133" i="9"/>
  <c r="I133" i="9" s="1"/>
  <c r="Q140" i="9"/>
  <c r="I140" i="9" s="1"/>
  <c r="Q144" i="9"/>
  <c r="I144" i="9" s="1"/>
  <c r="Q151" i="9"/>
  <c r="I151" i="9" s="1"/>
  <c r="Q155" i="9"/>
  <c r="I155" i="9" s="1"/>
  <c r="Q181" i="9"/>
  <c r="I181" i="9" s="1"/>
  <c r="Q188" i="9"/>
  <c r="I188" i="9" s="1"/>
  <c r="Q192" i="9"/>
  <c r="I192" i="9" s="1"/>
  <c r="Q199" i="9"/>
  <c r="I199" i="9" s="1"/>
  <c r="Q203" i="9"/>
  <c r="I203" i="9" s="1"/>
  <c r="Q229" i="9"/>
  <c r="I229" i="9" s="1"/>
  <c r="Q265" i="9"/>
  <c r="I265" i="9" s="1"/>
  <c r="Q301" i="9"/>
  <c r="I301" i="9" s="1"/>
  <c r="Q8" i="9"/>
  <c r="Q121" i="9"/>
  <c r="I121" i="9" s="1"/>
  <c r="Q264" i="9"/>
  <c r="I264" i="9" s="1"/>
  <c r="Q61" i="9"/>
  <c r="I61" i="9" s="1"/>
  <c r="Q91" i="9"/>
  <c r="I91" i="9" s="1"/>
  <c r="Q296" i="9"/>
  <c r="I296" i="9" s="1"/>
  <c r="Q300" i="9"/>
  <c r="I300" i="9" s="1"/>
  <c r="Q14" i="9"/>
  <c r="I14" i="9" s="1"/>
  <c r="Q25" i="9"/>
  <c r="I25" i="9" s="1"/>
  <c r="Q36" i="9"/>
  <c r="I36" i="9" s="1"/>
  <c r="D36" i="10" s="1"/>
  <c r="Q74" i="9"/>
  <c r="I74" i="9" s="1"/>
  <c r="Q89" i="9"/>
  <c r="I89" i="9" s="1"/>
  <c r="Q100" i="9"/>
  <c r="I100" i="9" s="1"/>
  <c r="Q137" i="9"/>
  <c r="I137" i="9" s="1"/>
  <c r="Q148" i="9"/>
  <c r="I148" i="9" s="1"/>
  <c r="Q185" i="9"/>
  <c r="I185" i="9" s="1"/>
  <c r="Q196" i="9"/>
  <c r="I196" i="9" s="1"/>
  <c r="Q251" i="9"/>
  <c r="I251" i="9" s="1"/>
  <c r="Q33" i="9"/>
  <c r="I33" i="9" s="1"/>
  <c r="Q44" i="9"/>
  <c r="I44" i="9" s="1"/>
  <c r="Q48" i="9"/>
  <c r="I48" i="9" s="1"/>
  <c r="Q86" i="9"/>
  <c r="I86" i="9" s="1"/>
  <c r="Q241" i="9"/>
  <c r="I241" i="9" s="1"/>
  <c r="Q277" i="9"/>
  <c r="I277" i="9" s="1"/>
  <c r="Q313" i="9"/>
  <c r="I313" i="9" s="1"/>
  <c r="Q26" i="9"/>
  <c r="I26" i="9" s="1"/>
  <c r="Q37" i="9"/>
  <c r="I37" i="9" s="1"/>
  <c r="Q52" i="9"/>
  <c r="I52" i="9" s="1"/>
  <c r="Q67" i="9"/>
  <c r="I67" i="9" s="1"/>
  <c r="Q71" i="9"/>
  <c r="I71" i="9" s="1"/>
  <c r="Q101" i="9"/>
  <c r="I101" i="9" s="1"/>
  <c r="Q112" i="9"/>
  <c r="I112" i="9" s="1"/>
  <c r="D327" i="10" s="1"/>
  <c r="Q11" i="9"/>
  <c r="I11" i="9" s="1"/>
  <c r="Q41" i="9"/>
  <c r="I41" i="9" s="1"/>
  <c r="Q56" i="9"/>
  <c r="I56" i="9" s="1"/>
  <c r="Q60" i="9"/>
  <c r="I60" i="9" s="1"/>
  <c r="Q109" i="9"/>
  <c r="I109" i="9" s="1"/>
  <c r="Q116" i="9"/>
  <c r="I116" i="9" s="1"/>
  <c r="Q120" i="9"/>
  <c r="I120" i="9" s="1"/>
  <c r="Q127" i="9"/>
  <c r="I127" i="9" s="1"/>
  <c r="Q131" i="9"/>
  <c r="I131" i="9" s="1"/>
  <c r="Q157" i="9"/>
  <c r="I157" i="9" s="1"/>
  <c r="Q164" i="9"/>
  <c r="I164" i="9" s="1"/>
  <c r="Q168" i="9"/>
  <c r="I168" i="9" s="1"/>
  <c r="Q175" i="9"/>
  <c r="I175" i="9" s="1"/>
  <c r="Q179" i="9"/>
  <c r="I179" i="9" s="1"/>
  <c r="Q205" i="9"/>
  <c r="I205" i="9" s="1"/>
  <c r="Q212" i="9"/>
  <c r="I212" i="9" s="1"/>
  <c r="Q216" i="9"/>
  <c r="I216" i="9" s="1"/>
  <c r="Q223" i="9"/>
  <c r="I223" i="9" s="1"/>
  <c r="Q227" i="9"/>
  <c r="I227" i="9" s="1"/>
  <c r="Q245" i="9"/>
  <c r="I245" i="9" s="1"/>
  <c r="Q263" i="9"/>
  <c r="I263" i="9" s="1"/>
  <c r="Q281" i="9"/>
  <c r="I281" i="9" s="1"/>
  <c r="Q299" i="9"/>
  <c r="I299" i="9" s="1"/>
  <c r="Q317" i="9"/>
  <c r="I317" i="9" s="1"/>
  <c r="F9" i="2"/>
  <c r="F8" i="2"/>
  <c r="E14" i="2"/>
  <c r="E18" i="2" s="1"/>
  <c r="E12" i="2"/>
  <c r="E7" i="2"/>
  <c r="E8" i="2"/>
  <c r="M245" i="12" l="1"/>
  <c r="AA245" i="12"/>
  <c r="J330" i="12"/>
  <c r="J7" i="12" s="1"/>
  <c r="K9" i="12"/>
  <c r="J8" i="12"/>
  <c r="D330" i="10"/>
  <c r="D7" i="10" s="1"/>
  <c r="I36" i="10" s="1"/>
  <c r="D8" i="10"/>
  <c r="F12" i="2"/>
  <c r="F14" i="2"/>
  <c r="F18" i="2" s="1"/>
  <c r="G10" i="2"/>
  <c r="G6" i="2"/>
  <c r="G9" i="2" s="1"/>
  <c r="AA9" i="12" l="1"/>
  <c r="AA7" i="12" s="1"/>
  <c r="L9" i="12"/>
  <c r="E36" i="10"/>
  <c r="H36" i="10" s="1"/>
  <c r="J36" i="10" s="1"/>
  <c r="K36" i="10" s="1"/>
  <c r="E79" i="10"/>
  <c r="H79" i="10" s="1"/>
  <c r="I306" i="10"/>
  <c r="I294" i="10"/>
  <c r="E67" i="10"/>
  <c r="H67" i="10" s="1"/>
  <c r="I312" i="10"/>
  <c r="E246" i="10"/>
  <c r="H246" i="10" s="1"/>
  <c r="E309" i="10"/>
  <c r="H309" i="10" s="1"/>
  <c r="I211" i="10"/>
  <c r="E46" i="10"/>
  <c r="H46" i="10" s="1"/>
  <c r="I196" i="10"/>
  <c r="E91" i="10"/>
  <c r="H91" i="10" s="1"/>
  <c r="I142" i="10"/>
  <c r="E290" i="10"/>
  <c r="H290" i="10" s="1"/>
  <c r="E202" i="10"/>
  <c r="H202" i="10" s="1"/>
  <c r="I49" i="10"/>
  <c r="I250" i="10"/>
  <c r="E145" i="10"/>
  <c r="H145" i="10" s="1"/>
  <c r="E320" i="10"/>
  <c r="H320" i="10" s="1"/>
  <c r="I68" i="10"/>
  <c r="I202" i="10"/>
  <c r="I31" i="10"/>
  <c r="E194" i="10"/>
  <c r="H194" i="10" s="1"/>
  <c r="E10" i="10"/>
  <c r="H10" i="10" s="1"/>
  <c r="E55" i="10"/>
  <c r="H55" i="10" s="1"/>
  <c r="I266" i="10"/>
  <c r="I299" i="10"/>
  <c r="E280" i="10"/>
  <c r="H280" i="10" s="1"/>
  <c r="E234" i="10"/>
  <c r="H234" i="10" s="1"/>
  <c r="E12" i="10"/>
  <c r="H12" i="10" s="1"/>
  <c r="E101" i="10"/>
  <c r="H101" i="10" s="1"/>
  <c r="I327" i="10"/>
  <c r="E287" i="10"/>
  <c r="H287" i="10" s="1"/>
  <c r="I261" i="10"/>
  <c r="I259" i="10"/>
  <c r="E189" i="10"/>
  <c r="H189" i="10" s="1"/>
  <c r="E210" i="10"/>
  <c r="H210" i="10" s="1"/>
  <c r="E227" i="10"/>
  <c r="H227" i="10" s="1"/>
  <c r="I221" i="10"/>
  <c r="I161" i="10"/>
  <c r="E304" i="10"/>
  <c r="H304" i="10" s="1"/>
  <c r="E201" i="10"/>
  <c r="H201" i="10" s="1"/>
  <c r="I162" i="10"/>
  <c r="E140" i="10"/>
  <c r="H140" i="10" s="1"/>
  <c r="E158" i="10"/>
  <c r="H158" i="10" s="1"/>
  <c r="E92" i="10"/>
  <c r="H92" i="10" s="1"/>
  <c r="E115" i="10"/>
  <c r="H115" i="10" s="1"/>
  <c r="E164" i="10"/>
  <c r="H164" i="10" s="1"/>
  <c r="E94" i="10"/>
  <c r="H94" i="10" s="1"/>
  <c r="I52" i="10"/>
  <c r="E151" i="10"/>
  <c r="H151" i="10" s="1"/>
  <c r="I88" i="10"/>
  <c r="I133" i="10"/>
  <c r="E16" i="10"/>
  <c r="H16" i="10" s="1"/>
  <c r="I81" i="10"/>
  <c r="E48" i="10"/>
  <c r="H48" i="10" s="1"/>
  <c r="I224" i="10"/>
  <c r="E200" i="10"/>
  <c r="H200" i="10" s="1"/>
  <c r="I116" i="10"/>
  <c r="I157" i="10"/>
  <c r="I103" i="10"/>
  <c r="E153" i="10"/>
  <c r="H153" i="10" s="1"/>
  <c r="E86" i="10"/>
  <c r="H86" i="10" s="1"/>
  <c r="I39" i="10"/>
  <c r="E85" i="10"/>
  <c r="H85" i="10" s="1"/>
  <c r="I25" i="10"/>
  <c r="I118" i="10"/>
  <c r="E71" i="10"/>
  <c r="H71" i="10" s="1"/>
  <c r="E40" i="10"/>
  <c r="H40" i="10" s="1"/>
  <c r="E174" i="10"/>
  <c r="H174" i="10" s="1"/>
  <c r="I320" i="10"/>
  <c r="I255" i="10"/>
  <c r="I131" i="10"/>
  <c r="I246" i="10"/>
  <c r="I269" i="10"/>
  <c r="E327" i="10"/>
  <c r="H327" i="10" s="1"/>
  <c r="I89" i="10"/>
  <c r="I15" i="10"/>
  <c r="E57" i="10"/>
  <c r="H57" i="10" s="1"/>
  <c r="I248" i="10"/>
  <c r="E168" i="10"/>
  <c r="H168" i="10" s="1"/>
  <c r="E26" i="10"/>
  <c r="H26" i="10" s="1"/>
  <c r="I289" i="10"/>
  <c r="I61" i="10"/>
  <c r="E129" i="10"/>
  <c r="H129" i="10" s="1"/>
  <c r="E268" i="10"/>
  <c r="H268" i="10" s="1"/>
  <c r="I155" i="10"/>
  <c r="E241" i="10"/>
  <c r="H241" i="10" s="1"/>
  <c r="E308" i="10"/>
  <c r="H308" i="10" s="1"/>
  <c r="E321" i="10"/>
  <c r="H321" i="10" s="1"/>
  <c r="I230" i="10"/>
  <c r="I265" i="10"/>
  <c r="E257" i="10"/>
  <c r="H257" i="10" s="1"/>
  <c r="I313" i="10"/>
  <c r="I19" i="10"/>
  <c r="E143" i="10"/>
  <c r="H143" i="10" s="1"/>
  <c r="I23" i="10"/>
  <c r="E148" i="10"/>
  <c r="H148" i="10" s="1"/>
  <c r="E242" i="10"/>
  <c r="H242" i="10" s="1"/>
  <c r="E137" i="10"/>
  <c r="H137" i="10" s="1"/>
  <c r="I74" i="10"/>
  <c r="I260" i="10"/>
  <c r="I180" i="10"/>
  <c r="E56" i="10"/>
  <c r="H56" i="10" s="1"/>
  <c r="E130" i="10"/>
  <c r="H130" i="10" s="1"/>
  <c r="E305" i="10"/>
  <c r="H305" i="10" s="1"/>
  <c r="I158" i="10"/>
  <c r="E224" i="10"/>
  <c r="H224" i="10" s="1"/>
  <c r="I60" i="10"/>
  <c r="E170" i="10"/>
  <c r="H170" i="10" s="1"/>
  <c r="E236" i="10"/>
  <c r="H236" i="10" s="1"/>
  <c r="I85" i="10"/>
  <c r="E250" i="10"/>
  <c r="H250" i="10" s="1"/>
  <c r="J250" i="10" s="1"/>
  <c r="K250" i="10" s="1"/>
  <c r="I126" i="10"/>
  <c r="E23" i="10"/>
  <c r="H23" i="10" s="1"/>
  <c r="J23" i="10" s="1"/>
  <c r="K23" i="10" s="1"/>
  <c r="I105" i="10"/>
  <c r="I315" i="10"/>
  <c r="I284" i="10"/>
  <c r="E249" i="10"/>
  <c r="H249" i="10" s="1"/>
  <c r="E252" i="10"/>
  <c r="H252" i="10" s="1"/>
  <c r="E285" i="10"/>
  <c r="H285" i="10" s="1"/>
  <c r="E207" i="10"/>
  <c r="H207" i="10" s="1"/>
  <c r="E209" i="10"/>
  <c r="H209" i="10" s="1"/>
  <c r="I214" i="10"/>
  <c r="E237" i="10"/>
  <c r="H237" i="10" s="1"/>
  <c r="I145" i="10"/>
  <c r="I84" i="10"/>
  <c r="E139" i="10"/>
  <c r="H139" i="10" s="1"/>
  <c r="E254" i="10"/>
  <c r="H254" i="10" s="1"/>
  <c r="I232" i="10"/>
  <c r="I154" i="10"/>
  <c r="E255" i="10"/>
  <c r="H255" i="10" s="1"/>
  <c r="J255" i="10" s="1"/>
  <c r="K255" i="10" s="1"/>
  <c r="E265" i="10"/>
  <c r="H265" i="10" s="1"/>
  <c r="E80" i="10"/>
  <c r="H80" i="10" s="1"/>
  <c r="E239" i="10"/>
  <c r="H239" i="10" s="1"/>
  <c r="I160" i="10"/>
  <c r="E161" i="10"/>
  <c r="H161" i="10" s="1"/>
  <c r="J161" i="10" s="1"/>
  <c r="K161" i="10" s="1"/>
  <c r="I129" i="10"/>
  <c r="I55" i="10"/>
  <c r="E126" i="10"/>
  <c r="H126" i="10" s="1"/>
  <c r="I241" i="10"/>
  <c r="I239" i="10"/>
  <c r="I130" i="10"/>
  <c r="E283" i="10"/>
  <c r="H283" i="10" s="1"/>
  <c r="I226" i="10"/>
  <c r="E27" i="10"/>
  <c r="H27" i="10" s="1"/>
  <c r="I270" i="10"/>
  <c r="E315" i="10"/>
  <c r="H315" i="10" s="1"/>
  <c r="E114" i="10"/>
  <c r="H114" i="10" s="1"/>
  <c r="I323" i="10"/>
  <c r="I282" i="10"/>
  <c r="I125" i="10"/>
  <c r="E215" i="10"/>
  <c r="H215" i="10" s="1"/>
  <c r="E262" i="10"/>
  <c r="H262" i="10" s="1"/>
  <c r="E247" i="10"/>
  <c r="H247" i="10" s="1"/>
  <c r="E142" i="10"/>
  <c r="H142" i="10" s="1"/>
  <c r="J142" i="10" s="1"/>
  <c r="K142" i="10" s="1"/>
  <c r="I101" i="10"/>
  <c r="I77" i="10"/>
  <c r="E310" i="10"/>
  <c r="H310" i="10" s="1"/>
  <c r="I309" i="10"/>
  <c r="I227" i="10"/>
  <c r="I228" i="10"/>
  <c r="E271" i="10"/>
  <c r="H271" i="10" s="1"/>
  <c r="E197" i="10"/>
  <c r="H197" i="10" s="1"/>
  <c r="E272" i="10"/>
  <c r="H272" i="10" s="1"/>
  <c r="E222" i="10"/>
  <c r="H222" i="10" s="1"/>
  <c r="E181" i="10"/>
  <c r="H181" i="10" s="1"/>
  <c r="I209" i="10"/>
  <c r="E180" i="10"/>
  <c r="H180" i="10" s="1"/>
  <c r="I238" i="10"/>
  <c r="E144" i="10"/>
  <c r="H144" i="10" s="1"/>
  <c r="I128" i="10"/>
  <c r="E52" i="10"/>
  <c r="H52" i="10" s="1"/>
  <c r="J52" i="10" s="1"/>
  <c r="K52" i="10" s="1"/>
  <c r="I83" i="10"/>
  <c r="I135" i="10"/>
  <c r="I59" i="10"/>
  <c r="I151" i="10"/>
  <c r="E128" i="10"/>
  <c r="H128" i="10" s="1"/>
  <c r="I64" i="10"/>
  <c r="I37" i="10"/>
  <c r="I30" i="10"/>
  <c r="I48" i="10"/>
  <c r="E81" i="10"/>
  <c r="H81" i="10" s="1"/>
  <c r="I147" i="10"/>
  <c r="I231" i="10"/>
  <c r="I220" i="10"/>
  <c r="I169" i="10"/>
  <c r="E141" i="10"/>
  <c r="H141" i="10" s="1"/>
  <c r="E179" i="10"/>
  <c r="H179" i="10" s="1"/>
  <c r="I80" i="10"/>
  <c r="I56" i="10"/>
  <c r="I137" i="10"/>
  <c r="E58" i="10"/>
  <c r="H58" i="10" s="1"/>
  <c r="I111" i="10"/>
  <c r="I277" i="10"/>
  <c r="E217" i="10"/>
  <c r="H217" i="10" s="1"/>
  <c r="I134" i="10"/>
  <c r="E325" i="10"/>
  <c r="H325" i="10" s="1"/>
  <c r="E318" i="10"/>
  <c r="H318" i="10" s="1"/>
  <c r="E51" i="10"/>
  <c r="H51" i="10" s="1"/>
  <c r="I256" i="10"/>
  <c r="E14" i="10"/>
  <c r="H14" i="10" s="1"/>
  <c r="E185" i="10"/>
  <c r="H185" i="10" s="1"/>
  <c r="E282" i="10"/>
  <c r="H282" i="10" s="1"/>
  <c r="I199" i="10"/>
  <c r="I124" i="10"/>
  <c r="I208" i="10"/>
  <c r="E314" i="10"/>
  <c r="H314" i="10" s="1"/>
  <c r="I198" i="10"/>
  <c r="E133" i="10"/>
  <c r="H133" i="10" s="1"/>
  <c r="I24" i="10"/>
  <c r="E223" i="10"/>
  <c r="H223" i="10" s="1"/>
  <c r="E220" i="10"/>
  <c r="H220" i="10" s="1"/>
  <c r="I171" i="10"/>
  <c r="E59" i="10"/>
  <c r="H59" i="10" s="1"/>
  <c r="E121" i="10"/>
  <c r="H121" i="10" s="1"/>
  <c r="E43" i="10"/>
  <c r="H43" i="10" s="1"/>
  <c r="I325" i="10"/>
  <c r="E11" i="10"/>
  <c r="H11" i="10" s="1"/>
  <c r="E120" i="10"/>
  <c r="H120" i="10" s="1"/>
  <c r="I168" i="10"/>
  <c r="E301" i="10"/>
  <c r="H301" i="10" s="1"/>
  <c r="I244" i="10"/>
  <c r="E134" i="10"/>
  <c r="H134" i="10" s="1"/>
  <c r="I50" i="10"/>
  <c r="E260" i="10"/>
  <c r="H260" i="10" s="1"/>
  <c r="I32" i="10"/>
  <c r="E37" i="10"/>
  <c r="H37" i="10" s="1"/>
  <c r="J37" i="10" s="1"/>
  <c r="K37" i="10" s="1"/>
  <c r="I183" i="10"/>
  <c r="E172" i="10"/>
  <c r="H172" i="10" s="1"/>
  <c r="E212" i="10"/>
  <c r="H212" i="10" s="1"/>
  <c r="I150" i="10"/>
  <c r="E22" i="10"/>
  <c r="H22" i="10" s="1"/>
  <c r="E97" i="10"/>
  <c r="H97" i="10" s="1"/>
  <c r="I205" i="10"/>
  <c r="I324" i="10"/>
  <c r="I7" i="10" s="1"/>
  <c r="E35" i="10"/>
  <c r="H35" i="10" s="1"/>
  <c r="E193" i="10"/>
  <c r="H193" i="10" s="1"/>
  <c r="E307" i="10"/>
  <c r="H307" i="10" s="1"/>
  <c r="I328" i="10"/>
  <c r="E286" i="10"/>
  <c r="H286" i="10" s="1"/>
  <c r="I201" i="10"/>
  <c r="E292" i="10"/>
  <c r="H292" i="10" s="1"/>
  <c r="E229" i="10"/>
  <c r="H229" i="10" s="1"/>
  <c r="I263" i="10"/>
  <c r="E275" i="10"/>
  <c r="H275" i="10" s="1"/>
  <c r="I276" i="10"/>
  <c r="I164" i="10"/>
  <c r="I268" i="10"/>
  <c r="I225" i="10"/>
  <c r="E123" i="10"/>
  <c r="H123" i="10" s="1"/>
  <c r="I185" i="10"/>
  <c r="E64" i="10"/>
  <c r="H64" i="10" s="1"/>
  <c r="I115" i="10"/>
  <c r="I206" i="10"/>
  <c r="E96" i="10"/>
  <c r="H96" i="10" s="1"/>
  <c r="I106" i="10"/>
  <c r="E102" i="10"/>
  <c r="H102" i="10" s="1"/>
  <c r="I29" i="10"/>
  <c r="E65" i="10"/>
  <c r="H65" i="10" s="1"/>
  <c r="E20" i="10"/>
  <c r="H20" i="10" s="1"/>
  <c r="E7" i="10"/>
  <c r="E39" i="10"/>
  <c r="H39" i="10" s="1"/>
  <c r="I153" i="10"/>
  <c r="E69" i="10"/>
  <c r="H69" i="10" s="1"/>
  <c r="E31" i="10"/>
  <c r="H31" i="10" s="1"/>
  <c r="I280" i="10"/>
  <c r="I291" i="10"/>
  <c r="E269" i="10"/>
  <c r="H269" i="10" s="1"/>
  <c r="J269" i="10" s="1"/>
  <c r="K269" i="10" s="1"/>
  <c r="I181" i="10"/>
  <c r="I194" i="10"/>
  <c r="I203" i="10"/>
  <c r="E155" i="10"/>
  <c r="H155" i="10" s="1"/>
  <c r="J155" i="10" s="1"/>
  <c r="K155" i="10" s="1"/>
  <c r="E156" i="10"/>
  <c r="H156" i="10" s="1"/>
  <c r="E83" i="10"/>
  <c r="H83" i="10" s="1"/>
  <c r="I12" i="10"/>
  <c r="I10" i="10"/>
  <c r="E98" i="10"/>
  <c r="H98" i="10" s="1"/>
  <c r="E326" i="10"/>
  <c r="H326" i="10" s="1"/>
  <c r="I253" i="10"/>
  <c r="E162" i="10"/>
  <c r="H162" i="10" s="1"/>
  <c r="I127" i="10"/>
  <c r="E259" i="10"/>
  <c r="H259" i="10" s="1"/>
  <c r="E276" i="10"/>
  <c r="H276" i="10" s="1"/>
  <c r="I318" i="10"/>
  <c r="I319" i="10"/>
  <c r="E184" i="10"/>
  <c r="H184" i="10" s="1"/>
  <c r="E104" i="10"/>
  <c r="H104" i="10" s="1"/>
  <c r="I47" i="10"/>
  <c r="E160" i="10"/>
  <c r="H160" i="10" s="1"/>
  <c r="E297" i="10"/>
  <c r="H297" i="10" s="1"/>
  <c r="E258" i="10"/>
  <c r="H258" i="10" s="1"/>
  <c r="I322" i="10"/>
  <c r="E49" i="10"/>
  <c r="H49" i="10" s="1"/>
  <c r="J49" i="10" s="1"/>
  <c r="K49" i="10" s="1"/>
  <c r="E89" i="10"/>
  <c r="H89" i="10" s="1"/>
  <c r="J89" i="10" s="1"/>
  <c r="K89" i="10" s="1"/>
  <c r="I215" i="10"/>
  <c r="I166" i="10"/>
  <c r="E248" i="10"/>
  <c r="H248" i="10" s="1"/>
  <c r="J248" i="10" s="1"/>
  <c r="K248" i="10" s="1"/>
  <c r="E206" i="10"/>
  <c r="H206" i="10" s="1"/>
  <c r="J206" i="10" s="1"/>
  <c r="L206" i="10" s="1"/>
  <c r="M206" i="10" s="1"/>
  <c r="E88" i="10"/>
  <c r="H88" i="10" s="1"/>
  <c r="I300" i="10"/>
  <c r="E45" i="10"/>
  <c r="H45" i="10" s="1"/>
  <c r="E21" i="10"/>
  <c r="H21" i="10" s="1"/>
  <c r="I141" i="10"/>
  <c r="E182" i="10"/>
  <c r="H182" i="10" s="1"/>
  <c r="E199" i="10"/>
  <c r="H199" i="10" s="1"/>
  <c r="J199" i="10" s="1"/>
  <c r="K199" i="10" s="1"/>
  <c r="I86" i="10"/>
  <c r="E322" i="10"/>
  <c r="H322" i="10" s="1"/>
  <c r="I102" i="10"/>
  <c r="E111" i="10"/>
  <c r="H111" i="10" s="1"/>
  <c r="J111" i="10" s="1"/>
  <c r="K111" i="10" s="1"/>
  <c r="E279" i="10"/>
  <c r="H279" i="10" s="1"/>
  <c r="E13" i="10"/>
  <c r="H13" i="10" s="1"/>
  <c r="E183" i="10"/>
  <c r="H183" i="10" s="1"/>
  <c r="J183" i="10" s="1"/>
  <c r="K183" i="10" s="1"/>
  <c r="I305" i="10"/>
  <c r="I316" i="10"/>
  <c r="I292" i="10"/>
  <c r="I326" i="10"/>
  <c r="E240" i="10"/>
  <c r="H240" i="10" s="1"/>
  <c r="I274" i="10"/>
  <c r="I262" i="10"/>
  <c r="E263" i="10"/>
  <c r="H263" i="10" s="1"/>
  <c r="E190" i="10"/>
  <c r="H190" i="10" s="1"/>
  <c r="I152" i="10"/>
  <c r="I195" i="10"/>
  <c r="E192" i="10"/>
  <c r="H192" i="10" s="1"/>
  <c r="E106" i="10"/>
  <c r="H106" i="10" s="1"/>
  <c r="I173" i="10"/>
  <c r="I146" i="10"/>
  <c r="E84" i="10"/>
  <c r="H84" i="10" s="1"/>
  <c r="E256" i="10"/>
  <c r="H256" i="10" s="1"/>
  <c r="I104" i="10"/>
  <c r="E93" i="10"/>
  <c r="H93" i="10" s="1"/>
  <c r="I53" i="10"/>
  <c r="I108" i="10"/>
  <c r="I63" i="10"/>
  <c r="E9" i="10"/>
  <c r="I210" i="10"/>
  <c r="I258" i="10"/>
  <c r="E231" i="10"/>
  <c r="H231" i="10" s="1"/>
  <c r="I190" i="10"/>
  <c r="I121" i="10"/>
  <c r="E147" i="10"/>
  <c r="H147" i="10" s="1"/>
  <c r="J147" i="10" s="1"/>
  <c r="K147" i="10" s="1"/>
  <c r="I82" i="10"/>
  <c r="I35" i="10"/>
  <c r="I107" i="10"/>
  <c r="E221" i="10"/>
  <c r="H221" i="10" s="1"/>
  <c r="J221" i="10" s="1"/>
  <c r="K221" i="10" s="1"/>
  <c r="E273" i="10"/>
  <c r="H273" i="10" s="1"/>
  <c r="E244" i="10"/>
  <c r="H244" i="10" s="1"/>
  <c r="E38" i="10"/>
  <c r="H38" i="10" s="1"/>
  <c r="E149" i="10"/>
  <c r="H149" i="10" s="1"/>
  <c r="E267" i="10"/>
  <c r="H267" i="10" s="1"/>
  <c r="I143" i="10"/>
  <c r="I69" i="10"/>
  <c r="E312" i="10"/>
  <c r="H312" i="10" s="1"/>
  <c r="J312" i="10" s="1"/>
  <c r="K312" i="10" s="1"/>
  <c r="I119" i="10"/>
  <c r="E306" i="10"/>
  <c r="H306" i="10" s="1"/>
  <c r="J306" i="10" s="1"/>
  <c r="K306" i="10" s="1"/>
  <c r="I273" i="10"/>
  <c r="E230" i="10"/>
  <c r="H230" i="10" s="1"/>
  <c r="E75" i="10"/>
  <c r="H75" i="10" s="1"/>
  <c r="E132" i="10"/>
  <c r="H132" i="10" s="1"/>
  <c r="E208" i="10"/>
  <c r="H208" i="10" s="1"/>
  <c r="J208" i="10" s="1"/>
  <c r="K208" i="10" s="1"/>
  <c r="I110" i="10"/>
  <c r="E278" i="10"/>
  <c r="H278" i="10" s="1"/>
  <c r="E186" i="10"/>
  <c r="H186" i="10" s="1"/>
  <c r="E150" i="10"/>
  <c r="H150" i="10" s="1"/>
  <c r="J150" i="10" s="1"/>
  <c r="K150" i="10" s="1"/>
  <c r="E289" i="10"/>
  <c r="H289" i="10" s="1"/>
  <c r="I20" i="10"/>
  <c r="E78" i="10"/>
  <c r="H78" i="10" s="1"/>
  <c r="I114" i="10"/>
  <c r="E198" i="10"/>
  <c r="H198" i="10" s="1"/>
  <c r="I184" i="10"/>
  <c r="E124" i="10"/>
  <c r="H124" i="10" s="1"/>
  <c r="J124" i="10" s="1"/>
  <c r="K124" i="10" s="1"/>
  <c r="E299" i="10"/>
  <c r="H299" i="10" s="1"/>
  <c r="J299" i="10" s="1"/>
  <c r="K299" i="10" s="1"/>
  <c r="I44" i="10"/>
  <c r="E293" i="10"/>
  <c r="H293" i="10" s="1"/>
  <c r="I45" i="10"/>
  <c r="E295" i="10"/>
  <c r="H295" i="10" s="1"/>
  <c r="I304" i="10"/>
  <c r="E323" i="10"/>
  <c r="H323" i="10" s="1"/>
  <c r="J323" i="10" s="1"/>
  <c r="K323" i="10" s="1"/>
  <c r="E235" i="10"/>
  <c r="H235" i="10" s="1"/>
  <c r="I163" i="10"/>
  <c r="E17" i="10"/>
  <c r="H17" i="10" s="1"/>
  <c r="E284" i="10"/>
  <c r="H284" i="10" s="1"/>
  <c r="J284" i="10" s="1"/>
  <c r="K284" i="10" s="1"/>
  <c r="I285" i="10"/>
  <c r="I186" i="10"/>
  <c r="I112" i="10"/>
  <c r="I192" i="10"/>
  <c r="E74" i="10"/>
  <c r="H74" i="10" s="1"/>
  <c r="I193" i="10"/>
  <c r="I176" i="10"/>
  <c r="I251" i="10"/>
  <c r="I13" i="10"/>
  <c r="I321" i="10"/>
  <c r="I257" i="10"/>
  <c r="E204" i="10"/>
  <c r="H204" i="10" s="1"/>
  <c r="E264" i="10"/>
  <c r="H264" i="10" s="1"/>
  <c r="I218" i="10"/>
  <c r="I140" i="10"/>
  <c r="I156" i="10"/>
  <c r="I90" i="10"/>
  <c r="E95" i="10"/>
  <c r="H95" i="10" s="1"/>
  <c r="I132" i="10"/>
  <c r="I76" i="10"/>
  <c r="E66" i="10"/>
  <c r="H66" i="10" s="1"/>
  <c r="I71" i="10"/>
  <c r="I94" i="10"/>
  <c r="I18" i="10"/>
  <c r="E42" i="10"/>
  <c r="H42" i="10" s="1"/>
  <c r="E159" i="10"/>
  <c r="H159" i="10" s="1"/>
  <c r="E47" i="10"/>
  <c r="H47" i="10" s="1"/>
  <c r="I67" i="10"/>
  <c r="E291" i="10"/>
  <c r="H291" i="10" s="1"/>
  <c r="J291" i="10" s="1"/>
  <c r="K291" i="10" s="1"/>
  <c r="I216" i="10"/>
  <c r="I170" i="10"/>
  <c r="E50" i="10"/>
  <c r="H50" i="10" s="1"/>
  <c r="I57" i="10"/>
  <c r="E319" i="10"/>
  <c r="H319" i="10" s="1"/>
  <c r="I240" i="10"/>
  <c r="E316" i="10"/>
  <c r="H316" i="10" s="1"/>
  <c r="J316" i="10" s="1"/>
  <c r="K316" i="10" s="1"/>
  <c r="E213" i="10"/>
  <c r="H213" i="10" s="1"/>
  <c r="I286" i="10"/>
  <c r="I200" i="10"/>
  <c r="E216" i="10"/>
  <c r="H216" i="10" s="1"/>
  <c r="E109" i="10"/>
  <c r="H109" i="10" s="1"/>
  <c r="I65" i="10"/>
  <c r="E90" i="10"/>
  <c r="H90" i="10" s="1"/>
  <c r="J90" i="10" s="1"/>
  <c r="K90" i="10" s="1"/>
  <c r="E119" i="10"/>
  <c r="H119" i="10" s="1"/>
  <c r="J119" i="10" s="1"/>
  <c r="K119" i="10" s="1"/>
  <c r="E41" i="10"/>
  <c r="H41" i="10" s="1"/>
  <c r="E218" i="10"/>
  <c r="H218" i="10" s="1"/>
  <c r="I148" i="10"/>
  <c r="I311" i="10"/>
  <c r="I91" i="10"/>
  <c r="E60" i="10"/>
  <c r="H60" i="10" s="1"/>
  <c r="J60" i="10" s="1"/>
  <c r="K60" i="10" s="1"/>
  <c r="I317" i="10"/>
  <c r="E311" i="10"/>
  <c r="H311" i="10" s="1"/>
  <c r="E188" i="10"/>
  <c r="H188" i="10" s="1"/>
  <c r="I212" i="10"/>
  <c r="E68" i="10"/>
  <c r="H68" i="10" s="1"/>
  <c r="I281" i="10"/>
  <c r="E19" i="10"/>
  <c r="H19" i="10" s="1"/>
  <c r="I182" i="10"/>
  <c r="E30" i="10"/>
  <c r="H30" i="10" s="1"/>
  <c r="J30" i="10" s="1"/>
  <c r="K30" i="10" s="1"/>
  <c r="I98" i="10"/>
  <c r="E169" i="10"/>
  <c r="H169" i="10" s="1"/>
  <c r="I197" i="10"/>
  <c r="E108" i="10"/>
  <c r="H108" i="10" s="1"/>
  <c r="E54" i="10"/>
  <c r="H54" i="10" s="1"/>
  <c r="E302" i="10"/>
  <c r="H302" i="10" s="1"/>
  <c r="I43" i="10"/>
  <c r="I283" i="10"/>
  <c r="E205" i="10"/>
  <c r="H205" i="10" s="1"/>
  <c r="J205" i="10" s="1"/>
  <c r="K205" i="10" s="1"/>
  <c r="I78" i="10"/>
  <c r="I267" i="10"/>
  <c r="I51" i="10"/>
  <c r="I62" i="10"/>
  <c r="E270" i="10"/>
  <c r="H270" i="10" s="1"/>
  <c r="J270" i="10" s="1"/>
  <c r="K270" i="10" s="1"/>
  <c r="E266" i="10"/>
  <c r="H266" i="10" s="1"/>
  <c r="J266" i="10" s="1"/>
  <c r="K266" i="10" s="1"/>
  <c r="I27" i="10"/>
  <c r="I79" i="10"/>
  <c r="I109" i="10"/>
  <c r="I247" i="10"/>
  <c r="E105" i="10"/>
  <c r="H105" i="10" s="1"/>
  <c r="I252" i="10"/>
  <c r="E328" i="10"/>
  <c r="H328" i="10" s="1"/>
  <c r="E243" i="10"/>
  <c r="H243" i="10" s="1"/>
  <c r="I219" i="10"/>
  <c r="I271" i="10"/>
  <c r="E219" i="10"/>
  <c r="H219" i="10" s="1"/>
  <c r="I113" i="10"/>
  <c r="I54" i="10"/>
  <c r="I290" i="10"/>
  <c r="E29" i="10"/>
  <c r="H29" i="10" s="1"/>
  <c r="E300" i="10"/>
  <c r="H300" i="10" s="1"/>
  <c r="J300" i="10" s="1"/>
  <c r="K300" i="10" s="1"/>
  <c r="I138" i="10"/>
  <c r="I237" i="10"/>
  <c r="I95" i="10"/>
  <c r="E100" i="10"/>
  <c r="H100" i="10" s="1"/>
  <c r="I245" i="10"/>
  <c r="E72" i="10"/>
  <c r="H72" i="10" s="1"/>
  <c r="I11" i="10"/>
  <c r="I298" i="10"/>
  <c r="I144" i="10"/>
  <c r="I21" i="10"/>
  <c r="I303" i="10"/>
  <c r="E195" i="10"/>
  <c r="H195" i="10" s="1"/>
  <c r="E63" i="10"/>
  <c r="H63" i="10" s="1"/>
  <c r="E87" i="10"/>
  <c r="H87" i="10" s="1"/>
  <c r="I22" i="10"/>
  <c r="E127" i="10"/>
  <c r="H127" i="10" s="1"/>
  <c r="I38" i="10"/>
  <c r="I99" i="10"/>
  <c r="E203" i="10"/>
  <c r="H203" i="10" s="1"/>
  <c r="I100" i="10"/>
  <c r="E245" i="10"/>
  <c r="H245" i="10" s="1"/>
  <c r="E138" i="10"/>
  <c r="H138" i="10" s="1"/>
  <c r="I308" i="10"/>
  <c r="I278" i="10"/>
  <c r="E253" i="10"/>
  <c r="H253" i="10" s="1"/>
  <c r="J253" i="10" s="1"/>
  <c r="K253" i="10" s="1"/>
  <c r="I302" i="10"/>
  <c r="E177" i="10"/>
  <c r="H177" i="10" s="1"/>
  <c r="E178" i="10"/>
  <c r="H178" i="10" s="1"/>
  <c r="I139" i="10"/>
  <c r="I187" i="10"/>
  <c r="I123" i="10"/>
  <c r="I93" i="10"/>
  <c r="E28" i="10"/>
  <c r="H28" i="10" s="1"/>
  <c r="E103" i="10"/>
  <c r="H103" i="10" s="1"/>
  <c r="J103" i="10" s="1"/>
  <c r="K103" i="10" s="1"/>
  <c r="E15" i="10"/>
  <c r="H15" i="10" s="1"/>
  <c r="I204" i="10"/>
  <c r="E214" i="10"/>
  <c r="H214" i="10" s="1"/>
  <c r="J214" i="10" s="1"/>
  <c r="K214" i="10" s="1"/>
  <c r="E117" i="10"/>
  <c r="H117" i="10" s="1"/>
  <c r="I41" i="10"/>
  <c r="E238" i="10"/>
  <c r="H238" i="10" s="1"/>
  <c r="J238" i="10" s="1"/>
  <c r="K238" i="10" s="1"/>
  <c r="I279" i="10"/>
  <c r="I172" i="10"/>
  <c r="E122" i="10"/>
  <c r="H122" i="10" s="1"/>
  <c r="J122" i="10" s="1"/>
  <c r="K122" i="10" s="1"/>
  <c r="I42" i="10"/>
  <c r="E317" i="10"/>
  <c r="H317" i="10" s="1"/>
  <c r="J317" i="10" s="1"/>
  <c r="K317" i="10" s="1"/>
  <c r="E146" i="10"/>
  <c r="H146" i="10" s="1"/>
  <c r="E113" i="10"/>
  <c r="H113" i="10" s="1"/>
  <c r="I120" i="10"/>
  <c r="I310" i="10"/>
  <c r="I177" i="10"/>
  <c r="I117" i="10"/>
  <c r="I14" i="10"/>
  <c r="I175" i="10"/>
  <c r="E70" i="10"/>
  <c r="H70" i="10" s="1"/>
  <c r="I9" i="10"/>
  <c r="E232" i="10"/>
  <c r="H232" i="10" s="1"/>
  <c r="I189" i="10"/>
  <c r="I174" i="10"/>
  <c r="E77" i="10"/>
  <c r="H77" i="10" s="1"/>
  <c r="J77" i="10" s="1"/>
  <c r="K77" i="10" s="1"/>
  <c r="E294" i="10"/>
  <c r="H294" i="10" s="1"/>
  <c r="J294" i="10" s="1"/>
  <c r="K294" i="10" s="1"/>
  <c r="E125" i="10"/>
  <c r="H125" i="10" s="1"/>
  <c r="I97" i="10"/>
  <c r="E313" i="10"/>
  <c r="H313" i="10" s="1"/>
  <c r="E288" i="10"/>
  <c r="H288" i="10" s="1"/>
  <c r="I33" i="10"/>
  <c r="I243" i="10"/>
  <c r="I58" i="10"/>
  <c r="E298" i="10"/>
  <c r="H298" i="10" s="1"/>
  <c r="J298" i="10" s="1"/>
  <c r="K298" i="10" s="1"/>
  <c r="I222" i="10"/>
  <c r="I249" i="10"/>
  <c r="I288" i="10"/>
  <c r="I217" i="10"/>
  <c r="E176" i="10"/>
  <c r="H176" i="10" s="1"/>
  <c r="J176" i="10" s="1"/>
  <c r="K176" i="10" s="1"/>
  <c r="E131" i="10"/>
  <c r="H131" i="10" s="1"/>
  <c r="J131" i="10" s="1"/>
  <c r="K131" i="10" s="1"/>
  <c r="E171" i="10"/>
  <c r="H171" i="10" s="1"/>
  <c r="E118" i="10"/>
  <c r="H118" i="10" s="1"/>
  <c r="E82" i="10"/>
  <c r="H82" i="10" s="1"/>
  <c r="I17" i="10"/>
  <c r="E44" i="10"/>
  <c r="H44" i="10" s="1"/>
  <c r="J44" i="10" s="1"/>
  <c r="K44" i="10" s="1"/>
  <c r="I26" i="10"/>
  <c r="E324" i="10"/>
  <c r="H324" i="10" s="1"/>
  <c r="I159" i="10"/>
  <c r="I264" i="10"/>
  <c r="E157" i="10"/>
  <c r="H157" i="10" s="1"/>
  <c r="E32" i="10"/>
  <c r="H32" i="10" s="1"/>
  <c r="E303" i="10"/>
  <c r="H303" i="10" s="1"/>
  <c r="J303" i="10" s="1"/>
  <c r="K303" i="10" s="1"/>
  <c r="E251" i="10"/>
  <c r="H251" i="10" s="1"/>
  <c r="I296" i="10"/>
  <c r="I213" i="10"/>
  <c r="I242" i="10"/>
  <c r="E281" i="10"/>
  <c r="H281" i="10" s="1"/>
  <c r="I165" i="10"/>
  <c r="I122" i="10"/>
  <c r="E167" i="10"/>
  <c r="H167" i="10" s="1"/>
  <c r="I66" i="10"/>
  <c r="I70" i="10"/>
  <c r="E154" i="10"/>
  <c r="H154" i="10" s="1"/>
  <c r="E191" i="10"/>
  <c r="H191" i="10" s="1"/>
  <c r="E274" i="10"/>
  <c r="H274" i="10" s="1"/>
  <c r="I92" i="10"/>
  <c r="I40" i="10"/>
  <c r="I75" i="10"/>
  <c r="E163" i="10"/>
  <c r="H163" i="10" s="1"/>
  <c r="I287" i="10"/>
  <c r="E175" i="10"/>
  <c r="H175" i="10" s="1"/>
  <c r="E53" i="10"/>
  <c r="H53" i="10" s="1"/>
  <c r="I34" i="10"/>
  <c r="E34" i="10"/>
  <c r="H34" i="10" s="1"/>
  <c r="I275" i="10"/>
  <c r="E211" i="10"/>
  <c r="H211" i="10" s="1"/>
  <c r="I28" i="10"/>
  <c r="I178" i="10"/>
  <c r="E226" i="10"/>
  <c r="H226" i="10" s="1"/>
  <c r="J226" i="10" s="1"/>
  <c r="K226" i="10" s="1"/>
  <c r="I229" i="10"/>
  <c r="I72" i="10"/>
  <c r="I87" i="10"/>
  <c r="I234" i="10"/>
  <c r="E233" i="10"/>
  <c r="H233" i="10" s="1"/>
  <c r="I136" i="10"/>
  <c r="E166" i="10"/>
  <c r="H166" i="10" s="1"/>
  <c r="I235" i="10"/>
  <c r="I307" i="10"/>
  <c r="E99" i="10"/>
  <c r="H99" i="10" s="1"/>
  <c r="I297" i="10"/>
  <c r="I314" i="10"/>
  <c r="E261" i="10"/>
  <c r="H261" i="10" s="1"/>
  <c r="J261" i="10" s="1"/>
  <c r="K261" i="10" s="1"/>
  <c r="E225" i="10"/>
  <c r="H225" i="10" s="1"/>
  <c r="I188" i="10"/>
  <c r="E187" i="10"/>
  <c r="H187" i="10" s="1"/>
  <c r="E116" i="10"/>
  <c r="H116" i="10" s="1"/>
  <c r="E152" i="10"/>
  <c r="H152" i="10" s="1"/>
  <c r="E136" i="10"/>
  <c r="H136" i="10" s="1"/>
  <c r="J136" i="10" s="1"/>
  <c r="K136" i="10" s="1"/>
  <c r="E73" i="10"/>
  <c r="H73" i="10" s="1"/>
  <c r="J73" i="10" s="1"/>
  <c r="K73" i="10" s="1"/>
  <c r="I46" i="10"/>
  <c r="I96" i="10"/>
  <c r="I167" i="10"/>
  <c r="E135" i="10"/>
  <c r="H135" i="10" s="1"/>
  <c r="E296" i="10"/>
  <c r="H296" i="10" s="1"/>
  <c r="E196" i="10"/>
  <c r="H196" i="10" s="1"/>
  <c r="E173" i="10"/>
  <c r="H173" i="10" s="1"/>
  <c r="J173" i="10" s="1"/>
  <c r="K173" i="10" s="1"/>
  <c r="I301" i="10"/>
  <c r="E24" i="10"/>
  <c r="H24" i="10" s="1"/>
  <c r="I293" i="10"/>
  <c r="E228" i="10"/>
  <c r="H228" i="10" s="1"/>
  <c r="J228" i="10" s="1"/>
  <c r="K228" i="10" s="1"/>
  <c r="I223" i="10"/>
  <c r="E165" i="10"/>
  <c r="H165" i="10" s="1"/>
  <c r="J165" i="10" s="1"/>
  <c r="K165" i="10" s="1"/>
  <c r="E107" i="10"/>
  <c r="H107" i="10" s="1"/>
  <c r="E25" i="10"/>
  <c r="H25" i="10" s="1"/>
  <c r="E18" i="10"/>
  <c r="H18" i="10" s="1"/>
  <c r="E76" i="10"/>
  <c r="H76" i="10" s="1"/>
  <c r="I272" i="10"/>
  <c r="I149" i="10"/>
  <c r="E33" i="10"/>
  <c r="H33" i="10" s="1"/>
  <c r="I295" i="10"/>
  <c r="I207" i="10"/>
  <c r="E110" i="10"/>
  <c r="H110" i="10" s="1"/>
  <c r="J110" i="10" s="1"/>
  <c r="K110" i="10" s="1"/>
  <c r="E62" i="10"/>
  <c r="H62" i="10" s="1"/>
  <c r="E112" i="10"/>
  <c r="H112" i="10" s="1"/>
  <c r="J112" i="10" s="1"/>
  <c r="K112" i="10" s="1"/>
  <c r="I254" i="10"/>
  <c r="I233" i="10"/>
  <c r="I191" i="10"/>
  <c r="I16" i="10"/>
  <c r="I236" i="10"/>
  <c r="I73" i="10"/>
  <c r="E277" i="10"/>
  <c r="H277" i="10" s="1"/>
  <c r="J277" i="10" s="1"/>
  <c r="K277" i="10" s="1"/>
  <c r="I179" i="10"/>
  <c r="E61" i="10"/>
  <c r="H61" i="10" s="1"/>
  <c r="G14" i="2"/>
  <c r="G18" i="2" s="1"/>
  <c r="G12" i="2"/>
  <c r="G7" i="2"/>
  <c r="G8" i="2"/>
  <c r="D320" i="6"/>
  <c r="D321" i="6"/>
  <c r="M9" i="12" l="1"/>
  <c r="L8" i="12"/>
  <c r="L330" i="12"/>
  <c r="L7" i="12" s="1"/>
  <c r="L3" i="12" s="1"/>
  <c r="J79" i="10"/>
  <c r="K79" i="10" s="1"/>
  <c r="AA79" i="10" s="1"/>
  <c r="J42" i="10"/>
  <c r="K42" i="10" s="1"/>
  <c r="J184" i="10"/>
  <c r="K184" i="10" s="1"/>
  <c r="J264" i="10"/>
  <c r="K264" i="10" s="1"/>
  <c r="J88" i="10"/>
  <c r="K88" i="10" s="1"/>
  <c r="L88" i="10" s="1"/>
  <c r="M88" i="10" s="1"/>
  <c r="J296" i="10"/>
  <c r="K296" i="10" s="1"/>
  <c r="J273" i="10"/>
  <c r="K273" i="10" s="1"/>
  <c r="L273" i="10" s="1"/>
  <c r="M273" i="10" s="1"/>
  <c r="J39" i="10"/>
  <c r="K39" i="10" s="1"/>
  <c r="L39" i="10" s="1"/>
  <c r="M39" i="10" s="1"/>
  <c r="J281" i="10"/>
  <c r="K281" i="10" s="1"/>
  <c r="AA281" i="10" s="1"/>
  <c r="J196" i="10"/>
  <c r="K196" i="10" s="1"/>
  <c r="AA196" i="10" s="1"/>
  <c r="J225" i="10"/>
  <c r="K225" i="10" s="1"/>
  <c r="AA225" i="10" s="1"/>
  <c r="J163" i="10"/>
  <c r="K163" i="10" s="1"/>
  <c r="AA163" i="10" s="1"/>
  <c r="J203" i="10"/>
  <c r="K203" i="10" s="1"/>
  <c r="L203" i="10" s="1"/>
  <c r="M203" i="10" s="1"/>
  <c r="J219" i="10"/>
  <c r="K219" i="10" s="1"/>
  <c r="J169" i="10"/>
  <c r="K169" i="10" s="1"/>
  <c r="J213" i="10"/>
  <c r="K213" i="10" s="1"/>
  <c r="AA213" i="10" s="1"/>
  <c r="J244" i="10"/>
  <c r="K244" i="10" s="1"/>
  <c r="L244" i="10" s="1"/>
  <c r="M244" i="10" s="1"/>
  <c r="J13" i="10"/>
  <c r="K13" i="10" s="1"/>
  <c r="L13" i="10" s="1"/>
  <c r="M13" i="10" s="1"/>
  <c r="J282" i="10"/>
  <c r="K282" i="10" s="1"/>
  <c r="L282" i="10" s="1"/>
  <c r="M282" i="10" s="1"/>
  <c r="J224" i="10"/>
  <c r="K224" i="10" s="1"/>
  <c r="AA224" i="10" s="1"/>
  <c r="J143" i="10"/>
  <c r="K143" i="10" s="1"/>
  <c r="AA143" i="10" s="1"/>
  <c r="J164" i="10"/>
  <c r="K164" i="10" s="1"/>
  <c r="L164" i="10" s="1"/>
  <c r="M164" i="10" s="1"/>
  <c r="J189" i="10"/>
  <c r="K189" i="10" s="1"/>
  <c r="AA189" i="10" s="1"/>
  <c r="J10" i="10"/>
  <c r="K10" i="10" s="1"/>
  <c r="L10" i="10" s="1"/>
  <c r="M10" i="10" s="1"/>
  <c r="J62" i="10"/>
  <c r="K62" i="10" s="1"/>
  <c r="AA62" i="10" s="1"/>
  <c r="J125" i="10"/>
  <c r="K125" i="10" s="1"/>
  <c r="AA125" i="10" s="1"/>
  <c r="J68" i="10"/>
  <c r="K68" i="10" s="1"/>
  <c r="J319" i="10"/>
  <c r="K319" i="10" s="1"/>
  <c r="AA319" i="10" s="1"/>
  <c r="J259" i="10"/>
  <c r="K259" i="10" s="1"/>
  <c r="AA259" i="10" s="1"/>
  <c r="J289" i="10"/>
  <c r="K289" i="10" s="1"/>
  <c r="L289" i="10" s="1"/>
  <c r="M289" i="10" s="1"/>
  <c r="J256" i="10"/>
  <c r="K256" i="10" s="1"/>
  <c r="L256" i="10" s="1"/>
  <c r="M256" i="10" s="1"/>
  <c r="J166" i="10"/>
  <c r="K166" i="10" s="1"/>
  <c r="L166" i="10" s="1"/>
  <c r="M166" i="10" s="1"/>
  <c r="J34" i="10"/>
  <c r="K34" i="10" s="1"/>
  <c r="L34" i="10" s="1"/>
  <c r="M34" i="10" s="1"/>
  <c r="J84" i="10"/>
  <c r="K84" i="10" s="1"/>
  <c r="AA84" i="10" s="1"/>
  <c r="J162" i="10"/>
  <c r="K162" i="10" s="1"/>
  <c r="L162" i="10" s="1"/>
  <c r="M162" i="10" s="1"/>
  <c r="J113" i="10"/>
  <c r="K113" i="10" s="1"/>
  <c r="L113" i="10" s="1"/>
  <c r="M113" i="10" s="1"/>
  <c r="J315" i="10"/>
  <c r="K315" i="10" s="1"/>
  <c r="L315" i="10" s="1"/>
  <c r="M315" i="10" s="1"/>
  <c r="J327" i="10"/>
  <c r="K327" i="10" s="1"/>
  <c r="L327" i="10" s="1"/>
  <c r="M327" i="10" s="1"/>
  <c r="J107" i="10"/>
  <c r="K107" i="10" s="1"/>
  <c r="J313" i="10"/>
  <c r="K313" i="10" s="1"/>
  <c r="L313" i="10" s="1"/>
  <c r="M313" i="10" s="1"/>
  <c r="J50" i="10"/>
  <c r="K50" i="10" s="1"/>
  <c r="AA50" i="10" s="1"/>
  <c r="J154" i="10"/>
  <c r="K154" i="10" s="1"/>
  <c r="L154" i="10" s="1"/>
  <c r="M154" i="10" s="1"/>
  <c r="J32" i="10"/>
  <c r="K32" i="10" s="1"/>
  <c r="AA32" i="10" s="1"/>
  <c r="J63" i="10"/>
  <c r="K63" i="10" s="1"/>
  <c r="AA63" i="10" s="1"/>
  <c r="J116" i="10"/>
  <c r="K116" i="10" s="1"/>
  <c r="AA116" i="10" s="1"/>
  <c r="J53" i="10"/>
  <c r="K53" i="10" s="1"/>
  <c r="AA53" i="10" s="1"/>
  <c r="J239" i="10"/>
  <c r="K239" i="10" s="1"/>
  <c r="AA239" i="10" s="1"/>
  <c r="J211" i="10"/>
  <c r="K211" i="10" s="1"/>
  <c r="L211" i="10" s="1"/>
  <c r="M211" i="10" s="1"/>
  <c r="J105" i="10"/>
  <c r="K105" i="10" s="1"/>
  <c r="AA105" i="10" s="1"/>
  <c r="J152" i="10"/>
  <c r="K152" i="10" s="1"/>
  <c r="AA152" i="10" s="1"/>
  <c r="J33" i="10"/>
  <c r="K33" i="10" s="1"/>
  <c r="J175" i="10"/>
  <c r="K175" i="10" s="1"/>
  <c r="J324" i="10"/>
  <c r="K324" i="10" s="1"/>
  <c r="AA324" i="10" s="1"/>
  <c r="J245" i="10"/>
  <c r="J108" i="10"/>
  <c r="K108" i="10" s="1"/>
  <c r="AA108" i="10" s="1"/>
  <c r="J47" i="10"/>
  <c r="L47" i="10" s="1"/>
  <c r="M47" i="10" s="1"/>
  <c r="J31" i="10"/>
  <c r="K31" i="10" s="1"/>
  <c r="L31" i="10" s="1"/>
  <c r="M31" i="10" s="1"/>
  <c r="J171" i="10"/>
  <c r="K171" i="10" s="1"/>
  <c r="AA171" i="10" s="1"/>
  <c r="J232" i="10"/>
  <c r="K232" i="10" s="1"/>
  <c r="AA232" i="10" s="1"/>
  <c r="J265" i="10"/>
  <c r="K265" i="10" s="1"/>
  <c r="L265" i="10" s="1"/>
  <c r="M265" i="10" s="1"/>
  <c r="J135" i="10"/>
  <c r="K135" i="10" s="1"/>
  <c r="L135" i="10" s="1"/>
  <c r="M135" i="10" s="1"/>
  <c r="J82" i="10"/>
  <c r="K82" i="10" s="1"/>
  <c r="AA82" i="10" s="1"/>
  <c r="J198" i="10"/>
  <c r="L198" i="10" s="1"/>
  <c r="M198" i="10" s="1"/>
  <c r="J230" i="10"/>
  <c r="K230" i="10" s="1"/>
  <c r="J260" i="10"/>
  <c r="K260" i="10" s="1"/>
  <c r="L260" i="10" s="1"/>
  <c r="M260" i="10" s="1"/>
  <c r="J132" i="10"/>
  <c r="K132" i="10" s="1"/>
  <c r="L132" i="10" s="1"/>
  <c r="M132" i="10" s="1"/>
  <c r="J283" i="10"/>
  <c r="K283" i="10" s="1"/>
  <c r="L283" i="10" s="1"/>
  <c r="M283" i="10" s="1"/>
  <c r="J76" i="10"/>
  <c r="K76" i="10" s="1"/>
  <c r="L76" i="10" s="1"/>
  <c r="M76" i="10" s="1"/>
  <c r="J70" i="10"/>
  <c r="K70" i="10" s="1"/>
  <c r="L70" i="10" s="1"/>
  <c r="M70" i="10" s="1"/>
  <c r="J83" i="10"/>
  <c r="K83" i="10" s="1"/>
  <c r="L83" i="10" s="1"/>
  <c r="M83" i="10" s="1"/>
  <c r="J18" i="10"/>
  <c r="K18" i="10" s="1"/>
  <c r="AA18" i="10" s="1"/>
  <c r="J25" i="10"/>
  <c r="K25" i="10" s="1"/>
  <c r="L25" i="10" s="1"/>
  <c r="M25" i="10" s="1"/>
  <c r="J118" i="10"/>
  <c r="K118" i="10" s="1"/>
  <c r="AA118" i="10" s="1"/>
  <c r="J288" i="10"/>
  <c r="K288" i="10" s="1"/>
  <c r="L288" i="10" s="1"/>
  <c r="M288" i="10" s="1"/>
  <c r="J127" i="10"/>
  <c r="K127" i="10" s="1"/>
  <c r="J100" i="10"/>
  <c r="K100" i="10" s="1"/>
  <c r="AA100" i="10" s="1"/>
  <c r="J218" i="10"/>
  <c r="K218" i="10" s="1"/>
  <c r="L218" i="10" s="1"/>
  <c r="M218" i="10" s="1"/>
  <c r="J263" i="10"/>
  <c r="K263" i="10" s="1"/>
  <c r="AA263" i="10" s="1"/>
  <c r="J220" i="10"/>
  <c r="K220" i="10" s="1"/>
  <c r="AA220" i="10" s="1"/>
  <c r="J104" i="10"/>
  <c r="K104" i="10" s="1"/>
  <c r="AA104" i="10" s="1"/>
  <c r="J121" i="10"/>
  <c r="K121" i="10" s="1"/>
  <c r="AA121" i="10" s="1"/>
  <c r="J252" i="10"/>
  <c r="K252" i="10" s="1"/>
  <c r="AA252" i="10" s="1"/>
  <c r="J204" i="10"/>
  <c r="K204" i="10" s="1"/>
  <c r="AA204" i="10" s="1"/>
  <c r="J274" i="10"/>
  <c r="K274" i="10" s="1"/>
  <c r="AA274" i="10" s="1"/>
  <c r="J251" i="10"/>
  <c r="K251" i="10" s="1"/>
  <c r="L251" i="10" s="1"/>
  <c r="M251" i="10" s="1"/>
  <c r="J19" i="10"/>
  <c r="K19" i="10" s="1"/>
  <c r="AA19" i="10" s="1"/>
  <c r="J57" i="10"/>
  <c r="K57" i="10" s="1"/>
  <c r="J276" i="10"/>
  <c r="K276" i="10" s="1"/>
  <c r="AA276" i="10" s="1"/>
  <c r="J126" i="10"/>
  <c r="K126" i="10" s="1"/>
  <c r="L126" i="10" s="1"/>
  <c r="M126" i="10" s="1"/>
  <c r="J133" i="10"/>
  <c r="K133" i="10" s="1"/>
  <c r="AA133" i="10" s="1"/>
  <c r="J74" i="10"/>
  <c r="K74" i="10" s="1"/>
  <c r="L74" i="10" s="1"/>
  <c r="M74" i="10" s="1"/>
  <c r="J15" i="10"/>
  <c r="K15" i="10" s="1"/>
  <c r="AA15" i="10" s="1"/>
  <c r="J24" i="10"/>
  <c r="K24" i="10" s="1"/>
  <c r="L24" i="10" s="1"/>
  <c r="M24" i="10" s="1"/>
  <c r="J146" i="10"/>
  <c r="K146" i="10" s="1"/>
  <c r="AA146" i="10" s="1"/>
  <c r="J231" i="10"/>
  <c r="K231" i="10" s="1"/>
  <c r="L231" i="10" s="1"/>
  <c r="M231" i="10" s="1"/>
  <c r="J81" i="10"/>
  <c r="K81" i="10" s="1"/>
  <c r="AA81" i="10" s="1"/>
  <c r="J29" i="10"/>
  <c r="K29" i="10" s="1"/>
  <c r="AA29" i="10" s="1"/>
  <c r="J301" i="10"/>
  <c r="K301" i="10" s="1"/>
  <c r="AA301" i="10" s="1"/>
  <c r="J106" i="10"/>
  <c r="K106" i="10" s="1"/>
  <c r="J64" i="10"/>
  <c r="K64" i="10" s="1"/>
  <c r="J180" i="10"/>
  <c r="K180" i="10" s="1"/>
  <c r="AA180" i="10" s="1"/>
  <c r="AA88" i="10"/>
  <c r="AA261" i="10"/>
  <c r="L261" i="10"/>
  <c r="M261" i="10" s="1"/>
  <c r="J72" i="10"/>
  <c r="K72" i="10" s="1"/>
  <c r="AA316" i="10"/>
  <c r="L316" i="10"/>
  <c r="M316" i="10" s="1"/>
  <c r="L284" i="10"/>
  <c r="M284" i="10" s="1"/>
  <c r="AA284" i="10"/>
  <c r="L184" i="10"/>
  <c r="M184" i="10" s="1"/>
  <c r="AA184" i="10"/>
  <c r="J75" i="10"/>
  <c r="K75" i="10" s="1"/>
  <c r="J279" i="10"/>
  <c r="K279" i="10" s="1"/>
  <c r="J123" i="10"/>
  <c r="K123" i="10" s="1"/>
  <c r="J307" i="10"/>
  <c r="K307" i="10" s="1"/>
  <c r="J59" i="10"/>
  <c r="L59" i="10" s="1"/>
  <c r="M59" i="10" s="1"/>
  <c r="J185" i="10"/>
  <c r="K185" i="10" s="1"/>
  <c r="J181" i="10"/>
  <c r="K181" i="10" s="1"/>
  <c r="J247" i="10"/>
  <c r="K247" i="10" s="1"/>
  <c r="J249" i="10"/>
  <c r="K249" i="10" s="1"/>
  <c r="J115" i="10"/>
  <c r="K115" i="10" s="1"/>
  <c r="J194" i="10"/>
  <c r="K194" i="10" s="1"/>
  <c r="AA169" i="10"/>
  <c r="L169" i="10"/>
  <c r="M169" i="10" s="1"/>
  <c r="AA142" i="10"/>
  <c r="L142" i="10"/>
  <c r="M142" i="10" s="1"/>
  <c r="J91" i="10"/>
  <c r="K91" i="10" s="1"/>
  <c r="L226" i="10"/>
  <c r="M226" i="10" s="1"/>
  <c r="AA226" i="10"/>
  <c r="L82" i="10"/>
  <c r="M82" i="10" s="1"/>
  <c r="AA30" i="10"/>
  <c r="L30" i="10"/>
  <c r="M30" i="10" s="1"/>
  <c r="J17" i="10"/>
  <c r="K17" i="10" s="1"/>
  <c r="AA230" i="10"/>
  <c r="L230" i="10"/>
  <c r="M230" i="10" s="1"/>
  <c r="L221" i="10"/>
  <c r="M221" i="10" s="1"/>
  <c r="AA221" i="10"/>
  <c r="J190" i="10"/>
  <c r="K190" i="10" s="1"/>
  <c r="AA111" i="10"/>
  <c r="L111" i="10"/>
  <c r="M111" i="10" s="1"/>
  <c r="L248" i="10"/>
  <c r="M248" i="10" s="1"/>
  <c r="AA248" i="10"/>
  <c r="J156" i="10"/>
  <c r="K156" i="10" s="1"/>
  <c r="J193" i="10"/>
  <c r="K193" i="10" s="1"/>
  <c r="J14" i="10"/>
  <c r="K14" i="10" s="1"/>
  <c r="J128" i="10"/>
  <c r="K128" i="10" s="1"/>
  <c r="J222" i="10"/>
  <c r="K222" i="10" s="1"/>
  <c r="J262" i="10"/>
  <c r="K262" i="10" s="1"/>
  <c r="J305" i="10"/>
  <c r="K305" i="10" s="1"/>
  <c r="J26" i="10"/>
  <c r="K26" i="10" s="1"/>
  <c r="J174" i="10"/>
  <c r="L174" i="10" s="1"/>
  <c r="M174" i="10" s="1"/>
  <c r="J200" i="10"/>
  <c r="K200" i="10" s="1"/>
  <c r="J92" i="10"/>
  <c r="K92" i="10" s="1"/>
  <c r="J46" i="10"/>
  <c r="L46" i="10" s="1"/>
  <c r="M46" i="10" s="1"/>
  <c r="H9" i="10"/>
  <c r="E8" i="10"/>
  <c r="E330" i="10"/>
  <c r="L296" i="10"/>
  <c r="M296" i="10" s="1"/>
  <c r="AA296" i="10"/>
  <c r="L238" i="10"/>
  <c r="M238" i="10" s="1"/>
  <c r="AA238" i="10"/>
  <c r="J178" i="10"/>
  <c r="K178" i="10" s="1"/>
  <c r="L127" i="10"/>
  <c r="M127" i="10" s="1"/>
  <c r="AA127" i="10"/>
  <c r="J243" i="10"/>
  <c r="K243" i="10" s="1"/>
  <c r="L319" i="10"/>
  <c r="M319" i="10" s="1"/>
  <c r="AA155" i="10"/>
  <c r="L155" i="10"/>
  <c r="M155" i="10" s="1"/>
  <c r="J20" i="10"/>
  <c r="K20" i="10" s="1"/>
  <c r="J35" i="10"/>
  <c r="K35" i="10" s="1"/>
  <c r="J179" i="10"/>
  <c r="K179" i="10" s="1"/>
  <c r="J272" i="10"/>
  <c r="K272" i="10" s="1"/>
  <c r="J215" i="10"/>
  <c r="K215" i="10" s="1"/>
  <c r="J254" i="10"/>
  <c r="K254" i="10" s="1"/>
  <c r="J130" i="10"/>
  <c r="K130" i="10" s="1"/>
  <c r="J257" i="10"/>
  <c r="K257" i="10" s="1"/>
  <c r="J168" i="10"/>
  <c r="K168" i="10" s="1"/>
  <c r="J40" i="10"/>
  <c r="K40" i="10" s="1"/>
  <c r="J158" i="10"/>
  <c r="K158" i="10" s="1"/>
  <c r="J287" i="10"/>
  <c r="K287" i="10" s="1"/>
  <c r="L42" i="10"/>
  <c r="M42" i="10" s="1"/>
  <c r="AA42" i="10"/>
  <c r="AA107" i="10"/>
  <c r="L107" i="10"/>
  <c r="M107" i="10" s="1"/>
  <c r="J99" i="10"/>
  <c r="K99" i="10" s="1"/>
  <c r="L171" i="10"/>
  <c r="M171" i="10" s="1"/>
  <c r="J177" i="10"/>
  <c r="K177" i="10" s="1"/>
  <c r="J328" i="10"/>
  <c r="K328" i="10" s="1"/>
  <c r="J41" i="10"/>
  <c r="K41" i="10" s="1"/>
  <c r="AA57" i="10"/>
  <c r="L57" i="10"/>
  <c r="M57" i="10" s="1"/>
  <c r="J66" i="10"/>
  <c r="K66" i="10" s="1"/>
  <c r="J235" i="10"/>
  <c r="K235" i="10" s="1"/>
  <c r="J78" i="10"/>
  <c r="K78" i="10" s="1"/>
  <c r="AA306" i="10"/>
  <c r="L306" i="10"/>
  <c r="M306" i="10" s="1"/>
  <c r="J93" i="10"/>
  <c r="K93" i="10" s="1"/>
  <c r="J322" i="10"/>
  <c r="K322" i="10" s="1"/>
  <c r="J65" i="10"/>
  <c r="K65" i="10" s="1"/>
  <c r="J134" i="10"/>
  <c r="K134" i="10" s="1"/>
  <c r="J223" i="10"/>
  <c r="K223" i="10" s="1"/>
  <c r="J51" i="10"/>
  <c r="K51" i="10" s="1"/>
  <c r="J141" i="10"/>
  <c r="K141" i="10" s="1"/>
  <c r="J197" i="10"/>
  <c r="K197" i="10" s="1"/>
  <c r="J139" i="10"/>
  <c r="K139" i="10" s="1"/>
  <c r="J56" i="10"/>
  <c r="K56" i="10" s="1"/>
  <c r="J71" i="10"/>
  <c r="K71" i="10" s="1"/>
  <c r="J48" i="10"/>
  <c r="K48" i="10" s="1"/>
  <c r="J140" i="10"/>
  <c r="K140" i="10" s="1"/>
  <c r="J309" i="10"/>
  <c r="K309" i="10" s="1"/>
  <c r="AA13" i="10"/>
  <c r="AA112" i="10"/>
  <c r="L112" i="10"/>
  <c r="M112" i="10" s="1"/>
  <c r="AA165" i="10"/>
  <c r="L165" i="10"/>
  <c r="M165" i="10" s="1"/>
  <c r="J191" i="10"/>
  <c r="K191" i="10" s="1"/>
  <c r="AA303" i="10"/>
  <c r="L303" i="10"/>
  <c r="M303" i="10" s="1"/>
  <c r="AA131" i="10"/>
  <c r="L131" i="10"/>
  <c r="M131" i="10" s="1"/>
  <c r="J117" i="10"/>
  <c r="K117" i="10" s="1"/>
  <c r="J87" i="10"/>
  <c r="K87" i="10" s="1"/>
  <c r="AA205" i="10"/>
  <c r="L205" i="10"/>
  <c r="M205" i="10" s="1"/>
  <c r="L119" i="10"/>
  <c r="M119" i="10" s="1"/>
  <c r="AA119" i="10"/>
  <c r="L50" i="10"/>
  <c r="M50" i="10" s="1"/>
  <c r="AA323" i="10"/>
  <c r="L323" i="10"/>
  <c r="M323" i="10" s="1"/>
  <c r="L89" i="10"/>
  <c r="M89" i="10" s="1"/>
  <c r="AA89" i="10"/>
  <c r="J318" i="10"/>
  <c r="K318" i="10" s="1"/>
  <c r="J271" i="10"/>
  <c r="K271" i="10" s="1"/>
  <c r="AA23" i="10"/>
  <c r="L23" i="10"/>
  <c r="M23" i="10" s="1"/>
  <c r="J101" i="10"/>
  <c r="K101" i="10" s="1"/>
  <c r="J320" i="10"/>
  <c r="K320" i="10" s="1"/>
  <c r="J246" i="10"/>
  <c r="K246" i="10" s="1"/>
  <c r="L196" i="10"/>
  <c r="M196" i="10" s="1"/>
  <c r="L219" i="10"/>
  <c r="M219" i="10" s="1"/>
  <c r="AA219" i="10"/>
  <c r="L176" i="10"/>
  <c r="M176" i="10" s="1"/>
  <c r="AA176" i="10"/>
  <c r="L125" i="10"/>
  <c r="M125" i="10" s="1"/>
  <c r="L214" i="10"/>
  <c r="M214" i="10" s="1"/>
  <c r="AA214" i="10"/>
  <c r="L253" i="10"/>
  <c r="M253" i="10" s="1"/>
  <c r="AA253" i="10"/>
  <c r="L68" i="10"/>
  <c r="M68" i="10" s="1"/>
  <c r="AA68" i="10"/>
  <c r="L90" i="10"/>
  <c r="M90" i="10" s="1"/>
  <c r="AA90" i="10"/>
  <c r="AA312" i="10"/>
  <c r="L312" i="10"/>
  <c r="M312" i="10" s="1"/>
  <c r="L147" i="10"/>
  <c r="M147" i="10" s="1"/>
  <c r="AA147" i="10"/>
  <c r="J240" i="10"/>
  <c r="K240" i="10" s="1"/>
  <c r="L199" i="10"/>
  <c r="M199" i="10" s="1"/>
  <c r="AA199" i="10"/>
  <c r="AA49" i="10"/>
  <c r="L49" i="10"/>
  <c r="M49" i="10" s="1"/>
  <c r="J102" i="10"/>
  <c r="K102" i="10" s="1"/>
  <c r="J275" i="10"/>
  <c r="K275" i="10" s="1"/>
  <c r="J97" i="10"/>
  <c r="K97" i="10" s="1"/>
  <c r="J325" i="10"/>
  <c r="K325" i="10" s="1"/>
  <c r="J321" i="10"/>
  <c r="K321" i="10" s="1"/>
  <c r="J16" i="10"/>
  <c r="K16" i="10" s="1"/>
  <c r="J201" i="10"/>
  <c r="K201" i="10" s="1"/>
  <c r="J12" i="10"/>
  <c r="K12" i="10" s="1"/>
  <c r="J145" i="10"/>
  <c r="K145" i="10" s="1"/>
  <c r="AA270" i="10"/>
  <c r="L270" i="10"/>
  <c r="M270" i="10" s="1"/>
  <c r="L37" i="10"/>
  <c r="M37" i="10" s="1"/>
  <c r="AA37" i="10"/>
  <c r="AA110" i="10"/>
  <c r="L110" i="10"/>
  <c r="M110" i="10" s="1"/>
  <c r="AA228" i="10"/>
  <c r="L228" i="10"/>
  <c r="M228" i="10" s="1"/>
  <c r="AA136" i="10"/>
  <c r="L136" i="10"/>
  <c r="M136" i="10" s="1"/>
  <c r="J157" i="10"/>
  <c r="K157" i="10" s="1"/>
  <c r="AA294" i="10"/>
  <c r="L294" i="10"/>
  <c r="M294" i="10" s="1"/>
  <c r="J195" i="10"/>
  <c r="K195" i="10" s="1"/>
  <c r="L300" i="10"/>
  <c r="M300" i="10" s="1"/>
  <c r="AA300" i="10"/>
  <c r="J95" i="10"/>
  <c r="K95" i="10" s="1"/>
  <c r="J295" i="10"/>
  <c r="K295" i="10" s="1"/>
  <c r="AA150" i="10"/>
  <c r="L150" i="10"/>
  <c r="M150" i="10" s="1"/>
  <c r="J182" i="10"/>
  <c r="K182" i="10" s="1"/>
  <c r="AA269" i="10"/>
  <c r="L269" i="10"/>
  <c r="M269" i="10" s="1"/>
  <c r="J22" i="10"/>
  <c r="K22" i="10" s="1"/>
  <c r="L52" i="10"/>
  <c r="M52" i="10" s="1"/>
  <c r="AA52" i="10"/>
  <c r="J114" i="10"/>
  <c r="K114" i="10" s="1"/>
  <c r="AA161" i="10"/>
  <c r="L161" i="10"/>
  <c r="M161" i="10" s="1"/>
  <c r="J237" i="10"/>
  <c r="K237" i="10" s="1"/>
  <c r="AA250" i="10"/>
  <c r="L250" i="10"/>
  <c r="M250" i="10" s="1"/>
  <c r="J308" i="10"/>
  <c r="K308" i="10" s="1"/>
  <c r="J85" i="10"/>
  <c r="K85" i="10" s="1"/>
  <c r="J304" i="10"/>
  <c r="K304" i="10" s="1"/>
  <c r="J234" i="10"/>
  <c r="K234" i="10" s="1"/>
  <c r="J67" i="10"/>
  <c r="K67" i="10" s="1"/>
  <c r="I8" i="10"/>
  <c r="I330" i="10"/>
  <c r="L124" i="10"/>
  <c r="M124" i="10" s="1"/>
  <c r="AA124" i="10"/>
  <c r="J61" i="10"/>
  <c r="K61" i="10" s="1"/>
  <c r="L152" i="10"/>
  <c r="M152" i="10" s="1"/>
  <c r="AA77" i="10"/>
  <c r="L77" i="10"/>
  <c r="M77" i="10" s="1"/>
  <c r="L15" i="10"/>
  <c r="M15" i="10" s="1"/>
  <c r="L29" i="10"/>
  <c r="M29" i="10" s="1"/>
  <c r="J302" i="10"/>
  <c r="K302" i="10" s="1"/>
  <c r="J188" i="10"/>
  <c r="K188" i="10" s="1"/>
  <c r="J109" i="10"/>
  <c r="K109" i="10" s="1"/>
  <c r="AA291" i="10"/>
  <c r="L291" i="10"/>
  <c r="M291" i="10" s="1"/>
  <c r="J186" i="10"/>
  <c r="K186" i="10" s="1"/>
  <c r="J258" i="10"/>
  <c r="K258" i="10" s="1"/>
  <c r="J96" i="10"/>
  <c r="K96" i="10" s="1"/>
  <c r="J229" i="10"/>
  <c r="K229" i="10" s="1"/>
  <c r="J120" i="10"/>
  <c r="K120" i="10" s="1"/>
  <c r="J314" i="10"/>
  <c r="K314" i="10" s="1"/>
  <c r="J217" i="10"/>
  <c r="K217" i="10" s="1"/>
  <c r="J160" i="10"/>
  <c r="K160" i="10" s="1"/>
  <c r="J137" i="10"/>
  <c r="K137" i="10" s="1"/>
  <c r="J241" i="10"/>
  <c r="K241" i="10" s="1"/>
  <c r="AA327" i="10"/>
  <c r="J280" i="10"/>
  <c r="K280" i="10" s="1"/>
  <c r="L44" i="10"/>
  <c r="M44" i="10" s="1"/>
  <c r="AA44" i="10"/>
  <c r="J233" i="10"/>
  <c r="K233" i="10" s="1"/>
  <c r="J167" i="10"/>
  <c r="K167" i="10" s="1"/>
  <c r="AA103" i="10"/>
  <c r="L103" i="10"/>
  <c r="M103" i="10" s="1"/>
  <c r="J138" i="10"/>
  <c r="K138" i="10" s="1"/>
  <c r="L79" i="10"/>
  <c r="M79" i="10" s="1"/>
  <c r="J54" i="10"/>
  <c r="K54" i="10" s="1"/>
  <c r="J311" i="10"/>
  <c r="K311" i="10" s="1"/>
  <c r="J216" i="10"/>
  <c r="K216" i="10" s="1"/>
  <c r="J293" i="10"/>
  <c r="K293" i="10" s="1"/>
  <c r="J278" i="10"/>
  <c r="K278" i="10" s="1"/>
  <c r="J267" i="10"/>
  <c r="K267" i="10" s="1"/>
  <c r="J21" i="10"/>
  <c r="K21" i="10" s="1"/>
  <c r="J297" i="10"/>
  <c r="K297" i="10" s="1"/>
  <c r="J326" i="10"/>
  <c r="K326" i="10" s="1"/>
  <c r="J292" i="10"/>
  <c r="K292" i="10" s="1"/>
  <c r="J212" i="10"/>
  <c r="K212" i="10" s="1"/>
  <c r="J11" i="10"/>
  <c r="K11" i="10" s="1"/>
  <c r="J144" i="10"/>
  <c r="K144" i="10" s="1"/>
  <c r="J310" i="10"/>
  <c r="K310" i="10" s="1"/>
  <c r="J209" i="10"/>
  <c r="K209" i="10" s="1"/>
  <c r="J236" i="10"/>
  <c r="K236" i="10" s="1"/>
  <c r="J242" i="10"/>
  <c r="K242" i="10" s="1"/>
  <c r="J86" i="10"/>
  <c r="K86" i="10" s="1"/>
  <c r="J151" i="10"/>
  <c r="K151" i="10" s="1"/>
  <c r="J202" i="10"/>
  <c r="K202" i="10" s="1"/>
  <c r="AA264" i="10"/>
  <c r="L264" i="10"/>
  <c r="M264" i="10" s="1"/>
  <c r="AA255" i="10"/>
  <c r="L255" i="10"/>
  <c r="M255" i="10" s="1"/>
  <c r="L73" i="10"/>
  <c r="M73" i="10" s="1"/>
  <c r="AA73" i="10"/>
  <c r="AA33" i="10"/>
  <c r="L33" i="10"/>
  <c r="M33" i="10" s="1"/>
  <c r="J187" i="10"/>
  <c r="K187" i="10" s="1"/>
  <c r="L175" i="10"/>
  <c r="M175" i="10" s="1"/>
  <c r="AA175" i="10"/>
  <c r="AA317" i="10"/>
  <c r="L317" i="10"/>
  <c r="M317" i="10" s="1"/>
  <c r="J28" i="10"/>
  <c r="K28" i="10" s="1"/>
  <c r="J149" i="10"/>
  <c r="K149" i="10" s="1"/>
  <c r="AA106" i="10"/>
  <c r="L106" i="10"/>
  <c r="M106" i="10" s="1"/>
  <c r="J45" i="10"/>
  <c r="K45" i="10" s="1"/>
  <c r="J98" i="10"/>
  <c r="K98" i="10" s="1"/>
  <c r="J172" i="10"/>
  <c r="K172" i="10" s="1"/>
  <c r="J27" i="10"/>
  <c r="K27" i="10" s="1"/>
  <c r="J80" i="10"/>
  <c r="K80" i="10" s="1"/>
  <c r="J207" i="10"/>
  <c r="K207" i="10" s="1"/>
  <c r="J170" i="10"/>
  <c r="K170" i="10" s="1"/>
  <c r="J148" i="10"/>
  <c r="K148" i="10" s="1"/>
  <c r="J268" i="10"/>
  <c r="K268" i="10" s="1"/>
  <c r="J153" i="10"/>
  <c r="K153" i="10" s="1"/>
  <c r="J227" i="10"/>
  <c r="K227" i="10" s="1"/>
  <c r="J290" i="10"/>
  <c r="K290" i="10" s="1"/>
  <c r="AA122" i="10"/>
  <c r="L122" i="10"/>
  <c r="M122" i="10" s="1"/>
  <c r="AA277" i="10"/>
  <c r="L277" i="10"/>
  <c r="M277" i="10" s="1"/>
  <c r="L173" i="10"/>
  <c r="M173" i="10" s="1"/>
  <c r="AA173" i="10"/>
  <c r="AA298" i="10"/>
  <c r="L298" i="10"/>
  <c r="M298" i="10" s="1"/>
  <c r="L232" i="10"/>
  <c r="M232" i="10" s="1"/>
  <c r="L266" i="10"/>
  <c r="M266" i="10" s="1"/>
  <c r="AA266" i="10"/>
  <c r="AA60" i="10"/>
  <c r="L60" i="10"/>
  <c r="M60" i="10" s="1"/>
  <c r="J159" i="10"/>
  <c r="K159" i="10" s="1"/>
  <c r="AA299" i="10"/>
  <c r="L299" i="10"/>
  <c r="M299" i="10" s="1"/>
  <c r="L208" i="10"/>
  <c r="M208" i="10" s="1"/>
  <c r="AA208" i="10"/>
  <c r="J38" i="10"/>
  <c r="K38" i="10" s="1"/>
  <c r="J192" i="10"/>
  <c r="K192" i="10" s="1"/>
  <c r="AA183" i="10"/>
  <c r="L183" i="10"/>
  <c r="M183" i="10" s="1"/>
  <c r="J69" i="10"/>
  <c r="K69" i="10" s="1"/>
  <c r="L64" i="10"/>
  <c r="M64" i="10" s="1"/>
  <c r="AA64" i="10"/>
  <c r="J286" i="10"/>
  <c r="K286" i="10" s="1"/>
  <c r="J43" i="10"/>
  <c r="K43" i="10" s="1"/>
  <c r="J58" i="10"/>
  <c r="K58" i="10" s="1"/>
  <c r="J285" i="10"/>
  <c r="K285" i="10" s="1"/>
  <c r="J129" i="10"/>
  <c r="K129" i="10" s="1"/>
  <c r="J94" i="10"/>
  <c r="K94" i="10" s="1"/>
  <c r="J210" i="10"/>
  <c r="K210" i="10" s="1"/>
  <c r="J55" i="10"/>
  <c r="K55" i="10" s="1"/>
  <c r="AA36" i="10"/>
  <c r="L36" i="10"/>
  <c r="M36" i="10" s="1"/>
  <c r="D36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B5" i="5" s="1"/>
  <c r="H10" i="2"/>
  <c r="H6" i="2"/>
  <c r="H9" i="2" s="1"/>
  <c r="Z27" i="2"/>
  <c r="Z28" i="2" s="1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L21" i="2"/>
  <c r="K21" i="2"/>
  <c r="J21" i="2"/>
  <c r="V13" i="2"/>
  <c r="U13" i="2"/>
  <c r="T13" i="2"/>
  <c r="S13" i="2"/>
  <c r="R13" i="2"/>
  <c r="S10" i="2"/>
  <c r="R10" i="2"/>
  <c r="Q10" i="2"/>
  <c r="P10" i="2"/>
  <c r="O10" i="2"/>
  <c r="N10" i="2"/>
  <c r="L10" i="2"/>
  <c r="K10" i="2"/>
  <c r="J10" i="2"/>
  <c r="I10" i="2"/>
  <c r="AE6" i="2"/>
  <c r="AE9" i="2" s="1"/>
  <c r="AD6" i="2"/>
  <c r="AD9" i="2" s="1"/>
  <c r="AC6" i="2"/>
  <c r="AC9" i="2" s="1"/>
  <c r="AC10" i="2" s="1"/>
  <c r="AB6" i="2"/>
  <c r="AB9" i="2" s="1"/>
  <c r="AA6" i="2"/>
  <c r="AA9" i="2" s="1"/>
  <c r="Z6" i="2"/>
  <c r="Z9" i="2" s="1"/>
  <c r="Y6" i="2"/>
  <c r="Y9" i="2" s="1"/>
  <c r="X6" i="2"/>
  <c r="X7" i="2" s="1"/>
  <c r="W6" i="2"/>
  <c r="W9" i="2" s="1"/>
  <c r="U6" i="2"/>
  <c r="U8" i="2" s="1"/>
  <c r="T6" i="2"/>
  <c r="T9" i="2" s="1"/>
  <c r="S6" i="2"/>
  <c r="S9" i="2" s="1"/>
  <c r="R6" i="2"/>
  <c r="R9" i="2" s="1"/>
  <c r="Q6" i="2"/>
  <c r="Q9" i="2" s="1"/>
  <c r="P6" i="2"/>
  <c r="P7" i="2" s="1"/>
  <c r="O6" i="2"/>
  <c r="O7" i="2" s="1"/>
  <c r="N6" i="2"/>
  <c r="N8" i="2" s="1"/>
  <c r="L6" i="2"/>
  <c r="L8" i="2" s="1"/>
  <c r="K6" i="2"/>
  <c r="K9" i="2" s="1"/>
  <c r="J6" i="2"/>
  <c r="J9" i="2" s="1"/>
  <c r="I6" i="2"/>
  <c r="I9" i="2" s="1"/>
  <c r="V5" i="2"/>
  <c r="V6" i="2" s="1"/>
  <c r="C14" i="5" l="1"/>
  <c r="C13" i="5"/>
  <c r="C11" i="5"/>
  <c r="C9" i="5"/>
  <c r="D15" i="5"/>
  <c r="D14" i="5"/>
  <c r="D13" i="5"/>
  <c r="D11" i="5"/>
  <c r="D9" i="5"/>
  <c r="AA39" i="10"/>
  <c r="L263" i="10"/>
  <c r="M263" i="10" s="1"/>
  <c r="AA76" i="10"/>
  <c r="M8" i="12"/>
  <c r="M330" i="12"/>
  <c r="M7" i="12" s="1"/>
  <c r="N9" i="12" s="1"/>
  <c r="K245" i="10"/>
  <c r="AA245" i="10" s="1"/>
  <c r="AA289" i="10"/>
  <c r="AA34" i="10"/>
  <c r="L252" i="10"/>
  <c r="M252" i="10" s="1"/>
  <c r="L281" i="10"/>
  <c r="M281" i="10" s="1"/>
  <c r="V281" i="10" s="1"/>
  <c r="AA31" i="10"/>
  <c r="AA313" i="10"/>
  <c r="L213" i="10"/>
  <c r="M213" i="10" s="1"/>
  <c r="AA162" i="10"/>
  <c r="AA164" i="10"/>
  <c r="L105" i="10"/>
  <c r="M105" i="10" s="1"/>
  <c r="AA203" i="10"/>
  <c r="L146" i="10"/>
  <c r="M146" i="10" s="1"/>
  <c r="L84" i="10"/>
  <c r="M84" i="10" s="1"/>
  <c r="L189" i="10"/>
  <c r="M189" i="10" s="1"/>
  <c r="V189" i="10" s="1"/>
  <c r="AA251" i="10"/>
  <c r="L53" i="10"/>
  <c r="M53" i="10" s="1"/>
  <c r="AA10" i="10"/>
  <c r="L239" i="10"/>
  <c r="M239" i="10" s="1"/>
  <c r="V239" i="10" s="1"/>
  <c r="L62" i="10"/>
  <c r="M62" i="10" s="1"/>
  <c r="V62" i="10" s="1"/>
  <c r="AA315" i="10"/>
  <c r="L118" i="10"/>
  <c r="M118" i="10" s="1"/>
  <c r="V118" i="10" s="1"/>
  <c r="AA135" i="10"/>
  <c r="L225" i="10"/>
  <c r="M225" i="10" s="1"/>
  <c r="V225" i="10" s="1"/>
  <c r="L276" i="10"/>
  <c r="M276" i="10" s="1"/>
  <c r="AA265" i="10"/>
  <c r="L324" i="10"/>
  <c r="M324" i="10" s="1"/>
  <c r="AA113" i="10"/>
  <c r="AA273" i="10"/>
  <c r="AA166" i="10"/>
  <c r="AA211" i="10"/>
  <c r="L180" i="10"/>
  <c r="M180" i="10" s="1"/>
  <c r="V180" i="10" s="1"/>
  <c r="AA260" i="10"/>
  <c r="L163" i="10"/>
  <c r="M163" i="10" s="1"/>
  <c r="L116" i="10"/>
  <c r="M116" i="10" s="1"/>
  <c r="V116" i="10" s="1"/>
  <c r="L32" i="10"/>
  <c r="M32" i="10" s="1"/>
  <c r="V32" i="10" s="1"/>
  <c r="AA218" i="10"/>
  <c r="L104" i="10"/>
  <c r="M104" i="10" s="1"/>
  <c r="AA74" i="10"/>
  <c r="AA256" i="10"/>
  <c r="L220" i="10"/>
  <c r="M220" i="10" s="1"/>
  <c r="V220" i="10" s="1"/>
  <c r="AA282" i="10"/>
  <c r="AA283" i="10"/>
  <c r="L133" i="10"/>
  <c r="M133" i="10" s="1"/>
  <c r="L63" i="10"/>
  <c r="M63" i="10" s="1"/>
  <c r="V63" i="10" s="1"/>
  <c r="AA154" i="10"/>
  <c r="L100" i="10"/>
  <c r="M100" i="10" s="1"/>
  <c r="L108" i="10"/>
  <c r="M108" i="10" s="1"/>
  <c r="AA132" i="10"/>
  <c r="L224" i="10"/>
  <c r="M224" i="10" s="1"/>
  <c r="AA126" i="10"/>
  <c r="L143" i="10"/>
  <c r="M143" i="10" s="1"/>
  <c r="L259" i="10"/>
  <c r="M259" i="10" s="1"/>
  <c r="AA24" i="10"/>
  <c r="L121" i="10"/>
  <c r="M121" i="10" s="1"/>
  <c r="V121" i="10" s="1"/>
  <c r="AA244" i="10"/>
  <c r="L274" i="10"/>
  <c r="M274" i="10" s="1"/>
  <c r="L19" i="10"/>
  <c r="M19" i="10" s="1"/>
  <c r="L204" i="10"/>
  <c r="M204" i="10" s="1"/>
  <c r="AA231" i="10"/>
  <c r="AA288" i="10"/>
  <c r="L18" i="10"/>
  <c r="M18" i="10" s="1"/>
  <c r="AA83" i="10"/>
  <c r="L301" i="10"/>
  <c r="M301" i="10" s="1"/>
  <c r="V301" i="10" s="1"/>
  <c r="L81" i="10"/>
  <c r="M81" i="10" s="1"/>
  <c r="AA25" i="10"/>
  <c r="AA70" i="10"/>
  <c r="L310" i="10"/>
  <c r="M310" i="10" s="1"/>
  <c r="AA310" i="10"/>
  <c r="AA109" i="10"/>
  <c r="L109" i="10"/>
  <c r="M109" i="10" s="1"/>
  <c r="L177" i="10"/>
  <c r="M177" i="10" s="1"/>
  <c r="AA177" i="10"/>
  <c r="V218" i="10"/>
  <c r="V213" i="10"/>
  <c r="L194" i="10"/>
  <c r="M194" i="10" s="1"/>
  <c r="AA194" i="10"/>
  <c r="L267" i="10"/>
  <c r="M267" i="10" s="1"/>
  <c r="AA267" i="10"/>
  <c r="AA308" i="10"/>
  <c r="L308" i="10"/>
  <c r="M308" i="10" s="1"/>
  <c r="V147" i="10"/>
  <c r="AA272" i="10"/>
  <c r="L272" i="10"/>
  <c r="M272" i="10" s="1"/>
  <c r="L14" i="10"/>
  <c r="M14" i="10" s="1"/>
  <c r="AA14" i="10"/>
  <c r="V83" i="10"/>
  <c r="V299" i="10"/>
  <c r="AA139" i="10"/>
  <c r="L139" i="10"/>
  <c r="M139" i="10" s="1"/>
  <c r="AA93" i="10"/>
  <c r="L93" i="10"/>
  <c r="M93" i="10" s="1"/>
  <c r="V31" i="10"/>
  <c r="V205" i="10"/>
  <c r="V264" i="10"/>
  <c r="L271" i="10"/>
  <c r="M271" i="10" s="1"/>
  <c r="AA271" i="10"/>
  <c r="AA58" i="10"/>
  <c r="L58" i="10"/>
  <c r="M58" i="10" s="1"/>
  <c r="V173" i="10"/>
  <c r="V154" i="10"/>
  <c r="V36" i="10"/>
  <c r="L43" i="10"/>
  <c r="M43" i="10" s="1"/>
  <c r="AA43" i="10"/>
  <c r="L290" i="10"/>
  <c r="M290" i="10" s="1"/>
  <c r="AA290" i="10"/>
  <c r="AA98" i="10"/>
  <c r="L98" i="10"/>
  <c r="M98" i="10" s="1"/>
  <c r="L144" i="10"/>
  <c r="M144" i="10" s="1"/>
  <c r="AA144" i="10"/>
  <c r="AA278" i="10"/>
  <c r="L278" i="10"/>
  <c r="M278" i="10" s="1"/>
  <c r="AA167" i="10"/>
  <c r="L167" i="10"/>
  <c r="M167" i="10" s="1"/>
  <c r="L217" i="10"/>
  <c r="M217" i="10" s="1"/>
  <c r="AA217" i="10"/>
  <c r="AA188" i="10"/>
  <c r="L188" i="10"/>
  <c r="M188" i="10" s="1"/>
  <c r="L61" i="10"/>
  <c r="M61" i="10" s="1"/>
  <c r="AA61" i="10"/>
  <c r="V250" i="10"/>
  <c r="AA97" i="10"/>
  <c r="L97" i="10"/>
  <c r="M97" i="10" s="1"/>
  <c r="V312" i="10"/>
  <c r="L318" i="10"/>
  <c r="M318" i="10" s="1"/>
  <c r="AA318" i="10"/>
  <c r="V306" i="10"/>
  <c r="L179" i="10"/>
  <c r="M179" i="10" s="1"/>
  <c r="AA179" i="10"/>
  <c r="AA115" i="10"/>
  <c r="L115" i="10"/>
  <c r="M115" i="10" s="1"/>
  <c r="L279" i="10"/>
  <c r="M279" i="10" s="1"/>
  <c r="AA279" i="10"/>
  <c r="AA72" i="10"/>
  <c r="L72" i="10"/>
  <c r="M72" i="10" s="1"/>
  <c r="L286" i="10"/>
  <c r="M286" i="10" s="1"/>
  <c r="AA286" i="10"/>
  <c r="L159" i="10"/>
  <c r="M159" i="10" s="1"/>
  <c r="AA159" i="10"/>
  <c r="AA227" i="10"/>
  <c r="L227" i="10"/>
  <c r="M227" i="10" s="1"/>
  <c r="L45" i="10"/>
  <c r="M45" i="10" s="1"/>
  <c r="AA45" i="10"/>
  <c r="AA293" i="10"/>
  <c r="L293" i="10"/>
  <c r="M293" i="10" s="1"/>
  <c r="V132" i="10"/>
  <c r="L314" i="10"/>
  <c r="M314" i="10" s="1"/>
  <c r="AA314" i="10"/>
  <c r="AA302" i="10"/>
  <c r="L302" i="10"/>
  <c r="M302" i="10" s="1"/>
  <c r="L182" i="10"/>
  <c r="M182" i="10" s="1"/>
  <c r="AA182" i="10"/>
  <c r="AA157" i="10"/>
  <c r="L157" i="10"/>
  <c r="M157" i="10" s="1"/>
  <c r="V37" i="10"/>
  <c r="AA275" i="10"/>
  <c r="L275" i="10"/>
  <c r="M275" i="10" s="1"/>
  <c r="V253" i="10"/>
  <c r="AA87" i="10"/>
  <c r="L87" i="10"/>
  <c r="M87" i="10" s="1"/>
  <c r="V126" i="10"/>
  <c r="V313" i="10"/>
  <c r="AA243" i="10"/>
  <c r="L243" i="10"/>
  <c r="M243" i="10" s="1"/>
  <c r="V260" i="10"/>
  <c r="L17" i="10"/>
  <c r="M17" i="10" s="1"/>
  <c r="AA17" i="10"/>
  <c r="AA249" i="10"/>
  <c r="L249" i="10"/>
  <c r="M249" i="10" s="1"/>
  <c r="AA55" i="10"/>
  <c r="L55" i="10"/>
  <c r="M55" i="10" s="1"/>
  <c r="V60" i="10"/>
  <c r="V277" i="10"/>
  <c r="AA153" i="10"/>
  <c r="L153" i="10"/>
  <c r="M153" i="10" s="1"/>
  <c r="V106" i="10"/>
  <c r="AA216" i="10"/>
  <c r="L216" i="10"/>
  <c r="M216" i="10" s="1"/>
  <c r="AA120" i="10"/>
  <c r="L120" i="10"/>
  <c r="M120" i="10" s="1"/>
  <c r="AA237" i="10"/>
  <c r="L237" i="10"/>
  <c r="M237" i="10" s="1"/>
  <c r="V84" i="10"/>
  <c r="AA102" i="10"/>
  <c r="L102" i="10"/>
  <c r="M102" i="10" s="1"/>
  <c r="V289" i="10"/>
  <c r="L117" i="10"/>
  <c r="M117" i="10" s="1"/>
  <c r="AA117" i="10"/>
  <c r="V10" i="10"/>
  <c r="L197" i="10"/>
  <c r="M197" i="10" s="1"/>
  <c r="AA197" i="10"/>
  <c r="AA78" i="10"/>
  <c r="L78" i="10"/>
  <c r="M78" i="10" s="1"/>
  <c r="AA193" i="10"/>
  <c r="L193" i="10"/>
  <c r="M193" i="10" s="1"/>
  <c r="L91" i="10"/>
  <c r="M91" i="10" s="1"/>
  <c r="AA91" i="10"/>
  <c r="L247" i="10"/>
  <c r="M247" i="10" s="1"/>
  <c r="AA247" i="10"/>
  <c r="V70" i="10"/>
  <c r="L210" i="10"/>
  <c r="M210" i="10" s="1"/>
  <c r="AA210" i="10"/>
  <c r="V64" i="10"/>
  <c r="L268" i="10"/>
  <c r="M268" i="10" s="1"/>
  <c r="AA268" i="10"/>
  <c r="AA202" i="10"/>
  <c r="L202" i="10"/>
  <c r="M202" i="10" s="1"/>
  <c r="AA11" i="10"/>
  <c r="L11" i="10"/>
  <c r="M11" i="10" s="1"/>
  <c r="AA311" i="10"/>
  <c r="L311" i="10"/>
  <c r="M311" i="10" s="1"/>
  <c r="L233" i="10"/>
  <c r="M233" i="10" s="1"/>
  <c r="AA233" i="10"/>
  <c r="V44" i="10"/>
  <c r="AA229" i="10"/>
  <c r="L229" i="10"/>
  <c r="M229" i="10" s="1"/>
  <c r="V161" i="10"/>
  <c r="V49" i="10"/>
  <c r="L141" i="10"/>
  <c r="M141" i="10" s="1"/>
  <c r="AA141" i="10"/>
  <c r="AA235" i="10"/>
  <c r="L235" i="10"/>
  <c r="M235" i="10" s="1"/>
  <c r="AA287" i="10"/>
  <c r="L287" i="10"/>
  <c r="M287" i="10" s="1"/>
  <c r="AA35" i="10"/>
  <c r="L35" i="10"/>
  <c r="M35" i="10" s="1"/>
  <c r="AA92" i="10"/>
  <c r="L92" i="10"/>
  <c r="M92" i="10" s="1"/>
  <c r="L156" i="10"/>
  <c r="M156" i="10" s="1"/>
  <c r="AA156" i="10"/>
  <c r="L181" i="10"/>
  <c r="M181" i="10" s="1"/>
  <c r="AA181" i="10"/>
  <c r="L75" i="10"/>
  <c r="M75" i="10" s="1"/>
  <c r="AA75" i="10"/>
  <c r="V261" i="10"/>
  <c r="L94" i="10"/>
  <c r="M94" i="10" s="1"/>
  <c r="AA94" i="10"/>
  <c r="AA69" i="10"/>
  <c r="L69" i="10"/>
  <c r="M69" i="10" s="1"/>
  <c r="AA148" i="10"/>
  <c r="L148" i="10"/>
  <c r="M148" i="10" s="1"/>
  <c r="AA149" i="10"/>
  <c r="L149" i="10"/>
  <c r="M149" i="10" s="1"/>
  <c r="AA187" i="10"/>
  <c r="L187" i="10"/>
  <c r="M187" i="10" s="1"/>
  <c r="L151" i="10"/>
  <c r="M151" i="10" s="1"/>
  <c r="AA151" i="10"/>
  <c r="AA212" i="10"/>
  <c r="L212" i="10"/>
  <c r="M212" i="10" s="1"/>
  <c r="L54" i="10"/>
  <c r="M54" i="10" s="1"/>
  <c r="AA54" i="10"/>
  <c r="AA280" i="10"/>
  <c r="L280" i="10"/>
  <c r="M280" i="10" s="1"/>
  <c r="AA96" i="10"/>
  <c r="L96" i="10"/>
  <c r="M96" i="10" s="1"/>
  <c r="V150" i="10"/>
  <c r="AA145" i="10"/>
  <c r="L145" i="10"/>
  <c r="M145" i="10" s="1"/>
  <c r="V89" i="10"/>
  <c r="AA51" i="10"/>
  <c r="L51" i="10"/>
  <c r="M51" i="10" s="1"/>
  <c r="AA66" i="10"/>
  <c r="L66" i="10"/>
  <c r="M66" i="10" s="1"/>
  <c r="AA158" i="10"/>
  <c r="L158" i="10"/>
  <c r="M158" i="10" s="1"/>
  <c r="L20" i="10"/>
  <c r="M20" i="10" s="1"/>
  <c r="AA20" i="10"/>
  <c r="V296" i="10"/>
  <c r="AA200" i="10"/>
  <c r="L200" i="10"/>
  <c r="M200" i="10" s="1"/>
  <c r="L185" i="10"/>
  <c r="M185" i="10" s="1"/>
  <c r="AA185" i="10"/>
  <c r="L129" i="10"/>
  <c r="M129" i="10" s="1"/>
  <c r="AA129" i="10"/>
  <c r="V283" i="10"/>
  <c r="L170" i="10"/>
  <c r="M170" i="10" s="1"/>
  <c r="AA170" i="10"/>
  <c r="L86" i="10"/>
  <c r="M86" i="10" s="1"/>
  <c r="AA86" i="10"/>
  <c r="L292" i="10"/>
  <c r="M292" i="10" s="1"/>
  <c r="AA292" i="10"/>
  <c r="AA258" i="10"/>
  <c r="L258" i="10"/>
  <c r="M258" i="10" s="1"/>
  <c r="L114" i="10"/>
  <c r="M114" i="10" s="1"/>
  <c r="AA114" i="10"/>
  <c r="V166" i="10"/>
  <c r="AA12" i="10"/>
  <c r="L12" i="10"/>
  <c r="M12" i="10" s="1"/>
  <c r="V196" i="10"/>
  <c r="AA223" i="10"/>
  <c r="L223" i="10"/>
  <c r="M223" i="10" s="1"/>
  <c r="V57" i="10"/>
  <c r="L40" i="10"/>
  <c r="M40" i="10" s="1"/>
  <c r="AA40" i="10"/>
  <c r="V248" i="10"/>
  <c r="AA285" i="10"/>
  <c r="L285" i="10"/>
  <c r="M285" i="10" s="1"/>
  <c r="AA207" i="10"/>
  <c r="L207" i="10"/>
  <c r="M207" i="10" s="1"/>
  <c r="AA242" i="10"/>
  <c r="L242" i="10"/>
  <c r="M242" i="10" s="1"/>
  <c r="L326" i="10"/>
  <c r="M326" i="10" s="1"/>
  <c r="AA326" i="10"/>
  <c r="V79" i="10"/>
  <c r="V24" i="10"/>
  <c r="L186" i="10"/>
  <c r="M186" i="10" s="1"/>
  <c r="AA186" i="10"/>
  <c r="AA295" i="10"/>
  <c r="L295" i="10"/>
  <c r="M295" i="10" s="1"/>
  <c r="AA201" i="10"/>
  <c r="L201" i="10"/>
  <c r="M201" i="10" s="1"/>
  <c r="V199" i="10"/>
  <c r="AA246" i="10"/>
  <c r="L246" i="10"/>
  <c r="M246" i="10" s="1"/>
  <c r="AA309" i="10"/>
  <c r="L309" i="10"/>
  <c r="M309" i="10" s="1"/>
  <c r="AA134" i="10"/>
  <c r="L134" i="10"/>
  <c r="M134" i="10" s="1"/>
  <c r="AA168" i="10"/>
  <c r="L168" i="10"/>
  <c r="M168" i="10" s="1"/>
  <c r="L178" i="10"/>
  <c r="M178" i="10" s="1"/>
  <c r="AA178" i="10"/>
  <c r="L26" i="10"/>
  <c r="M26" i="10" s="1"/>
  <c r="AA26" i="10"/>
  <c r="V111" i="10"/>
  <c r="V104" i="10"/>
  <c r="AA307" i="10"/>
  <c r="L307" i="10"/>
  <c r="M307" i="10" s="1"/>
  <c r="AA192" i="10"/>
  <c r="L192" i="10"/>
  <c r="M192" i="10" s="1"/>
  <c r="L80" i="10"/>
  <c r="M80" i="10" s="1"/>
  <c r="AA80" i="10"/>
  <c r="AA236" i="10"/>
  <c r="L236" i="10"/>
  <c r="M236" i="10" s="1"/>
  <c r="AA297" i="10"/>
  <c r="L297" i="10"/>
  <c r="M297" i="10" s="1"/>
  <c r="AA138" i="10"/>
  <c r="L138" i="10"/>
  <c r="M138" i="10" s="1"/>
  <c r="AA241" i="10"/>
  <c r="L241" i="10"/>
  <c r="M241" i="10" s="1"/>
  <c r="AA67" i="10"/>
  <c r="L67" i="10"/>
  <c r="M67" i="10" s="1"/>
  <c r="V52" i="10"/>
  <c r="L95" i="10"/>
  <c r="M95" i="10" s="1"/>
  <c r="AA95" i="10"/>
  <c r="AA16" i="10"/>
  <c r="L16" i="10"/>
  <c r="M16" i="10" s="1"/>
  <c r="L240" i="10"/>
  <c r="M240" i="10" s="1"/>
  <c r="AA240" i="10"/>
  <c r="V68" i="10"/>
  <c r="V176" i="10"/>
  <c r="AA320" i="10"/>
  <c r="L320" i="10"/>
  <c r="M320" i="10" s="1"/>
  <c r="L191" i="10"/>
  <c r="M191" i="10" s="1"/>
  <c r="AA191" i="10"/>
  <c r="AA140" i="10"/>
  <c r="L140" i="10"/>
  <c r="M140" i="10" s="1"/>
  <c r="AA65" i="10"/>
  <c r="L65" i="10"/>
  <c r="M65" i="10" s="1"/>
  <c r="AA41" i="10"/>
  <c r="L41" i="10"/>
  <c r="M41" i="10" s="1"/>
  <c r="L257" i="10"/>
  <c r="M257" i="10" s="1"/>
  <c r="AA257" i="10"/>
  <c r="L305" i="10"/>
  <c r="M305" i="10" s="1"/>
  <c r="AA305" i="10"/>
  <c r="L123" i="10"/>
  <c r="M123" i="10" s="1"/>
  <c r="AA123" i="10"/>
  <c r="V284" i="10"/>
  <c r="V265" i="10"/>
  <c r="AA38" i="10"/>
  <c r="L38" i="10"/>
  <c r="M38" i="10" s="1"/>
  <c r="L27" i="10"/>
  <c r="M27" i="10" s="1"/>
  <c r="AA27" i="10"/>
  <c r="AA209" i="10"/>
  <c r="L209" i="10"/>
  <c r="M209" i="10" s="1"/>
  <c r="L21" i="10"/>
  <c r="M21" i="10" s="1"/>
  <c r="AA21" i="10"/>
  <c r="V103" i="10"/>
  <c r="L137" i="10"/>
  <c r="M137" i="10" s="1"/>
  <c r="AA137" i="10"/>
  <c r="V74" i="10"/>
  <c r="AA234" i="10"/>
  <c r="L234" i="10"/>
  <c r="M234" i="10" s="1"/>
  <c r="AA22" i="10"/>
  <c r="L22" i="10"/>
  <c r="M22" i="10" s="1"/>
  <c r="AA321" i="10"/>
  <c r="L321" i="10"/>
  <c r="M321" i="10" s="1"/>
  <c r="V105" i="10"/>
  <c r="AA101" i="10"/>
  <c r="L101" i="10"/>
  <c r="M101" i="10" s="1"/>
  <c r="AA48" i="10"/>
  <c r="L48" i="10"/>
  <c r="M48" i="10" s="1"/>
  <c r="V276" i="10"/>
  <c r="AA99" i="10"/>
  <c r="L99" i="10"/>
  <c r="M99" i="10" s="1"/>
  <c r="L130" i="10"/>
  <c r="M130" i="10" s="1"/>
  <c r="AA130" i="10"/>
  <c r="V238" i="10"/>
  <c r="L262" i="10"/>
  <c r="M262" i="10" s="1"/>
  <c r="AA262" i="10"/>
  <c r="AA190" i="10"/>
  <c r="L190" i="10"/>
  <c r="M190" i="10" s="1"/>
  <c r="V244" i="10"/>
  <c r="AA172" i="10"/>
  <c r="L172" i="10"/>
  <c r="M172" i="10" s="1"/>
  <c r="AA28" i="10"/>
  <c r="L28" i="10"/>
  <c r="M28" i="10" s="1"/>
  <c r="AA160" i="10"/>
  <c r="L160" i="10"/>
  <c r="M160" i="10" s="1"/>
  <c r="V291" i="10"/>
  <c r="L304" i="10"/>
  <c r="M304" i="10" s="1"/>
  <c r="AA304" i="10"/>
  <c r="V269" i="10"/>
  <c r="AA325" i="10"/>
  <c r="L325" i="10"/>
  <c r="M325" i="10" s="1"/>
  <c r="V211" i="10"/>
  <c r="L71" i="10"/>
  <c r="M71" i="10" s="1"/>
  <c r="AA71" i="10"/>
  <c r="V107" i="10"/>
  <c r="L254" i="10"/>
  <c r="M254" i="10" s="1"/>
  <c r="AA254" i="10"/>
  <c r="V319" i="10"/>
  <c r="H8" i="10"/>
  <c r="H6" i="10" s="1"/>
  <c r="H330" i="10"/>
  <c r="H7" i="10" s="1"/>
  <c r="J9" i="10"/>
  <c r="AA222" i="10"/>
  <c r="L222" i="10"/>
  <c r="M222" i="10" s="1"/>
  <c r="V122" i="10"/>
  <c r="V317" i="10"/>
  <c r="V231" i="10"/>
  <c r="V152" i="10"/>
  <c r="AA85" i="10"/>
  <c r="L85" i="10"/>
  <c r="M85" i="10" s="1"/>
  <c r="AA195" i="10"/>
  <c r="L195" i="10"/>
  <c r="M195" i="10" s="1"/>
  <c r="L56" i="10"/>
  <c r="M56" i="10" s="1"/>
  <c r="AA56" i="10"/>
  <c r="L322" i="10"/>
  <c r="M322" i="10" s="1"/>
  <c r="AA322" i="10"/>
  <c r="AA328" i="10"/>
  <c r="L328" i="10"/>
  <c r="M328" i="10" s="1"/>
  <c r="AA215" i="10"/>
  <c r="L215" i="10"/>
  <c r="M215" i="10" s="1"/>
  <c r="L128" i="10"/>
  <c r="M128" i="10" s="1"/>
  <c r="AA128" i="10"/>
  <c r="V221" i="10"/>
  <c r="V316" i="10"/>
  <c r="V203" i="10"/>
  <c r="AA7" i="2"/>
  <c r="H8" i="2"/>
  <c r="H7" i="2"/>
  <c r="H12" i="2"/>
  <c r="H14" i="2"/>
  <c r="H18" i="2" s="1"/>
  <c r="L9" i="2"/>
  <c r="L12" i="2" s="1"/>
  <c r="S7" i="2"/>
  <c r="Y7" i="2"/>
  <c r="U9" i="2"/>
  <c r="U10" i="2" s="1"/>
  <c r="J7" i="2"/>
  <c r="Q7" i="2"/>
  <c r="K14" i="2"/>
  <c r="K18" i="2" s="1"/>
  <c r="K12" i="2"/>
  <c r="I14" i="2"/>
  <c r="I18" i="2" s="1"/>
  <c r="I12" i="2"/>
  <c r="R14" i="2"/>
  <c r="R18" i="2" s="1"/>
  <c r="R12" i="2"/>
  <c r="AA14" i="2"/>
  <c r="AA10" i="2"/>
  <c r="AA12" i="2" s="1"/>
  <c r="J14" i="2"/>
  <c r="J18" i="2" s="1"/>
  <c r="J12" i="2"/>
  <c r="S14" i="2"/>
  <c r="S18" i="2" s="1"/>
  <c r="S12" i="2"/>
  <c r="AB14" i="2"/>
  <c r="Y22" i="2" s="1"/>
  <c r="AB10" i="2"/>
  <c r="AB12" i="2"/>
  <c r="W14" i="2"/>
  <c r="W18" i="2" s="1"/>
  <c r="W10" i="2"/>
  <c r="W12" i="2" s="1"/>
  <c r="AE10" i="2"/>
  <c r="AE12" i="2" s="1"/>
  <c r="AE14" i="2"/>
  <c r="AB22" i="2" s="1"/>
  <c r="T14" i="2"/>
  <c r="T18" i="2" s="1"/>
  <c r="T10" i="2"/>
  <c r="T12" i="2" s="1"/>
  <c r="AD10" i="2"/>
  <c r="AD12" i="2" s="1"/>
  <c r="AD14" i="2"/>
  <c r="AA22" i="2" s="1"/>
  <c r="Y14" i="2"/>
  <c r="Y18" i="2" s="1"/>
  <c r="Y10" i="2"/>
  <c r="Y12" i="2" s="1"/>
  <c r="V8" i="2"/>
  <c r="V7" i="2"/>
  <c r="Q12" i="2"/>
  <c r="Q14" i="2"/>
  <c r="Q18" i="2" s="1"/>
  <c r="Z14" i="2"/>
  <c r="Z10" i="2"/>
  <c r="Z12" i="2" s="1"/>
  <c r="Z29" i="2"/>
  <c r="Z30" i="2" s="1"/>
  <c r="Z32" i="2" s="1"/>
  <c r="O8" i="2"/>
  <c r="AC14" i="2"/>
  <c r="Z22" i="2" s="1"/>
  <c r="I7" i="2"/>
  <c r="R7" i="2"/>
  <c r="Z7" i="2"/>
  <c r="P8" i="2"/>
  <c r="X8" i="2"/>
  <c r="N9" i="2"/>
  <c r="V9" i="2"/>
  <c r="Y8" i="2"/>
  <c r="K7" i="2"/>
  <c r="T7" i="2"/>
  <c r="I8" i="2"/>
  <c r="R8" i="2"/>
  <c r="Z8" i="2"/>
  <c r="P9" i="2"/>
  <c r="X9" i="2"/>
  <c r="W8" i="2"/>
  <c r="Q8" i="2"/>
  <c r="O9" i="2"/>
  <c r="L7" i="2"/>
  <c r="U7" i="2"/>
  <c r="J8" i="2"/>
  <c r="S8" i="2"/>
  <c r="AA8" i="2"/>
  <c r="AC12" i="2"/>
  <c r="N7" i="2"/>
  <c r="K8" i="2"/>
  <c r="T8" i="2"/>
  <c r="W7" i="2"/>
  <c r="O9" i="12" l="1"/>
  <c r="N303" i="12"/>
  <c r="O303" i="12" s="1"/>
  <c r="N75" i="12"/>
  <c r="O75" i="12" s="1"/>
  <c r="N235" i="12"/>
  <c r="O235" i="12" s="1"/>
  <c r="N174" i="12"/>
  <c r="O174" i="12" s="1"/>
  <c r="N163" i="12"/>
  <c r="O163" i="12" s="1"/>
  <c r="V163" i="12" s="1"/>
  <c r="N122" i="12"/>
  <c r="O122" i="12" s="1"/>
  <c r="N188" i="12"/>
  <c r="O188" i="12" s="1"/>
  <c r="V188" i="12" s="1"/>
  <c r="N114" i="12"/>
  <c r="O114" i="12" s="1"/>
  <c r="N50" i="12"/>
  <c r="O50" i="12" s="1"/>
  <c r="N26" i="12"/>
  <c r="O26" i="12" s="1"/>
  <c r="N80" i="12"/>
  <c r="O80" i="12" s="1"/>
  <c r="N295" i="12"/>
  <c r="O295" i="12" s="1"/>
  <c r="N113" i="12"/>
  <c r="O113" i="12" s="1"/>
  <c r="V113" i="12" s="1"/>
  <c r="N165" i="12"/>
  <c r="O165" i="12" s="1"/>
  <c r="N274" i="12"/>
  <c r="O274" i="12" s="1"/>
  <c r="N245" i="12"/>
  <c r="O245" i="12" s="1"/>
  <c r="N175" i="12"/>
  <c r="O175" i="12" s="1"/>
  <c r="N49" i="12"/>
  <c r="O49" i="12" s="1"/>
  <c r="N160" i="12"/>
  <c r="O160" i="12" s="1"/>
  <c r="N208" i="12"/>
  <c r="O208" i="12" s="1"/>
  <c r="N86" i="12"/>
  <c r="O86" i="12" s="1"/>
  <c r="N220" i="12"/>
  <c r="O220" i="12" s="1"/>
  <c r="N159" i="12"/>
  <c r="O159" i="12" s="1"/>
  <c r="N46" i="12"/>
  <c r="O46" i="12" s="1"/>
  <c r="N133" i="12"/>
  <c r="O133" i="12" s="1"/>
  <c r="N210" i="12"/>
  <c r="O210" i="12" s="1"/>
  <c r="N23" i="12"/>
  <c r="O23" i="12" s="1"/>
  <c r="N29" i="12"/>
  <c r="O29" i="12" s="1"/>
  <c r="N131" i="12"/>
  <c r="O131" i="12" s="1"/>
  <c r="V131" i="12" s="1"/>
  <c r="N203" i="12"/>
  <c r="O203" i="12" s="1"/>
  <c r="N282" i="12"/>
  <c r="O282" i="12" s="1"/>
  <c r="N229" i="12"/>
  <c r="O229" i="12" s="1"/>
  <c r="N252" i="12"/>
  <c r="O252" i="12" s="1"/>
  <c r="N215" i="12"/>
  <c r="O215" i="12" s="1"/>
  <c r="N28" i="12"/>
  <c r="O28" i="12" s="1"/>
  <c r="N61" i="12"/>
  <c r="O61" i="12" s="1"/>
  <c r="N286" i="12"/>
  <c r="O286" i="12" s="1"/>
  <c r="N234" i="12"/>
  <c r="O234" i="12" s="1"/>
  <c r="N81" i="12"/>
  <c r="O81" i="12" s="1"/>
  <c r="N166" i="12"/>
  <c r="O166" i="12" s="1"/>
  <c r="N265" i="12"/>
  <c r="O265" i="12" s="1"/>
  <c r="N19" i="12"/>
  <c r="O19" i="12" s="1"/>
  <c r="N47" i="12"/>
  <c r="O47" i="12" s="1"/>
  <c r="N60" i="12"/>
  <c r="O60" i="12" s="1"/>
  <c r="N192" i="12"/>
  <c r="O192" i="12" s="1"/>
  <c r="N288" i="12"/>
  <c r="O288" i="12" s="1"/>
  <c r="N63" i="12"/>
  <c r="O63" i="12" s="1"/>
  <c r="N292" i="12"/>
  <c r="O292" i="12" s="1"/>
  <c r="N211" i="12"/>
  <c r="O211" i="12" s="1"/>
  <c r="N143" i="12"/>
  <c r="O143" i="12" s="1"/>
  <c r="N145" i="12"/>
  <c r="O145" i="12" s="1"/>
  <c r="N187" i="12"/>
  <c r="O187" i="12" s="1"/>
  <c r="V187" i="12" s="1"/>
  <c r="N168" i="12"/>
  <c r="O168" i="12" s="1"/>
  <c r="N72" i="12"/>
  <c r="O72" i="12" s="1"/>
  <c r="N294" i="12"/>
  <c r="O294" i="12" s="1"/>
  <c r="N221" i="12"/>
  <c r="O221" i="12" s="1"/>
  <c r="N44" i="12"/>
  <c r="O44" i="12" s="1"/>
  <c r="N40" i="12"/>
  <c r="O40" i="12" s="1"/>
  <c r="N255" i="12"/>
  <c r="O255" i="12" s="1"/>
  <c r="N14" i="12"/>
  <c r="O14" i="12" s="1"/>
  <c r="N135" i="12"/>
  <c r="O135" i="12" s="1"/>
  <c r="N296" i="12"/>
  <c r="O296" i="12" s="1"/>
  <c r="N260" i="12"/>
  <c r="O260" i="12" s="1"/>
  <c r="N306" i="12"/>
  <c r="O306" i="12" s="1"/>
  <c r="N153" i="12"/>
  <c r="O153" i="12" s="1"/>
  <c r="N92" i="12"/>
  <c r="O92" i="12" s="1"/>
  <c r="N95" i="12"/>
  <c r="O95" i="12" s="1"/>
  <c r="N300" i="12"/>
  <c r="O300" i="12" s="1"/>
  <c r="N197" i="12"/>
  <c r="O197" i="12" s="1"/>
  <c r="N281" i="12"/>
  <c r="O281" i="12" s="1"/>
  <c r="N218" i="12"/>
  <c r="O218" i="12" s="1"/>
  <c r="N103" i="12"/>
  <c r="O103" i="12" s="1"/>
  <c r="N196" i="12"/>
  <c r="O196" i="12" s="1"/>
  <c r="N126" i="12"/>
  <c r="O126" i="12" s="1"/>
  <c r="N156" i="12"/>
  <c r="O156" i="12" s="1"/>
  <c r="N246" i="12"/>
  <c r="O246" i="12" s="1"/>
  <c r="N277" i="12"/>
  <c r="O277" i="12" s="1"/>
  <c r="N158" i="12"/>
  <c r="O158" i="12" s="1"/>
  <c r="N37" i="12"/>
  <c r="O37" i="12" s="1"/>
  <c r="N134" i="12"/>
  <c r="O134" i="12" s="1"/>
  <c r="N316" i="12"/>
  <c r="O316" i="12" s="1"/>
  <c r="N20" i="12"/>
  <c r="O20" i="12" s="1"/>
  <c r="N16" i="12"/>
  <c r="O16" i="12" s="1"/>
  <c r="V16" i="12" s="1"/>
  <c r="N180" i="12"/>
  <c r="O180" i="12" s="1"/>
  <c r="N124" i="12"/>
  <c r="O124" i="12" s="1"/>
  <c r="N87" i="12"/>
  <c r="O87" i="12" s="1"/>
  <c r="N157" i="12"/>
  <c r="O157" i="12" s="1"/>
  <c r="V157" i="12" s="1"/>
  <c r="N250" i="12"/>
  <c r="O250" i="12" s="1"/>
  <c r="N243" i="12"/>
  <c r="O243" i="12" s="1"/>
  <c r="N36" i="12"/>
  <c r="O36" i="12" s="1"/>
  <c r="N325" i="12"/>
  <c r="O325" i="12" s="1"/>
  <c r="N82" i="12"/>
  <c r="O82" i="12" s="1"/>
  <c r="N264" i="12"/>
  <c r="O264" i="12" s="1"/>
  <c r="N30" i="12"/>
  <c r="O30" i="12" s="1"/>
  <c r="N25" i="12"/>
  <c r="O25" i="12" s="1"/>
  <c r="N146" i="12"/>
  <c r="O146" i="12" s="1"/>
  <c r="N105" i="12"/>
  <c r="O105" i="12" s="1"/>
  <c r="N322" i="12"/>
  <c r="O322" i="12" s="1"/>
  <c r="N302" i="12"/>
  <c r="O302" i="12" s="1"/>
  <c r="N297" i="12"/>
  <c r="O297" i="12" s="1"/>
  <c r="N38" i="12"/>
  <c r="O38" i="12" s="1"/>
  <c r="N217" i="12"/>
  <c r="O217" i="12" s="1"/>
  <c r="N310" i="12"/>
  <c r="O310" i="12" s="1"/>
  <c r="N96" i="12"/>
  <c r="O96" i="12" s="1"/>
  <c r="N184" i="12"/>
  <c r="O184" i="12" s="1"/>
  <c r="N91" i="12"/>
  <c r="O91" i="12" s="1"/>
  <c r="N70" i="12"/>
  <c r="O70" i="12" s="1"/>
  <c r="N212" i="12"/>
  <c r="O212" i="12" s="1"/>
  <c r="N12" i="12"/>
  <c r="O12" i="12" s="1"/>
  <c r="N147" i="12"/>
  <c r="O147" i="12" s="1"/>
  <c r="N139" i="12"/>
  <c r="O139" i="12" s="1"/>
  <c r="V139" i="12" s="1"/>
  <c r="N127" i="12"/>
  <c r="O127" i="12" s="1"/>
  <c r="N148" i="12"/>
  <c r="O148" i="12" s="1"/>
  <c r="N24" i="12"/>
  <c r="O24" i="12" s="1"/>
  <c r="N123" i="12"/>
  <c r="O123" i="12" s="1"/>
  <c r="N35" i="12"/>
  <c r="O35" i="12" s="1"/>
  <c r="V35" i="12" s="1"/>
  <c r="N276" i="12"/>
  <c r="O276" i="12" s="1"/>
  <c r="N118" i="12"/>
  <c r="O118" i="12" s="1"/>
  <c r="N68" i="12"/>
  <c r="O68" i="12" s="1"/>
  <c r="N318" i="12"/>
  <c r="O318" i="12" s="1"/>
  <c r="V318" i="12" s="1"/>
  <c r="N32" i="12"/>
  <c r="O32" i="12" s="1"/>
  <c r="N249" i="12"/>
  <c r="O249" i="12" s="1"/>
  <c r="N100" i="12"/>
  <c r="O100" i="12" s="1"/>
  <c r="N183" i="12"/>
  <c r="O183" i="12" s="1"/>
  <c r="N104" i="12"/>
  <c r="O104" i="12" s="1"/>
  <c r="N256" i="12"/>
  <c r="O256" i="12" s="1"/>
  <c r="N39" i="12"/>
  <c r="O39" i="12" s="1"/>
  <c r="N108" i="12"/>
  <c r="O108" i="12" s="1"/>
  <c r="N138" i="12"/>
  <c r="O138" i="12" s="1"/>
  <c r="N150" i="12"/>
  <c r="O150" i="12" s="1"/>
  <c r="N173" i="12"/>
  <c r="O173" i="12" s="1"/>
  <c r="N227" i="12"/>
  <c r="O227" i="12" s="1"/>
  <c r="V227" i="12" s="1"/>
  <c r="N22" i="12"/>
  <c r="O22" i="12" s="1"/>
  <c r="N207" i="12"/>
  <c r="O207" i="12" s="1"/>
  <c r="N205" i="12"/>
  <c r="O205" i="12" s="1"/>
  <c r="N34" i="12"/>
  <c r="O34" i="12" s="1"/>
  <c r="N140" i="12"/>
  <c r="O140" i="12" s="1"/>
  <c r="N141" i="12"/>
  <c r="O141" i="12" s="1"/>
  <c r="N62" i="12"/>
  <c r="O62" i="12" s="1"/>
  <c r="N31" i="12"/>
  <c r="O31" i="12" s="1"/>
  <c r="N89" i="12"/>
  <c r="O89" i="12" s="1"/>
  <c r="N232" i="12"/>
  <c r="O232" i="12" s="1"/>
  <c r="N233" i="12"/>
  <c r="O233" i="12" s="1"/>
  <c r="N58" i="12"/>
  <c r="O58" i="12" s="1"/>
  <c r="N328" i="12"/>
  <c r="O328" i="12" s="1"/>
  <c r="N269" i="12"/>
  <c r="O269" i="12" s="1"/>
  <c r="N55" i="12"/>
  <c r="O55" i="12" s="1"/>
  <c r="N280" i="12"/>
  <c r="O280" i="12" s="1"/>
  <c r="N101" i="12"/>
  <c r="O101" i="12" s="1"/>
  <c r="N313" i="12"/>
  <c r="O313" i="12" s="1"/>
  <c r="N161" i="12"/>
  <c r="O161" i="12" s="1"/>
  <c r="N291" i="12"/>
  <c r="O291" i="12" s="1"/>
  <c r="N320" i="12"/>
  <c r="O320" i="12" s="1"/>
  <c r="V320" i="12" s="1"/>
  <c r="N244" i="12"/>
  <c r="O244" i="12" s="1"/>
  <c r="N42" i="12"/>
  <c r="O42" i="12" s="1"/>
  <c r="N54" i="12"/>
  <c r="O54" i="12" s="1"/>
  <c r="N259" i="12"/>
  <c r="O259" i="12" s="1"/>
  <c r="N43" i="12"/>
  <c r="O43" i="12" s="1"/>
  <c r="N201" i="12"/>
  <c r="O201" i="12" s="1"/>
  <c r="N321" i="12"/>
  <c r="O321" i="12" s="1"/>
  <c r="N79" i="12"/>
  <c r="O79" i="12" s="1"/>
  <c r="N102" i="12"/>
  <c r="O102" i="12" s="1"/>
  <c r="N48" i="12"/>
  <c r="O48" i="12" s="1"/>
  <c r="N206" i="12"/>
  <c r="O206" i="12" s="1"/>
  <c r="N53" i="12"/>
  <c r="O53" i="12" s="1"/>
  <c r="N319" i="12"/>
  <c r="O319" i="12" s="1"/>
  <c r="N99" i="12"/>
  <c r="O99" i="12" s="1"/>
  <c r="N219" i="12"/>
  <c r="O219" i="12" s="1"/>
  <c r="N268" i="12"/>
  <c r="O268" i="12" s="1"/>
  <c r="N293" i="12"/>
  <c r="O293" i="12" s="1"/>
  <c r="N199" i="12"/>
  <c r="O199" i="12" s="1"/>
  <c r="N216" i="12"/>
  <c r="O216" i="12" s="1"/>
  <c r="N151" i="12"/>
  <c r="O151" i="12" s="1"/>
  <c r="N311" i="12"/>
  <c r="O311" i="12" s="1"/>
  <c r="N179" i="12"/>
  <c r="O179" i="12" s="1"/>
  <c r="N112" i="12"/>
  <c r="O112" i="12" s="1"/>
  <c r="N261" i="12"/>
  <c r="O261" i="12" s="1"/>
  <c r="N182" i="12"/>
  <c r="O182" i="12" s="1"/>
  <c r="N152" i="12"/>
  <c r="O152" i="12" s="1"/>
  <c r="N15" i="12"/>
  <c r="O15" i="12" s="1"/>
  <c r="N278" i="12"/>
  <c r="O278" i="12" s="1"/>
  <c r="N273" i="12"/>
  <c r="O273" i="12" s="1"/>
  <c r="N272" i="12"/>
  <c r="O272" i="12" s="1"/>
  <c r="N213" i="12"/>
  <c r="O213" i="12" s="1"/>
  <c r="N177" i="12"/>
  <c r="O177" i="12" s="1"/>
  <c r="N254" i="12"/>
  <c r="O254" i="12" s="1"/>
  <c r="N323" i="12"/>
  <c r="O323" i="12" s="1"/>
  <c r="N110" i="12"/>
  <c r="O110" i="12" s="1"/>
  <c r="N57" i="12"/>
  <c r="O57" i="12" s="1"/>
  <c r="N121" i="12"/>
  <c r="O121" i="12" s="1"/>
  <c r="N144" i="12"/>
  <c r="O144" i="12" s="1"/>
  <c r="N27" i="12"/>
  <c r="O27" i="12" s="1"/>
  <c r="N18" i="12"/>
  <c r="O18" i="12" s="1"/>
  <c r="N301" i="12"/>
  <c r="O301" i="12" s="1"/>
  <c r="N52" i="12"/>
  <c r="O52" i="12" s="1"/>
  <c r="N94" i="12"/>
  <c r="O94" i="12" s="1"/>
  <c r="N106" i="12"/>
  <c r="O106" i="12" s="1"/>
  <c r="N237" i="12"/>
  <c r="O237" i="12" s="1"/>
  <c r="N21" i="12"/>
  <c r="O21" i="12" s="1"/>
  <c r="N202" i="12"/>
  <c r="O202" i="12" s="1"/>
  <c r="V202" i="12" s="1"/>
  <c r="N56" i="12"/>
  <c r="O56" i="12" s="1"/>
  <c r="V56" i="12" s="1"/>
  <c r="N171" i="12"/>
  <c r="O171" i="12" s="1"/>
  <c r="V171" i="12" s="1"/>
  <c r="N51" i="12"/>
  <c r="O51" i="12" s="1"/>
  <c r="N66" i="12"/>
  <c r="O66" i="12" s="1"/>
  <c r="N116" i="12"/>
  <c r="O116" i="12" s="1"/>
  <c r="N181" i="12"/>
  <c r="O181" i="12" s="1"/>
  <c r="N307" i="12"/>
  <c r="O307" i="12" s="1"/>
  <c r="N314" i="12"/>
  <c r="O314" i="12" s="1"/>
  <c r="N284" i="12"/>
  <c r="O284" i="12" s="1"/>
  <c r="N258" i="12"/>
  <c r="O258" i="12" s="1"/>
  <c r="N65" i="12"/>
  <c r="O65" i="12" s="1"/>
  <c r="N164" i="12"/>
  <c r="O164" i="12" s="1"/>
  <c r="N109" i="12"/>
  <c r="O109" i="12" s="1"/>
  <c r="N248" i="12"/>
  <c r="O248" i="12" s="1"/>
  <c r="N230" i="12"/>
  <c r="O230" i="12" s="1"/>
  <c r="N271" i="12"/>
  <c r="O271" i="12" s="1"/>
  <c r="N136" i="12"/>
  <c r="O136" i="12" s="1"/>
  <c r="N289" i="12"/>
  <c r="O289" i="12" s="1"/>
  <c r="N262" i="12"/>
  <c r="O262" i="12" s="1"/>
  <c r="N76" i="12"/>
  <c r="O76" i="12" s="1"/>
  <c r="N64" i="12"/>
  <c r="O64" i="12" s="1"/>
  <c r="N225" i="12"/>
  <c r="O225" i="12" s="1"/>
  <c r="N10" i="12"/>
  <c r="O10" i="12" s="1"/>
  <c r="N59" i="12"/>
  <c r="O59" i="12" s="1"/>
  <c r="V59" i="12" s="1"/>
  <c r="N142" i="12"/>
  <c r="O142" i="12" s="1"/>
  <c r="V142" i="12" s="1"/>
  <c r="N327" i="12"/>
  <c r="O327" i="12" s="1"/>
  <c r="N128" i="12"/>
  <c r="O128" i="12" s="1"/>
  <c r="N241" i="12"/>
  <c r="O241" i="12" s="1"/>
  <c r="V241" i="12" s="1"/>
  <c r="N90" i="12"/>
  <c r="O90" i="12" s="1"/>
  <c r="N84" i="12"/>
  <c r="O84" i="12" s="1"/>
  <c r="N304" i="12"/>
  <c r="O304" i="12" s="1"/>
  <c r="N287" i="12"/>
  <c r="O287" i="12" s="1"/>
  <c r="N326" i="12"/>
  <c r="O326" i="12" s="1"/>
  <c r="N209" i="12"/>
  <c r="O209" i="12" s="1"/>
  <c r="N317" i="12"/>
  <c r="O317" i="12" s="1"/>
  <c r="N178" i="12"/>
  <c r="O178" i="12" s="1"/>
  <c r="N279" i="12"/>
  <c r="O279" i="12" s="1"/>
  <c r="N17" i="12"/>
  <c r="O17" i="12" s="1"/>
  <c r="N83" i="12"/>
  <c r="O83" i="12" s="1"/>
  <c r="N228" i="12"/>
  <c r="O228" i="12" s="1"/>
  <c r="V228" i="12" s="1"/>
  <c r="N137" i="12"/>
  <c r="O137" i="12" s="1"/>
  <c r="N74" i="12"/>
  <c r="O74" i="12" s="1"/>
  <c r="N240" i="12"/>
  <c r="O240" i="12" s="1"/>
  <c r="N93" i="12"/>
  <c r="O93" i="12" s="1"/>
  <c r="N185" i="12"/>
  <c r="O185" i="12" s="1"/>
  <c r="N97" i="12"/>
  <c r="O97" i="12" s="1"/>
  <c r="N193" i="12"/>
  <c r="O193" i="12" s="1"/>
  <c r="N275" i="12"/>
  <c r="O275" i="12" s="1"/>
  <c r="N247" i="12"/>
  <c r="O247" i="12" s="1"/>
  <c r="N115" i="12"/>
  <c r="O115" i="12" s="1"/>
  <c r="N107" i="12"/>
  <c r="O107" i="12" s="1"/>
  <c r="N298" i="12"/>
  <c r="O298" i="12" s="1"/>
  <c r="N283" i="12"/>
  <c r="O283" i="12" s="1"/>
  <c r="N257" i="12"/>
  <c r="O257" i="12" s="1"/>
  <c r="N251" i="12"/>
  <c r="O251" i="12" s="1"/>
  <c r="N223" i="12"/>
  <c r="O223" i="12" s="1"/>
  <c r="V223" i="12" s="1"/>
  <c r="N285" i="12"/>
  <c r="O285" i="12" s="1"/>
  <c r="N266" i="12"/>
  <c r="O266" i="12" s="1"/>
  <c r="N238" i="12"/>
  <c r="O238" i="12" s="1"/>
  <c r="N191" i="12"/>
  <c r="O191" i="12" s="1"/>
  <c r="N189" i="12"/>
  <c r="O189" i="12" s="1"/>
  <c r="N119" i="12"/>
  <c r="O119" i="12" s="1"/>
  <c r="N41" i="12"/>
  <c r="O41" i="12" s="1"/>
  <c r="N130" i="12"/>
  <c r="O130" i="12" s="1"/>
  <c r="N253" i="12"/>
  <c r="O253" i="12" s="1"/>
  <c r="N71" i="12"/>
  <c r="O71" i="12" s="1"/>
  <c r="N85" i="12"/>
  <c r="O85" i="12" s="1"/>
  <c r="N194" i="12"/>
  <c r="O194" i="12" s="1"/>
  <c r="N73" i="12"/>
  <c r="O73" i="12" s="1"/>
  <c r="N242" i="12"/>
  <c r="O242" i="12" s="1"/>
  <c r="N305" i="12"/>
  <c r="O305" i="12" s="1"/>
  <c r="N324" i="12"/>
  <c r="O324" i="12" s="1"/>
  <c r="N315" i="12"/>
  <c r="O315" i="12" s="1"/>
  <c r="N267" i="12"/>
  <c r="O267" i="12" s="1"/>
  <c r="N236" i="12"/>
  <c r="O236" i="12" s="1"/>
  <c r="N200" i="12"/>
  <c r="O200" i="12" s="1"/>
  <c r="N170" i="12"/>
  <c r="O170" i="12" s="1"/>
  <c r="N125" i="12"/>
  <c r="O125" i="12" s="1"/>
  <c r="N270" i="12"/>
  <c r="O270" i="12" s="1"/>
  <c r="N299" i="12"/>
  <c r="O299" i="12" s="1"/>
  <c r="N33" i="12"/>
  <c r="O33" i="12" s="1"/>
  <c r="N167" i="12"/>
  <c r="O167" i="12" s="1"/>
  <c r="N162" i="12"/>
  <c r="O162" i="12" s="1"/>
  <c r="N155" i="12"/>
  <c r="O155" i="12" s="1"/>
  <c r="N231" i="12"/>
  <c r="O231" i="12" s="1"/>
  <c r="N169" i="12"/>
  <c r="O169" i="12" s="1"/>
  <c r="V169" i="12" s="1"/>
  <c r="N309" i="12"/>
  <c r="O309" i="12" s="1"/>
  <c r="N77" i="12"/>
  <c r="O77" i="12" s="1"/>
  <c r="N222" i="12"/>
  <c r="O222" i="12" s="1"/>
  <c r="N88" i="12"/>
  <c r="O88" i="12" s="1"/>
  <c r="N154" i="12"/>
  <c r="O154" i="12" s="1"/>
  <c r="N308" i="12"/>
  <c r="O308" i="12" s="1"/>
  <c r="N129" i="12"/>
  <c r="O129" i="12" s="1"/>
  <c r="N111" i="12"/>
  <c r="O111" i="12" s="1"/>
  <c r="N190" i="12"/>
  <c r="O190" i="12" s="1"/>
  <c r="N120" i="12"/>
  <c r="O120" i="12" s="1"/>
  <c r="N149" i="12"/>
  <c r="O149" i="12" s="1"/>
  <c r="N186" i="12"/>
  <c r="O186" i="12" s="1"/>
  <c r="N132" i="12"/>
  <c r="O132" i="12" s="1"/>
  <c r="N45" i="12"/>
  <c r="O45" i="12" s="1"/>
  <c r="N117" i="12"/>
  <c r="O117" i="12" s="1"/>
  <c r="N172" i="12"/>
  <c r="O172" i="12" s="1"/>
  <c r="N11" i="12"/>
  <c r="O11" i="12" s="1"/>
  <c r="N204" i="12"/>
  <c r="O204" i="12" s="1"/>
  <c r="N239" i="12"/>
  <c r="O239" i="12" s="1"/>
  <c r="N290" i="12"/>
  <c r="O290" i="12" s="1"/>
  <c r="N98" i="12"/>
  <c r="O98" i="12" s="1"/>
  <c r="N78" i="12"/>
  <c r="O78" i="12" s="1"/>
  <c r="N176" i="12"/>
  <c r="O176" i="12" s="1"/>
  <c r="N13" i="12"/>
  <c r="N312" i="12"/>
  <c r="O312" i="12" s="1"/>
  <c r="N214" i="12"/>
  <c r="O214" i="12" s="1"/>
  <c r="N224" i="12"/>
  <c r="O224" i="12" s="1"/>
  <c r="N226" i="12"/>
  <c r="O226" i="12" s="1"/>
  <c r="N67" i="12"/>
  <c r="O67" i="12" s="1"/>
  <c r="N198" i="12"/>
  <c r="O198" i="12" s="1"/>
  <c r="V198" i="12" s="1"/>
  <c r="N69" i="12"/>
  <c r="O69" i="12" s="1"/>
  <c r="N195" i="12"/>
  <c r="O195" i="12" s="1"/>
  <c r="V195" i="12" s="1"/>
  <c r="N263" i="12"/>
  <c r="O263" i="12" s="1"/>
  <c r="V263" i="12" s="1"/>
  <c r="L245" i="10"/>
  <c r="V160" i="10"/>
  <c r="V137" i="10"/>
  <c r="V207" i="10"/>
  <c r="V12" i="10"/>
  <c r="V129" i="10"/>
  <c r="V229" i="10"/>
  <c r="V290" i="10"/>
  <c r="V272" i="10"/>
  <c r="J330" i="10"/>
  <c r="J7" i="10" s="1"/>
  <c r="K9" i="10"/>
  <c r="J8" i="10"/>
  <c r="V321" i="10"/>
  <c r="V66" i="10"/>
  <c r="V235" i="10"/>
  <c r="V197" i="10"/>
  <c r="V128" i="10"/>
  <c r="V95" i="10"/>
  <c r="V285" i="10"/>
  <c r="V86" i="10"/>
  <c r="V185" i="10"/>
  <c r="V96" i="10"/>
  <c r="V149" i="10"/>
  <c r="V268" i="10"/>
  <c r="V271" i="10"/>
  <c r="V186" i="10"/>
  <c r="V51" i="10"/>
  <c r="V193" i="10"/>
  <c r="V243" i="10"/>
  <c r="V58" i="10"/>
  <c r="V215" i="10"/>
  <c r="V22" i="10"/>
  <c r="V141" i="10"/>
  <c r="V275" i="10"/>
  <c r="V97" i="10"/>
  <c r="V43" i="10"/>
  <c r="V28" i="10"/>
  <c r="V67" i="10"/>
  <c r="V117" i="10"/>
  <c r="V120" i="10"/>
  <c r="V328" i="10"/>
  <c r="V234" i="10"/>
  <c r="V170" i="10"/>
  <c r="V210" i="10"/>
  <c r="V182" i="10"/>
  <c r="V254" i="10"/>
  <c r="V172" i="10"/>
  <c r="V209" i="10"/>
  <c r="V54" i="10"/>
  <c r="V55" i="10"/>
  <c r="V286" i="10"/>
  <c r="V85" i="10"/>
  <c r="V65" i="10"/>
  <c r="V212" i="10"/>
  <c r="V11" i="10"/>
  <c r="V144" i="10"/>
  <c r="V267" i="10"/>
  <c r="V322" i="10"/>
  <c r="V138" i="10"/>
  <c r="V20" i="10"/>
  <c r="V249" i="10"/>
  <c r="V307" i="10"/>
  <c r="V242" i="10"/>
  <c r="V158" i="10"/>
  <c r="V61" i="10"/>
  <c r="V14" i="10"/>
  <c r="V194" i="10"/>
  <c r="L19" i="5"/>
  <c r="L20" i="5" s="1"/>
  <c r="U14" i="2"/>
  <c r="U18" i="2" s="1"/>
  <c r="L14" i="2"/>
  <c r="L18" i="2" s="1"/>
  <c r="U12" i="2"/>
  <c r="H19" i="5"/>
  <c r="H20" i="5" s="1"/>
  <c r="F19" i="5"/>
  <c r="F20" i="5" s="1"/>
  <c r="K19" i="5"/>
  <c r="K20" i="5" s="1"/>
  <c r="I19" i="5"/>
  <c r="I20" i="5" s="1"/>
  <c r="J19" i="5"/>
  <c r="J20" i="5" s="1"/>
  <c r="O12" i="2"/>
  <c r="O14" i="2"/>
  <c r="O18" i="2" s="1"/>
  <c r="X14" i="2"/>
  <c r="X18" i="2" s="1"/>
  <c r="X10" i="2"/>
  <c r="X12" i="2" s="1"/>
  <c r="V10" i="2"/>
  <c r="V12" i="2" s="1"/>
  <c r="V14" i="2"/>
  <c r="V18" i="2" s="1"/>
  <c r="P12" i="2"/>
  <c r="P14" i="2"/>
  <c r="P18" i="2" s="1"/>
  <c r="N12" i="2"/>
  <c r="N14" i="2"/>
  <c r="N18" i="2" s="1"/>
  <c r="O13" i="12" l="1"/>
  <c r="V13" i="12" s="1"/>
  <c r="C15" i="5"/>
  <c r="T315" i="12"/>
  <c r="U315" i="12"/>
  <c r="V315" i="12"/>
  <c r="V109" i="12"/>
  <c r="T109" i="12"/>
  <c r="U109" i="12"/>
  <c r="U44" i="12"/>
  <c r="T44" i="12"/>
  <c r="U178" i="12"/>
  <c r="T178" i="12"/>
  <c r="V178" i="12"/>
  <c r="T206" i="12"/>
  <c r="U206" i="12"/>
  <c r="U300" i="12"/>
  <c r="T300" i="12"/>
  <c r="V300" i="12"/>
  <c r="T263" i="12"/>
  <c r="U263" i="12"/>
  <c r="V98" i="12"/>
  <c r="U98" i="12"/>
  <c r="T98" i="12"/>
  <c r="U190" i="12"/>
  <c r="V190" i="12"/>
  <c r="T190" i="12"/>
  <c r="T162" i="12"/>
  <c r="U162" i="12"/>
  <c r="V162" i="12"/>
  <c r="V305" i="12"/>
  <c r="T305" i="12"/>
  <c r="U305" i="12"/>
  <c r="T238" i="12"/>
  <c r="U238" i="12"/>
  <c r="T193" i="12"/>
  <c r="U193" i="12"/>
  <c r="U317" i="12"/>
  <c r="T317" i="12"/>
  <c r="T10" i="12"/>
  <c r="U10" i="12"/>
  <c r="T65" i="12"/>
  <c r="U65" i="12"/>
  <c r="T21" i="12"/>
  <c r="U21" i="12"/>
  <c r="V21" i="12"/>
  <c r="T323" i="12"/>
  <c r="U323" i="12"/>
  <c r="V323" i="12"/>
  <c r="T179" i="12"/>
  <c r="V179" i="12"/>
  <c r="U179" i="12"/>
  <c r="T48" i="12"/>
  <c r="U48" i="12"/>
  <c r="V48" i="12"/>
  <c r="T161" i="12"/>
  <c r="U161" i="12"/>
  <c r="U62" i="12"/>
  <c r="T62" i="12"/>
  <c r="U39" i="12"/>
  <c r="V39" i="12"/>
  <c r="T39" i="12"/>
  <c r="T123" i="12"/>
  <c r="U123" i="12"/>
  <c r="V123" i="12"/>
  <c r="T310" i="12"/>
  <c r="U310" i="12"/>
  <c r="V310" i="12"/>
  <c r="U325" i="12"/>
  <c r="V325" i="12"/>
  <c r="T325" i="12"/>
  <c r="T37" i="12"/>
  <c r="U37" i="12"/>
  <c r="T95" i="12"/>
  <c r="U95" i="12"/>
  <c r="V294" i="12"/>
  <c r="U294" i="12"/>
  <c r="T294" i="12"/>
  <c r="U47" i="12"/>
  <c r="T47" i="12"/>
  <c r="T282" i="12"/>
  <c r="U282" i="12"/>
  <c r="V282" i="12"/>
  <c r="U160" i="12"/>
  <c r="T160" i="12"/>
  <c r="U188" i="12"/>
  <c r="T188" i="12"/>
  <c r="T231" i="12"/>
  <c r="U231" i="12"/>
  <c r="T189" i="12"/>
  <c r="U189" i="12"/>
  <c r="T279" i="12"/>
  <c r="U279" i="12"/>
  <c r="V279" i="12"/>
  <c r="T56" i="12"/>
  <c r="U56" i="12"/>
  <c r="U261" i="12"/>
  <c r="T261" i="12"/>
  <c r="T320" i="12"/>
  <c r="U320" i="12"/>
  <c r="T89" i="12"/>
  <c r="U89" i="12"/>
  <c r="T86" i="12"/>
  <c r="U86" i="12"/>
  <c r="T191" i="12"/>
  <c r="U191" i="12"/>
  <c r="V191" i="12"/>
  <c r="T164" i="12"/>
  <c r="U164" i="12"/>
  <c r="V164" i="12"/>
  <c r="T112" i="12"/>
  <c r="U112" i="12"/>
  <c r="V112" i="12"/>
  <c r="T291" i="12"/>
  <c r="U291" i="12"/>
  <c r="T31" i="12"/>
  <c r="U31" i="12"/>
  <c r="U108" i="12"/>
  <c r="T108" i="12"/>
  <c r="V108" i="12"/>
  <c r="T114" i="12"/>
  <c r="U114" i="12"/>
  <c r="V114" i="12"/>
  <c r="U195" i="12"/>
  <c r="T195" i="12"/>
  <c r="T290" i="12"/>
  <c r="U290" i="12"/>
  <c r="T111" i="12"/>
  <c r="U111" i="12"/>
  <c r="T167" i="12"/>
  <c r="U167" i="12"/>
  <c r="V167" i="12"/>
  <c r="T242" i="12"/>
  <c r="U242" i="12"/>
  <c r="T266" i="12"/>
  <c r="U266" i="12"/>
  <c r="V266" i="12"/>
  <c r="T97" i="12"/>
  <c r="U97" i="12"/>
  <c r="T209" i="12"/>
  <c r="U209" i="12"/>
  <c r="T225" i="12"/>
  <c r="U225" i="12"/>
  <c r="T258" i="12"/>
  <c r="U258" i="12"/>
  <c r="V258" i="12"/>
  <c r="T237" i="12"/>
  <c r="U237" i="12"/>
  <c r="V237" i="12"/>
  <c r="T254" i="12"/>
  <c r="U254" i="12"/>
  <c r="T311" i="12"/>
  <c r="V311" i="12"/>
  <c r="U311" i="12"/>
  <c r="U102" i="12"/>
  <c r="V102" i="12"/>
  <c r="T102" i="12"/>
  <c r="T313" i="12"/>
  <c r="U313" i="12"/>
  <c r="T141" i="12"/>
  <c r="U141" i="12"/>
  <c r="T256" i="12"/>
  <c r="U256" i="12"/>
  <c r="V256" i="12"/>
  <c r="U24" i="12"/>
  <c r="T24" i="12"/>
  <c r="T217" i="12"/>
  <c r="U217" i="12"/>
  <c r="V217" i="12"/>
  <c r="T36" i="12"/>
  <c r="U36" i="12"/>
  <c r="U158" i="12"/>
  <c r="T158" i="12"/>
  <c r="T92" i="12"/>
  <c r="U92" i="12"/>
  <c r="V92" i="12"/>
  <c r="T72" i="12"/>
  <c r="U72" i="12"/>
  <c r="V72" i="12"/>
  <c r="U19" i="12"/>
  <c r="V19" i="12"/>
  <c r="T19" i="12"/>
  <c r="T203" i="12"/>
  <c r="U203" i="12"/>
  <c r="T49" i="12"/>
  <c r="U49" i="12"/>
  <c r="U122" i="12"/>
  <c r="T122" i="12"/>
  <c r="T149" i="12"/>
  <c r="U149" i="12"/>
  <c r="T247" i="12"/>
  <c r="U247" i="12"/>
  <c r="V247" i="12"/>
  <c r="U142" i="12"/>
  <c r="T142" i="12"/>
  <c r="U57" i="12"/>
  <c r="T57" i="12"/>
  <c r="V53" i="12"/>
  <c r="T53" i="12"/>
  <c r="U53" i="12"/>
  <c r="T138" i="12"/>
  <c r="U138" i="12"/>
  <c r="V252" i="12"/>
  <c r="T252" i="12"/>
  <c r="U252" i="12"/>
  <c r="T120" i="12"/>
  <c r="U120" i="12"/>
  <c r="T221" i="12"/>
  <c r="U221" i="12"/>
  <c r="T69" i="12"/>
  <c r="U69" i="12"/>
  <c r="V69" i="12"/>
  <c r="T239" i="12"/>
  <c r="U239" i="12"/>
  <c r="T129" i="12"/>
  <c r="U129" i="12"/>
  <c r="T33" i="12"/>
  <c r="V33" i="12"/>
  <c r="U33" i="12"/>
  <c r="T73" i="12"/>
  <c r="U73" i="12"/>
  <c r="V73" i="12"/>
  <c r="T285" i="12"/>
  <c r="U285" i="12"/>
  <c r="T185" i="12"/>
  <c r="U185" i="12"/>
  <c r="V326" i="12"/>
  <c r="U326" i="12"/>
  <c r="T326" i="12"/>
  <c r="T64" i="12"/>
  <c r="U64" i="12"/>
  <c r="T284" i="12"/>
  <c r="U284" i="12"/>
  <c r="U106" i="12"/>
  <c r="T106" i="12"/>
  <c r="V177" i="12"/>
  <c r="U177" i="12"/>
  <c r="T177" i="12"/>
  <c r="T151" i="12"/>
  <c r="U151" i="12"/>
  <c r="V151" i="12"/>
  <c r="T79" i="12"/>
  <c r="U79" i="12"/>
  <c r="V101" i="12"/>
  <c r="T101" i="12"/>
  <c r="U101" i="12"/>
  <c r="T140" i="12"/>
  <c r="U140" i="12"/>
  <c r="V140" i="12"/>
  <c r="T104" i="12"/>
  <c r="U104" i="12"/>
  <c r="T148" i="12"/>
  <c r="U148" i="12"/>
  <c r="V148" i="12"/>
  <c r="T38" i="12"/>
  <c r="U38" i="12"/>
  <c r="V38" i="12"/>
  <c r="T243" i="12"/>
  <c r="U243" i="12"/>
  <c r="T277" i="12"/>
  <c r="U277" i="12"/>
  <c r="T153" i="12"/>
  <c r="U153" i="12"/>
  <c r="V153" i="12"/>
  <c r="T168" i="12"/>
  <c r="U168" i="12"/>
  <c r="V168" i="12"/>
  <c r="T265" i="12"/>
  <c r="U265" i="12"/>
  <c r="T131" i="12"/>
  <c r="U131" i="12"/>
  <c r="U175" i="12"/>
  <c r="V175" i="12"/>
  <c r="T175" i="12"/>
  <c r="T163" i="12"/>
  <c r="U163" i="12"/>
  <c r="T264" i="12"/>
  <c r="U264" i="12"/>
  <c r="U110" i="12"/>
  <c r="T110" i="12"/>
  <c r="V110" i="12"/>
  <c r="T96" i="12"/>
  <c r="U96" i="12"/>
  <c r="T198" i="12"/>
  <c r="U198" i="12"/>
  <c r="T204" i="12"/>
  <c r="U204" i="12"/>
  <c r="V204" i="12"/>
  <c r="U308" i="12"/>
  <c r="T308" i="12"/>
  <c r="T299" i="12"/>
  <c r="U299" i="12"/>
  <c r="T194" i="12"/>
  <c r="U194" i="12"/>
  <c r="T223" i="12"/>
  <c r="U223" i="12"/>
  <c r="T93" i="12"/>
  <c r="U93" i="12"/>
  <c r="V93" i="12"/>
  <c r="T287" i="12"/>
  <c r="U287" i="12"/>
  <c r="V287" i="12"/>
  <c r="V76" i="12"/>
  <c r="T76" i="12"/>
  <c r="U76" i="12"/>
  <c r="T314" i="12"/>
  <c r="U314" i="12"/>
  <c r="V314" i="12"/>
  <c r="U94" i="12"/>
  <c r="V94" i="12"/>
  <c r="T94" i="12"/>
  <c r="T213" i="12"/>
  <c r="U213" i="12"/>
  <c r="T216" i="12"/>
  <c r="V216" i="12"/>
  <c r="U216" i="12"/>
  <c r="U321" i="12"/>
  <c r="T321" i="12"/>
  <c r="U280" i="12"/>
  <c r="T280" i="12"/>
  <c r="V280" i="12"/>
  <c r="T34" i="12"/>
  <c r="U34" i="12"/>
  <c r="V34" i="12"/>
  <c r="T183" i="12"/>
  <c r="U183" i="12"/>
  <c r="V183" i="12"/>
  <c r="T127" i="12"/>
  <c r="U127" i="12"/>
  <c r="V127" i="12"/>
  <c r="T297" i="12"/>
  <c r="U297" i="12"/>
  <c r="V297" i="12"/>
  <c r="U250" i="12"/>
  <c r="T250" i="12"/>
  <c r="T246" i="12"/>
  <c r="U246" i="12"/>
  <c r="V246" i="12"/>
  <c r="U306" i="12"/>
  <c r="T306" i="12"/>
  <c r="T187" i="12"/>
  <c r="U187" i="12"/>
  <c r="U166" i="12"/>
  <c r="T166" i="12"/>
  <c r="U29" i="12"/>
  <c r="V29" i="12"/>
  <c r="T29" i="12"/>
  <c r="T245" i="12"/>
  <c r="U245" i="12"/>
  <c r="V245" i="12"/>
  <c r="U174" i="12"/>
  <c r="T174" i="12"/>
  <c r="T276" i="12"/>
  <c r="U276" i="12"/>
  <c r="T59" i="12"/>
  <c r="U59" i="12"/>
  <c r="T229" i="12"/>
  <c r="U229" i="12"/>
  <c r="T67" i="12"/>
  <c r="U67" i="12"/>
  <c r="T11" i="12"/>
  <c r="U11" i="12"/>
  <c r="T154" i="12"/>
  <c r="U154" i="12"/>
  <c r="T270" i="12"/>
  <c r="U270" i="12"/>
  <c r="V270" i="12"/>
  <c r="T85" i="12"/>
  <c r="U85" i="12"/>
  <c r="T251" i="12"/>
  <c r="U251" i="12"/>
  <c r="V251" i="12"/>
  <c r="V240" i="12"/>
  <c r="U240" i="12"/>
  <c r="T240" i="12"/>
  <c r="T304" i="12"/>
  <c r="U304" i="12"/>
  <c r="V304" i="12"/>
  <c r="U262" i="12"/>
  <c r="T262" i="12"/>
  <c r="V262" i="12"/>
  <c r="U307" i="12"/>
  <c r="T307" i="12"/>
  <c r="T52" i="12"/>
  <c r="U52" i="12"/>
  <c r="T272" i="12"/>
  <c r="U272" i="12"/>
  <c r="U199" i="12"/>
  <c r="T199" i="12"/>
  <c r="T201" i="12"/>
  <c r="U201" i="12"/>
  <c r="V201" i="12"/>
  <c r="T55" i="12"/>
  <c r="U55" i="12"/>
  <c r="T205" i="12"/>
  <c r="U205" i="12"/>
  <c r="T100" i="12"/>
  <c r="U100" i="12"/>
  <c r="V100" i="12"/>
  <c r="T139" i="12"/>
  <c r="U139" i="12"/>
  <c r="U302" i="12"/>
  <c r="T302" i="12"/>
  <c r="V302" i="12"/>
  <c r="T157" i="12"/>
  <c r="U157" i="12"/>
  <c r="T156" i="12"/>
  <c r="U156" i="12"/>
  <c r="V156" i="12"/>
  <c r="U260" i="12"/>
  <c r="T260" i="12"/>
  <c r="U145" i="12"/>
  <c r="T145" i="12"/>
  <c r="V145" i="12"/>
  <c r="T81" i="12"/>
  <c r="U81" i="12"/>
  <c r="V81" i="12"/>
  <c r="T23" i="12"/>
  <c r="U23" i="12"/>
  <c r="V23" i="12"/>
  <c r="T274" i="12"/>
  <c r="U274" i="12"/>
  <c r="V274" i="12"/>
  <c r="U235" i="12"/>
  <c r="T235" i="12"/>
  <c r="T192" i="12"/>
  <c r="U192" i="12"/>
  <c r="V192" i="12"/>
  <c r="T275" i="12"/>
  <c r="U275" i="12"/>
  <c r="U60" i="12"/>
  <c r="T60" i="12"/>
  <c r="T226" i="12"/>
  <c r="V226" i="12"/>
  <c r="U226" i="12"/>
  <c r="T172" i="12"/>
  <c r="U172" i="12"/>
  <c r="T88" i="12"/>
  <c r="U88" i="12"/>
  <c r="V88" i="12"/>
  <c r="T125" i="12"/>
  <c r="U125" i="12"/>
  <c r="V125" i="12"/>
  <c r="T71" i="12"/>
  <c r="U71" i="12"/>
  <c r="V71" i="12"/>
  <c r="T257" i="12"/>
  <c r="U257" i="12"/>
  <c r="V257" i="12"/>
  <c r="T74" i="12"/>
  <c r="U74" i="12"/>
  <c r="T84" i="12"/>
  <c r="U84" i="12"/>
  <c r="T289" i="12"/>
  <c r="U289" i="12"/>
  <c r="T181" i="12"/>
  <c r="U181" i="12"/>
  <c r="V181" i="12"/>
  <c r="T301" i="12"/>
  <c r="U301" i="12"/>
  <c r="T273" i="12"/>
  <c r="U273" i="12"/>
  <c r="V273" i="12"/>
  <c r="T293" i="12"/>
  <c r="V293" i="12"/>
  <c r="U293" i="12"/>
  <c r="T43" i="12"/>
  <c r="U43" i="12"/>
  <c r="T269" i="12"/>
  <c r="U269" i="12"/>
  <c r="T207" i="12"/>
  <c r="U207" i="12"/>
  <c r="T249" i="12"/>
  <c r="U249" i="12"/>
  <c r="T147" i="12"/>
  <c r="U147" i="12"/>
  <c r="U322" i="12"/>
  <c r="T322" i="12"/>
  <c r="T87" i="12"/>
  <c r="V87" i="12"/>
  <c r="U87" i="12"/>
  <c r="T126" i="12"/>
  <c r="U126" i="12"/>
  <c r="T296" i="12"/>
  <c r="U296" i="12"/>
  <c r="T143" i="12"/>
  <c r="U143" i="12"/>
  <c r="T234" i="12"/>
  <c r="U234" i="12"/>
  <c r="T210" i="12"/>
  <c r="U210" i="12"/>
  <c r="T165" i="12"/>
  <c r="U165" i="12"/>
  <c r="V165" i="12"/>
  <c r="T75" i="12"/>
  <c r="U75" i="12"/>
  <c r="T184" i="12"/>
  <c r="U184" i="12"/>
  <c r="V184" i="12"/>
  <c r="T82" i="12"/>
  <c r="U82" i="12"/>
  <c r="V82" i="12"/>
  <c r="V224" i="12"/>
  <c r="T224" i="12"/>
  <c r="U224" i="12"/>
  <c r="T117" i="12"/>
  <c r="U117" i="12"/>
  <c r="T222" i="12"/>
  <c r="V222" i="12"/>
  <c r="U222" i="12"/>
  <c r="T170" i="12"/>
  <c r="U170" i="12"/>
  <c r="T253" i="12"/>
  <c r="U253" i="12"/>
  <c r="T283" i="12"/>
  <c r="U283" i="12"/>
  <c r="T137" i="12"/>
  <c r="U137" i="12"/>
  <c r="U90" i="12"/>
  <c r="V90" i="12"/>
  <c r="T90" i="12"/>
  <c r="T136" i="12"/>
  <c r="U136" i="12"/>
  <c r="V136" i="12"/>
  <c r="T116" i="12"/>
  <c r="U116" i="12"/>
  <c r="U18" i="12"/>
  <c r="T18" i="12"/>
  <c r="V18" i="12"/>
  <c r="T278" i="12"/>
  <c r="U278" i="12"/>
  <c r="V278" i="12"/>
  <c r="T268" i="12"/>
  <c r="U268" i="12"/>
  <c r="U259" i="12"/>
  <c r="T259" i="12"/>
  <c r="V259" i="12"/>
  <c r="T328" i="12"/>
  <c r="U328" i="12"/>
  <c r="T22" i="12"/>
  <c r="U22" i="12"/>
  <c r="U32" i="12"/>
  <c r="T32" i="12"/>
  <c r="T12" i="12"/>
  <c r="U12" i="12"/>
  <c r="U105" i="12"/>
  <c r="T105" i="12"/>
  <c r="T124" i="12"/>
  <c r="U124" i="12"/>
  <c r="V124" i="12"/>
  <c r="U196" i="12"/>
  <c r="T196" i="12"/>
  <c r="T135" i="12"/>
  <c r="U135" i="12"/>
  <c r="V135" i="12"/>
  <c r="T211" i="12"/>
  <c r="U211" i="12"/>
  <c r="T286" i="12"/>
  <c r="U286" i="12"/>
  <c r="T133" i="12"/>
  <c r="U133" i="12"/>
  <c r="V133" i="12"/>
  <c r="T113" i="12"/>
  <c r="U113" i="12"/>
  <c r="U303" i="12"/>
  <c r="T303" i="12"/>
  <c r="V303" i="12"/>
  <c r="T316" i="12"/>
  <c r="U316" i="12"/>
  <c r="T324" i="12"/>
  <c r="U324" i="12"/>
  <c r="V324" i="12"/>
  <c r="T35" i="12"/>
  <c r="U35" i="12"/>
  <c r="T214" i="12"/>
  <c r="U214" i="12"/>
  <c r="V214" i="12"/>
  <c r="T45" i="12"/>
  <c r="U45" i="12"/>
  <c r="T77" i="12"/>
  <c r="U77" i="12"/>
  <c r="V77" i="12"/>
  <c r="T200" i="12"/>
  <c r="V200" i="12"/>
  <c r="U200" i="12"/>
  <c r="T130" i="12"/>
  <c r="U130" i="12"/>
  <c r="V130" i="12"/>
  <c r="T298" i="12"/>
  <c r="U298" i="12"/>
  <c r="V298" i="12"/>
  <c r="T228" i="12"/>
  <c r="U228" i="12"/>
  <c r="U241" i="12"/>
  <c r="T241" i="12"/>
  <c r="T271" i="12"/>
  <c r="U271" i="12"/>
  <c r="T66" i="12"/>
  <c r="U66" i="12"/>
  <c r="U27" i="12"/>
  <c r="T27" i="12"/>
  <c r="V27" i="12"/>
  <c r="T15" i="12"/>
  <c r="U15" i="12"/>
  <c r="V15" i="12"/>
  <c r="U219" i="12"/>
  <c r="V219" i="12"/>
  <c r="T219" i="12"/>
  <c r="U54" i="12"/>
  <c r="T54" i="12"/>
  <c r="U58" i="12"/>
  <c r="T58" i="12"/>
  <c r="U227" i="12"/>
  <c r="T227" i="12"/>
  <c r="U318" i="12"/>
  <c r="T318" i="12"/>
  <c r="T212" i="12"/>
  <c r="U212" i="12"/>
  <c r="U146" i="12"/>
  <c r="V146" i="12"/>
  <c r="T146" i="12"/>
  <c r="T180" i="12"/>
  <c r="U180" i="12"/>
  <c r="U103" i="12"/>
  <c r="T103" i="12"/>
  <c r="T14" i="12"/>
  <c r="U14" i="12"/>
  <c r="V292" i="12"/>
  <c r="T292" i="12"/>
  <c r="U292" i="12"/>
  <c r="T61" i="12"/>
  <c r="U61" i="12"/>
  <c r="T46" i="12"/>
  <c r="U46" i="12"/>
  <c r="U295" i="12"/>
  <c r="V295" i="12"/>
  <c r="T295" i="12"/>
  <c r="O330" i="12"/>
  <c r="O7" i="12" s="1"/>
  <c r="O8" i="12"/>
  <c r="C19" i="2" s="1"/>
  <c r="T9" i="12"/>
  <c r="U9" i="12"/>
  <c r="V9" i="12"/>
  <c r="U197" i="12"/>
  <c r="T197" i="12"/>
  <c r="T155" i="12"/>
  <c r="U155" i="12"/>
  <c r="V155" i="12"/>
  <c r="T202" i="12"/>
  <c r="U202" i="12"/>
  <c r="T134" i="12"/>
  <c r="U134" i="12"/>
  <c r="V134" i="12"/>
  <c r="U312" i="12"/>
  <c r="T312" i="12"/>
  <c r="T132" i="12"/>
  <c r="U132" i="12"/>
  <c r="T309" i="12"/>
  <c r="U309" i="12"/>
  <c r="V309" i="12"/>
  <c r="V236" i="12"/>
  <c r="T236" i="12"/>
  <c r="U236" i="12"/>
  <c r="U41" i="12"/>
  <c r="T41" i="12"/>
  <c r="V41" i="12"/>
  <c r="U107" i="12"/>
  <c r="T107" i="12"/>
  <c r="U83" i="12"/>
  <c r="T83" i="12"/>
  <c r="T128" i="12"/>
  <c r="U128" i="12"/>
  <c r="U230" i="12"/>
  <c r="T230" i="12"/>
  <c r="V230" i="12"/>
  <c r="U51" i="12"/>
  <c r="T51" i="12"/>
  <c r="T144" i="12"/>
  <c r="U144" i="12"/>
  <c r="T152" i="12"/>
  <c r="U152" i="12"/>
  <c r="T99" i="12"/>
  <c r="U99" i="12"/>
  <c r="V99" i="12"/>
  <c r="T42" i="12"/>
  <c r="U42" i="12"/>
  <c r="V42" i="12"/>
  <c r="T233" i="12"/>
  <c r="U233" i="12"/>
  <c r="V233" i="12"/>
  <c r="T173" i="12"/>
  <c r="U173" i="12"/>
  <c r="U68" i="12"/>
  <c r="T68" i="12"/>
  <c r="T70" i="12"/>
  <c r="U70" i="12"/>
  <c r="T25" i="12"/>
  <c r="U25" i="12"/>
  <c r="V25" i="12"/>
  <c r="U16" i="12"/>
  <c r="T16" i="12"/>
  <c r="T218" i="12"/>
  <c r="U218" i="12"/>
  <c r="T255" i="12"/>
  <c r="U255" i="12"/>
  <c r="V255" i="12"/>
  <c r="T63" i="12"/>
  <c r="U63" i="12"/>
  <c r="T28" i="12"/>
  <c r="U28" i="12"/>
  <c r="T159" i="12"/>
  <c r="U159" i="12"/>
  <c r="V159" i="12"/>
  <c r="T80" i="12"/>
  <c r="U80" i="12"/>
  <c r="V80" i="12"/>
  <c r="N8" i="12"/>
  <c r="T176" i="12"/>
  <c r="U176" i="12"/>
  <c r="T50" i="12"/>
  <c r="U50" i="12"/>
  <c r="V50" i="12"/>
  <c r="T78" i="12"/>
  <c r="U78" i="12"/>
  <c r="V78" i="12"/>
  <c r="V208" i="12"/>
  <c r="T208" i="12"/>
  <c r="U208" i="12"/>
  <c r="T13" i="12"/>
  <c r="U13" i="12"/>
  <c r="T186" i="12"/>
  <c r="U186" i="12"/>
  <c r="T169" i="12"/>
  <c r="U169" i="12"/>
  <c r="U267" i="12"/>
  <c r="T267" i="12"/>
  <c r="T119" i="12"/>
  <c r="U119" i="12"/>
  <c r="V119" i="12"/>
  <c r="T115" i="12"/>
  <c r="V115" i="12"/>
  <c r="U115" i="12"/>
  <c r="V17" i="12"/>
  <c r="T17" i="12"/>
  <c r="U17" i="12"/>
  <c r="T327" i="12"/>
  <c r="U327" i="12"/>
  <c r="V327" i="12"/>
  <c r="T248" i="12"/>
  <c r="U248" i="12"/>
  <c r="T171" i="12"/>
  <c r="U171" i="12"/>
  <c r="T121" i="12"/>
  <c r="U121" i="12"/>
  <c r="U182" i="12"/>
  <c r="T182" i="12"/>
  <c r="U319" i="12"/>
  <c r="T319" i="12"/>
  <c r="T244" i="12"/>
  <c r="U244" i="12"/>
  <c r="T232" i="12"/>
  <c r="U232" i="12"/>
  <c r="V232" i="12"/>
  <c r="U150" i="12"/>
  <c r="T150" i="12"/>
  <c r="T118" i="12"/>
  <c r="U118" i="12"/>
  <c r="T91" i="12"/>
  <c r="U91" i="12"/>
  <c r="V91" i="12"/>
  <c r="T30" i="12"/>
  <c r="U30" i="12"/>
  <c r="V30" i="12"/>
  <c r="T20" i="12"/>
  <c r="U20" i="12"/>
  <c r="U281" i="12"/>
  <c r="T281" i="12"/>
  <c r="T40" i="12"/>
  <c r="V40" i="12"/>
  <c r="U40" i="12"/>
  <c r="T288" i="12"/>
  <c r="U288" i="12"/>
  <c r="V288" i="12"/>
  <c r="T215" i="12"/>
  <c r="U215" i="12"/>
  <c r="T220" i="12"/>
  <c r="U220" i="12"/>
  <c r="T26" i="12"/>
  <c r="U26" i="12"/>
  <c r="V26" i="12"/>
  <c r="N330" i="12"/>
  <c r="N7" i="12" s="1"/>
  <c r="M245" i="10"/>
  <c r="L9" i="10"/>
  <c r="AA9" i="10"/>
  <c r="AA7" i="10" s="1"/>
  <c r="AC8" i="12" l="1"/>
  <c r="C17" i="5"/>
  <c r="U330" i="12"/>
  <c r="Z330" i="12" s="1"/>
  <c r="U8" i="12"/>
  <c r="T7" i="12"/>
  <c r="O6" i="12"/>
  <c r="U7" i="12"/>
  <c r="L330" i="10"/>
  <c r="L7" i="10" s="1"/>
  <c r="L3" i="10" s="1"/>
  <c r="L8" i="10"/>
  <c r="M9" i="10"/>
  <c r="U6" i="12" l="1"/>
  <c r="M330" i="10"/>
  <c r="M7" i="10" s="1"/>
  <c r="M8" i="10"/>
  <c r="N9" i="10" l="1"/>
  <c r="N47" i="10"/>
  <c r="O47" i="10" s="1"/>
  <c r="X47" i="12" s="1"/>
  <c r="Y47" i="12" s="1"/>
  <c r="Z47" i="12" s="1"/>
  <c r="N198" i="10"/>
  <c r="O198" i="10" s="1"/>
  <c r="X198" i="12" s="1"/>
  <c r="Y198" i="12" s="1"/>
  <c r="Z198" i="12" s="1"/>
  <c r="N206" i="10"/>
  <c r="O206" i="10" s="1"/>
  <c r="X206" i="12" s="1"/>
  <c r="Y206" i="12" s="1"/>
  <c r="Z206" i="12" s="1"/>
  <c r="N112" i="10"/>
  <c r="O112" i="10" s="1"/>
  <c r="X112" i="12" s="1"/>
  <c r="Y112" i="12" s="1"/>
  <c r="Z112" i="12" s="1"/>
  <c r="N81" i="10"/>
  <c r="O81" i="10" s="1"/>
  <c r="X81" i="12" s="1"/>
  <c r="Y81" i="12" s="1"/>
  <c r="Z81" i="12" s="1"/>
  <c r="N270" i="10"/>
  <c r="O270" i="10" s="1"/>
  <c r="X270" i="12" s="1"/>
  <c r="Y270" i="12" s="1"/>
  <c r="Z270" i="12" s="1"/>
  <c r="N161" i="10"/>
  <c r="O161" i="10" s="1"/>
  <c r="X161" i="12" s="1"/>
  <c r="N261" i="10"/>
  <c r="O261" i="10" s="1"/>
  <c r="X261" i="12" s="1"/>
  <c r="N150" i="10"/>
  <c r="O150" i="10" s="1"/>
  <c r="X150" i="12" s="1"/>
  <c r="N183" i="10"/>
  <c r="O183" i="10" s="1"/>
  <c r="X183" i="12" s="1"/>
  <c r="Y183" i="12" s="1"/>
  <c r="Z183" i="12" s="1"/>
  <c r="N127" i="10"/>
  <c r="O127" i="10" s="1"/>
  <c r="X127" i="12" s="1"/>
  <c r="Y127" i="12" s="1"/>
  <c r="Z127" i="12" s="1"/>
  <c r="N136" i="10"/>
  <c r="O136" i="10" s="1"/>
  <c r="X136" i="12" s="1"/>
  <c r="Y136" i="12" s="1"/>
  <c r="Z136" i="12" s="1"/>
  <c r="N245" i="10"/>
  <c r="O245" i="10" s="1"/>
  <c r="X245" i="12" s="1"/>
  <c r="Y245" i="12" s="1"/>
  <c r="Z245" i="12" s="1"/>
  <c r="N105" i="10"/>
  <c r="O105" i="10" s="1"/>
  <c r="X105" i="12" s="1"/>
  <c r="N291" i="10"/>
  <c r="O291" i="10" s="1"/>
  <c r="X291" i="12" s="1"/>
  <c r="N135" i="10"/>
  <c r="O135" i="10" s="1"/>
  <c r="X135" i="12" s="1"/>
  <c r="Y135" i="12" s="1"/>
  <c r="Z135" i="12" s="1"/>
  <c r="N152" i="10"/>
  <c r="O152" i="10" s="1"/>
  <c r="X152" i="12" s="1"/>
  <c r="N18" i="10"/>
  <c r="O18" i="10" s="1"/>
  <c r="X18" i="12" s="1"/>
  <c r="Y18" i="12" s="1"/>
  <c r="Z18" i="12" s="1"/>
  <c r="N274" i="10"/>
  <c r="O274" i="10" s="1"/>
  <c r="X274" i="12" s="1"/>
  <c r="Y274" i="12" s="1"/>
  <c r="Z274" i="12" s="1"/>
  <c r="N169" i="10"/>
  <c r="O169" i="10" s="1"/>
  <c r="X169" i="12" s="1"/>
  <c r="Y169" i="12" s="1"/>
  <c r="Z169" i="12" s="1"/>
  <c r="N173" i="10"/>
  <c r="O173" i="10" s="1"/>
  <c r="X173" i="12" s="1"/>
  <c r="N126" i="10"/>
  <c r="O126" i="10" s="1"/>
  <c r="X126" i="12" s="1"/>
  <c r="N225" i="10"/>
  <c r="O225" i="10" s="1"/>
  <c r="X225" i="12" s="1"/>
  <c r="N171" i="10"/>
  <c r="O171" i="10" s="1"/>
  <c r="X171" i="12" s="1"/>
  <c r="Y171" i="12" s="1"/>
  <c r="Z171" i="12" s="1"/>
  <c r="N273" i="10"/>
  <c r="O273" i="10" s="1"/>
  <c r="X273" i="12" s="1"/>
  <c r="Y273" i="12" s="1"/>
  <c r="Z273" i="12" s="1"/>
  <c r="N266" i="10"/>
  <c r="O266" i="10" s="1"/>
  <c r="X266" i="12" s="1"/>
  <c r="Y266" i="12" s="1"/>
  <c r="Z266" i="12" s="1"/>
  <c r="N116" i="10"/>
  <c r="O116" i="10" s="1"/>
  <c r="X116" i="12" s="1"/>
  <c r="N196" i="10"/>
  <c r="O196" i="10" s="1"/>
  <c r="X196" i="12" s="1"/>
  <c r="N174" i="10"/>
  <c r="O174" i="10" s="1"/>
  <c r="X174" i="12" s="1"/>
  <c r="Y174" i="12" s="1"/>
  <c r="Z174" i="12" s="1"/>
  <c r="N73" i="10"/>
  <c r="O73" i="10" s="1"/>
  <c r="X73" i="12" s="1"/>
  <c r="Y73" i="12" s="1"/>
  <c r="Z73" i="12" s="1"/>
  <c r="N74" i="10"/>
  <c r="O74" i="10" s="1"/>
  <c r="X74" i="12" s="1"/>
  <c r="N244" i="10"/>
  <c r="O244" i="10" s="1"/>
  <c r="X244" i="12" s="1"/>
  <c r="N324" i="10"/>
  <c r="O324" i="10" s="1"/>
  <c r="X324" i="12" s="1"/>
  <c r="Y324" i="12" s="1"/>
  <c r="Z324" i="12" s="1"/>
  <c r="N230" i="10"/>
  <c r="O230" i="10" s="1"/>
  <c r="X230" i="12" s="1"/>
  <c r="Y230" i="12" s="1"/>
  <c r="Z230" i="12" s="1"/>
  <c r="N306" i="10"/>
  <c r="O306" i="10" s="1"/>
  <c r="X306" i="12" s="1"/>
  <c r="N42" i="10"/>
  <c r="O42" i="10" s="1"/>
  <c r="X42" i="12" s="1"/>
  <c r="Y42" i="12" s="1"/>
  <c r="Z42" i="12" s="1"/>
  <c r="N49" i="10"/>
  <c r="O49" i="10" s="1"/>
  <c r="X49" i="12" s="1"/>
  <c r="N327" i="10"/>
  <c r="O327" i="10" s="1"/>
  <c r="X327" i="12" s="1"/>
  <c r="Y327" i="12" s="1"/>
  <c r="Z327" i="12" s="1"/>
  <c r="N323" i="10"/>
  <c r="O323" i="10" s="1"/>
  <c r="X323" i="12" s="1"/>
  <c r="Y323" i="12" s="1"/>
  <c r="Z323" i="12" s="1"/>
  <c r="N77" i="10"/>
  <c r="O77" i="10" s="1"/>
  <c r="X77" i="12" s="1"/>
  <c r="Y77" i="12" s="1"/>
  <c r="Z77" i="12" s="1"/>
  <c r="N32" i="10"/>
  <c r="O32" i="10" s="1"/>
  <c r="X32" i="12" s="1"/>
  <c r="N107" i="10"/>
  <c r="O107" i="10" s="1"/>
  <c r="X107" i="12" s="1"/>
  <c r="N208" i="10"/>
  <c r="O208" i="10" s="1"/>
  <c r="X208" i="12" s="1"/>
  <c r="Y208" i="12" s="1"/>
  <c r="Z208" i="12" s="1"/>
  <c r="N281" i="10"/>
  <c r="O281" i="10" s="1"/>
  <c r="X281" i="12" s="1"/>
  <c r="N106" i="10"/>
  <c r="O106" i="10" s="1"/>
  <c r="X106" i="12" s="1"/>
  <c r="N31" i="10"/>
  <c r="O31" i="10" s="1"/>
  <c r="X31" i="12" s="1"/>
  <c r="N154" i="10"/>
  <c r="O154" i="10" s="1"/>
  <c r="X154" i="12" s="1"/>
  <c r="N250" i="10"/>
  <c r="O250" i="10" s="1"/>
  <c r="X250" i="12" s="1"/>
  <c r="N53" i="10"/>
  <c r="O53" i="10" s="1"/>
  <c r="X53" i="12" s="1"/>
  <c r="Y53" i="12" s="1"/>
  <c r="Z53" i="12" s="1"/>
  <c r="N313" i="10"/>
  <c r="O313" i="10" s="1"/>
  <c r="X313" i="12" s="1"/>
  <c r="N100" i="10"/>
  <c r="O100" i="10" s="1"/>
  <c r="X100" i="12" s="1"/>
  <c r="Y100" i="12" s="1"/>
  <c r="Z100" i="12" s="1"/>
  <c r="N70" i="10"/>
  <c r="O70" i="10" s="1"/>
  <c r="X70" i="12" s="1"/>
  <c r="N214" i="10"/>
  <c r="O214" i="10" s="1"/>
  <c r="X214" i="12" s="1"/>
  <c r="Y214" i="12" s="1"/>
  <c r="Z214" i="12" s="1"/>
  <c r="N125" i="10"/>
  <c r="O125" i="10" s="1"/>
  <c r="X125" i="12" s="1"/>
  <c r="Y125" i="12" s="1"/>
  <c r="Z125" i="12" s="1"/>
  <c r="N283" i="10"/>
  <c r="O283" i="10" s="1"/>
  <c r="X283" i="12" s="1"/>
  <c r="N303" i="10"/>
  <c r="O303" i="10" s="1"/>
  <c r="X303" i="12" s="1"/>
  <c r="Y303" i="12" s="1"/>
  <c r="Z303" i="12" s="1"/>
  <c r="N248" i="10"/>
  <c r="O248" i="10" s="1"/>
  <c r="X248" i="12" s="1"/>
  <c r="N232" i="10"/>
  <c r="O232" i="10" s="1"/>
  <c r="X232" i="12" s="1"/>
  <c r="Y232" i="12" s="1"/>
  <c r="Z232" i="12" s="1"/>
  <c r="N68" i="10"/>
  <c r="O68" i="10" s="1"/>
  <c r="X68" i="12" s="1"/>
  <c r="N284" i="10"/>
  <c r="O284" i="10" s="1"/>
  <c r="X284" i="12" s="1"/>
  <c r="N238" i="10"/>
  <c r="O238" i="10" s="1"/>
  <c r="X238" i="12" s="1"/>
  <c r="N294" i="10"/>
  <c r="O294" i="10" s="1"/>
  <c r="X294" i="12" s="1"/>
  <c r="Y294" i="12" s="1"/>
  <c r="Z294" i="12" s="1"/>
  <c r="N315" i="10"/>
  <c r="O315" i="10" s="1"/>
  <c r="X315" i="12" s="1"/>
  <c r="Y315" i="12" s="1"/>
  <c r="Z315" i="12" s="1"/>
  <c r="N162" i="10"/>
  <c r="O162" i="10" s="1"/>
  <c r="X162" i="12" s="1"/>
  <c r="Y162" i="12" s="1"/>
  <c r="Z162" i="12" s="1"/>
  <c r="N189" i="10"/>
  <c r="O189" i="10" s="1"/>
  <c r="X189" i="12" s="1"/>
  <c r="N37" i="10"/>
  <c r="O37" i="10" s="1"/>
  <c r="X37" i="12" s="1"/>
  <c r="N289" i="10"/>
  <c r="O289" i="10" s="1"/>
  <c r="X289" i="12" s="1"/>
  <c r="N25" i="10"/>
  <c r="O25" i="10" s="1"/>
  <c r="X25" i="12" s="1"/>
  <c r="Y25" i="12" s="1"/>
  <c r="Z25" i="12" s="1"/>
  <c r="N219" i="10"/>
  <c r="O219" i="10" s="1"/>
  <c r="X219" i="12" s="1"/>
  <c r="Y219" i="12" s="1"/>
  <c r="Z219" i="12" s="1"/>
  <c r="N296" i="10"/>
  <c r="O296" i="10" s="1"/>
  <c r="X296" i="12" s="1"/>
  <c r="N13" i="10"/>
  <c r="O13" i="10" s="1"/>
  <c r="X13" i="12" s="1"/>
  <c r="Y13" i="12" s="1"/>
  <c r="Z13" i="12" s="1"/>
  <c r="N59" i="10"/>
  <c r="O59" i="10" s="1"/>
  <c r="X59" i="12" s="1"/>
  <c r="Y59" i="12" s="1"/>
  <c r="Z59" i="12" s="1"/>
  <c r="N79" i="10"/>
  <c r="O79" i="10" s="1"/>
  <c r="X79" i="12" s="1"/>
  <c r="N199" i="10"/>
  <c r="O199" i="10" s="1"/>
  <c r="X199" i="12" s="1"/>
  <c r="N282" i="10"/>
  <c r="O282" i="10" s="1"/>
  <c r="X282" i="12" s="1"/>
  <c r="Y282" i="12" s="1"/>
  <c r="Z282" i="12" s="1"/>
  <c r="N88" i="10"/>
  <c r="O88" i="10" s="1"/>
  <c r="X88" i="12" s="1"/>
  <c r="Y88" i="12" s="1"/>
  <c r="Z88" i="12" s="1"/>
  <c r="N269" i="10"/>
  <c r="O269" i="10" s="1"/>
  <c r="X269" i="12" s="1"/>
  <c r="N122" i="10"/>
  <c r="O122" i="10" s="1"/>
  <c r="X122" i="12" s="1"/>
  <c r="N316" i="10"/>
  <c r="O316" i="10" s="1"/>
  <c r="X316" i="12" s="1"/>
  <c r="N83" i="10"/>
  <c r="O83" i="10" s="1"/>
  <c r="X83" i="12" s="1"/>
  <c r="N205" i="10"/>
  <c r="O205" i="10" s="1"/>
  <c r="X205" i="12" s="1"/>
  <c r="N36" i="10"/>
  <c r="O36" i="10" s="1"/>
  <c r="X36" i="12" s="1"/>
  <c r="N132" i="10"/>
  <c r="O132" i="10" s="1"/>
  <c r="X132" i="12" s="1"/>
  <c r="N220" i="10"/>
  <c r="O220" i="10" s="1"/>
  <c r="X220" i="12" s="1"/>
  <c r="N60" i="10"/>
  <c r="O60" i="10" s="1"/>
  <c r="X60" i="12" s="1"/>
  <c r="N46" i="10"/>
  <c r="O46" i="10" s="1"/>
  <c r="X46" i="12" s="1"/>
  <c r="Y46" i="12" s="1"/>
  <c r="Z46" i="12" s="1"/>
  <c r="N131" i="10"/>
  <c r="O131" i="10" s="1"/>
  <c r="X131" i="12" s="1"/>
  <c r="Y131" i="12" s="1"/>
  <c r="Z131" i="12" s="1"/>
  <c r="N89" i="10"/>
  <c r="O89" i="10" s="1"/>
  <c r="X89" i="12" s="1"/>
  <c r="N184" i="10"/>
  <c r="O184" i="10" s="1"/>
  <c r="X184" i="12" s="1"/>
  <c r="Y184" i="12" s="1"/>
  <c r="Z184" i="12" s="1"/>
  <c r="N121" i="10"/>
  <c r="O121" i="10" s="1"/>
  <c r="X121" i="12" s="1"/>
  <c r="N176" i="10"/>
  <c r="O176" i="10" s="1"/>
  <c r="X176" i="12" s="1"/>
  <c r="N300" i="10"/>
  <c r="O300" i="10" s="1"/>
  <c r="X300" i="12" s="1"/>
  <c r="Y300" i="12" s="1"/>
  <c r="Z300" i="12" s="1"/>
  <c r="N110" i="10"/>
  <c r="O110" i="10" s="1"/>
  <c r="X110" i="12" s="1"/>
  <c r="Y110" i="12" s="1"/>
  <c r="Z110" i="12" s="1"/>
  <c r="N90" i="10"/>
  <c r="O90" i="10" s="1"/>
  <c r="X90" i="12" s="1"/>
  <c r="Y90" i="12" s="1"/>
  <c r="Z90" i="12" s="1"/>
  <c r="N29" i="10"/>
  <c r="O29" i="10" s="1"/>
  <c r="X29" i="12" s="1"/>
  <c r="Y29" i="12" s="1"/>
  <c r="Z29" i="12" s="1"/>
  <c r="N142" i="10"/>
  <c r="O142" i="10" s="1"/>
  <c r="X142" i="12" s="1"/>
  <c r="Y142" i="12" s="1"/>
  <c r="Z142" i="12" s="1"/>
  <c r="N108" i="10"/>
  <c r="O108" i="10" s="1"/>
  <c r="X108" i="12" s="1"/>
  <c r="Y108" i="12" s="1"/>
  <c r="Z108" i="12" s="1"/>
  <c r="N164" i="10"/>
  <c r="O164" i="10" s="1"/>
  <c r="X164" i="12" s="1"/>
  <c r="Y164" i="12" s="1"/>
  <c r="Z164" i="12" s="1"/>
  <c r="N24" i="10"/>
  <c r="O24" i="10" s="1"/>
  <c r="X24" i="12" s="1"/>
  <c r="N265" i="10"/>
  <c r="O265" i="10" s="1"/>
  <c r="X265" i="12" s="1"/>
  <c r="N255" i="10"/>
  <c r="O255" i="10" s="1"/>
  <c r="X255" i="12" s="1"/>
  <c r="Y255" i="12" s="1"/>
  <c r="Z255" i="12" s="1"/>
  <c r="N319" i="10"/>
  <c r="O319" i="10" s="1"/>
  <c r="X319" i="12" s="1"/>
  <c r="N317" i="10"/>
  <c r="O317" i="10" s="1"/>
  <c r="X317" i="12" s="1"/>
  <c r="N133" i="10"/>
  <c r="O133" i="10" s="1"/>
  <c r="X133" i="12" s="1"/>
  <c r="Y133" i="12" s="1"/>
  <c r="Z133" i="12" s="1"/>
  <c r="N203" i="10"/>
  <c r="O203" i="10" s="1"/>
  <c r="X203" i="12" s="1"/>
  <c r="N299" i="10"/>
  <c r="O299" i="10" s="1"/>
  <c r="X299" i="12" s="1"/>
  <c r="N264" i="10"/>
  <c r="O264" i="10" s="1"/>
  <c r="X264" i="12" s="1"/>
  <c r="N163" i="10"/>
  <c r="O163" i="10" s="1"/>
  <c r="X163" i="12" s="1"/>
  <c r="Y163" i="12" s="1"/>
  <c r="Z163" i="12" s="1"/>
  <c r="N277" i="10"/>
  <c r="O277" i="10" s="1"/>
  <c r="X277" i="12" s="1"/>
  <c r="N64" i="10"/>
  <c r="O64" i="10" s="1"/>
  <c r="X64" i="12" s="1"/>
  <c r="N82" i="10"/>
  <c r="O82" i="10" s="1"/>
  <c r="X82" i="12" s="1"/>
  <c r="Y82" i="12" s="1"/>
  <c r="Z82" i="12" s="1"/>
  <c r="N33" i="10"/>
  <c r="O33" i="10" s="1"/>
  <c r="X33" i="12" s="1"/>
  <c r="Y33" i="12" s="1"/>
  <c r="Z33" i="12" s="1"/>
  <c r="N52" i="10"/>
  <c r="O52" i="10" s="1"/>
  <c r="X52" i="12" s="1"/>
  <c r="N263" i="10"/>
  <c r="O263" i="10" s="1"/>
  <c r="X263" i="12" s="1"/>
  <c r="Y263" i="12" s="1"/>
  <c r="Z263" i="12" s="1"/>
  <c r="N103" i="10"/>
  <c r="O103" i="10" s="1"/>
  <c r="X103" i="12" s="1"/>
  <c r="N228" i="10"/>
  <c r="O228" i="10" s="1"/>
  <c r="X228" i="12" s="1"/>
  <c r="Y228" i="12" s="1"/>
  <c r="Z228" i="12" s="1"/>
  <c r="N288" i="10"/>
  <c r="O288" i="10" s="1"/>
  <c r="X288" i="12" s="1"/>
  <c r="Y288" i="12" s="1"/>
  <c r="Z288" i="12" s="1"/>
  <c r="N221" i="10"/>
  <c r="O221" i="10" s="1"/>
  <c r="X221" i="12" s="1"/>
  <c r="N312" i="10"/>
  <c r="O312" i="10" s="1"/>
  <c r="X312" i="12" s="1"/>
  <c r="N76" i="10"/>
  <c r="O76" i="10" s="1"/>
  <c r="X76" i="12" s="1"/>
  <c r="Y76" i="12" s="1"/>
  <c r="Z76" i="12" s="1"/>
  <c r="N253" i="10"/>
  <c r="O253" i="10" s="1"/>
  <c r="X253" i="12" s="1"/>
  <c r="N10" i="10"/>
  <c r="O10" i="10" s="1"/>
  <c r="X10" i="12" s="1"/>
  <c r="N30" i="10"/>
  <c r="O30" i="10" s="1"/>
  <c r="X30" i="12" s="1"/>
  <c r="Y30" i="12" s="1"/>
  <c r="Z30" i="12" s="1"/>
  <c r="N44" i="10"/>
  <c r="O44" i="10" s="1"/>
  <c r="X44" i="12" s="1"/>
  <c r="N166" i="10"/>
  <c r="O166" i="10" s="1"/>
  <c r="X166" i="12" s="1"/>
  <c r="N57" i="10"/>
  <c r="O57" i="10" s="1"/>
  <c r="X57" i="12" s="1"/>
  <c r="N111" i="10"/>
  <c r="O111" i="10" s="1"/>
  <c r="X111" i="12" s="1"/>
  <c r="N50" i="10"/>
  <c r="O50" i="10" s="1"/>
  <c r="X50" i="12" s="1"/>
  <c r="Y50" i="12" s="1"/>
  <c r="Z50" i="12" s="1"/>
  <c r="N276" i="10"/>
  <c r="O276" i="10" s="1"/>
  <c r="X276" i="12" s="1"/>
  <c r="N39" i="10"/>
  <c r="O39" i="10" s="1"/>
  <c r="X39" i="12" s="1"/>
  <c r="Y39" i="12" s="1"/>
  <c r="Z39" i="12" s="1"/>
  <c r="N239" i="10"/>
  <c r="O239" i="10" s="1"/>
  <c r="X239" i="12" s="1"/>
  <c r="N23" i="10"/>
  <c r="O23" i="10" s="1"/>
  <c r="X23" i="12" s="1"/>
  <c r="Y23" i="12" s="1"/>
  <c r="Z23" i="12" s="1"/>
  <c r="N231" i="10"/>
  <c r="O231" i="10" s="1"/>
  <c r="X231" i="12" s="1"/>
  <c r="N63" i="10"/>
  <c r="O63" i="10" s="1"/>
  <c r="X63" i="12" s="1"/>
  <c r="N213" i="10"/>
  <c r="O213" i="10" s="1"/>
  <c r="X213" i="12" s="1"/>
  <c r="N34" i="10"/>
  <c r="O34" i="10" s="1"/>
  <c r="X34" i="12" s="1"/>
  <c r="Y34" i="12" s="1"/>
  <c r="Z34" i="12" s="1"/>
  <c r="N155" i="10"/>
  <c r="O155" i="10" s="1"/>
  <c r="X155" i="12" s="1"/>
  <c r="Y155" i="12" s="1"/>
  <c r="Z155" i="12" s="1"/>
  <c r="N218" i="10"/>
  <c r="O218" i="10" s="1"/>
  <c r="X218" i="12" s="1"/>
  <c r="N147" i="10"/>
  <c r="O147" i="10" s="1"/>
  <c r="X147" i="12" s="1"/>
  <c r="N118" i="10"/>
  <c r="O118" i="10" s="1"/>
  <c r="X118" i="12" s="1"/>
  <c r="N301" i="10"/>
  <c r="O301" i="10" s="1"/>
  <c r="X301" i="12" s="1"/>
  <c r="N224" i="10"/>
  <c r="O224" i="10" s="1"/>
  <c r="X224" i="12" s="1"/>
  <c r="Y224" i="12" s="1"/>
  <c r="Z224" i="12" s="1"/>
  <c r="N259" i="10"/>
  <c r="O259" i="10" s="1"/>
  <c r="X259" i="12" s="1"/>
  <c r="Y259" i="12" s="1"/>
  <c r="Z259" i="12" s="1"/>
  <c r="N260" i="10"/>
  <c r="O260" i="10" s="1"/>
  <c r="X260" i="12" s="1"/>
  <c r="N15" i="10"/>
  <c r="O15" i="10" s="1"/>
  <c r="X15" i="12" s="1"/>
  <c r="Y15" i="12" s="1"/>
  <c r="Z15" i="12" s="1"/>
  <c r="N113" i="10"/>
  <c r="O113" i="10" s="1"/>
  <c r="X113" i="12" s="1"/>
  <c r="Y113" i="12" s="1"/>
  <c r="Z113" i="12" s="1"/>
  <c r="N298" i="10"/>
  <c r="O298" i="10" s="1"/>
  <c r="X298" i="12" s="1"/>
  <c r="Y298" i="12" s="1"/>
  <c r="Z298" i="12" s="1"/>
  <c r="N62" i="10"/>
  <c r="O62" i="10" s="1"/>
  <c r="X62" i="12" s="1"/>
  <c r="N19" i="10"/>
  <c r="O19" i="10" s="1"/>
  <c r="X19" i="12" s="1"/>
  <c r="Y19" i="12" s="1"/>
  <c r="Z19" i="12" s="1"/>
  <c r="N204" i="10"/>
  <c r="O204" i="10" s="1"/>
  <c r="X204" i="12" s="1"/>
  <c r="Y204" i="12" s="1"/>
  <c r="Z204" i="12" s="1"/>
  <c r="N146" i="10"/>
  <c r="O146" i="10" s="1"/>
  <c r="X146" i="12" s="1"/>
  <c r="Y146" i="12" s="1"/>
  <c r="Z146" i="12" s="1"/>
  <c r="N119" i="10"/>
  <c r="O119" i="10" s="1"/>
  <c r="X119" i="12" s="1"/>
  <c r="Y119" i="12" s="1"/>
  <c r="Z119" i="12" s="1"/>
  <c r="N180" i="10"/>
  <c r="O180" i="10" s="1"/>
  <c r="X180" i="12" s="1"/>
  <c r="N143" i="10"/>
  <c r="O143" i="10" s="1"/>
  <c r="X143" i="12" s="1"/>
  <c r="Y143" i="12" s="1"/>
  <c r="Z143" i="12" s="1"/>
  <c r="N84" i="10"/>
  <c r="O84" i="10" s="1"/>
  <c r="X84" i="12" s="1"/>
  <c r="N175" i="10"/>
  <c r="O175" i="10" s="1"/>
  <c r="X175" i="12" s="1"/>
  <c r="Y175" i="12" s="1"/>
  <c r="Z175" i="12" s="1"/>
  <c r="N124" i="10"/>
  <c r="O124" i="10" s="1"/>
  <c r="X124" i="12" s="1"/>
  <c r="Y124" i="12" s="1"/>
  <c r="Z124" i="12" s="1"/>
  <c r="N251" i="10"/>
  <c r="O251" i="10" s="1"/>
  <c r="X251" i="12" s="1"/>
  <c r="Y251" i="12" s="1"/>
  <c r="Z251" i="12" s="1"/>
  <c r="N104" i="10"/>
  <c r="O104" i="10" s="1"/>
  <c r="X104" i="12" s="1"/>
  <c r="N226" i="10"/>
  <c r="O226" i="10" s="1"/>
  <c r="X226" i="12" s="1"/>
  <c r="Y226" i="12" s="1"/>
  <c r="Z226" i="12" s="1"/>
  <c r="N256" i="10"/>
  <c r="O256" i="10" s="1"/>
  <c r="X256" i="12" s="1"/>
  <c r="Y256" i="12" s="1"/>
  <c r="Z256" i="12" s="1"/>
  <c r="N211" i="10"/>
  <c r="O211" i="10" s="1"/>
  <c r="X211" i="12" s="1"/>
  <c r="N252" i="10"/>
  <c r="O252" i="10" s="1"/>
  <c r="X252" i="12" s="1"/>
  <c r="Y252" i="12" s="1"/>
  <c r="Z252" i="12" s="1"/>
  <c r="N165" i="10"/>
  <c r="O165" i="10" s="1"/>
  <c r="X165" i="12" s="1"/>
  <c r="Y165" i="12" s="1"/>
  <c r="Z165" i="12" s="1"/>
  <c r="N188" i="10"/>
  <c r="O188" i="10" s="1"/>
  <c r="X188" i="12" s="1"/>
  <c r="Y188" i="12" s="1"/>
  <c r="Z188" i="12" s="1"/>
  <c r="N115" i="10"/>
  <c r="O115" i="10" s="1"/>
  <c r="X115" i="12" s="1"/>
  <c r="Y115" i="12" s="1"/>
  <c r="Z115" i="12" s="1"/>
  <c r="N302" i="10"/>
  <c r="O302" i="10" s="1"/>
  <c r="X302" i="12" s="1"/>
  <c r="Y302" i="12" s="1"/>
  <c r="Z302" i="12" s="1"/>
  <c r="N227" i="10"/>
  <c r="O227" i="10" s="1"/>
  <c r="X227" i="12" s="1"/>
  <c r="Y227" i="12" s="1"/>
  <c r="Z227" i="12" s="1"/>
  <c r="N320" i="10"/>
  <c r="O320" i="10" s="1"/>
  <c r="X320" i="12" s="1"/>
  <c r="Y320" i="12" s="1"/>
  <c r="Z320" i="12" s="1"/>
  <c r="N167" i="10"/>
  <c r="O167" i="10" s="1"/>
  <c r="X167" i="12" s="1"/>
  <c r="Y167" i="12" s="1"/>
  <c r="Z167" i="12" s="1"/>
  <c r="N48" i="10"/>
  <c r="O48" i="10" s="1"/>
  <c r="X48" i="12" s="1"/>
  <c r="Y48" i="12" s="1"/>
  <c r="Z48" i="12" s="1"/>
  <c r="N280" i="10"/>
  <c r="O280" i="10" s="1"/>
  <c r="X280" i="12" s="1"/>
  <c r="Y280" i="12" s="1"/>
  <c r="Z280" i="12" s="1"/>
  <c r="N159" i="10"/>
  <c r="O159" i="10" s="1"/>
  <c r="X159" i="12" s="1"/>
  <c r="Y159" i="12" s="1"/>
  <c r="Z159" i="12" s="1"/>
  <c r="N101" i="10"/>
  <c r="O101" i="10" s="1"/>
  <c r="X101" i="12" s="1"/>
  <c r="Y101" i="12" s="1"/>
  <c r="Z101" i="12" s="1"/>
  <c r="N69" i="10"/>
  <c r="O69" i="10" s="1"/>
  <c r="X69" i="12" s="1"/>
  <c r="Y69" i="12" s="1"/>
  <c r="Z69" i="12" s="1"/>
  <c r="N172" i="10"/>
  <c r="O172" i="10" s="1"/>
  <c r="X172" i="12" s="1"/>
  <c r="Y172" i="12" s="1"/>
  <c r="Z172" i="12" s="1"/>
  <c r="N178" i="10"/>
  <c r="O178" i="10" s="1"/>
  <c r="X178" i="12" s="1"/>
  <c r="Y178" i="12" s="1"/>
  <c r="Z178" i="12" s="1"/>
  <c r="N157" i="10"/>
  <c r="O157" i="10" s="1"/>
  <c r="X157" i="12" s="1"/>
  <c r="Y157" i="12" s="1"/>
  <c r="Z157" i="12" s="1"/>
  <c r="N304" i="10"/>
  <c r="O304" i="10" s="1"/>
  <c r="X304" i="12" s="1"/>
  <c r="Y304" i="12" s="1"/>
  <c r="Z304" i="12" s="1"/>
  <c r="N35" i="10"/>
  <c r="O35" i="10" s="1"/>
  <c r="X35" i="12" s="1"/>
  <c r="Y35" i="12" s="1"/>
  <c r="Z35" i="12" s="1"/>
  <c r="N130" i="10"/>
  <c r="O130" i="10" s="1"/>
  <c r="X130" i="12" s="1"/>
  <c r="Y130" i="12" s="1"/>
  <c r="Z130" i="12" s="1"/>
  <c r="N310" i="10"/>
  <c r="O310" i="10" s="1"/>
  <c r="X310" i="12" s="1"/>
  <c r="Y310" i="12" s="1"/>
  <c r="Z310" i="12" s="1"/>
  <c r="N158" i="10"/>
  <c r="O158" i="10" s="1"/>
  <c r="X158" i="12" s="1"/>
  <c r="N97" i="10"/>
  <c r="O97" i="10" s="1"/>
  <c r="X97" i="12" s="1"/>
  <c r="N120" i="10"/>
  <c r="O120" i="10" s="1"/>
  <c r="X120" i="12" s="1"/>
  <c r="N254" i="10"/>
  <c r="O254" i="10" s="1"/>
  <c r="X254" i="12" s="1"/>
  <c r="N322" i="10"/>
  <c r="O322" i="10" s="1"/>
  <c r="X322" i="12" s="1"/>
  <c r="N12" i="10"/>
  <c r="O12" i="10" s="1"/>
  <c r="X12" i="12" s="1"/>
  <c r="N66" i="10"/>
  <c r="O66" i="10" s="1"/>
  <c r="X66" i="12" s="1"/>
  <c r="N128" i="10"/>
  <c r="O128" i="10" s="1"/>
  <c r="X128" i="12" s="1"/>
  <c r="N86" i="10"/>
  <c r="O86" i="10" s="1"/>
  <c r="X86" i="12" s="1"/>
  <c r="N43" i="10"/>
  <c r="O43" i="10" s="1"/>
  <c r="X43" i="12" s="1"/>
  <c r="N67" i="10"/>
  <c r="O67" i="10" s="1"/>
  <c r="X67" i="12" s="1"/>
  <c r="N55" i="10"/>
  <c r="O55" i="10" s="1"/>
  <c r="X55" i="12" s="1"/>
  <c r="N242" i="10"/>
  <c r="O242" i="10" s="1"/>
  <c r="X242" i="12" s="1"/>
  <c r="N292" i="10"/>
  <c r="O292" i="10" s="1"/>
  <c r="X292" i="12" s="1"/>
  <c r="Y292" i="12" s="1"/>
  <c r="Z292" i="12" s="1"/>
  <c r="N318" i="10"/>
  <c r="O318" i="10" s="1"/>
  <c r="X318" i="12" s="1"/>
  <c r="Y318" i="12" s="1"/>
  <c r="Z318" i="12" s="1"/>
  <c r="N75" i="10"/>
  <c r="O75" i="10" s="1"/>
  <c r="X75" i="12" s="1"/>
  <c r="Y75" i="12" s="1"/>
  <c r="Z75" i="12" s="1"/>
  <c r="N45" i="10"/>
  <c r="O45" i="10" s="1"/>
  <c r="X45" i="12" s="1"/>
  <c r="Y45" i="12" s="1"/>
  <c r="Z45" i="12" s="1"/>
  <c r="N38" i="10"/>
  <c r="O38" i="10" s="1"/>
  <c r="X38" i="12" s="1"/>
  <c r="Y38" i="12" s="1"/>
  <c r="Z38" i="12" s="1"/>
  <c r="N217" i="10"/>
  <c r="O217" i="10" s="1"/>
  <c r="X217" i="12" s="1"/>
  <c r="Y217" i="12" s="1"/>
  <c r="Z217" i="12" s="1"/>
  <c r="N308" i="10"/>
  <c r="O308" i="10" s="1"/>
  <c r="X308" i="12" s="1"/>
  <c r="Y308" i="12" s="1"/>
  <c r="Z308" i="12" s="1"/>
  <c r="N148" i="10"/>
  <c r="O148" i="10" s="1"/>
  <c r="X148" i="12" s="1"/>
  <c r="Y148" i="12" s="1"/>
  <c r="Z148" i="12" s="1"/>
  <c r="N177" i="10"/>
  <c r="O177" i="10" s="1"/>
  <c r="X177" i="12" s="1"/>
  <c r="Y177" i="12" s="1"/>
  <c r="Z177" i="12" s="1"/>
  <c r="N26" i="10"/>
  <c r="O26" i="10" s="1"/>
  <c r="X26" i="12" s="1"/>
  <c r="Y26" i="12" s="1"/>
  <c r="Z26" i="12" s="1"/>
  <c r="N179" i="10"/>
  <c r="O179" i="10" s="1"/>
  <c r="X179" i="12" s="1"/>
  <c r="Y179" i="12" s="1"/>
  <c r="Z179" i="12" s="1"/>
  <c r="N156" i="10"/>
  <c r="O156" i="10" s="1"/>
  <c r="X156" i="12" s="1"/>
  <c r="Y156" i="12" s="1"/>
  <c r="Z156" i="12" s="1"/>
  <c r="N201" i="10"/>
  <c r="O201" i="10" s="1"/>
  <c r="X201" i="12" s="1"/>
  <c r="Y201" i="12" s="1"/>
  <c r="Z201" i="12" s="1"/>
  <c r="N293" i="10"/>
  <c r="O293" i="10" s="1"/>
  <c r="X293" i="12" s="1"/>
  <c r="Y293" i="12" s="1"/>
  <c r="Z293" i="12" s="1"/>
  <c r="N123" i="10"/>
  <c r="O123" i="10" s="1"/>
  <c r="X123" i="12" s="1"/>
  <c r="Y123" i="12" s="1"/>
  <c r="Z123" i="12" s="1"/>
  <c r="N202" i="10"/>
  <c r="O202" i="10" s="1"/>
  <c r="X202" i="12" s="1"/>
  <c r="Y202" i="12" s="1"/>
  <c r="Z202" i="12" s="1"/>
  <c r="N215" i="10"/>
  <c r="O215" i="10" s="1"/>
  <c r="X215" i="12" s="1"/>
  <c r="N160" i="10"/>
  <c r="O160" i="10" s="1"/>
  <c r="X160" i="12" s="1"/>
  <c r="N185" i="10"/>
  <c r="O185" i="10" s="1"/>
  <c r="X185" i="12" s="1"/>
  <c r="N186" i="10"/>
  <c r="O186" i="10" s="1"/>
  <c r="X186" i="12" s="1"/>
  <c r="N22" i="10"/>
  <c r="O22" i="10" s="1"/>
  <c r="X22" i="12" s="1"/>
  <c r="N234" i="10"/>
  <c r="O234" i="10" s="1"/>
  <c r="X234" i="12" s="1"/>
  <c r="N209" i="10"/>
  <c r="O209" i="10" s="1"/>
  <c r="X209" i="12" s="1"/>
  <c r="N286" i="10"/>
  <c r="O286" i="10" s="1"/>
  <c r="X286" i="12" s="1"/>
  <c r="N138" i="10"/>
  <c r="O138" i="10" s="1"/>
  <c r="X138" i="12" s="1"/>
  <c r="N249" i="10"/>
  <c r="O249" i="10" s="1"/>
  <c r="X249" i="12" s="1"/>
  <c r="N285" i="10"/>
  <c r="O285" i="10" s="1"/>
  <c r="X285" i="12" s="1"/>
  <c r="N297" i="10"/>
  <c r="O297" i="10" s="1"/>
  <c r="X297" i="12" s="1"/>
  <c r="Y297" i="12" s="1"/>
  <c r="Z297" i="12" s="1"/>
  <c r="N305" i="10"/>
  <c r="O305" i="10" s="1"/>
  <c r="X305" i="12" s="1"/>
  <c r="Y305" i="12" s="1"/>
  <c r="Z305" i="12" s="1"/>
  <c r="N56" i="10"/>
  <c r="O56" i="10" s="1"/>
  <c r="X56" i="12" s="1"/>
  <c r="Y56" i="12" s="1"/>
  <c r="Z56" i="12" s="1"/>
  <c r="N80" i="10"/>
  <c r="O80" i="10" s="1"/>
  <c r="X80" i="12" s="1"/>
  <c r="Y80" i="12" s="1"/>
  <c r="Z80" i="12" s="1"/>
  <c r="N222" i="10"/>
  <c r="O222" i="10" s="1"/>
  <c r="X222" i="12" s="1"/>
  <c r="Y222" i="12" s="1"/>
  <c r="Z222" i="12" s="1"/>
  <c r="N114" i="10"/>
  <c r="O114" i="10" s="1"/>
  <c r="X114" i="12" s="1"/>
  <c r="Y114" i="12" s="1"/>
  <c r="Z114" i="12" s="1"/>
  <c r="N278" i="10"/>
  <c r="O278" i="10" s="1"/>
  <c r="X278" i="12" s="1"/>
  <c r="Y278" i="12" s="1"/>
  <c r="Z278" i="12" s="1"/>
  <c r="N21" i="10"/>
  <c r="O21" i="10" s="1"/>
  <c r="X21" i="12" s="1"/>
  <c r="Y21" i="12" s="1"/>
  <c r="Z21" i="12" s="1"/>
  <c r="N311" i="10"/>
  <c r="O311" i="10" s="1"/>
  <c r="X311" i="12" s="1"/>
  <c r="Y311" i="12" s="1"/>
  <c r="Z311" i="12" s="1"/>
  <c r="N241" i="10"/>
  <c r="O241" i="10" s="1"/>
  <c r="X241" i="12" s="1"/>
  <c r="Y241" i="12" s="1"/>
  <c r="Z241" i="12" s="1"/>
  <c r="N109" i="10"/>
  <c r="O109" i="10" s="1"/>
  <c r="X109" i="12" s="1"/>
  <c r="Y109" i="12" s="1"/>
  <c r="Z109" i="12" s="1"/>
  <c r="N145" i="10"/>
  <c r="O145" i="10" s="1"/>
  <c r="X145" i="12" s="1"/>
  <c r="Y145" i="12" s="1"/>
  <c r="Z145" i="12" s="1"/>
  <c r="N72" i="10"/>
  <c r="O72" i="10" s="1"/>
  <c r="X72" i="12" s="1"/>
  <c r="Y72" i="12" s="1"/>
  <c r="Z72" i="12" s="1"/>
  <c r="N168" i="10"/>
  <c r="O168" i="10" s="1"/>
  <c r="X168" i="12" s="1"/>
  <c r="Y168" i="12" s="1"/>
  <c r="Z168" i="12" s="1"/>
  <c r="N98" i="10"/>
  <c r="O98" i="10" s="1"/>
  <c r="X98" i="12" s="1"/>
  <c r="Y98" i="12" s="1"/>
  <c r="Z98" i="12" s="1"/>
  <c r="N140" i="10"/>
  <c r="O140" i="10" s="1"/>
  <c r="X140" i="12" s="1"/>
  <c r="Y140" i="12" s="1"/>
  <c r="Z140" i="12" s="1"/>
  <c r="N78" i="10"/>
  <c r="O78" i="10" s="1"/>
  <c r="X78" i="12" s="1"/>
  <c r="Y78" i="12" s="1"/>
  <c r="Z78" i="12" s="1"/>
  <c r="N243" i="10"/>
  <c r="O243" i="10" s="1"/>
  <c r="X243" i="12" s="1"/>
  <c r="N170" i="10"/>
  <c r="O170" i="10" s="1"/>
  <c r="X170" i="12" s="1"/>
  <c r="N194" i="10"/>
  <c r="O194" i="10" s="1"/>
  <c r="X194" i="12" s="1"/>
  <c r="N137" i="10"/>
  <c r="O137" i="10" s="1"/>
  <c r="X137" i="12" s="1"/>
  <c r="N129" i="10"/>
  <c r="O129" i="10" s="1"/>
  <c r="X129" i="12" s="1"/>
  <c r="N290" i="10"/>
  <c r="O290" i="10" s="1"/>
  <c r="X290" i="12" s="1"/>
  <c r="N321" i="10"/>
  <c r="O321" i="10" s="1"/>
  <c r="X321" i="12" s="1"/>
  <c r="N235" i="10"/>
  <c r="O235" i="10" s="1"/>
  <c r="X235" i="12" s="1"/>
  <c r="N96" i="10"/>
  <c r="O96" i="10" s="1"/>
  <c r="X96" i="12" s="1"/>
  <c r="N271" i="10"/>
  <c r="O271" i="10" s="1"/>
  <c r="X271" i="12" s="1"/>
  <c r="N51" i="10"/>
  <c r="O51" i="10" s="1"/>
  <c r="X51" i="12" s="1"/>
  <c r="N141" i="10"/>
  <c r="O141" i="10" s="1"/>
  <c r="X141" i="12" s="1"/>
  <c r="N27" i="10"/>
  <c r="O27" i="10" s="1"/>
  <c r="X27" i="12" s="1"/>
  <c r="Y27" i="12" s="1"/>
  <c r="Z27" i="12" s="1"/>
  <c r="N187" i="10"/>
  <c r="O187" i="10" s="1"/>
  <c r="X187" i="12" s="1"/>
  <c r="Y187" i="12" s="1"/>
  <c r="Z187" i="12" s="1"/>
  <c r="N71" i="10"/>
  <c r="O71" i="10" s="1"/>
  <c r="X71" i="12" s="1"/>
  <c r="Y71" i="12" s="1"/>
  <c r="Z71" i="12" s="1"/>
  <c r="N191" i="10"/>
  <c r="O191" i="10" s="1"/>
  <c r="X191" i="12" s="1"/>
  <c r="Y191" i="12" s="1"/>
  <c r="Z191" i="12" s="1"/>
  <c r="N91" i="10"/>
  <c r="O91" i="10" s="1"/>
  <c r="X91" i="12" s="1"/>
  <c r="Y91" i="12" s="1"/>
  <c r="Z91" i="12" s="1"/>
  <c r="N287" i="10"/>
  <c r="O287" i="10" s="1"/>
  <c r="X287" i="12" s="1"/>
  <c r="Y287" i="12" s="1"/>
  <c r="Z287" i="12" s="1"/>
  <c r="N295" i="10"/>
  <c r="O295" i="10" s="1"/>
  <c r="X295" i="12" s="1"/>
  <c r="Y295" i="12" s="1"/>
  <c r="Z295" i="12" s="1"/>
  <c r="N181" i="10"/>
  <c r="O181" i="10" s="1"/>
  <c r="X181" i="12" s="1"/>
  <c r="Y181" i="12" s="1"/>
  <c r="Z181" i="12" s="1"/>
  <c r="N16" i="10"/>
  <c r="O16" i="10" s="1"/>
  <c r="X16" i="12" s="1"/>
  <c r="Y16" i="12" s="1"/>
  <c r="Z16" i="12" s="1"/>
  <c r="N246" i="10"/>
  <c r="O246" i="10" s="1"/>
  <c r="X246" i="12" s="1"/>
  <c r="Y246" i="12" s="1"/>
  <c r="Z246" i="12" s="1"/>
  <c r="N139" i="10"/>
  <c r="O139" i="10" s="1"/>
  <c r="X139" i="12" s="1"/>
  <c r="Y139" i="12" s="1"/>
  <c r="Z139" i="12" s="1"/>
  <c r="N233" i="10"/>
  <c r="O233" i="10" s="1"/>
  <c r="X233" i="12" s="1"/>
  <c r="Y233" i="12" s="1"/>
  <c r="Z233" i="12" s="1"/>
  <c r="N41" i="10"/>
  <c r="O41" i="10" s="1"/>
  <c r="X41" i="12" s="1"/>
  <c r="Y41" i="12" s="1"/>
  <c r="Z41" i="12" s="1"/>
  <c r="N326" i="10"/>
  <c r="O326" i="10" s="1"/>
  <c r="X326" i="12" s="1"/>
  <c r="Y326" i="12" s="1"/>
  <c r="Z326" i="12" s="1"/>
  <c r="N93" i="10"/>
  <c r="O93" i="10" s="1"/>
  <c r="X93" i="12" s="1"/>
  <c r="Y93" i="12" s="1"/>
  <c r="Z93" i="12" s="1"/>
  <c r="N240" i="10"/>
  <c r="O240" i="10" s="1"/>
  <c r="X240" i="12" s="1"/>
  <c r="Y240" i="12" s="1"/>
  <c r="Z240" i="12" s="1"/>
  <c r="N272" i="10"/>
  <c r="O272" i="10" s="1"/>
  <c r="X272" i="12" s="1"/>
  <c r="N95" i="10"/>
  <c r="O95" i="10" s="1"/>
  <c r="X95" i="12" s="1"/>
  <c r="N149" i="10"/>
  <c r="O149" i="10" s="1"/>
  <c r="X149" i="12" s="1"/>
  <c r="N275" i="10"/>
  <c r="O275" i="10" s="1"/>
  <c r="X275" i="12" s="1"/>
  <c r="N328" i="10"/>
  <c r="O328" i="10" s="1"/>
  <c r="X328" i="12" s="1"/>
  <c r="N210" i="10"/>
  <c r="O210" i="10" s="1"/>
  <c r="X210" i="12" s="1"/>
  <c r="N54" i="10"/>
  <c r="O54" i="10" s="1"/>
  <c r="X54" i="12" s="1"/>
  <c r="N85" i="10"/>
  <c r="O85" i="10" s="1"/>
  <c r="X85" i="12" s="1"/>
  <c r="N212" i="10"/>
  <c r="O212" i="10" s="1"/>
  <c r="X212" i="12" s="1"/>
  <c r="N144" i="10"/>
  <c r="O144" i="10" s="1"/>
  <c r="X144" i="12" s="1"/>
  <c r="N61" i="10"/>
  <c r="O61" i="10" s="1"/>
  <c r="X61" i="12" s="1"/>
  <c r="N134" i="10"/>
  <c r="O134" i="10" s="1"/>
  <c r="X134" i="12" s="1"/>
  <c r="Y134" i="12" s="1"/>
  <c r="Z134" i="12" s="1"/>
  <c r="N87" i="10"/>
  <c r="O87" i="10" s="1"/>
  <c r="X87" i="12" s="1"/>
  <c r="Y87" i="12" s="1"/>
  <c r="Z87" i="12" s="1"/>
  <c r="N236" i="10"/>
  <c r="O236" i="10" s="1"/>
  <c r="X236" i="12" s="1"/>
  <c r="Y236" i="12" s="1"/>
  <c r="Z236" i="12" s="1"/>
  <c r="N247" i="10"/>
  <c r="O247" i="10" s="1"/>
  <c r="X247" i="12" s="1"/>
  <c r="Y247" i="12" s="1"/>
  <c r="Z247" i="12" s="1"/>
  <c r="N309" i="10"/>
  <c r="O309" i="10" s="1"/>
  <c r="X309" i="12" s="1"/>
  <c r="Y309" i="12" s="1"/>
  <c r="Z309" i="12" s="1"/>
  <c r="N325" i="10"/>
  <c r="O325" i="10" s="1"/>
  <c r="X325" i="12" s="1"/>
  <c r="Y325" i="12" s="1"/>
  <c r="Z325" i="12" s="1"/>
  <c r="N223" i="10"/>
  <c r="O223" i="10" s="1"/>
  <c r="X223" i="12" s="1"/>
  <c r="Y223" i="12" s="1"/>
  <c r="Z223" i="12" s="1"/>
  <c r="N314" i="10"/>
  <c r="O314" i="10" s="1"/>
  <c r="X314" i="12" s="1"/>
  <c r="Y314" i="12" s="1"/>
  <c r="Z314" i="12" s="1"/>
  <c r="N195" i="10"/>
  <c r="O195" i="10" s="1"/>
  <c r="X195" i="12" s="1"/>
  <c r="Y195" i="12" s="1"/>
  <c r="Z195" i="12" s="1"/>
  <c r="N258" i="10"/>
  <c r="O258" i="10" s="1"/>
  <c r="X258" i="12" s="1"/>
  <c r="Y258" i="12" s="1"/>
  <c r="Z258" i="12" s="1"/>
  <c r="N92" i="10"/>
  <c r="O92" i="10" s="1"/>
  <c r="X92" i="12" s="1"/>
  <c r="Y92" i="12" s="1"/>
  <c r="Z92" i="12" s="1"/>
  <c r="N99" i="10"/>
  <c r="O99" i="10" s="1"/>
  <c r="X99" i="12" s="1"/>
  <c r="Y99" i="12" s="1"/>
  <c r="Z99" i="12" s="1"/>
  <c r="N207" i="10"/>
  <c r="O207" i="10" s="1"/>
  <c r="X207" i="12" s="1"/>
  <c r="N229" i="10"/>
  <c r="O229" i="10" s="1"/>
  <c r="X229" i="12" s="1"/>
  <c r="N197" i="10"/>
  <c r="O197" i="10" s="1"/>
  <c r="X197" i="12" s="1"/>
  <c r="N268" i="10"/>
  <c r="O268" i="10" s="1"/>
  <c r="X268" i="12" s="1"/>
  <c r="N193" i="10"/>
  <c r="O193" i="10" s="1"/>
  <c r="X193" i="12" s="1"/>
  <c r="N58" i="10"/>
  <c r="O58" i="10" s="1"/>
  <c r="X58" i="12" s="1"/>
  <c r="N28" i="10"/>
  <c r="O28" i="10" s="1"/>
  <c r="X28" i="12" s="1"/>
  <c r="N117" i="10"/>
  <c r="O117" i="10" s="1"/>
  <c r="X117" i="12" s="1"/>
  <c r="N182" i="10"/>
  <c r="O182" i="10" s="1"/>
  <c r="X182" i="12" s="1"/>
  <c r="N65" i="10"/>
  <c r="O65" i="10" s="1"/>
  <c r="X65" i="12" s="1"/>
  <c r="N11" i="10"/>
  <c r="O11" i="10" s="1"/>
  <c r="X11" i="12" s="1"/>
  <c r="N267" i="10"/>
  <c r="O267" i="10" s="1"/>
  <c r="X267" i="12" s="1"/>
  <c r="N20" i="10"/>
  <c r="O20" i="10" s="1"/>
  <c r="X20" i="12" s="1"/>
  <c r="N307" i="10"/>
  <c r="O307" i="10" s="1"/>
  <c r="X307" i="12" s="1"/>
  <c r="N14" i="10"/>
  <c r="O14" i="10" s="1"/>
  <c r="X14" i="12" s="1"/>
  <c r="N17" i="10"/>
  <c r="O17" i="10" s="1"/>
  <c r="X17" i="12" s="1"/>
  <c r="Y17" i="12" s="1"/>
  <c r="Z17" i="12" s="1"/>
  <c r="N40" i="10"/>
  <c r="O40" i="10" s="1"/>
  <c r="X40" i="12" s="1"/>
  <c r="Y40" i="12" s="1"/>
  <c r="Z40" i="12" s="1"/>
  <c r="N153" i="10"/>
  <c r="O153" i="10" s="1"/>
  <c r="X153" i="12" s="1"/>
  <c r="Y153" i="12" s="1"/>
  <c r="Z153" i="12" s="1"/>
  <c r="N279" i="10"/>
  <c r="O279" i="10" s="1"/>
  <c r="X279" i="12" s="1"/>
  <c r="Y279" i="12" s="1"/>
  <c r="Z279" i="12" s="1"/>
  <c r="N237" i="10"/>
  <c r="O237" i="10" s="1"/>
  <c r="X237" i="12" s="1"/>
  <c r="Y237" i="12" s="1"/>
  <c r="Z237" i="12" s="1"/>
  <c r="N190" i="10"/>
  <c r="O190" i="10" s="1"/>
  <c r="X190" i="12" s="1"/>
  <c r="Y190" i="12" s="1"/>
  <c r="Z190" i="12" s="1"/>
  <c r="N200" i="10"/>
  <c r="O200" i="10" s="1"/>
  <c r="X200" i="12" s="1"/>
  <c r="Y200" i="12" s="1"/>
  <c r="Z200" i="12" s="1"/>
  <c r="N257" i="10"/>
  <c r="O257" i="10" s="1"/>
  <c r="X257" i="12" s="1"/>
  <c r="Y257" i="12" s="1"/>
  <c r="Z257" i="12" s="1"/>
  <c r="N262" i="10"/>
  <c r="O262" i="10" s="1"/>
  <c r="X262" i="12" s="1"/>
  <c r="Y262" i="12" s="1"/>
  <c r="Z262" i="12" s="1"/>
  <c r="N216" i="10"/>
  <c r="O216" i="10" s="1"/>
  <c r="X216" i="12" s="1"/>
  <c r="Y216" i="12" s="1"/>
  <c r="Z216" i="12" s="1"/>
  <c r="N192" i="10"/>
  <c r="O192" i="10" s="1"/>
  <c r="X192" i="12" s="1"/>
  <c r="Y192" i="12" s="1"/>
  <c r="Z192" i="12" s="1"/>
  <c r="N102" i="10"/>
  <c r="O102" i="10" s="1"/>
  <c r="X102" i="12" s="1"/>
  <c r="Y102" i="12" s="1"/>
  <c r="Z102" i="12" s="1"/>
  <c r="N94" i="10"/>
  <c r="O94" i="10" s="1"/>
  <c r="X94" i="12" s="1"/>
  <c r="Y94" i="12" s="1"/>
  <c r="Z94" i="12" s="1"/>
  <c r="N151" i="10"/>
  <c r="O151" i="10" s="1"/>
  <c r="X151" i="12" s="1"/>
  <c r="Y151" i="12" s="1"/>
  <c r="Z151" i="12" s="1"/>
  <c r="H21" i="2"/>
  <c r="I19" i="2"/>
  <c r="I21" i="2" s="1"/>
  <c r="Z28" i="12" l="1"/>
  <c r="Y28" i="12"/>
  <c r="Z210" i="12"/>
  <c r="Y210" i="12"/>
  <c r="Z271" i="12"/>
  <c r="Y271" i="12"/>
  <c r="Z160" i="12"/>
  <c r="Y160" i="12"/>
  <c r="Z66" i="12"/>
  <c r="Y66" i="12"/>
  <c r="Z180" i="12"/>
  <c r="Y180" i="12"/>
  <c r="Z301" i="12"/>
  <c r="Y301" i="12"/>
  <c r="Z276" i="12"/>
  <c r="Y276" i="12"/>
  <c r="Z203" i="12"/>
  <c r="Y203" i="12"/>
  <c r="Z205" i="12"/>
  <c r="Y205" i="12"/>
  <c r="Z248" i="12"/>
  <c r="Y248" i="12"/>
  <c r="Z106" i="12"/>
  <c r="Y106" i="12"/>
  <c r="Z173" i="12"/>
  <c r="Y173" i="12"/>
  <c r="Z150" i="12"/>
  <c r="Y150" i="12"/>
  <c r="Z86" i="12"/>
  <c r="Y86" i="12"/>
  <c r="Z299" i="12"/>
  <c r="Y299" i="12"/>
  <c r="Z58" i="12"/>
  <c r="Y58" i="12"/>
  <c r="Z328" i="12"/>
  <c r="Y328" i="12"/>
  <c r="Z96" i="12"/>
  <c r="Y96" i="12"/>
  <c r="Z215" i="12"/>
  <c r="Y215" i="12"/>
  <c r="Z12" i="12"/>
  <c r="Y12" i="12"/>
  <c r="Z118" i="12"/>
  <c r="Y118" i="12"/>
  <c r="Z83" i="12"/>
  <c r="Y83" i="12"/>
  <c r="Z281" i="12"/>
  <c r="Y281" i="12"/>
  <c r="Z244" i="12"/>
  <c r="Y244" i="12"/>
  <c r="Z261" i="12"/>
  <c r="Y261" i="12"/>
  <c r="Z141" i="12"/>
  <c r="Y141" i="12"/>
  <c r="Z185" i="12"/>
  <c r="Y185" i="12"/>
  <c r="Z126" i="12"/>
  <c r="Y126" i="12"/>
  <c r="Z193" i="12"/>
  <c r="Y193" i="12"/>
  <c r="Z275" i="12"/>
  <c r="Y275" i="12"/>
  <c r="Z235" i="12"/>
  <c r="Y235" i="12"/>
  <c r="Z322" i="12"/>
  <c r="Y322" i="12"/>
  <c r="Z147" i="12"/>
  <c r="Y147" i="12"/>
  <c r="Z111" i="12"/>
  <c r="Y111" i="12"/>
  <c r="Z103" i="12"/>
  <c r="Y103" i="12"/>
  <c r="Z317" i="12"/>
  <c r="Y317" i="12"/>
  <c r="Z176" i="12"/>
  <c r="Y176" i="12"/>
  <c r="Z316" i="12"/>
  <c r="Y316" i="12"/>
  <c r="Z289" i="12"/>
  <c r="Y289" i="12"/>
  <c r="Z283" i="12"/>
  <c r="Y283" i="12"/>
  <c r="Z74" i="12"/>
  <c r="Y74" i="12"/>
  <c r="Z161" i="12"/>
  <c r="Y161" i="12"/>
  <c r="Z186" i="12"/>
  <c r="Y186" i="12"/>
  <c r="Z264" i="12"/>
  <c r="Y264" i="12"/>
  <c r="Z296" i="12"/>
  <c r="Y296" i="12"/>
  <c r="Z268" i="12"/>
  <c r="Y268" i="12"/>
  <c r="Z149" i="12"/>
  <c r="Y149" i="12"/>
  <c r="Z321" i="12"/>
  <c r="Y321" i="12"/>
  <c r="Z285" i="12"/>
  <c r="Y285" i="12"/>
  <c r="Z254" i="12"/>
  <c r="Y254" i="12"/>
  <c r="Z211" i="12"/>
  <c r="Y211" i="12"/>
  <c r="Z218" i="12"/>
  <c r="Y218" i="12"/>
  <c r="Z57" i="12"/>
  <c r="Y57" i="12"/>
  <c r="Z319" i="12"/>
  <c r="Y319" i="12"/>
  <c r="Z121" i="12"/>
  <c r="Y121" i="12"/>
  <c r="Z122" i="12"/>
  <c r="Y122" i="12"/>
  <c r="Z37" i="12"/>
  <c r="Y37" i="12"/>
  <c r="Z107" i="12"/>
  <c r="Y107" i="12"/>
  <c r="Z85" i="12"/>
  <c r="Y85" i="12"/>
  <c r="Z312" i="12"/>
  <c r="Y312" i="12"/>
  <c r="Z68" i="12"/>
  <c r="Y68" i="12"/>
  <c r="Z117" i="12"/>
  <c r="Y117" i="12"/>
  <c r="Z128" i="12"/>
  <c r="Y128" i="12"/>
  <c r="Z290" i="12"/>
  <c r="Y290" i="12"/>
  <c r="Z249" i="12"/>
  <c r="Y249" i="12"/>
  <c r="Z120" i="12"/>
  <c r="Y120" i="12"/>
  <c r="Z166" i="12"/>
  <c r="Y166" i="12"/>
  <c r="Z52" i="12"/>
  <c r="Y52" i="12"/>
  <c r="Z269" i="12"/>
  <c r="Y269" i="12"/>
  <c r="Z189" i="12"/>
  <c r="Y189" i="12"/>
  <c r="Z32" i="12"/>
  <c r="Y32" i="12"/>
  <c r="Z152" i="12"/>
  <c r="Y152" i="12"/>
  <c r="Z225" i="12"/>
  <c r="Y225" i="12"/>
  <c r="Z51" i="12"/>
  <c r="Y51" i="12"/>
  <c r="Z221" i="12"/>
  <c r="Y221" i="12"/>
  <c r="Z95" i="12"/>
  <c r="Y95" i="12"/>
  <c r="Z307" i="12"/>
  <c r="Y307" i="12"/>
  <c r="Z229" i="12"/>
  <c r="Y229" i="12"/>
  <c r="Z272" i="12"/>
  <c r="Y272" i="12"/>
  <c r="Z129" i="12"/>
  <c r="Y129" i="12"/>
  <c r="Z138" i="12"/>
  <c r="Y138" i="12"/>
  <c r="Z97" i="12"/>
  <c r="Y97" i="12"/>
  <c r="Z62" i="12"/>
  <c r="Y62" i="12"/>
  <c r="Z44" i="12"/>
  <c r="Y44" i="12"/>
  <c r="Z265" i="12"/>
  <c r="Y265" i="12"/>
  <c r="Z89" i="12"/>
  <c r="Y89" i="12"/>
  <c r="Z70" i="12"/>
  <c r="Y70" i="12"/>
  <c r="Z196" i="12"/>
  <c r="Y196" i="12"/>
  <c r="Z182" i="12"/>
  <c r="Y182" i="12"/>
  <c r="Z306" i="12"/>
  <c r="Y306" i="12"/>
  <c r="Z54" i="12"/>
  <c r="Y54" i="12"/>
  <c r="Z20" i="12"/>
  <c r="Y20" i="12"/>
  <c r="Z286" i="12"/>
  <c r="Y286" i="12"/>
  <c r="Z242" i="12"/>
  <c r="Y242" i="12"/>
  <c r="Z158" i="12"/>
  <c r="Y158" i="12"/>
  <c r="Z104" i="12"/>
  <c r="Y104" i="12"/>
  <c r="Z213" i="12"/>
  <c r="Y213" i="12"/>
  <c r="Z24" i="12"/>
  <c r="Y24" i="12"/>
  <c r="Z116" i="12"/>
  <c r="Y116" i="12"/>
  <c r="Z291" i="12"/>
  <c r="Y291" i="12"/>
  <c r="Z239" i="12"/>
  <c r="Y239" i="12"/>
  <c r="Z31" i="12"/>
  <c r="Y31" i="12"/>
  <c r="Z14" i="12"/>
  <c r="Y14" i="12"/>
  <c r="Z137" i="12"/>
  <c r="Y137" i="12"/>
  <c r="Z267" i="12"/>
  <c r="Y267" i="12"/>
  <c r="Z61" i="12"/>
  <c r="Y61" i="12"/>
  <c r="Z194" i="12"/>
  <c r="Y194" i="12"/>
  <c r="Z209" i="12"/>
  <c r="Y209" i="12"/>
  <c r="Z55" i="12"/>
  <c r="Y55" i="12"/>
  <c r="Z63" i="12"/>
  <c r="Y63" i="12"/>
  <c r="Z10" i="12"/>
  <c r="Y10" i="12"/>
  <c r="Z64" i="12"/>
  <c r="Y64" i="12"/>
  <c r="Z199" i="12"/>
  <c r="Y199" i="12"/>
  <c r="Z313" i="12"/>
  <c r="Y313" i="12"/>
  <c r="Z105" i="12"/>
  <c r="Y105" i="12"/>
  <c r="Z132" i="12"/>
  <c r="Y132" i="12"/>
  <c r="Z36" i="12"/>
  <c r="Y36" i="12"/>
  <c r="Z197" i="12"/>
  <c r="Y197" i="12"/>
  <c r="Z11" i="12"/>
  <c r="Y11" i="12"/>
  <c r="Z144" i="12"/>
  <c r="Y144" i="12"/>
  <c r="Z170" i="12"/>
  <c r="Y170" i="12"/>
  <c r="Z234" i="12"/>
  <c r="Y234" i="12"/>
  <c r="Z67" i="12"/>
  <c r="Y67" i="12"/>
  <c r="Z231" i="12"/>
  <c r="Y231" i="12"/>
  <c r="Z253" i="12"/>
  <c r="Y253" i="12"/>
  <c r="Z277" i="12"/>
  <c r="Y277" i="12"/>
  <c r="Z60" i="12"/>
  <c r="Y60" i="12"/>
  <c r="Z79" i="12"/>
  <c r="Y79" i="12"/>
  <c r="Z238" i="12"/>
  <c r="Y238" i="12"/>
  <c r="Z49" i="12"/>
  <c r="Y49" i="12"/>
  <c r="Z84" i="12"/>
  <c r="Y84" i="12"/>
  <c r="Z154" i="12"/>
  <c r="Y154" i="12"/>
  <c r="Z207" i="12"/>
  <c r="Y207" i="12"/>
  <c r="Z65" i="12"/>
  <c r="Y65" i="12"/>
  <c r="Z212" i="12"/>
  <c r="Y212" i="12"/>
  <c r="Z243" i="12"/>
  <c r="Y243" i="12"/>
  <c r="Z22" i="12"/>
  <c r="Y22" i="12"/>
  <c r="Z43" i="12"/>
  <c r="Y43" i="12"/>
  <c r="Z260" i="12"/>
  <c r="Y260" i="12"/>
  <c r="Z220" i="12"/>
  <c r="Y220" i="12"/>
  <c r="Z284" i="12"/>
  <c r="Y284" i="12"/>
  <c r="Z250" i="12"/>
  <c r="Y250" i="12"/>
  <c r="T182" i="10"/>
  <c r="U182" i="10"/>
  <c r="T186" i="10"/>
  <c r="U186" i="10"/>
  <c r="T84" i="10"/>
  <c r="U84" i="10"/>
  <c r="T239" i="10"/>
  <c r="U239" i="10"/>
  <c r="T237" i="10"/>
  <c r="U237" i="10"/>
  <c r="V237" i="10"/>
  <c r="T54" i="10"/>
  <c r="U54" i="10"/>
  <c r="T139" i="10"/>
  <c r="U139" i="10"/>
  <c r="V139" i="10"/>
  <c r="T51" i="10"/>
  <c r="U51" i="10"/>
  <c r="T140" i="10"/>
  <c r="U140" i="10"/>
  <c r="V140" i="10"/>
  <c r="T80" i="10"/>
  <c r="U80" i="10"/>
  <c r="V80" i="10"/>
  <c r="T185" i="10"/>
  <c r="U185" i="10"/>
  <c r="T308" i="10"/>
  <c r="U308" i="10"/>
  <c r="V308" i="10"/>
  <c r="T128" i="10"/>
  <c r="U128" i="10"/>
  <c r="T157" i="10"/>
  <c r="U157" i="10"/>
  <c r="V157" i="10"/>
  <c r="T115" i="10"/>
  <c r="U115" i="10"/>
  <c r="V115" i="10"/>
  <c r="T143" i="10"/>
  <c r="U143" i="10"/>
  <c r="V143" i="10"/>
  <c r="T224" i="10"/>
  <c r="V224" i="10"/>
  <c r="U224" i="10"/>
  <c r="T39" i="10"/>
  <c r="U39" i="10"/>
  <c r="V39" i="10"/>
  <c r="T221" i="10"/>
  <c r="U221" i="10"/>
  <c r="T299" i="10"/>
  <c r="U299" i="10"/>
  <c r="T90" i="10"/>
  <c r="U90" i="10"/>
  <c r="V90" i="10"/>
  <c r="T36" i="10"/>
  <c r="U36" i="10"/>
  <c r="T296" i="10"/>
  <c r="U296" i="10"/>
  <c r="T232" i="10"/>
  <c r="U232" i="10"/>
  <c r="V232" i="10"/>
  <c r="T31" i="10"/>
  <c r="U31" i="10"/>
  <c r="T230" i="10"/>
  <c r="U230" i="10"/>
  <c r="V230" i="10"/>
  <c r="T126" i="10"/>
  <c r="U126" i="10"/>
  <c r="T183" i="10"/>
  <c r="U183" i="10"/>
  <c r="V183" i="10"/>
  <c r="T190" i="10"/>
  <c r="U190" i="10"/>
  <c r="V190" i="10"/>
  <c r="T304" i="10"/>
  <c r="U304" i="10"/>
  <c r="V304" i="10"/>
  <c r="T154" i="10"/>
  <c r="U154" i="10"/>
  <c r="T223" i="10"/>
  <c r="U223" i="10"/>
  <c r="V223" i="10"/>
  <c r="T210" i="10"/>
  <c r="U210" i="10"/>
  <c r="T246" i="10"/>
  <c r="U246" i="10"/>
  <c r="V246" i="10"/>
  <c r="T271" i="10"/>
  <c r="U271" i="10"/>
  <c r="T98" i="10"/>
  <c r="U98" i="10"/>
  <c r="V98" i="10"/>
  <c r="T56" i="10"/>
  <c r="U56" i="10"/>
  <c r="V56" i="10"/>
  <c r="T160" i="10"/>
  <c r="U160" i="10"/>
  <c r="T217" i="10"/>
  <c r="U217" i="10"/>
  <c r="V217" i="10"/>
  <c r="T66" i="10"/>
  <c r="U66" i="10"/>
  <c r="T178" i="10"/>
  <c r="U178" i="10"/>
  <c r="V178" i="10"/>
  <c r="T188" i="10"/>
  <c r="U188" i="10"/>
  <c r="V188" i="10"/>
  <c r="T180" i="10"/>
  <c r="U180" i="10"/>
  <c r="T301" i="10"/>
  <c r="U301" i="10"/>
  <c r="T276" i="10"/>
  <c r="U276" i="10"/>
  <c r="T288" i="10"/>
  <c r="V288" i="10"/>
  <c r="U288" i="10"/>
  <c r="T203" i="10"/>
  <c r="U203" i="10"/>
  <c r="T110" i="10"/>
  <c r="U110" i="10"/>
  <c r="V110" i="10"/>
  <c r="T205" i="10"/>
  <c r="U205" i="10"/>
  <c r="T219" i="10"/>
  <c r="U219" i="10"/>
  <c r="V219" i="10"/>
  <c r="T248" i="10"/>
  <c r="U248" i="10"/>
  <c r="T106" i="10"/>
  <c r="U106" i="10"/>
  <c r="T324" i="10"/>
  <c r="U324" i="10"/>
  <c r="V324" i="10"/>
  <c r="T173" i="10"/>
  <c r="U173" i="10"/>
  <c r="T150" i="10"/>
  <c r="U150" i="10"/>
  <c r="T222" i="10"/>
  <c r="U222" i="10"/>
  <c r="V222" i="10"/>
  <c r="T13" i="10"/>
  <c r="U13" i="10"/>
  <c r="D17" i="5" s="1"/>
  <c r="V13" i="10"/>
  <c r="T279" i="10"/>
  <c r="U279" i="10"/>
  <c r="V279" i="10"/>
  <c r="T58" i="10"/>
  <c r="U58" i="10"/>
  <c r="T328" i="10"/>
  <c r="U328" i="10"/>
  <c r="T96" i="10"/>
  <c r="U96" i="10"/>
  <c r="T168" i="10"/>
  <c r="U168" i="10"/>
  <c r="V168" i="10"/>
  <c r="T305" i="10"/>
  <c r="U305" i="10"/>
  <c r="V305" i="10"/>
  <c r="T215" i="10"/>
  <c r="U215" i="10"/>
  <c r="T38" i="10"/>
  <c r="U38" i="10"/>
  <c r="V38" i="10"/>
  <c r="T12" i="10"/>
  <c r="U12" i="10"/>
  <c r="T172" i="10"/>
  <c r="U172" i="10"/>
  <c r="T165" i="10"/>
  <c r="U165" i="10"/>
  <c r="V165" i="10"/>
  <c r="T119" i="10"/>
  <c r="U119" i="10"/>
  <c r="V119" i="10"/>
  <c r="T118" i="10"/>
  <c r="U118" i="10"/>
  <c r="T50" i="10"/>
  <c r="U50" i="10"/>
  <c r="V50" i="10"/>
  <c r="T228" i="10"/>
  <c r="U228" i="10"/>
  <c r="V228" i="10"/>
  <c r="T133" i="10"/>
  <c r="V133" i="10"/>
  <c r="U133" i="10"/>
  <c r="T300" i="10"/>
  <c r="U300" i="10"/>
  <c r="V300" i="10"/>
  <c r="T83" i="10"/>
  <c r="U83" i="10"/>
  <c r="T25" i="10"/>
  <c r="U25" i="10"/>
  <c r="V25" i="10"/>
  <c r="T303" i="10"/>
  <c r="U303" i="10"/>
  <c r="V303" i="10"/>
  <c r="T281" i="10"/>
  <c r="U281" i="10"/>
  <c r="T244" i="10"/>
  <c r="U244" i="10"/>
  <c r="T169" i="10"/>
  <c r="U169" i="10"/>
  <c r="V169" i="10"/>
  <c r="T261" i="10"/>
  <c r="U261" i="10"/>
  <c r="T148" i="10"/>
  <c r="U148" i="10"/>
  <c r="V148" i="10"/>
  <c r="T68" i="10"/>
  <c r="U68" i="10"/>
  <c r="T28" i="10"/>
  <c r="U28" i="10"/>
  <c r="T153" i="10"/>
  <c r="U153" i="10"/>
  <c r="V153" i="10"/>
  <c r="T325" i="10"/>
  <c r="U325" i="10"/>
  <c r="V325" i="10"/>
  <c r="T16" i="10"/>
  <c r="U16" i="10"/>
  <c r="V16" i="10"/>
  <c r="T151" i="10"/>
  <c r="U151" i="10"/>
  <c r="V151" i="10"/>
  <c r="T40" i="10"/>
  <c r="U40" i="10"/>
  <c r="V40" i="10"/>
  <c r="T193" i="10"/>
  <c r="U193" i="10"/>
  <c r="T309" i="10"/>
  <c r="U309" i="10"/>
  <c r="V309" i="10"/>
  <c r="T275" i="10"/>
  <c r="U275" i="10"/>
  <c r="T181" i="10"/>
  <c r="U181" i="10"/>
  <c r="V181" i="10"/>
  <c r="T235" i="10"/>
  <c r="U235" i="10"/>
  <c r="T72" i="10"/>
  <c r="U72" i="10"/>
  <c r="V72" i="10"/>
  <c r="T297" i="10"/>
  <c r="U297" i="10"/>
  <c r="V297" i="10"/>
  <c r="T202" i="10"/>
  <c r="U202" i="10"/>
  <c r="V202" i="10"/>
  <c r="U45" i="10"/>
  <c r="T45" i="10"/>
  <c r="V45" i="10"/>
  <c r="T322" i="10"/>
  <c r="U322" i="10"/>
  <c r="T69" i="10"/>
  <c r="U69" i="10"/>
  <c r="V69" i="10"/>
  <c r="T252" i="10"/>
  <c r="U252" i="10"/>
  <c r="V252" i="10"/>
  <c r="T146" i="10"/>
  <c r="U146" i="10"/>
  <c r="V146" i="10"/>
  <c r="T147" i="10"/>
  <c r="U147" i="10"/>
  <c r="T111" i="10"/>
  <c r="U111" i="10"/>
  <c r="T103" i="10"/>
  <c r="U103" i="10"/>
  <c r="T317" i="10"/>
  <c r="U317" i="10"/>
  <c r="T176" i="10"/>
  <c r="U176" i="10"/>
  <c r="T316" i="10"/>
  <c r="U316" i="10"/>
  <c r="T289" i="10"/>
  <c r="U289" i="10"/>
  <c r="T283" i="10"/>
  <c r="U283" i="10"/>
  <c r="T208" i="10"/>
  <c r="U208" i="10"/>
  <c r="V208" i="10"/>
  <c r="T74" i="10"/>
  <c r="U74" i="10"/>
  <c r="T274" i="10"/>
  <c r="U274" i="10"/>
  <c r="V274" i="10"/>
  <c r="T161" i="10"/>
  <c r="U161" i="10"/>
  <c r="T85" i="10"/>
  <c r="U85" i="10"/>
  <c r="T302" i="10"/>
  <c r="U302" i="10"/>
  <c r="V302" i="10"/>
  <c r="T264" i="10"/>
  <c r="U264" i="10"/>
  <c r="T94" i="10"/>
  <c r="U94" i="10"/>
  <c r="V94" i="10"/>
  <c r="T247" i="10"/>
  <c r="U247" i="10"/>
  <c r="V247" i="10"/>
  <c r="T149" i="10"/>
  <c r="U149" i="10"/>
  <c r="T295" i="10"/>
  <c r="U295" i="10"/>
  <c r="V295" i="10"/>
  <c r="T321" i="10"/>
  <c r="U321" i="10"/>
  <c r="T145" i="10"/>
  <c r="U145" i="10"/>
  <c r="V145" i="10"/>
  <c r="T285" i="10"/>
  <c r="U285" i="10"/>
  <c r="T123" i="10"/>
  <c r="U123" i="10"/>
  <c r="V123" i="10"/>
  <c r="T75" i="10"/>
  <c r="U75" i="10"/>
  <c r="V75" i="10"/>
  <c r="T254" i="10"/>
  <c r="U254" i="10"/>
  <c r="T101" i="10"/>
  <c r="U101" i="10"/>
  <c r="V101" i="10"/>
  <c r="T211" i="10"/>
  <c r="U211" i="10"/>
  <c r="T204" i="10"/>
  <c r="U204" i="10"/>
  <c r="V204" i="10"/>
  <c r="T218" i="10"/>
  <c r="U218" i="10"/>
  <c r="T57" i="10"/>
  <c r="U57" i="10"/>
  <c r="T263" i="10"/>
  <c r="U263" i="10"/>
  <c r="V263" i="10"/>
  <c r="T319" i="10"/>
  <c r="U319" i="10"/>
  <c r="T121" i="10"/>
  <c r="U121" i="10"/>
  <c r="T122" i="10"/>
  <c r="U122" i="10"/>
  <c r="T37" i="10"/>
  <c r="U37" i="10"/>
  <c r="T125" i="10"/>
  <c r="U125" i="10"/>
  <c r="V125" i="10"/>
  <c r="T107" i="10"/>
  <c r="U107" i="10"/>
  <c r="T73" i="10"/>
  <c r="U73" i="10"/>
  <c r="V73" i="10"/>
  <c r="T18" i="10"/>
  <c r="U18" i="10"/>
  <c r="V18" i="10"/>
  <c r="T270" i="10"/>
  <c r="V270" i="10"/>
  <c r="U270" i="10"/>
  <c r="T233" i="10"/>
  <c r="U233" i="10"/>
  <c r="V233" i="10"/>
  <c r="T29" i="10"/>
  <c r="U29" i="10"/>
  <c r="V29" i="10"/>
  <c r="T117" i="10"/>
  <c r="U117" i="10"/>
  <c r="T102" i="10"/>
  <c r="U102" i="10"/>
  <c r="V102" i="10"/>
  <c r="T14" i="10"/>
  <c r="U14" i="10"/>
  <c r="T197" i="10"/>
  <c r="U197" i="10"/>
  <c r="T236" i="10"/>
  <c r="U236" i="10"/>
  <c r="V236" i="10"/>
  <c r="T95" i="10"/>
  <c r="U95" i="10"/>
  <c r="T287" i="10"/>
  <c r="U287" i="10"/>
  <c r="V287" i="10"/>
  <c r="T290" i="10"/>
  <c r="U290" i="10"/>
  <c r="T109" i="10"/>
  <c r="U109" i="10"/>
  <c r="V109" i="10"/>
  <c r="T249" i="10"/>
  <c r="U249" i="10"/>
  <c r="T293" i="10"/>
  <c r="U293" i="10"/>
  <c r="V293" i="10"/>
  <c r="T318" i="10"/>
  <c r="U318" i="10"/>
  <c r="V318" i="10"/>
  <c r="T120" i="10"/>
  <c r="U120" i="10"/>
  <c r="T159" i="10"/>
  <c r="U159" i="10"/>
  <c r="V159" i="10"/>
  <c r="T256" i="10"/>
  <c r="V256" i="10"/>
  <c r="U256" i="10"/>
  <c r="T19" i="10"/>
  <c r="U19" i="10"/>
  <c r="V19" i="10"/>
  <c r="T155" i="10"/>
  <c r="U155" i="10"/>
  <c r="V155" i="10"/>
  <c r="T166" i="10"/>
  <c r="U166" i="10"/>
  <c r="T52" i="10"/>
  <c r="U52" i="10"/>
  <c r="T255" i="10"/>
  <c r="U255" i="10"/>
  <c r="V255" i="10"/>
  <c r="T184" i="10"/>
  <c r="U184" i="10"/>
  <c r="V184" i="10"/>
  <c r="T269" i="10"/>
  <c r="U269" i="10"/>
  <c r="T189" i="10"/>
  <c r="U189" i="10"/>
  <c r="T214" i="10"/>
  <c r="U214" i="10"/>
  <c r="V214" i="10"/>
  <c r="T32" i="10"/>
  <c r="U32" i="10"/>
  <c r="T174" i="10"/>
  <c r="V174" i="10"/>
  <c r="U174" i="10"/>
  <c r="T152" i="10"/>
  <c r="U152" i="10"/>
  <c r="T81" i="10"/>
  <c r="U81" i="10"/>
  <c r="V81" i="10"/>
  <c r="T127" i="10"/>
  <c r="U127" i="10"/>
  <c r="V127" i="10"/>
  <c r="T192" i="10"/>
  <c r="U192" i="10"/>
  <c r="V192" i="10"/>
  <c r="T307" i="10"/>
  <c r="U307" i="10"/>
  <c r="T229" i="10"/>
  <c r="U229" i="10"/>
  <c r="T87" i="10"/>
  <c r="U87" i="10"/>
  <c r="V87" i="10"/>
  <c r="T272" i="10"/>
  <c r="U272" i="10"/>
  <c r="T91" i="10"/>
  <c r="U91" i="10"/>
  <c r="V91" i="10"/>
  <c r="T129" i="10"/>
  <c r="U129" i="10"/>
  <c r="T241" i="10"/>
  <c r="U241" i="10"/>
  <c r="V241" i="10"/>
  <c r="T138" i="10"/>
  <c r="U138" i="10"/>
  <c r="T201" i="10"/>
  <c r="U201" i="10"/>
  <c r="V201" i="10"/>
  <c r="T292" i="10"/>
  <c r="U292" i="10"/>
  <c r="V292" i="10"/>
  <c r="T97" i="10"/>
  <c r="U97" i="10"/>
  <c r="T280" i="10"/>
  <c r="U280" i="10"/>
  <c r="V280" i="10"/>
  <c r="T226" i="10"/>
  <c r="U226" i="10"/>
  <c r="V226" i="10"/>
  <c r="T62" i="10"/>
  <c r="U62" i="10"/>
  <c r="T34" i="10"/>
  <c r="U34" i="10"/>
  <c r="V34" i="10"/>
  <c r="T44" i="10"/>
  <c r="U44" i="10"/>
  <c r="T33" i="10"/>
  <c r="V33" i="10"/>
  <c r="U33" i="10"/>
  <c r="T265" i="10"/>
  <c r="U265" i="10"/>
  <c r="T89" i="10"/>
  <c r="U89" i="10"/>
  <c r="T88" i="10"/>
  <c r="V88" i="10"/>
  <c r="U88" i="10"/>
  <c r="T162" i="10"/>
  <c r="U162" i="10"/>
  <c r="V162" i="10"/>
  <c r="T70" i="10"/>
  <c r="U70" i="10"/>
  <c r="T77" i="10"/>
  <c r="U77" i="10"/>
  <c r="V77" i="10"/>
  <c r="T196" i="10"/>
  <c r="U196" i="10"/>
  <c r="T135" i="10"/>
  <c r="V135" i="10"/>
  <c r="U135" i="10"/>
  <c r="T112" i="10"/>
  <c r="U112" i="10"/>
  <c r="V112" i="10"/>
  <c r="T195" i="10"/>
  <c r="U195" i="10"/>
  <c r="V195" i="10"/>
  <c r="T86" i="10"/>
  <c r="U86" i="10"/>
  <c r="T312" i="10"/>
  <c r="U312" i="10"/>
  <c r="T314" i="10"/>
  <c r="U314" i="10"/>
  <c r="V314" i="10"/>
  <c r="T216" i="10"/>
  <c r="U216" i="10"/>
  <c r="V216" i="10"/>
  <c r="T20" i="10"/>
  <c r="U20" i="10"/>
  <c r="T207" i="10"/>
  <c r="U207" i="10"/>
  <c r="T134" i="10"/>
  <c r="U134" i="10"/>
  <c r="V134" i="10"/>
  <c r="T240" i="10"/>
  <c r="U240" i="10"/>
  <c r="V240" i="10"/>
  <c r="T191" i="10"/>
  <c r="U191" i="10"/>
  <c r="V191" i="10"/>
  <c r="T137" i="10"/>
  <c r="U137" i="10"/>
  <c r="T311" i="10"/>
  <c r="U311" i="10"/>
  <c r="V311" i="10"/>
  <c r="T286" i="10"/>
  <c r="U286" i="10"/>
  <c r="T156" i="10"/>
  <c r="U156" i="10"/>
  <c r="V156" i="10"/>
  <c r="T242" i="10"/>
  <c r="U242" i="10"/>
  <c r="T158" i="10"/>
  <c r="U158" i="10"/>
  <c r="T48" i="10"/>
  <c r="U48" i="10"/>
  <c r="V48" i="10"/>
  <c r="T104" i="10"/>
  <c r="U104" i="10"/>
  <c r="T298" i="10"/>
  <c r="U298" i="10"/>
  <c r="V298" i="10"/>
  <c r="T213" i="10"/>
  <c r="U213" i="10"/>
  <c r="T30" i="10"/>
  <c r="U30" i="10"/>
  <c r="V30" i="10"/>
  <c r="T82" i="10"/>
  <c r="U82" i="10"/>
  <c r="V82" i="10"/>
  <c r="T24" i="10"/>
  <c r="U24" i="10"/>
  <c r="T131" i="10"/>
  <c r="U131" i="10"/>
  <c r="V131" i="10"/>
  <c r="T282" i="10"/>
  <c r="U282" i="10"/>
  <c r="V282" i="10"/>
  <c r="T315" i="10"/>
  <c r="U315" i="10"/>
  <c r="V315" i="10"/>
  <c r="T100" i="10"/>
  <c r="V100" i="10"/>
  <c r="U100" i="10"/>
  <c r="T323" i="10"/>
  <c r="U323" i="10"/>
  <c r="V323" i="10"/>
  <c r="T116" i="10"/>
  <c r="U116" i="10"/>
  <c r="T291" i="10"/>
  <c r="U291" i="10"/>
  <c r="U206" i="10"/>
  <c r="T206" i="10"/>
  <c r="V206" i="10"/>
  <c r="T141" i="10"/>
  <c r="U141" i="10"/>
  <c r="T259" i="10"/>
  <c r="U259" i="10"/>
  <c r="V259" i="10"/>
  <c r="T132" i="10"/>
  <c r="U132" i="10"/>
  <c r="T262" i="10"/>
  <c r="U262" i="10"/>
  <c r="V262" i="10"/>
  <c r="T61" i="10"/>
  <c r="U61" i="10"/>
  <c r="T71" i="10"/>
  <c r="U71" i="10"/>
  <c r="V71" i="10"/>
  <c r="T194" i="10"/>
  <c r="U194" i="10"/>
  <c r="T21" i="10"/>
  <c r="U21" i="10"/>
  <c r="V21" i="10"/>
  <c r="T209" i="10"/>
  <c r="U209" i="10"/>
  <c r="T179" i="10"/>
  <c r="U179" i="10"/>
  <c r="V179" i="10"/>
  <c r="T55" i="10"/>
  <c r="U55" i="10"/>
  <c r="T310" i="10"/>
  <c r="U310" i="10"/>
  <c r="V310" i="10"/>
  <c r="T167" i="10"/>
  <c r="U167" i="10"/>
  <c r="V167" i="10"/>
  <c r="T251" i="10"/>
  <c r="U251" i="10"/>
  <c r="V251" i="10"/>
  <c r="T113" i="10"/>
  <c r="V113" i="10"/>
  <c r="U113" i="10"/>
  <c r="T63" i="10"/>
  <c r="U63" i="10"/>
  <c r="T10" i="10"/>
  <c r="U10" i="10"/>
  <c r="T64" i="10"/>
  <c r="U64" i="10"/>
  <c r="T164" i="10"/>
  <c r="U164" i="10"/>
  <c r="V164" i="10"/>
  <c r="U46" i="10"/>
  <c r="T46" i="10"/>
  <c r="V46" i="10"/>
  <c r="T199" i="10"/>
  <c r="U199" i="10"/>
  <c r="T294" i="10"/>
  <c r="U294" i="10"/>
  <c r="V294" i="10"/>
  <c r="T313" i="10"/>
  <c r="U313" i="10"/>
  <c r="T327" i="10"/>
  <c r="U327" i="10"/>
  <c r="V327" i="10"/>
  <c r="T266" i="10"/>
  <c r="U266" i="10"/>
  <c r="V266" i="10"/>
  <c r="T105" i="10"/>
  <c r="U105" i="10"/>
  <c r="T198" i="10"/>
  <c r="V198" i="10"/>
  <c r="U198" i="10"/>
  <c r="T225" i="10"/>
  <c r="U225" i="10"/>
  <c r="T268" i="10"/>
  <c r="U268" i="10"/>
  <c r="T99" i="10"/>
  <c r="U99" i="10"/>
  <c r="V99" i="10"/>
  <c r="T92" i="10"/>
  <c r="U92" i="10"/>
  <c r="V92" i="10"/>
  <c r="T326" i="10"/>
  <c r="U326" i="10"/>
  <c r="V326" i="10"/>
  <c r="T170" i="10"/>
  <c r="U170" i="10"/>
  <c r="T234" i="10"/>
  <c r="U234" i="10"/>
  <c r="T67" i="10"/>
  <c r="U67" i="10"/>
  <c r="T320" i="10"/>
  <c r="U320" i="10"/>
  <c r="V320" i="10"/>
  <c r="T124" i="10"/>
  <c r="U124" i="10"/>
  <c r="V124" i="10"/>
  <c r="T15" i="10"/>
  <c r="U15" i="10"/>
  <c r="V15" i="10"/>
  <c r="T231" i="10"/>
  <c r="U231" i="10"/>
  <c r="T253" i="10"/>
  <c r="U253" i="10"/>
  <c r="T277" i="10"/>
  <c r="U277" i="10"/>
  <c r="T108" i="10"/>
  <c r="U108" i="10"/>
  <c r="V108" i="10"/>
  <c r="T60" i="10"/>
  <c r="U60" i="10"/>
  <c r="T79" i="10"/>
  <c r="U79" i="10"/>
  <c r="T238" i="10"/>
  <c r="U238" i="10"/>
  <c r="T53" i="10"/>
  <c r="U53" i="10"/>
  <c r="V53" i="10"/>
  <c r="T49" i="10"/>
  <c r="U49" i="10"/>
  <c r="T273" i="10"/>
  <c r="U273" i="10"/>
  <c r="V273" i="10"/>
  <c r="T245" i="10"/>
  <c r="V245" i="10"/>
  <c r="U245" i="10"/>
  <c r="T47" i="10"/>
  <c r="V47" i="10"/>
  <c r="U47" i="10"/>
  <c r="T78" i="10"/>
  <c r="U78" i="10"/>
  <c r="V78" i="10"/>
  <c r="T306" i="10"/>
  <c r="U306" i="10"/>
  <c r="T17" i="10"/>
  <c r="U17" i="10"/>
  <c r="V17" i="10"/>
  <c r="T267" i="10"/>
  <c r="U267" i="10"/>
  <c r="T93" i="10"/>
  <c r="U93" i="10"/>
  <c r="V93" i="10"/>
  <c r="T257" i="10"/>
  <c r="U257" i="10"/>
  <c r="V257" i="10"/>
  <c r="T11" i="10"/>
  <c r="U11" i="10"/>
  <c r="T144" i="10"/>
  <c r="U144" i="10"/>
  <c r="T187" i="10"/>
  <c r="U187" i="10"/>
  <c r="V187" i="10"/>
  <c r="T278" i="10"/>
  <c r="U278" i="10"/>
  <c r="V278" i="10"/>
  <c r="T26" i="10"/>
  <c r="U26" i="10"/>
  <c r="V26" i="10"/>
  <c r="T130" i="10"/>
  <c r="U130" i="10"/>
  <c r="V130" i="10"/>
  <c r="T200" i="10"/>
  <c r="U200" i="10"/>
  <c r="V200" i="10"/>
  <c r="T65" i="10"/>
  <c r="U65" i="10"/>
  <c r="T258" i="10"/>
  <c r="U258" i="10"/>
  <c r="V258" i="10"/>
  <c r="T212" i="10"/>
  <c r="U212" i="10"/>
  <c r="T41" i="10"/>
  <c r="U41" i="10"/>
  <c r="V41" i="10"/>
  <c r="T27" i="10"/>
  <c r="U27" i="10"/>
  <c r="V27" i="10"/>
  <c r="T243" i="10"/>
  <c r="U243" i="10"/>
  <c r="T114" i="10"/>
  <c r="U114" i="10"/>
  <c r="V114" i="10"/>
  <c r="T22" i="10"/>
  <c r="U22" i="10"/>
  <c r="T177" i="10"/>
  <c r="U177" i="10"/>
  <c r="V177" i="10"/>
  <c r="T43" i="10"/>
  <c r="U43" i="10"/>
  <c r="U35" i="10"/>
  <c r="T35" i="10"/>
  <c r="V35" i="10"/>
  <c r="T227" i="10"/>
  <c r="U227" i="10"/>
  <c r="V227" i="10"/>
  <c r="T175" i="10"/>
  <c r="U175" i="10"/>
  <c r="V175" i="10"/>
  <c r="T260" i="10"/>
  <c r="U260" i="10"/>
  <c r="T23" i="10"/>
  <c r="U23" i="10"/>
  <c r="V23" i="10"/>
  <c r="T76" i="10"/>
  <c r="U76" i="10"/>
  <c r="V76" i="10"/>
  <c r="T163" i="10"/>
  <c r="U163" i="10"/>
  <c r="V163" i="10"/>
  <c r="T142" i="10"/>
  <c r="U142" i="10"/>
  <c r="V142" i="10"/>
  <c r="T220" i="10"/>
  <c r="U220" i="10"/>
  <c r="U59" i="10"/>
  <c r="T59" i="10"/>
  <c r="V59" i="10"/>
  <c r="T284" i="10"/>
  <c r="U284" i="10"/>
  <c r="T250" i="10"/>
  <c r="U250" i="10"/>
  <c r="T42" i="10"/>
  <c r="U42" i="10"/>
  <c r="V42" i="10"/>
  <c r="T171" i="10"/>
  <c r="U171" i="10"/>
  <c r="V171" i="10"/>
  <c r="T136" i="10"/>
  <c r="U136" i="10"/>
  <c r="V136" i="10"/>
  <c r="N8" i="10"/>
  <c r="C21" i="2" s="1"/>
  <c r="N330" i="10"/>
  <c r="N7" i="10" s="1"/>
  <c r="O9" i="10"/>
  <c r="X9" i="12" s="1"/>
  <c r="X7" i="12" l="1"/>
  <c r="Y7" i="12" s="1"/>
  <c r="Y9" i="12"/>
  <c r="Y330" i="12" s="1"/>
  <c r="T9" i="10"/>
  <c r="T7" i="10" s="1"/>
  <c r="U9" i="10"/>
  <c r="O330" i="10"/>
  <c r="O7" i="10" s="1"/>
  <c r="O8" i="10"/>
  <c r="D19" i="2" s="1"/>
  <c r="D21" i="2" s="1"/>
  <c r="V9" i="10"/>
  <c r="AC8" i="10"/>
  <c r="X245" i="10"/>
  <c r="Y245" i="10" s="1"/>
  <c r="Z245" i="10" s="1"/>
  <c r="X157" i="10"/>
  <c r="Y157" i="10" s="1"/>
  <c r="Z157" i="10" s="1"/>
  <c r="X143" i="10"/>
  <c r="Y143" i="10" s="1"/>
  <c r="Z143" i="10" s="1"/>
  <c r="X80" i="10"/>
  <c r="Y80" i="10" s="1"/>
  <c r="Z80" i="10" s="1"/>
  <c r="X202" i="10"/>
  <c r="Y202" i="10" s="1"/>
  <c r="Z202" i="10" s="1"/>
  <c r="X172" i="10"/>
  <c r="Y172" i="10" s="1"/>
  <c r="Z172" i="10" s="1"/>
  <c r="X320" i="10"/>
  <c r="Y320" i="10" s="1"/>
  <c r="Z320" i="10" s="1"/>
  <c r="X263" i="10"/>
  <c r="Y263" i="10" s="1"/>
  <c r="Z263" i="10" s="1"/>
  <c r="X163" i="10"/>
  <c r="Y163" i="10" s="1"/>
  <c r="Z163" i="10" s="1"/>
  <c r="X274" i="10"/>
  <c r="Y274" i="10" s="1"/>
  <c r="Z274" i="10" s="1"/>
  <c r="Z9" i="12" l="1"/>
  <c r="X125" i="10"/>
  <c r="Y125" i="10" s="1"/>
  <c r="Z125" i="10" s="1"/>
  <c r="X30" i="10"/>
  <c r="Y30" i="10" s="1"/>
  <c r="Z30" i="10" s="1"/>
  <c r="X29" i="10"/>
  <c r="Y29" i="10" s="1"/>
  <c r="Z29" i="10" s="1"/>
  <c r="X304" i="10"/>
  <c r="Y304" i="10" s="1"/>
  <c r="Z304" i="10" s="1"/>
  <c r="X43" i="10"/>
  <c r="X281" i="10"/>
  <c r="X85" i="10"/>
  <c r="X315" i="10"/>
  <c r="Y315" i="10" s="1"/>
  <c r="Z315" i="10" s="1"/>
  <c r="X299" i="10"/>
  <c r="X192" i="10"/>
  <c r="Y192" i="10" s="1"/>
  <c r="Z192" i="10" s="1"/>
  <c r="X190" i="10"/>
  <c r="Y190" i="10" s="1"/>
  <c r="Z190" i="10" s="1"/>
  <c r="X205" i="10"/>
  <c r="X110" i="10"/>
  <c r="Y110" i="10" s="1"/>
  <c r="Z110" i="10" s="1"/>
  <c r="X217" i="10"/>
  <c r="Y217" i="10" s="1"/>
  <c r="Z217" i="10" s="1"/>
  <c r="X266" i="10"/>
  <c r="Y266" i="10" s="1"/>
  <c r="Z266" i="10" s="1"/>
  <c r="X72" i="10"/>
  <c r="Y72" i="10" s="1"/>
  <c r="Z72" i="10" s="1"/>
  <c r="X129" i="10"/>
  <c r="X14" i="10"/>
  <c r="X318" i="10"/>
  <c r="Y318" i="10" s="1"/>
  <c r="Z318" i="10" s="1"/>
  <c r="X146" i="10"/>
  <c r="Y146" i="10" s="1"/>
  <c r="Z146" i="10" s="1"/>
  <c r="X273" i="10"/>
  <c r="Y273" i="10" s="1"/>
  <c r="Z273" i="10" s="1"/>
  <c r="X70" i="10"/>
  <c r="X244" i="10"/>
  <c r="X10" i="10"/>
  <c r="X40" i="10"/>
  <c r="Y40" i="10" s="1"/>
  <c r="Z40" i="10" s="1"/>
  <c r="X48" i="10"/>
  <c r="Y48" i="10" s="1"/>
  <c r="Z48" i="10" s="1"/>
  <c r="X114" i="10"/>
  <c r="Y114" i="10" s="1"/>
  <c r="Z114" i="10" s="1"/>
  <c r="X188" i="10"/>
  <c r="Y188" i="10" s="1"/>
  <c r="Z188" i="10" s="1"/>
  <c r="X89" i="10"/>
  <c r="X257" i="10"/>
  <c r="Y257" i="10" s="1"/>
  <c r="Z257" i="10" s="1"/>
  <c r="X230" i="10"/>
  <c r="Y230" i="10" s="1"/>
  <c r="Z230" i="10" s="1"/>
  <c r="X15" i="10"/>
  <c r="Y15" i="10" s="1"/>
  <c r="Z15" i="10" s="1"/>
  <c r="X38" i="10"/>
  <c r="Y38" i="10" s="1"/>
  <c r="Z38" i="10" s="1"/>
  <c r="X13" i="10"/>
  <c r="Y13" i="10" s="1"/>
  <c r="Z13" i="10" s="1"/>
  <c r="X84" i="10"/>
  <c r="X26" i="10"/>
  <c r="Y26" i="10" s="1"/>
  <c r="Z26" i="10" s="1"/>
  <c r="X186" i="10"/>
  <c r="X121" i="10"/>
  <c r="X174" i="10"/>
  <c r="X203" i="10"/>
  <c r="X214" i="10"/>
  <c r="Y214" i="10" s="1"/>
  <c r="Z214" i="10" s="1"/>
  <c r="X144" i="10"/>
  <c r="X31" i="10"/>
  <c r="X132" i="10"/>
  <c r="X227" i="10"/>
  <c r="Y227" i="10" s="1"/>
  <c r="Z227" i="10" s="1"/>
  <c r="X153" i="10"/>
  <c r="Y153" i="10" s="1"/>
  <c r="Z153" i="10" s="1"/>
  <c r="X73" i="10"/>
  <c r="Y73" i="10" s="1"/>
  <c r="Z73" i="10" s="1"/>
  <c r="X194" i="10"/>
  <c r="X109" i="10"/>
  <c r="Y109" i="10" s="1"/>
  <c r="Z109" i="10" s="1"/>
  <c r="X195" i="10"/>
  <c r="Y195" i="10" s="1"/>
  <c r="Z195" i="10" s="1"/>
  <c r="X161" i="10"/>
  <c r="X238" i="10"/>
  <c r="X292" i="10"/>
  <c r="Y292" i="10" s="1"/>
  <c r="Z292" i="10" s="1"/>
  <c r="X59" i="10"/>
  <c r="X69" i="10"/>
  <c r="Y69" i="10" s="1"/>
  <c r="Z69" i="10" s="1"/>
  <c r="X22" i="10"/>
  <c r="X211" i="10"/>
  <c r="X241" i="10"/>
  <c r="Y241" i="10" s="1"/>
  <c r="Z241" i="10" s="1"/>
  <c r="X126" i="10"/>
  <c r="X27" i="10"/>
  <c r="Y27" i="10" s="1"/>
  <c r="Z27" i="10" s="1"/>
  <c r="X57" i="10"/>
  <c r="X325" i="10"/>
  <c r="Y325" i="10" s="1"/>
  <c r="Z325" i="10" s="1"/>
  <c r="X165" i="10"/>
  <c r="Y165" i="10" s="1"/>
  <c r="Z165" i="10" s="1"/>
  <c r="X286" i="10"/>
  <c r="X177" i="10"/>
  <c r="Y177" i="10" s="1"/>
  <c r="Z177" i="10" s="1"/>
  <c r="X228" i="10"/>
  <c r="Y228" i="10" s="1"/>
  <c r="Z228" i="10" s="1"/>
  <c r="X54" i="10"/>
  <c r="X60" i="10"/>
  <c r="X191" i="10"/>
  <c r="Y191" i="10" s="1"/>
  <c r="Z191" i="10" s="1"/>
  <c r="X64" i="10"/>
  <c r="X96" i="10"/>
  <c r="X176" i="10"/>
  <c r="X36" i="10"/>
  <c r="X77" i="10"/>
  <c r="Y77" i="10" s="1"/>
  <c r="Z77" i="10" s="1"/>
  <c r="X212" i="10"/>
  <c r="X259" i="10"/>
  <c r="Y259" i="10" s="1"/>
  <c r="Z259" i="10" s="1"/>
  <c r="X254" i="10"/>
  <c r="X18" i="10"/>
  <c r="Y18" i="10" s="1"/>
  <c r="Z18" i="10" s="1"/>
  <c r="X222" i="10"/>
  <c r="Y222" i="10" s="1"/>
  <c r="Z222" i="10" s="1"/>
  <c r="X193" i="10"/>
  <c r="X185" i="10"/>
  <c r="X116" i="10"/>
  <c r="X120" i="10"/>
  <c r="X35" i="10"/>
  <c r="X278" i="10"/>
  <c r="Y278" i="10" s="1"/>
  <c r="Z278" i="10" s="1"/>
  <c r="X283" i="10"/>
  <c r="X261" i="10"/>
  <c r="X189" i="10"/>
  <c r="X130" i="10"/>
  <c r="Y130" i="10" s="1"/>
  <c r="Z130" i="10" s="1"/>
  <c r="X147" i="10"/>
  <c r="X168" i="10"/>
  <c r="Y168" i="10" s="1"/>
  <c r="Z168" i="10" s="1"/>
  <c r="X102" i="10"/>
  <c r="Y102" i="10" s="1"/>
  <c r="Z102" i="10" s="1"/>
  <c r="X166" i="10"/>
  <c r="X53" i="10"/>
  <c r="Y53" i="10" s="1"/>
  <c r="Z53" i="10" s="1"/>
  <c r="X158" i="10"/>
  <c r="X98" i="10"/>
  <c r="Y98" i="10" s="1"/>
  <c r="Z98" i="10" s="1"/>
  <c r="X52" i="10"/>
  <c r="X287" i="10"/>
  <c r="Y287" i="10" s="1"/>
  <c r="Z287" i="10" s="1"/>
  <c r="X115" i="10"/>
  <c r="Y115" i="10" s="1"/>
  <c r="Z115" i="10" s="1"/>
  <c r="X75" i="10"/>
  <c r="X25" i="10"/>
  <c r="Y25" i="10" s="1"/>
  <c r="Z25" i="10" s="1"/>
  <c r="X82" i="10"/>
  <c r="Y82" i="10" s="1"/>
  <c r="Z82" i="10" s="1"/>
  <c r="X21" i="10"/>
  <c r="Y21" i="10" s="1"/>
  <c r="Z21" i="10" s="1"/>
  <c r="X108" i="10"/>
  <c r="Y108" i="10" s="1"/>
  <c r="Z108" i="10" s="1"/>
  <c r="X162" i="10"/>
  <c r="Y162" i="10" s="1"/>
  <c r="Z162" i="10" s="1"/>
  <c r="X312" i="10"/>
  <c r="X200" i="10"/>
  <c r="Y200" i="10" s="1"/>
  <c r="Z200" i="10" s="1"/>
  <c r="X284" i="10"/>
  <c r="X62" i="10"/>
  <c r="X301" i="10"/>
  <c r="X180" i="10"/>
  <c r="X313" i="10"/>
  <c r="X181" i="10"/>
  <c r="Y181" i="10" s="1"/>
  <c r="Z181" i="10" s="1"/>
  <c r="X255" i="10"/>
  <c r="Y255" i="10" s="1"/>
  <c r="Z255" i="10" s="1"/>
  <c r="X112" i="10"/>
  <c r="Y112" i="10" s="1"/>
  <c r="Z112" i="10" s="1"/>
  <c r="X81" i="10"/>
  <c r="Y81" i="10" s="1"/>
  <c r="Z81" i="10" s="1"/>
  <c r="X56" i="10"/>
  <c r="Y56" i="10" s="1"/>
  <c r="Z56" i="10" s="1"/>
  <c r="X280" i="10"/>
  <c r="Y280" i="10" s="1"/>
  <c r="Z280" i="10" s="1"/>
  <c r="X46" i="10"/>
  <c r="X99" i="10"/>
  <c r="Y99" i="10" s="1"/>
  <c r="Z99" i="10" s="1"/>
  <c r="X209" i="10"/>
  <c r="X41" i="10"/>
  <c r="Y41" i="10" s="1"/>
  <c r="Z41" i="10" s="1"/>
  <c r="X250" i="10"/>
  <c r="X251" i="10"/>
  <c r="Y251" i="10" s="1"/>
  <c r="Z251" i="10" s="1"/>
  <c r="X309" i="10"/>
  <c r="Y309" i="10" s="1"/>
  <c r="Z309" i="10" s="1"/>
  <c r="X11" i="10"/>
  <c r="X139" i="10"/>
  <c r="Y139" i="10" s="1"/>
  <c r="Z139" i="10" s="1"/>
  <c r="X44" i="10"/>
  <c r="X34" i="10"/>
  <c r="Y34" i="10" s="1"/>
  <c r="Z34" i="10" s="1"/>
  <c r="X67" i="10"/>
  <c r="X128" i="10"/>
  <c r="X249" i="10"/>
  <c r="X319" i="10"/>
  <c r="X303" i="10"/>
  <c r="Y303" i="10" s="1"/>
  <c r="Z303" i="10" s="1"/>
  <c r="X236" i="10"/>
  <c r="Y236" i="10" s="1"/>
  <c r="Z236" i="10" s="1"/>
  <c r="X20" i="10"/>
  <c r="X79" i="10"/>
  <c r="X127" i="10"/>
  <c r="Y127" i="10" s="1"/>
  <c r="Z127" i="10" s="1"/>
  <c r="X17" i="10"/>
  <c r="Y17" i="10" s="1"/>
  <c r="Z17" i="10" s="1"/>
  <c r="X269" i="10"/>
  <c r="X134" i="10"/>
  <c r="Y134" i="10" s="1"/>
  <c r="Z134" i="10" s="1"/>
  <c r="X225" i="10"/>
  <c r="X16" i="10"/>
  <c r="Y16" i="10" s="1"/>
  <c r="Z16" i="10" s="1"/>
  <c r="X107" i="10"/>
  <c r="X47" i="10"/>
  <c r="X19" i="10"/>
  <c r="Y19" i="10" s="1"/>
  <c r="Z19" i="10" s="1"/>
  <c r="X198" i="10"/>
  <c r="Y198" i="10" s="1"/>
  <c r="Z198" i="10" s="1"/>
  <c r="X28" i="10"/>
  <c r="X311" i="10"/>
  <c r="Y311" i="10" s="1"/>
  <c r="Z311" i="10" s="1"/>
  <c r="X78" i="10"/>
  <c r="Y78" i="10" s="1"/>
  <c r="Z78" i="10" s="1"/>
  <c r="X199" i="10"/>
  <c r="X267" i="10"/>
  <c r="X247" i="10"/>
  <c r="Y247" i="10" s="1"/>
  <c r="Z247" i="10" s="1"/>
  <c r="X256" i="10"/>
  <c r="Y256" i="10" s="1"/>
  <c r="Z256" i="10" s="1"/>
  <c r="X196" i="10"/>
  <c r="X208" i="10"/>
  <c r="Y208" i="10" s="1"/>
  <c r="Z208" i="10" s="1"/>
  <c r="X50" i="10"/>
  <c r="Y50" i="10" s="1"/>
  <c r="Z50" i="10" s="1"/>
  <c r="X239" i="10"/>
  <c r="X12" i="10"/>
  <c r="X178" i="10"/>
  <c r="Y178" i="10" s="1"/>
  <c r="Z178" i="10" s="1"/>
  <c r="X201" i="10"/>
  <c r="Y201" i="10" s="1"/>
  <c r="Z201" i="10" s="1"/>
  <c r="X169" i="10"/>
  <c r="Y169" i="10" s="1"/>
  <c r="Z169" i="10" s="1"/>
  <c r="X328" i="10"/>
  <c r="X223" i="10"/>
  <c r="Y223" i="10" s="1"/>
  <c r="Z223" i="10" s="1"/>
  <c r="X237" i="10"/>
  <c r="Y237" i="10" s="1"/>
  <c r="Z237" i="10" s="1"/>
  <c r="X86" i="10"/>
  <c r="X293" i="10"/>
  <c r="Y293" i="10" s="1"/>
  <c r="Z293" i="10" s="1"/>
  <c r="X155" i="10"/>
  <c r="Y155" i="10" s="1"/>
  <c r="Z155" i="10" s="1"/>
  <c r="X306" i="10"/>
  <c r="X55" i="10"/>
  <c r="X97" i="10"/>
  <c r="X71" i="10"/>
  <c r="Y71" i="10" s="1"/>
  <c r="Z71" i="10" s="1"/>
  <c r="X66" i="10"/>
  <c r="X235" i="10"/>
  <c r="X216" i="10"/>
  <c r="Y216" i="10" s="1"/>
  <c r="Z216" i="10" s="1"/>
  <c r="X135" i="10"/>
  <c r="Y135" i="10" s="1"/>
  <c r="Z135" i="10" s="1"/>
  <c r="X179" i="10"/>
  <c r="Y179" i="10" s="1"/>
  <c r="Z179" i="10" s="1"/>
  <c r="X148" i="10"/>
  <c r="Y148" i="10" s="1"/>
  <c r="Z148" i="10" s="1"/>
  <c r="X164" i="10"/>
  <c r="Y164" i="10" s="1"/>
  <c r="Z164" i="10" s="1"/>
  <c r="X258" i="10"/>
  <c r="Y258" i="10" s="1"/>
  <c r="Z258" i="10" s="1"/>
  <c r="X171" i="10"/>
  <c r="Y171" i="10" s="1"/>
  <c r="Z171" i="10" s="1"/>
  <c r="X224" i="10"/>
  <c r="Y224" i="10" s="1"/>
  <c r="Z224" i="10" s="1"/>
  <c r="X314" i="10"/>
  <c r="Y314" i="10" s="1"/>
  <c r="Z314" i="10" s="1"/>
  <c r="X264" i="10"/>
  <c r="X218" i="10"/>
  <c r="X131" i="10"/>
  <c r="Y131" i="10" s="1"/>
  <c r="Z131" i="10" s="1"/>
  <c r="X170" i="10"/>
  <c r="X39" i="10"/>
  <c r="Y39" i="10" s="1"/>
  <c r="Z39" i="10" s="1"/>
  <c r="X117" i="10"/>
  <c r="X94" i="10"/>
  <c r="Y94" i="10" s="1"/>
  <c r="Z94" i="10" s="1"/>
  <c r="X210" i="10"/>
  <c r="X207" i="10"/>
  <c r="X232" i="10"/>
  <c r="Y232" i="10" s="1"/>
  <c r="Z232" i="10" s="1"/>
  <c r="X298" i="10"/>
  <c r="Y298" i="10" s="1"/>
  <c r="Z298" i="10" s="1"/>
  <c r="X321" i="10"/>
  <c r="X316" i="10"/>
  <c r="X282" i="10"/>
  <c r="Y282" i="10" s="1"/>
  <c r="Z282" i="10" s="1"/>
  <c r="X173" i="10"/>
  <c r="X42" i="10"/>
  <c r="Y42" i="10" s="1"/>
  <c r="Z42" i="10" s="1"/>
  <c r="X215" i="10"/>
  <c r="X136" i="10"/>
  <c r="Y136" i="10" s="1"/>
  <c r="Z136" i="10" s="1"/>
  <c r="X159" i="10"/>
  <c r="Y159" i="10" s="1"/>
  <c r="Z159" i="10" s="1"/>
  <c r="X288" i="10"/>
  <c r="Y288" i="10" s="1"/>
  <c r="Z288" i="10" s="1"/>
  <c r="X101" i="10"/>
  <c r="Y101" i="10" s="1"/>
  <c r="Z101" i="10" s="1"/>
  <c r="X160" i="10"/>
  <c r="X33" i="10"/>
  <c r="Y33" i="10" s="1"/>
  <c r="Z33" i="10" s="1"/>
  <c r="X152" i="10"/>
  <c r="X65" i="10"/>
  <c r="X248" i="10"/>
  <c r="X111" i="10"/>
  <c r="X289" i="10"/>
  <c r="X93" i="10"/>
  <c r="Y93" i="10" s="1"/>
  <c r="Z93" i="10" s="1"/>
  <c r="X105" i="10"/>
  <c r="X141" i="10"/>
  <c r="X49" i="10"/>
  <c r="X51" i="10"/>
  <c r="X63" i="10"/>
  <c r="X104" i="10"/>
  <c r="X294" i="10"/>
  <c r="Y294" i="10" s="1"/>
  <c r="Z294" i="10" s="1"/>
  <c r="X272" i="10"/>
  <c r="X270" i="10"/>
  <c r="Y270" i="10" s="1"/>
  <c r="Z270" i="10" s="1"/>
  <c r="X229" i="10"/>
  <c r="X187" i="10"/>
  <c r="Y187" i="10" s="1"/>
  <c r="Z187" i="10" s="1"/>
  <c r="X268" i="10"/>
  <c r="X37" i="10"/>
  <c r="X183" i="10"/>
  <c r="Y183" i="10" s="1"/>
  <c r="Z183" i="10" s="1"/>
  <c r="X323" i="10"/>
  <c r="Y323" i="10" s="1"/>
  <c r="Z323" i="10" s="1"/>
  <c r="X307" i="10"/>
  <c r="X61" i="10"/>
  <c r="X76" i="10"/>
  <c r="Y76" i="10" s="1"/>
  <c r="Z76" i="10" s="1"/>
  <c r="X100" i="10"/>
  <c r="Y100" i="10" s="1"/>
  <c r="Z100" i="10" s="1"/>
  <c r="X220" i="10"/>
  <c r="X285" i="10"/>
  <c r="X310" i="10"/>
  <c r="Y310" i="10" s="1"/>
  <c r="Z310" i="10" s="1"/>
  <c r="X149" i="10"/>
  <c r="X206" i="10"/>
  <c r="X95" i="10"/>
  <c r="X92" i="10"/>
  <c r="Y92" i="10" s="1"/>
  <c r="Z92" i="10" s="1"/>
  <c r="X231" i="10"/>
  <c r="X45" i="10"/>
  <c r="X240" i="10"/>
  <c r="Y240" i="10" s="1"/>
  <c r="Z240" i="10" s="1"/>
  <c r="X91" i="10"/>
  <c r="Y91" i="10" s="1"/>
  <c r="Z91" i="10" s="1"/>
  <c r="X122" i="10"/>
  <c r="X90" i="10"/>
  <c r="Y90" i="10" s="1"/>
  <c r="Z90" i="10" s="1"/>
  <c r="X242" i="10"/>
  <c r="X32" i="10"/>
  <c r="X243" i="10"/>
  <c r="X262" i="10"/>
  <c r="Y262" i="10" s="1"/>
  <c r="Z262" i="10" s="1"/>
  <c r="X277" i="10"/>
  <c r="X119" i="10"/>
  <c r="Y119" i="10" s="1"/>
  <c r="Z119" i="10" s="1"/>
  <c r="X137" i="10"/>
  <c r="X74" i="10"/>
  <c r="X260" i="10"/>
  <c r="X246" i="10"/>
  <c r="Y246" i="10" s="1"/>
  <c r="Z246" i="10" s="1"/>
  <c r="X182" i="10"/>
  <c r="X68" i="10"/>
  <c r="X234" i="10"/>
  <c r="X142" i="10"/>
  <c r="Y142" i="10" s="1"/>
  <c r="Z142" i="10" s="1"/>
  <c r="X133" i="10"/>
  <c r="Y133" i="10" s="1"/>
  <c r="Z133" i="10" s="1"/>
  <c r="X113" i="10"/>
  <c r="Y113" i="10" s="1"/>
  <c r="Z113" i="10" s="1"/>
  <c r="X83" i="10"/>
  <c r="X123" i="10"/>
  <c r="Y123" i="10" s="1"/>
  <c r="Z123" i="10" s="1"/>
  <c r="X327" i="10"/>
  <c r="Y327" i="10" s="1"/>
  <c r="Z327" i="10" s="1"/>
  <c r="X326" i="10"/>
  <c r="Y326" i="10" s="1"/>
  <c r="Z326" i="10" s="1"/>
  <c r="X154" i="10"/>
  <c r="X140" i="10"/>
  <c r="Y140" i="10" s="1"/>
  <c r="Z140" i="10" s="1"/>
  <c r="X271" i="10"/>
  <c r="X324" i="10"/>
  <c r="Y324" i="10" s="1"/>
  <c r="Z324" i="10" s="1"/>
  <c r="X124" i="10"/>
  <c r="Y124" i="10" s="1"/>
  <c r="Z124" i="10" s="1"/>
  <c r="X300" i="10"/>
  <c r="Y300" i="10" s="1"/>
  <c r="Z300" i="10" s="1"/>
  <c r="X184" i="10"/>
  <c r="Y184" i="10" s="1"/>
  <c r="Z184" i="10" s="1"/>
  <c r="X295" i="10"/>
  <c r="Y295" i="10" s="1"/>
  <c r="Z295" i="10" s="1"/>
  <c r="X87" i="10"/>
  <c r="Y87" i="10" s="1"/>
  <c r="Z87" i="10" s="1"/>
  <c r="X317" i="10"/>
  <c r="X265" i="10"/>
  <c r="X226" i="10"/>
  <c r="Y226" i="10" s="1"/>
  <c r="Z226" i="10" s="1"/>
  <c r="X233" i="10"/>
  <c r="Y233" i="10" s="1"/>
  <c r="Z233" i="10" s="1"/>
  <c r="X150" i="10"/>
  <c r="X290" i="10"/>
  <c r="X291" i="10"/>
  <c r="X156" i="10"/>
  <c r="Y156" i="10" s="1"/>
  <c r="Z156" i="10" s="1"/>
  <c r="X106" i="10"/>
  <c r="X23" i="10"/>
  <c r="Y23" i="10" s="1"/>
  <c r="Z23" i="10" s="1"/>
  <c r="X103" i="10"/>
  <c r="X138" i="10"/>
  <c r="X175" i="10"/>
  <c r="Y175" i="10" s="1"/>
  <c r="Z175" i="10" s="1"/>
  <c r="X221" i="10"/>
  <c r="X297" i="10"/>
  <c r="Y297" i="10" s="1"/>
  <c r="Z297" i="10" s="1"/>
  <c r="X24" i="10"/>
  <c r="X308" i="10"/>
  <c r="Y308" i="10" s="1"/>
  <c r="Z308" i="10" s="1"/>
  <c r="X167" i="10"/>
  <c r="Y167" i="10" s="1"/>
  <c r="Z167" i="10" s="1"/>
  <c r="X305" i="10"/>
  <c r="Y305" i="10" s="1"/>
  <c r="Z305" i="10" s="1"/>
  <c r="X322" i="10"/>
  <c r="X219" i="10"/>
  <c r="Y219" i="10" s="1"/>
  <c r="Z219" i="10" s="1"/>
  <c r="X151" i="10"/>
  <c r="Y151" i="10" s="1"/>
  <c r="Z151" i="10" s="1"/>
  <c r="X276" i="10"/>
  <c r="X302" i="10"/>
  <c r="Y302" i="10" s="1"/>
  <c r="Z302" i="10" s="1"/>
  <c r="X213" i="10"/>
  <c r="X197" i="10"/>
  <c r="X204" i="10"/>
  <c r="Y204" i="10" s="1"/>
  <c r="Z204" i="10" s="1"/>
  <c r="X296" i="10"/>
  <c r="X118" i="10"/>
  <c r="X88" i="10"/>
  <c r="Y88" i="10" s="1"/>
  <c r="Z88" i="10" s="1"/>
  <c r="X145" i="10"/>
  <c r="Y145" i="10" s="1"/>
  <c r="Z145" i="10" s="1"/>
  <c r="X279" i="10"/>
  <c r="Y279" i="10" s="1"/>
  <c r="Z279" i="10" s="1"/>
  <c r="X253" i="10"/>
  <c r="X58" i="10"/>
  <c r="X275" i="10"/>
  <c r="X252" i="10"/>
  <c r="Y252" i="10" s="1"/>
  <c r="Z252" i="10" s="1"/>
  <c r="O6" i="10"/>
  <c r="U7" i="10"/>
  <c r="U330" i="10"/>
  <c r="Z330" i="10" s="1"/>
  <c r="U8" i="10"/>
  <c r="Z229" i="10" l="1"/>
  <c r="Y229" i="10"/>
  <c r="Z147" i="10"/>
  <c r="Y147" i="10"/>
  <c r="Z205" i="10"/>
  <c r="Y205" i="10"/>
  <c r="Z137" i="10"/>
  <c r="Y137" i="10"/>
  <c r="Z285" i="10"/>
  <c r="Y285" i="10"/>
  <c r="Z49" i="10"/>
  <c r="Y49" i="10"/>
  <c r="Z210" i="10"/>
  <c r="Y210" i="10"/>
  <c r="Z196" i="10"/>
  <c r="Y196" i="10"/>
  <c r="Z128" i="10"/>
  <c r="Y128" i="10"/>
  <c r="Z254" i="10"/>
  <c r="Y254" i="10"/>
  <c r="Z96" i="10"/>
  <c r="Y96" i="10"/>
  <c r="Z126" i="10"/>
  <c r="Y126" i="10"/>
  <c r="Z84" i="10"/>
  <c r="Y84" i="10"/>
  <c r="Z89" i="10"/>
  <c r="Y89" i="10"/>
  <c r="Z244" i="10"/>
  <c r="Y244" i="10"/>
  <c r="Z129" i="10"/>
  <c r="Y129" i="10"/>
  <c r="Z43" i="10"/>
  <c r="Y43" i="10"/>
  <c r="Z111" i="10"/>
  <c r="Y111" i="10"/>
  <c r="Z284" i="10"/>
  <c r="Y284" i="10"/>
  <c r="Z281" i="10"/>
  <c r="Y281" i="10"/>
  <c r="Z221" i="10"/>
  <c r="Y221" i="10"/>
  <c r="Z265" i="10"/>
  <c r="Y265" i="10"/>
  <c r="Z234" i="10"/>
  <c r="Y234" i="10"/>
  <c r="Z242" i="10"/>
  <c r="Y242" i="10"/>
  <c r="Z231" i="10"/>
  <c r="Y231" i="10"/>
  <c r="Z248" i="10"/>
  <c r="Y248" i="10"/>
  <c r="Z218" i="10"/>
  <c r="Y218" i="10"/>
  <c r="Z66" i="10"/>
  <c r="Y66" i="10"/>
  <c r="Z79" i="10"/>
  <c r="Y79" i="10"/>
  <c r="Z46" i="10"/>
  <c r="Y46" i="10"/>
  <c r="Z158" i="10"/>
  <c r="Y158" i="10"/>
  <c r="Z120" i="10"/>
  <c r="Y120" i="10"/>
  <c r="Z106" i="10"/>
  <c r="Y106" i="10"/>
  <c r="Z194" i="10"/>
  <c r="Y194" i="10"/>
  <c r="Z317" i="10"/>
  <c r="Y317" i="10"/>
  <c r="Z220" i="10"/>
  <c r="Y220" i="10"/>
  <c r="Z272" i="10"/>
  <c r="Y272" i="10"/>
  <c r="Z316" i="10"/>
  <c r="Y316" i="10"/>
  <c r="Z86" i="10"/>
  <c r="Y86" i="10"/>
  <c r="Z28" i="10"/>
  <c r="Y28" i="10"/>
  <c r="Z67" i="10"/>
  <c r="Y67" i="10"/>
  <c r="Z312" i="10"/>
  <c r="Y312" i="10"/>
  <c r="Z75" i="10"/>
  <c r="Y75" i="10"/>
  <c r="Z116" i="10"/>
  <c r="Y116" i="10"/>
  <c r="Z64" i="10"/>
  <c r="Y64" i="10"/>
  <c r="Z286" i="10"/>
  <c r="Y286" i="10"/>
  <c r="Z238" i="10"/>
  <c r="Y238" i="10"/>
  <c r="Z203" i="10"/>
  <c r="Y203" i="10"/>
  <c r="Z70" i="10"/>
  <c r="Y70" i="10"/>
  <c r="Z45" i="10"/>
  <c r="Y45" i="10"/>
  <c r="Z107" i="10"/>
  <c r="Y107" i="10"/>
  <c r="Z10" i="10"/>
  <c r="Y10" i="10"/>
  <c r="Z213" i="10"/>
  <c r="Y213" i="10"/>
  <c r="Z291" i="10"/>
  <c r="Y291" i="10"/>
  <c r="Z68" i="10"/>
  <c r="Y68" i="10"/>
  <c r="Z141" i="10"/>
  <c r="Y141" i="10"/>
  <c r="Z65" i="10"/>
  <c r="Y65" i="10"/>
  <c r="Z264" i="10"/>
  <c r="Y264" i="10"/>
  <c r="Z225" i="10"/>
  <c r="Y225" i="10"/>
  <c r="Z20" i="10"/>
  <c r="Y20" i="10"/>
  <c r="Z313" i="10"/>
  <c r="Y313" i="10"/>
  <c r="Z189" i="10"/>
  <c r="Y189" i="10"/>
  <c r="Z207" i="10"/>
  <c r="Y207" i="10"/>
  <c r="Z138" i="10"/>
  <c r="Y138" i="10"/>
  <c r="Z271" i="10"/>
  <c r="Y271" i="10"/>
  <c r="Z182" i="10"/>
  <c r="Y182" i="10"/>
  <c r="Z122" i="10"/>
  <c r="Y122" i="10"/>
  <c r="Z152" i="10"/>
  <c r="Y152" i="10"/>
  <c r="Z97" i="10"/>
  <c r="Y97" i="10"/>
  <c r="Z250" i="10"/>
  <c r="Y250" i="10"/>
  <c r="Z180" i="10"/>
  <c r="Y180" i="10"/>
  <c r="Z261" i="10"/>
  <c r="Y261" i="10"/>
  <c r="Z212" i="10"/>
  <c r="Y212" i="10"/>
  <c r="Z211" i="10"/>
  <c r="Y211" i="10"/>
  <c r="Z161" i="10"/>
  <c r="Y161" i="10"/>
  <c r="Z174" i="10"/>
  <c r="Y174" i="10"/>
  <c r="Z299" i="10"/>
  <c r="Y299" i="10"/>
  <c r="Z253" i="10"/>
  <c r="Y253" i="10"/>
  <c r="Z307" i="10"/>
  <c r="Y307" i="10"/>
  <c r="Z11" i="10"/>
  <c r="Y11" i="10"/>
  <c r="Z144" i="10"/>
  <c r="Y144" i="10"/>
  <c r="Z322" i="10"/>
  <c r="Y322" i="10"/>
  <c r="Z290" i="10"/>
  <c r="Y290" i="10"/>
  <c r="Z83" i="10"/>
  <c r="Y83" i="10"/>
  <c r="Z277" i="10"/>
  <c r="Y277" i="10"/>
  <c r="Z95" i="10"/>
  <c r="Y95" i="10"/>
  <c r="Z37" i="10"/>
  <c r="Y37" i="10"/>
  <c r="Z105" i="10"/>
  <c r="Y105" i="10"/>
  <c r="Z321" i="10"/>
  <c r="Y321" i="10"/>
  <c r="Z117" i="10"/>
  <c r="Y117" i="10"/>
  <c r="Z12" i="10"/>
  <c r="Y12" i="10"/>
  <c r="Z166" i="10"/>
  <c r="Y166" i="10"/>
  <c r="Z185" i="10"/>
  <c r="Y185" i="10"/>
  <c r="Z235" i="10"/>
  <c r="Y235" i="10"/>
  <c r="Z275" i="10"/>
  <c r="Y275" i="10"/>
  <c r="Z206" i="10"/>
  <c r="Y206" i="10"/>
  <c r="Z104" i="10"/>
  <c r="Y104" i="10"/>
  <c r="Z267" i="10"/>
  <c r="Y267" i="10"/>
  <c r="Z44" i="10"/>
  <c r="Y44" i="10"/>
  <c r="Z283" i="10"/>
  <c r="Y283" i="10"/>
  <c r="Z193" i="10"/>
  <c r="Y193" i="10"/>
  <c r="Z60" i="10"/>
  <c r="Y60" i="10"/>
  <c r="Z22" i="10"/>
  <c r="Y22" i="10"/>
  <c r="Z132" i="10"/>
  <c r="Y132" i="10"/>
  <c r="Z121" i="10"/>
  <c r="Y121" i="10"/>
  <c r="Z32" i="10"/>
  <c r="Y32" i="10"/>
  <c r="Z51" i="10"/>
  <c r="Y51" i="10"/>
  <c r="Z249" i="10"/>
  <c r="Y249" i="10"/>
  <c r="Z176" i="10"/>
  <c r="Y176" i="10"/>
  <c r="Z197" i="10"/>
  <c r="Y197" i="10"/>
  <c r="Z118" i="10"/>
  <c r="Y118" i="10"/>
  <c r="Z276" i="10"/>
  <c r="Y276" i="10"/>
  <c r="Z103" i="10"/>
  <c r="Y103" i="10"/>
  <c r="Z150" i="10"/>
  <c r="Y150" i="10"/>
  <c r="Z268" i="10"/>
  <c r="Y268" i="10"/>
  <c r="Z215" i="10"/>
  <c r="Y215" i="10"/>
  <c r="Z55" i="10"/>
  <c r="Y55" i="10"/>
  <c r="Z239" i="10"/>
  <c r="Y239" i="10"/>
  <c r="Z269" i="10"/>
  <c r="Y269" i="10"/>
  <c r="Z301" i="10"/>
  <c r="Y301" i="10"/>
  <c r="Z35" i="10"/>
  <c r="Y35" i="10"/>
  <c r="Z14" i="10"/>
  <c r="Y14" i="10"/>
  <c r="X9" i="10"/>
  <c r="Z58" i="10"/>
  <c r="Y58" i="10"/>
  <c r="Z24" i="10"/>
  <c r="Y24" i="10"/>
  <c r="Z260" i="10"/>
  <c r="Y260" i="10"/>
  <c r="Z61" i="10"/>
  <c r="Y61" i="10"/>
  <c r="Z170" i="10"/>
  <c r="Y170" i="10"/>
  <c r="Z328" i="10"/>
  <c r="Y328" i="10"/>
  <c r="Z319" i="10"/>
  <c r="Y319" i="10"/>
  <c r="Z209" i="10"/>
  <c r="Y209" i="10"/>
  <c r="Z62" i="10"/>
  <c r="Y62" i="10"/>
  <c r="Z52" i="10"/>
  <c r="Y52" i="10"/>
  <c r="Z36" i="10"/>
  <c r="Y36" i="10"/>
  <c r="Z54" i="10"/>
  <c r="Y54" i="10"/>
  <c r="Z57" i="10"/>
  <c r="Y57" i="10"/>
  <c r="Z31" i="10"/>
  <c r="Y31" i="10"/>
  <c r="Z186" i="10"/>
  <c r="Y186" i="10"/>
  <c r="Z85" i="10"/>
  <c r="Y85" i="10"/>
  <c r="Z74" i="10"/>
  <c r="Y74" i="10"/>
  <c r="Z173" i="10"/>
  <c r="Y173" i="10"/>
  <c r="Z59" i="10"/>
  <c r="Y59" i="10"/>
  <c r="Z296" i="10"/>
  <c r="Y296" i="10"/>
  <c r="Z154" i="10"/>
  <c r="Y154" i="10"/>
  <c r="Z243" i="10"/>
  <c r="Y243" i="10"/>
  <c r="Z149" i="10"/>
  <c r="Y149" i="10"/>
  <c r="Z63" i="10"/>
  <c r="Y63" i="10"/>
  <c r="Z289" i="10"/>
  <c r="Y289" i="10"/>
  <c r="Z160" i="10"/>
  <c r="Y160" i="10"/>
  <c r="Z306" i="10"/>
  <c r="Y306" i="10"/>
  <c r="Z199" i="10"/>
  <c r="Y199" i="10"/>
  <c r="Z47" i="10"/>
  <c r="Y47" i="10"/>
  <c r="U6" i="10"/>
  <c r="E19" i="2"/>
  <c r="E21" i="2" s="1"/>
  <c r="X7" i="10" l="1"/>
  <c r="Y7" i="10" s="1"/>
  <c r="Y9" i="10"/>
  <c r="Y330" i="10" s="1"/>
  <c r="Z9" i="10"/>
  <c r="G21" i="2" l="1"/>
  <c r="C20" i="5" l="1"/>
  <c r="C19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Lunghofer</author>
    <author>Vicky Dyer</author>
  </authors>
  <commentList>
    <comment ref="K4" authorId="0" shapeId="0" xr:uid="{BDE3BC6A-B9E8-4AA9-BA78-693886754F04}">
      <text>
        <r>
          <rPr>
            <b/>
            <sz val="9"/>
            <color indexed="81"/>
            <rFont val="Tahoma"/>
            <family val="2"/>
          </rPr>
          <t>Daniel Lunghofer:</t>
        </r>
        <r>
          <rPr>
            <sz val="9"/>
            <color indexed="81"/>
            <rFont val="Tahoma"/>
            <family val="2"/>
          </rPr>
          <t xml:space="preserve">
Y means accepting. N means not accepting. N/A means "not allocated." NC means the district has under $10,000 and is not in a consortium.</t>
        </r>
      </text>
    </comment>
    <comment ref="W4" authorId="1" shapeId="0" xr:uid="{50110828-2BDC-4392-B882-812915B870EC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For consortium and any other districts receiving less than $10,000, the funding will be held by state until a decision is made. This column is to reflect the new temp final allocation without distributing money to other districts. </t>
        </r>
      </text>
    </comment>
    <comment ref="K7" authorId="1" shapeId="0" xr:uid="{D69A3C4B-23BC-4ECC-8977-25F75CA37E96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Formula to use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Lunghofer</author>
    <author>Vicky Dyer</author>
  </authors>
  <commentList>
    <comment ref="K4" authorId="0" shapeId="0" xr:uid="{7B153535-B762-43A5-A645-326E70C1B293}">
      <text>
        <r>
          <rPr>
            <b/>
            <sz val="9"/>
            <color indexed="81"/>
            <rFont val="Tahoma"/>
            <family val="2"/>
          </rPr>
          <t>Daniel Lunghofer:</t>
        </r>
        <r>
          <rPr>
            <sz val="9"/>
            <color indexed="81"/>
            <rFont val="Tahoma"/>
            <family val="2"/>
          </rPr>
          <t xml:space="preserve">
Y means accepting. N means not accepting. N/A means "not allocated." NC means the district has under $10,000 and is not in a consortium.</t>
        </r>
      </text>
    </comment>
    <comment ref="W4" authorId="1" shapeId="0" xr:uid="{54885B51-F18E-4E9B-8555-66E724C122B8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For consortium and any other districts receiving less than $10,000, the funding will be held by state until a decision is made. This column is to reflect the new temp final allocation without distributing money to other districts. </t>
        </r>
      </text>
    </comment>
    <comment ref="K7" authorId="1" shapeId="0" xr:uid="{930E74A4-5087-43DB-911B-A58F14B7C05B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Formula to use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Vicky Dyer</author>
  </authors>
  <commentList>
    <comment ref="E6" authorId="0" shapeId="0" xr:uid="{398027E5-1858-4F8B-BF3B-6E556672EA5B}">
      <text>
        <r>
          <rPr>
            <b/>
            <sz val="9"/>
            <color indexed="81"/>
            <rFont val="Tahoma"/>
            <family val="2"/>
          </rPr>
          <t xml:space="preserve">Vicky Dyer:
</t>
        </r>
        <r>
          <rPr>
            <sz val="9"/>
            <color indexed="81"/>
            <rFont val="Tahoma"/>
            <family val="2"/>
          </rPr>
          <t xml:space="preserve">Self reported by districts when they complete the intent to participate.
Only update for final.
Prem. Should use the enrollment from PY (Program to remind district on this)
</t>
        </r>
      </text>
    </comment>
    <comment ref="F6" authorId="0" shapeId="0" xr:uid="{B48A7E9D-E2CC-44AA-A44D-98092C815522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This is from program office.</t>
        </r>
      </text>
    </comment>
    <comment ref="G6" authorId="0" shapeId="0" xr:uid="{DB989DC9-E133-41D6-9376-DBD4A114E2C9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From program office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Vicky Dyer</author>
  </authors>
  <commentList>
    <comment ref="E6" authorId="0" shapeId="0" xr:uid="{EB2E5E1B-5CF2-4274-BED1-691EC250733B}">
      <text>
        <r>
          <rPr>
            <b/>
            <sz val="9"/>
            <color indexed="81"/>
            <rFont val="Tahoma"/>
            <family val="2"/>
          </rPr>
          <t xml:space="preserve">Vicky Dyer:
</t>
        </r>
        <r>
          <rPr>
            <sz val="9"/>
            <color indexed="81"/>
            <rFont val="Tahoma"/>
            <family val="2"/>
          </rPr>
          <t xml:space="preserve">Self reported by districts when they complete the intent to participate.
Only update for final.
Prem. Should use the enrollment from PY (Program to remind district on this)
</t>
        </r>
      </text>
    </comment>
    <comment ref="F6" authorId="0" shapeId="0" xr:uid="{666E8C24-8981-48B3-AB47-67FF93B73716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This is from program office.</t>
        </r>
      </text>
    </comment>
    <comment ref="G6" authorId="0" shapeId="0" xr:uid="{A561260C-8106-43E8-A062-D64BCA2A38FC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From program office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Daniel.Lunghofer</author>
    <author>Vicky Dyer</author>
    <author>kthompson</author>
    <author>Michelle Matakas</author>
    <author>Daniel Lunghofer</author>
  </authors>
  <commentList>
    <comment ref="AD4" authorId="0" shapeId="0" xr:uid="{B20172FD-876E-458E-BA94-BF67275FD827}">
      <text>
        <r>
          <rPr>
            <b/>
            <sz val="8"/>
            <color indexed="81"/>
            <rFont val="Tahoma"/>
            <family val="2"/>
          </rPr>
          <t>Daniel.Lunghofer:</t>
        </r>
        <r>
          <rPr>
            <sz val="8"/>
            <color indexed="81"/>
            <rFont val="Tahoma"/>
            <family val="2"/>
          </rPr>
          <t xml:space="preserve">
Preliminary number from US Department of Education Funding</t>
        </r>
      </text>
    </comment>
    <comment ref="B7" authorId="1" shapeId="0" xr:uid="{25DAC07F-DA17-40B1-BD8B-FFD0F0F41113}">
      <text>
        <r>
          <rPr>
            <sz val="9"/>
            <color indexed="81"/>
            <rFont val="Tahoma"/>
            <family val="2"/>
          </rPr>
          <t xml:space="preserve">For 2017-18, it is 50-50 per ESSA, but the ESSA plan submitted to the Feds recommended 60% TA and 40% CA as of the time of these calculations- -the plan has not been approved. </t>
        </r>
      </text>
    </comment>
    <comment ref="J7" authorId="1" shapeId="0" xr:uid="{94BCB65D-272D-4E6E-839A-40A0A2B5BA8E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50%/50% per Alyssa Westall 8/3/2018</t>
        </r>
      </text>
    </comment>
    <comment ref="K7" authorId="1" shapeId="0" xr:uid="{24011795-4C2E-47DF-B0FE-DCB775105574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50%/50% per Alyssa Westall 8/3/2018</t>
        </r>
      </text>
    </comment>
    <comment ref="L7" authorId="1" shapeId="0" xr:uid="{8D3ABC64-6F80-4E4A-ACC2-B28527489A7F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50%/50% per Alyssa Westall 8/3/2018</t>
        </r>
      </text>
    </comment>
    <comment ref="M7" authorId="1" shapeId="0" xr:uid="{65074DCF-A2BD-4E31-9A40-974CB3F1F306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50%/50% per Alyssa Westall 8/3/2018</t>
        </r>
      </text>
    </comment>
    <comment ref="N7" authorId="1" shapeId="0" xr:uid="{18B00061-1E38-4BB2-8686-8F666B230181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50%/50% per Alyssa Westall 8/3/2018</t>
        </r>
      </text>
    </comment>
    <comment ref="O7" authorId="1" shapeId="0" xr:uid="{6C84FB02-4AB7-4767-AF47-9DD1E6ADDC45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50%/50% per Alyssa Westall 8/3/2018</t>
        </r>
      </text>
    </comment>
    <comment ref="P7" authorId="1" shapeId="0" xr:uid="{BE4F9162-E511-4BBB-A204-5FF7022F4972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50%/50% per Alyssa Westall 8/3/2018</t>
        </r>
      </text>
    </comment>
    <comment ref="AD10" authorId="2" shapeId="0" xr:uid="{A71BC779-D032-4465-8104-059E96EFD02E}">
      <text>
        <r>
          <rPr>
            <b/>
            <sz val="8"/>
            <color indexed="81"/>
            <rFont val="Tahoma"/>
            <family val="2"/>
          </rPr>
          <t>kthompson:</t>
        </r>
        <r>
          <rPr>
            <sz val="8"/>
            <color indexed="81"/>
            <rFont val="Tahoma"/>
            <family val="2"/>
          </rPr>
          <t xml:space="preserve">
change this to formula for final????
</t>
        </r>
        <r>
          <rPr>
            <b/>
            <sz val="8"/>
            <color indexed="81"/>
            <rFont val="Tahoma"/>
            <family val="2"/>
          </rPr>
          <t>Daniel.Lunghofer:</t>
        </r>
        <r>
          <rPr>
            <sz val="8"/>
            <color indexed="81"/>
            <rFont val="Tahoma"/>
            <family val="2"/>
          </rPr>
          <t xml:space="preserve"> Changed this to a "maxmimum amount" formula; does not affect sheet unless Actual Emergency Immigrant is over this amount.
</t>
        </r>
      </text>
    </comment>
    <comment ref="AE10" authorId="2" shapeId="0" xr:uid="{D4F556E6-F7BC-4272-B0D0-A77B3F1EEDCC}">
      <text>
        <r>
          <rPr>
            <b/>
            <sz val="8"/>
            <color indexed="81"/>
            <rFont val="Tahoma"/>
            <family val="2"/>
          </rPr>
          <t>kthompson:</t>
        </r>
        <r>
          <rPr>
            <sz val="8"/>
            <color indexed="81"/>
            <rFont val="Tahoma"/>
            <family val="2"/>
          </rPr>
          <t xml:space="preserve">
change this to formula for final????</t>
        </r>
      </text>
    </comment>
    <comment ref="R13" authorId="1" shapeId="0" xr:uid="{A9F191E8-32A4-45E4-B3C7-107CD7CB7DD7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Adjusted for Steilacoom (last minutes response) 
Formula in C14 (below) should be C9-C13</t>
        </r>
      </text>
    </comment>
    <comment ref="V13" authorId="3" shapeId="0" xr:uid="{C874D0C5-3C41-41BF-A1D2-46C9F1C4B0DA}">
      <text>
        <r>
          <rPr>
            <b/>
            <sz val="9"/>
            <color indexed="81"/>
            <rFont val="Tahoma"/>
            <family val="2"/>
          </rPr>
          <t>Michelle Matakas:</t>
        </r>
        <r>
          <rPr>
            <sz val="9"/>
            <color indexed="81"/>
            <rFont val="Tahoma"/>
            <family val="2"/>
          </rPr>
          <t xml:space="preserve">
adjusted for Palisades last minute application to keep other districts allocation the same.</t>
        </r>
      </text>
    </comment>
    <comment ref="AD13" authorId="0" shapeId="0" xr:uid="{977C4AA5-7DC9-4901-AFB6-5A84898EFD0E}">
      <text>
        <r>
          <rPr>
            <b/>
            <sz val="8"/>
            <color indexed="81"/>
            <rFont val="Tahoma"/>
            <family val="2"/>
          </rPr>
          <t xml:space="preserve">Daniel.Lunghofer:
</t>
        </r>
        <r>
          <rPr>
            <sz val="8"/>
            <color indexed="81"/>
            <rFont val="Tahoma"/>
            <family val="2"/>
          </rPr>
          <t>Preliminary number $565,230 as of 3/20/08.
Changed to $405,350 on 5/2/08
Changed to $315,100 on 7/28/08 with final numbers</t>
        </r>
      </text>
    </comment>
    <comment ref="X15" authorId="4" shapeId="0" xr:uid="{1792AFB2-BF37-4EBA-B55A-7845147EE37F}">
      <text>
        <r>
          <rPr>
            <b/>
            <sz val="9"/>
            <color indexed="81"/>
            <rFont val="Tahoma"/>
            <family val="2"/>
          </rPr>
          <t>Daniel Lunghofer:</t>
        </r>
        <r>
          <rPr>
            <sz val="9"/>
            <color indexed="81"/>
            <rFont val="Tahoma"/>
            <family val="2"/>
          </rPr>
          <t xml:space="preserve">
Actual amount $787,874.57. Allocations don't deal in cents; rounded down.
</t>
        </r>
      </text>
    </comment>
    <comment ref="Y15" authorId="4" shapeId="0" xr:uid="{29CACD19-0E7E-4192-81CC-F0FD987B1227}">
      <text>
        <r>
          <rPr>
            <b/>
            <sz val="9"/>
            <color indexed="81"/>
            <rFont val="Tahoma"/>
            <family val="2"/>
          </rPr>
          <t>Daniel Lunghofer:</t>
        </r>
        <r>
          <rPr>
            <sz val="9"/>
            <color indexed="81"/>
            <rFont val="Tahoma"/>
            <family val="2"/>
          </rPr>
          <t xml:space="preserve">
Actual amount $787,874.57. Allocations don't deal in cents; rounded down.
</t>
        </r>
      </text>
    </comment>
    <comment ref="T17" authorId="3" shapeId="0" xr:uid="{1BD4D1DD-DC72-48AF-828A-5246B9628FF0}">
      <text>
        <r>
          <rPr>
            <b/>
            <sz val="9"/>
            <color indexed="81"/>
            <rFont val="Tahoma"/>
            <family val="2"/>
          </rPr>
          <t>Michelle Matakas:</t>
        </r>
        <r>
          <rPr>
            <sz val="9"/>
            <color indexed="81"/>
            <rFont val="Tahoma"/>
            <family val="2"/>
          </rPr>
          <t xml:space="preserve">
actual amount is $891,704; set aside $50,000 in reserve per Alyssa Westall</t>
        </r>
      </text>
    </comment>
    <comment ref="U17" authorId="3" shapeId="0" xr:uid="{B0306C14-6C91-4CFA-A2C8-7C7424CA521B}">
      <text>
        <r>
          <rPr>
            <b/>
            <sz val="9"/>
            <color indexed="81"/>
            <rFont val="Tahoma"/>
            <family val="2"/>
          </rPr>
          <t>Michelle Matakas:</t>
        </r>
        <r>
          <rPr>
            <sz val="9"/>
            <color indexed="81"/>
            <rFont val="Tahoma"/>
            <family val="2"/>
          </rPr>
          <t xml:space="preserve">
actual amount is $891,704; set aside $50,000 in reserve per Alyssa Westall</t>
        </r>
      </text>
    </comment>
    <comment ref="Y27" authorId="4" shapeId="0" xr:uid="{A4F79814-E9C7-4300-8366-5193B8C8F01F}">
      <text>
        <r>
          <rPr>
            <b/>
            <sz val="9"/>
            <color indexed="81"/>
            <rFont val="Tahoma"/>
            <family val="2"/>
          </rPr>
          <t>Daniel Lunghofer:</t>
        </r>
        <r>
          <rPr>
            <sz val="9"/>
            <color indexed="81"/>
            <rFont val="Tahoma"/>
            <family val="2"/>
          </rPr>
          <t xml:space="preserve">
Formula deduction of 6.62%. Sequestration may take place 1/1/13, and will affect FY 13 allocations. Without knowing what percentage is available July 1 (FY 12) and what percentage is available October 1 (FY 13), the Title II Part A breakdown was used to provide an estimate of the amount to be sequestered, or 9.1% of the FY 13 amount.</t>
        </r>
      </text>
    </comment>
  </commentList>
</comments>
</file>

<file path=xl/sharedStrings.xml><?xml version="1.0" encoding="utf-8"?>
<sst xmlns="http://schemas.openxmlformats.org/spreadsheetml/2006/main" count="5102" uniqueCount="834">
  <si>
    <t>CCDDD</t>
  </si>
  <si>
    <t xml:space="preserve">  DISTRICT</t>
  </si>
  <si>
    <t>Bilingual Enroll</t>
  </si>
  <si>
    <t>Private School</t>
  </si>
  <si>
    <t>Native American</t>
  </si>
  <si>
    <t>EI (ASL)</t>
  </si>
  <si>
    <t>Y/N</t>
  </si>
  <si>
    <t>Total Enrollment</t>
  </si>
  <si>
    <t>Total</t>
  </si>
  <si>
    <t>Aberdeen</t>
  </si>
  <si>
    <t>Adna</t>
  </si>
  <si>
    <t>Almira</t>
  </si>
  <si>
    <t>Anacortes</t>
  </si>
  <si>
    <t>Arlington</t>
  </si>
  <si>
    <t>Asotin-Anatone</t>
  </si>
  <si>
    <t>Auburn</t>
  </si>
  <si>
    <t>Bainbridge</t>
  </si>
  <si>
    <t>Battle Ground</t>
  </si>
  <si>
    <t>Bellevue</t>
  </si>
  <si>
    <t>Bellingham</t>
  </si>
  <si>
    <t>Benge</t>
  </si>
  <si>
    <t>Bethel</t>
  </si>
  <si>
    <t>Bickleton</t>
  </si>
  <si>
    <t>Blaine</t>
  </si>
  <si>
    <t>Boistfort</t>
  </si>
  <si>
    <t>Bremerton</t>
  </si>
  <si>
    <t>Brewster</t>
  </si>
  <si>
    <t>Bridgeport</t>
  </si>
  <si>
    <t>Brinnon</t>
  </si>
  <si>
    <t>Burlington Edison</t>
  </si>
  <si>
    <t>Camas</t>
  </si>
  <si>
    <t>Cape Flattery</t>
  </si>
  <si>
    <t>Carbonado</t>
  </si>
  <si>
    <t>Cascade</t>
  </si>
  <si>
    <t>Cashmere</t>
  </si>
  <si>
    <t>Castle Rock</t>
  </si>
  <si>
    <t>Catalyst Charter</t>
  </si>
  <si>
    <t>Centerville</t>
  </si>
  <si>
    <t>Central Kitsap</t>
  </si>
  <si>
    <t>Central Valley</t>
  </si>
  <si>
    <t>Centralia</t>
  </si>
  <si>
    <t>Chehalis</t>
  </si>
  <si>
    <t>Cheney</t>
  </si>
  <si>
    <t>Chewelah</t>
  </si>
  <si>
    <t>Chief Leschi Tribal</t>
  </si>
  <si>
    <t>Chimacum</t>
  </si>
  <si>
    <t>Clarkston</t>
  </si>
  <si>
    <t>Cle Elum-Roslyn</t>
  </si>
  <si>
    <t>Clover Park</t>
  </si>
  <si>
    <t>Clover Park TC</t>
  </si>
  <si>
    <t>Colfax</t>
  </si>
  <si>
    <t>College Place</t>
  </si>
  <si>
    <t>Colton</t>
  </si>
  <si>
    <t>Columbia (Stev)</t>
  </si>
  <si>
    <t>Columbia (Walla)</t>
  </si>
  <si>
    <t>Colville</t>
  </si>
  <si>
    <t>Concrete</t>
  </si>
  <si>
    <t>Conway</t>
  </si>
  <si>
    <t>Cosmopolis</t>
  </si>
  <si>
    <t>Coulee/Hartline</t>
  </si>
  <si>
    <t>Coupeville</t>
  </si>
  <si>
    <t>Crescent</t>
  </si>
  <si>
    <t>Creston</t>
  </si>
  <si>
    <t>Curlew</t>
  </si>
  <si>
    <t>Cusick</t>
  </si>
  <si>
    <t>Damman</t>
  </si>
  <si>
    <t>Darrington</t>
  </si>
  <si>
    <t>Davenport</t>
  </si>
  <si>
    <t>Dayton</t>
  </si>
  <si>
    <t>Deer Park</t>
  </si>
  <si>
    <t>Dieringer</t>
  </si>
  <si>
    <t>Dixie</t>
  </si>
  <si>
    <t>East Valley (Spok</t>
  </si>
  <si>
    <t>East Valley (Yak)</t>
  </si>
  <si>
    <t>Eastmont</t>
  </si>
  <si>
    <t>Easton</t>
  </si>
  <si>
    <t>Eatonville</t>
  </si>
  <si>
    <t>Edmonds</t>
  </si>
  <si>
    <t>Ellensburg</t>
  </si>
  <si>
    <t>Elma</t>
  </si>
  <si>
    <t>Endicott</t>
  </si>
  <si>
    <t>Entiat</t>
  </si>
  <si>
    <t>Enumclaw</t>
  </si>
  <si>
    <t>Ephrata</t>
  </si>
  <si>
    <t>ESA 112</t>
  </si>
  <si>
    <t>Evaline</t>
  </si>
  <si>
    <t>Everett</t>
  </si>
  <si>
    <t>Evergreen (Clark)</t>
  </si>
  <si>
    <t>Evergreen (Stev)</t>
  </si>
  <si>
    <t>Federal Way</t>
  </si>
  <si>
    <t>Ferndale</t>
  </si>
  <si>
    <t>Fife</t>
  </si>
  <si>
    <t>Finley</t>
  </si>
  <si>
    <t>Franklin Pierce</t>
  </si>
  <si>
    <t>Freeman</t>
  </si>
  <si>
    <t>Garfield</t>
  </si>
  <si>
    <t>Glenwood</t>
  </si>
  <si>
    <t>Goldendale</t>
  </si>
  <si>
    <t>Grand Coulee Dam</t>
  </si>
  <si>
    <t>Grandview</t>
  </si>
  <si>
    <t>Granger</t>
  </si>
  <si>
    <t>Granite Falls</t>
  </si>
  <si>
    <t>Grapeview</t>
  </si>
  <si>
    <t>Great Northern</t>
  </si>
  <si>
    <t>Green Mountain</t>
  </si>
  <si>
    <t>Griffin</t>
  </si>
  <si>
    <t>Harrington</t>
  </si>
  <si>
    <t>Highland</t>
  </si>
  <si>
    <t>Highline</t>
  </si>
  <si>
    <t>Hockinson</t>
  </si>
  <si>
    <t>Hood Canal</t>
  </si>
  <si>
    <t>Hoquiam</t>
  </si>
  <si>
    <t>Impact Charter</t>
  </si>
  <si>
    <t>Impact Salish Sea Charter</t>
  </si>
  <si>
    <t>Inchelium</t>
  </si>
  <si>
    <t>Index</t>
  </si>
  <si>
    <t>Issaquah</t>
  </si>
  <si>
    <t>Kahlotus</t>
  </si>
  <si>
    <t>Kalama</t>
  </si>
  <si>
    <t>Keller</t>
  </si>
  <si>
    <t>Kelso</t>
  </si>
  <si>
    <t>Kennewick</t>
  </si>
  <si>
    <t>Kent</t>
  </si>
  <si>
    <t>Kettle Falls</t>
  </si>
  <si>
    <t>Kiona Benton</t>
  </si>
  <si>
    <t>Kittitas</t>
  </si>
  <si>
    <t>Klickitat</t>
  </si>
  <si>
    <t>La Conner</t>
  </si>
  <si>
    <t>Lacenter</t>
  </si>
  <si>
    <t>Lacrosse Joint</t>
  </si>
  <si>
    <t>Lake Chelan</t>
  </si>
  <si>
    <t>Lake Stevens</t>
  </si>
  <si>
    <t>Lake Wa Inst Tech</t>
  </si>
  <si>
    <t>Lake Washington</t>
  </si>
  <si>
    <t>Lakewood</t>
  </si>
  <si>
    <t>Lamont</t>
  </si>
  <si>
    <t>Liberty</t>
  </si>
  <si>
    <t>Lind</t>
  </si>
  <si>
    <t>Longview</t>
  </si>
  <si>
    <t>Loon Lake</t>
  </si>
  <si>
    <t>Lopez</t>
  </si>
  <si>
    <t>Lumen Charter</t>
  </si>
  <si>
    <t>Lummi Tribal</t>
  </si>
  <si>
    <t>Lyle</t>
  </si>
  <si>
    <t>Lynden</t>
  </si>
  <si>
    <t>Mabton</t>
  </si>
  <si>
    <t>Mansfield</t>
  </si>
  <si>
    <t>Manson</t>
  </si>
  <si>
    <t>Mary M Knight</t>
  </si>
  <si>
    <t>Mary Walker</t>
  </si>
  <si>
    <t>Marysville</t>
  </si>
  <si>
    <t>Mc Cleary</t>
  </si>
  <si>
    <t>Mead</t>
  </si>
  <si>
    <t>Medical Lake</t>
  </si>
  <si>
    <t>Mercer Island</t>
  </si>
  <si>
    <t>Meridian</t>
  </si>
  <si>
    <t>Methow Valley</t>
  </si>
  <si>
    <t>Mill A</t>
  </si>
  <si>
    <t>Monroe</t>
  </si>
  <si>
    <t>Montesano</t>
  </si>
  <si>
    <t>Morton</t>
  </si>
  <si>
    <t>Moses Lake</t>
  </si>
  <si>
    <t>Mossyrock</t>
  </si>
  <si>
    <t>Mount Adams</t>
  </si>
  <si>
    <t>Mount Baker</t>
  </si>
  <si>
    <t>Mount Pleasant</t>
  </si>
  <si>
    <t>Mt Vernon</t>
  </si>
  <si>
    <t>Muckleshoot Tribal</t>
  </si>
  <si>
    <t>Mukilteo</t>
  </si>
  <si>
    <t>Naches Valley</t>
  </si>
  <si>
    <t>Napavine</t>
  </si>
  <si>
    <t>Naselle Grays Riv</t>
  </si>
  <si>
    <t>Nespelem</t>
  </si>
  <si>
    <t>Newport</t>
  </si>
  <si>
    <t>Nine Mile Falls</t>
  </si>
  <si>
    <t>Nooksack Valley</t>
  </si>
  <si>
    <t>North Beach</t>
  </si>
  <si>
    <t>North Franklin</t>
  </si>
  <si>
    <t>North Kitsap</t>
  </si>
  <si>
    <t>North Mason</t>
  </si>
  <si>
    <t>North River</t>
  </si>
  <si>
    <t>North Thurston</t>
  </si>
  <si>
    <t>Northport</t>
  </si>
  <si>
    <t>Northshore</t>
  </si>
  <si>
    <t>Oak Harbor</t>
  </si>
  <si>
    <t>Oakesdale</t>
  </si>
  <si>
    <t>Oakville</t>
  </si>
  <si>
    <t>Ocean Beach</t>
  </si>
  <si>
    <t>Ocosta</t>
  </si>
  <si>
    <t>Odessa</t>
  </si>
  <si>
    <t>Okanogan</t>
  </si>
  <si>
    <t>Olympia</t>
  </si>
  <si>
    <t>Omak</t>
  </si>
  <si>
    <t>Onalaska</t>
  </si>
  <si>
    <t>Onion Creek</t>
  </si>
  <si>
    <t>Orcas</t>
  </si>
  <si>
    <t>Orchard Prairie</t>
  </si>
  <si>
    <t>Orient</t>
  </si>
  <si>
    <t>Orondo</t>
  </si>
  <si>
    <t>Oroville</t>
  </si>
  <si>
    <t>Orting</t>
  </si>
  <si>
    <t>Othello</t>
  </si>
  <si>
    <t>Palisades</t>
  </si>
  <si>
    <t>Palouse</t>
  </si>
  <si>
    <t>Pasco</t>
  </si>
  <si>
    <t>Pateros</t>
  </si>
  <si>
    <t>Paterson</t>
  </si>
  <si>
    <t>Pe Ell</t>
  </si>
  <si>
    <t>Peninsula</t>
  </si>
  <si>
    <t>Pinnacle Prep Charter</t>
  </si>
  <si>
    <t>Pioneer</t>
  </si>
  <si>
    <t>Pomeroy</t>
  </si>
  <si>
    <t>Port Angeles</t>
  </si>
  <si>
    <t>Port Townsend</t>
  </si>
  <si>
    <t>Prescott</t>
  </si>
  <si>
    <t>Pride Prep Charter</t>
  </si>
  <si>
    <t>Prosser</t>
  </si>
  <si>
    <t>Pullman</t>
  </si>
  <si>
    <t>Puyallup</t>
  </si>
  <si>
    <t>Queets-Clearwater</t>
  </si>
  <si>
    <t>Quilcene</t>
  </si>
  <si>
    <t>Quileute Tribal</t>
  </si>
  <si>
    <t>Quillayute Valley</t>
  </si>
  <si>
    <t>Quinault</t>
  </si>
  <si>
    <t>Quincy</t>
  </si>
  <si>
    <t>Rainier</t>
  </si>
  <si>
    <t>Rainier Prep Charter</t>
  </si>
  <si>
    <t>Raymond</t>
  </si>
  <si>
    <t>Reardan</t>
  </si>
  <si>
    <t>Renton</t>
  </si>
  <si>
    <t>Renton TC</t>
  </si>
  <si>
    <t>Republic</t>
  </si>
  <si>
    <t>Richland</t>
  </si>
  <si>
    <t>Ridgefield</t>
  </si>
  <si>
    <t>Ritzville</t>
  </si>
  <si>
    <t>Riverside</t>
  </si>
  <si>
    <t>Riverview</t>
  </si>
  <si>
    <t>Rochester</t>
  </si>
  <si>
    <t>Roosevelt</t>
  </si>
  <si>
    <t>Rosalia</t>
  </si>
  <si>
    <t>Royal</t>
  </si>
  <si>
    <t>San Juan</t>
  </si>
  <si>
    <t>Satsop</t>
  </si>
  <si>
    <t>Seattle</t>
  </si>
  <si>
    <t>Sedro Woolley</t>
  </si>
  <si>
    <t>Selah</t>
  </si>
  <si>
    <t>Selkirk</t>
  </si>
  <si>
    <t>Sequim</t>
  </si>
  <si>
    <t>Shaw</t>
  </si>
  <si>
    <t>Shelton</t>
  </si>
  <si>
    <t>Shoreline</t>
  </si>
  <si>
    <t>Skamania</t>
  </si>
  <si>
    <t>Skykomish</t>
  </si>
  <si>
    <t>Snohomish</t>
  </si>
  <si>
    <t>Snoqualmie Valley</t>
  </si>
  <si>
    <t>Soap Lake</t>
  </si>
  <si>
    <t>South Bend</t>
  </si>
  <si>
    <t>South Kitsap</t>
  </si>
  <si>
    <t>South Whidbey</t>
  </si>
  <si>
    <t>Southside</t>
  </si>
  <si>
    <t>Spokane</t>
  </si>
  <si>
    <t>Spokane Int'l Charter</t>
  </si>
  <si>
    <t>Sprague</t>
  </si>
  <si>
    <t>St John</t>
  </si>
  <si>
    <t>Stanwood</t>
  </si>
  <si>
    <t>Star</t>
  </si>
  <si>
    <t>Starbuck</t>
  </si>
  <si>
    <t>Stehekin</t>
  </si>
  <si>
    <t>Steilacoom Hist.</t>
  </si>
  <si>
    <t>Steptoe</t>
  </si>
  <si>
    <t>Stevenson-Carson</t>
  </si>
  <si>
    <t>Sultan</t>
  </si>
  <si>
    <t>Summit Atlas Charter</t>
  </si>
  <si>
    <t>Summit Olympus Charter</t>
  </si>
  <si>
    <t>Summit Sierra Charter</t>
  </si>
  <si>
    <t>Summit Valley</t>
  </si>
  <si>
    <t>Sumner</t>
  </si>
  <si>
    <t>Sunnyside</t>
  </si>
  <si>
    <t>Suquamish Tribal</t>
  </si>
  <si>
    <t>Tacoma</t>
  </si>
  <si>
    <t>Taholah</t>
  </si>
  <si>
    <t>Tahoma</t>
  </si>
  <si>
    <t>Tekoa</t>
  </si>
  <si>
    <t>Tenino</t>
  </si>
  <si>
    <t>Thorp</t>
  </si>
  <si>
    <t>Toledo</t>
  </si>
  <si>
    <t>Tonasket</t>
  </si>
  <si>
    <t>Toppenish</t>
  </si>
  <si>
    <t>Touchet</t>
  </si>
  <si>
    <t>Toutle Lake</t>
  </si>
  <si>
    <t>Trout Lake</t>
  </si>
  <si>
    <t>Tukwila</t>
  </si>
  <si>
    <t>Tumwater</t>
  </si>
  <si>
    <t>Union Gap</t>
  </si>
  <si>
    <t>University Place</t>
  </si>
  <si>
    <t>Valley</t>
  </si>
  <si>
    <t>Vancouver</t>
  </si>
  <si>
    <t>Vashon Island</t>
  </si>
  <si>
    <t>Wa He Lut Tribal</t>
  </si>
  <si>
    <t>Wahkiakum</t>
  </si>
  <si>
    <t>Wahluke</t>
  </si>
  <si>
    <t>Waitsburg</t>
  </si>
  <si>
    <t>Walla Walla</t>
  </si>
  <si>
    <t>Wapato</t>
  </si>
  <si>
    <t>Warden</t>
  </si>
  <si>
    <t>Washougal</t>
  </si>
  <si>
    <t>Washtucna</t>
  </si>
  <si>
    <t>Waterville</t>
  </si>
  <si>
    <t>Wellpinit</t>
  </si>
  <si>
    <t>Wenatchee</t>
  </si>
  <si>
    <t>West Valley (Spok</t>
  </si>
  <si>
    <t>West Valley (Yak)</t>
  </si>
  <si>
    <t>Whatcom Interg'l Charter</t>
  </si>
  <si>
    <t>White Pass</t>
  </si>
  <si>
    <t>White River</t>
  </si>
  <si>
    <t>White Salmon</t>
  </si>
  <si>
    <t>Why Not You Charter</t>
  </si>
  <si>
    <t>Wilbur</t>
  </si>
  <si>
    <t>Willapa Valley</t>
  </si>
  <si>
    <t>Wilson Creek</t>
  </si>
  <si>
    <t>Winlock</t>
  </si>
  <si>
    <t>Wishkah Valley</t>
  </si>
  <si>
    <t>Wishram</t>
  </si>
  <si>
    <t>Woodland</t>
  </si>
  <si>
    <t>Yakama Nation Tribal</t>
  </si>
  <si>
    <t>Yakima</t>
  </si>
  <si>
    <t>Yelm</t>
  </si>
  <si>
    <t>Zillah</t>
  </si>
  <si>
    <t>Assumptions and Factors — Title III</t>
  </si>
  <si>
    <r>
      <t>Caution:</t>
    </r>
    <r>
      <rPr>
        <sz val="10"/>
        <rFont val="Arial"/>
        <family val="2"/>
      </rPr>
      <t xml:space="preserve"> Yellow Cells below drive are inputs into the calculations in this model</t>
    </r>
  </si>
  <si>
    <t>Funding</t>
  </si>
  <si>
    <t>2021-22 F</t>
  </si>
  <si>
    <t>2021-22 P</t>
  </si>
  <si>
    <t>2020-21 F</t>
  </si>
  <si>
    <t>2020-21 P</t>
  </si>
  <si>
    <t>2019-20 F</t>
  </si>
  <si>
    <t>2019-20 P</t>
  </si>
  <si>
    <t>2018-19 F</t>
  </si>
  <si>
    <t>2018-19 P</t>
  </si>
  <si>
    <t>2017-18 F</t>
  </si>
  <si>
    <t>2017-18 P</t>
  </si>
  <si>
    <t>2016-17 F</t>
  </si>
  <si>
    <t>2016-17 P</t>
  </si>
  <si>
    <t>2015-16 F</t>
  </si>
  <si>
    <t>2014-15 P</t>
  </si>
  <si>
    <t>2013-14 F</t>
  </si>
  <si>
    <t>2013-14 P</t>
  </si>
  <si>
    <t>2012-13</t>
  </si>
  <si>
    <t>2011-12</t>
  </si>
  <si>
    <t>2010-11</t>
  </si>
  <si>
    <t>2009-10</t>
  </si>
  <si>
    <t>2008-09</t>
  </si>
  <si>
    <t>2007-08</t>
  </si>
  <si>
    <t xml:space="preserve">Source: </t>
  </si>
  <si>
    <t>Total State Allocation</t>
  </si>
  <si>
    <t>State Activities (3111(b)(2))</t>
  </si>
  <si>
    <t>50% - Consolidated Admin (CA)</t>
  </si>
  <si>
    <t>50% - State Activities (TA)</t>
  </si>
  <si>
    <t>Basic Allocation</t>
  </si>
  <si>
    <t>3114(d)(1)</t>
  </si>
  <si>
    <t>Max Emergency Immigrant reservation</t>
  </si>
  <si>
    <t>Above number is a maximum</t>
  </si>
  <si>
    <t>Actual Emergency Immigrant</t>
  </si>
  <si>
    <t>Total Basic to Allocate</t>
  </si>
  <si>
    <t>Carryover to Allocate</t>
  </si>
  <si>
    <t>Additional Carryover</t>
  </si>
  <si>
    <t>Districts that spent 75% of PY Allocation</t>
  </si>
  <si>
    <t>Total to Allocate</t>
  </si>
  <si>
    <t>Allocated amount per Worksheet</t>
  </si>
  <si>
    <t>Basic Per Above</t>
  </si>
  <si>
    <t>Rounding-to Seattle</t>
  </si>
  <si>
    <t>NOTES:</t>
  </si>
  <si>
    <t>Allocations:</t>
  </si>
  <si>
    <t>Minimum Award to a district is $10,000</t>
  </si>
  <si>
    <t>Section 3114</t>
  </si>
  <si>
    <t>Gross Allocation</t>
  </si>
  <si>
    <t>Districts getting &lt; $10,000 can join a consortium so the initial allocation is done for all districts, regardless of amount.</t>
  </si>
  <si>
    <t>Less: Sequestration</t>
  </si>
  <si>
    <t>Some districts are eligible, but do not apply, and some &lt; $10,000 do not join a consortium.</t>
  </si>
  <si>
    <t>Net</t>
  </si>
  <si>
    <t>So there are $$ to redistribute.</t>
  </si>
  <si>
    <t>Less: State activities</t>
  </si>
  <si>
    <t>Emergency Immigrant has formula and competitive pieces.</t>
  </si>
  <si>
    <t>Emergency Immigrant</t>
  </si>
  <si>
    <t>EI grants are posted to iGrants separately.</t>
  </si>
  <si>
    <t>Net to Districts</t>
  </si>
  <si>
    <t>The deadline for applying for the formula EI is July 1.</t>
  </si>
  <si>
    <t>The 15% is for districts that have experienced a significant increase in immigrant children 3114(d) (1).</t>
  </si>
  <si>
    <t>It is a "not to exceed" percent; presumably the state does not have to allocate all of the 15%.</t>
  </si>
  <si>
    <t>Therefore, a part of the 15% may also be reallocated to all districts.</t>
  </si>
  <si>
    <t>Enrollment:</t>
  </si>
  <si>
    <t>Native American students are tested, must be failing - under 35% on WASL or other assessments.</t>
  </si>
  <si>
    <t>Districts report Native American &amp; students self-identify their ethnicity, then are tested. (Helen Provides Count)</t>
  </si>
  <si>
    <t>Bilingual count from Steve plus Native American count from districts = total we allocate on</t>
  </si>
  <si>
    <t>Bilingual department gives us the Emergency Immigrant Competitive and Formula amounts</t>
  </si>
  <si>
    <t>Signature</t>
  </si>
  <si>
    <t>Date</t>
  </si>
  <si>
    <t>Allocations Complete - Daniel Lunghofer</t>
  </si>
  <si>
    <t>Preliminary</t>
  </si>
  <si>
    <t>Program Review - Helen Malagon</t>
  </si>
  <si>
    <t>Budgetary Assumptions - Quynh Vu</t>
  </si>
  <si>
    <t>DataSets:</t>
  </si>
  <si>
    <t>Number of LEP child within the districts</t>
  </si>
  <si>
    <t>From Bilingual apportionment data</t>
  </si>
  <si>
    <t>Native american students are also added. See above.</t>
  </si>
  <si>
    <t>Allocation Amount - Step 1</t>
  </si>
  <si>
    <t>Allocation Amount - Step 2</t>
  </si>
  <si>
    <t>Allocation Amount - Step 3</t>
  </si>
  <si>
    <t>G7-12 Re-allocation only</t>
  </si>
  <si>
    <t>Re-Calculated</t>
  </si>
  <si>
    <t>Reallocate Emergency Immigrant</t>
  </si>
  <si>
    <t>ESD</t>
  </si>
  <si>
    <t>Total Enroll</t>
  </si>
  <si>
    <t>Basic Allocation - Based on Total Enrollment</t>
  </si>
  <si>
    <t>EI Comp</t>
  </si>
  <si>
    <t>EI Formula</t>
  </si>
  <si>
    <t>Allocation Before Any Reallocations</t>
  </si>
  <si>
    <t>Reallocate Emergency Immigrant for &gt; 15%</t>
  </si>
  <si>
    <t>Basic Allocation after EI Realloc</t>
  </si>
  <si>
    <t>Accepting funds? NR= no response</t>
  </si>
  <si>
    <t>ReAlloc $ if &lt; $10,000 &amp; not consortium or not accepting</t>
  </si>
  <si>
    <t>Enrollment for Districts Eligible for Receiving Realloc</t>
  </si>
  <si>
    <t>Basic $ Reallocated</t>
  </si>
  <si>
    <t>T III Basic After Realloc of Basic</t>
  </si>
  <si>
    <t>MOE</t>
  </si>
  <si>
    <t>MOE Reduction</t>
  </si>
  <si>
    <t>Spent at least 75% of prior year allocation</t>
  </si>
  <si>
    <t>Eligible 
(Y/N)</t>
  </si>
  <si>
    <t>Eligible District Enroll 
G7-12</t>
  </si>
  <si>
    <t>Final Allocation</t>
  </si>
  <si>
    <t>Total Basic After Realloc Prior Year</t>
  </si>
  <si>
    <t>CHANGE CY - PY</t>
  </si>
  <si>
    <t>% Change</t>
  </si>
  <si>
    <t>Source Sheet</t>
  </si>
  <si>
    <t>"Data"</t>
  </si>
  <si>
    <t>"Title III"</t>
  </si>
  <si>
    <t>00000</t>
  </si>
  <si>
    <t>STATE SUMMARY</t>
  </si>
  <si>
    <t>113</t>
  </si>
  <si>
    <t>14005</t>
  </si>
  <si>
    <t>01158</t>
  </si>
  <si>
    <t>21226</t>
  </si>
  <si>
    <t>03050</t>
  </si>
  <si>
    <t>101</t>
  </si>
  <si>
    <t>22017</t>
  </si>
  <si>
    <t>06098</t>
  </si>
  <si>
    <t>189</t>
  </si>
  <si>
    <t>29103</t>
  </si>
  <si>
    <t>09013</t>
  </si>
  <si>
    <t>31016</t>
  </si>
  <si>
    <t>12110</t>
  </si>
  <si>
    <t>123</t>
  </si>
  <si>
    <t>02420</t>
  </si>
  <si>
    <t>14097</t>
  </si>
  <si>
    <t>121</t>
  </si>
  <si>
    <t>17408</t>
  </si>
  <si>
    <t>14172</t>
  </si>
  <si>
    <t>18303</t>
  </si>
  <si>
    <t>14400</t>
  </si>
  <si>
    <t>112</t>
  </si>
  <si>
    <t>06119</t>
  </si>
  <si>
    <t>17910</t>
  </si>
  <si>
    <t>Rainier Valley Leadership Academy Charter</t>
  </si>
  <si>
    <t>17405</t>
  </si>
  <si>
    <t>17916</t>
  </si>
  <si>
    <t>37501</t>
  </si>
  <si>
    <t>19404</t>
  </si>
  <si>
    <t>01122</t>
  </si>
  <si>
    <t>21206</t>
  </si>
  <si>
    <t>27403</t>
  </si>
  <si>
    <t>21232</t>
  </si>
  <si>
    <t>105</t>
  </si>
  <si>
    <t>20203</t>
  </si>
  <si>
    <t>25101</t>
  </si>
  <si>
    <t>37503</t>
  </si>
  <si>
    <t>25116</t>
  </si>
  <si>
    <t>21234</t>
  </si>
  <si>
    <t>25155</t>
  </si>
  <si>
    <t>114</t>
  </si>
  <si>
    <t>18100</t>
  </si>
  <si>
    <t>27343</t>
  </si>
  <si>
    <t>171</t>
  </si>
  <si>
    <t>24111</t>
  </si>
  <si>
    <t>27902</t>
  </si>
  <si>
    <t>Impact Commencement Bay Elementary Charter</t>
  </si>
  <si>
    <t>09075</t>
  </si>
  <si>
    <t>28137</t>
  </si>
  <si>
    <t>16046</t>
  </si>
  <si>
    <t>28144</t>
  </si>
  <si>
    <t>29100</t>
  </si>
  <si>
    <t>28149</t>
  </si>
  <si>
    <t>06117</t>
  </si>
  <si>
    <t>29317</t>
  </si>
  <si>
    <t>05401</t>
  </si>
  <si>
    <t>36300</t>
  </si>
  <si>
    <t>27019</t>
  </si>
  <si>
    <t>04228</t>
  </si>
  <si>
    <t>NONE</t>
  </si>
  <si>
    <t>17917</t>
  </si>
  <si>
    <t>Why Not You Academy Charter</t>
  </si>
  <si>
    <t>04222</t>
  </si>
  <si>
    <t>08401</t>
  </si>
  <si>
    <t>18901</t>
  </si>
  <si>
    <t>Catalyst Bremerton Charter</t>
  </si>
  <si>
    <t>20215</t>
  </si>
  <si>
    <t>18401</t>
  </si>
  <si>
    <t>32356</t>
  </si>
  <si>
    <t>21401</t>
  </si>
  <si>
    <t>21302</t>
  </si>
  <si>
    <t>32360</t>
  </si>
  <si>
    <t>33036</t>
  </si>
  <si>
    <t>16049</t>
  </si>
  <si>
    <t>02250</t>
  </si>
  <si>
    <t>27400</t>
  </si>
  <si>
    <t>38300</t>
  </si>
  <si>
    <t>36250</t>
  </si>
  <si>
    <t>38306</t>
  </si>
  <si>
    <t>33206</t>
  </si>
  <si>
    <t>36400</t>
  </si>
  <si>
    <t>33115</t>
  </si>
  <si>
    <t>29011</t>
  </si>
  <si>
    <t>14099</t>
  </si>
  <si>
    <t>13151</t>
  </si>
  <si>
    <t>15204</t>
  </si>
  <si>
    <t>05313</t>
  </si>
  <si>
    <t>22073</t>
  </si>
  <si>
    <t>10050</t>
  </si>
  <si>
    <t>26059</t>
  </si>
  <si>
    <t>19007</t>
  </si>
  <si>
    <t>31330</t>
  </si>
  <si>
    <t>22207</t>
  </si>
  <si>
    <t>07002</t>
  </si>
  <si>
    <t>32414</t>
  </si>
  <si>
    <t>36101</t>
  </si>
  <si>
    <t>32361</t>
  </si>
  <si>
    <t>39090</t>
  </si>
  <si>
    <t>09206</t>
  </si>
  <si>
    <t>19028</t>
  </si>
  <si>
    <t>27404</t>
  </si>
  <si>
    <t>31015</t>
  </si>
  <si>
    <t>19401</t>
  </si>
  <si>
    <t>14068</t>
  </si>
  <si>
    <t>38308</t>
  </si>
  <si>
    <t>04127</t>
  </si>
  <si>
    <t>17216</t>
  </si>
  <si>
    <t>13165</t>
  </si>
  <si>
    <t>39801</t>
  </si>
  <si>
    <t>ESD 105</t>
  </si>
  <si>
    <t>06801</t>
  </si>
  <si>
    <t>ESD 112</t>
  </si>
  <si>
    <t>34801</t>
  </si>
  <si>
    <t>ESD 113</t>
  </si>
  <si>
    <t>21036</t>
  </si>
  <si>
    <t>31002</t>
  </si>
  <si>
    <t>06114</t>
  </si>
  <si>
    <t>33205</t>
  </si>
  <si>
    <t>17210</t>
  </si>
  <si>
    <t>37502</t>
  </si>
  <si>
    <t>27417</t>
  </si>
  <si>
    <t>03053</t>
  </si>
  <si>
    <t>27402</t>
  </si>
  <si>
    <t>32358</t>
  </si>
  <si>
    <t>38302</t>
  </si>
  <si>
    <t>20401</t>
  </si>
  <si>
    <t>20404</t>
  </si>
  <si>
    <t>13301</t>
  </si>
  <si>
    <t>39200</t>
  </si>
  <si>
    <t>39204</t>
  </si>
  <si>
    <t>31332</t>
  </si>
  <si>
    <t>23054</t>
  </si>
  <si>
    <t>32312</t>
  </si>
  <si>
    <t>06103</t>
  </si>
  <si>
    <t>34324</t>
  </si>
  <si>
    <t>22204</t>
  </si>
  <si>
    <t>39203</t>
  </si>
  <si>
    <t>17401</t>
  </si>
  <si>
    <t>23404</t>
  </si>
  <si>
    <t>14028</t>
  </si>
  <si>
    <t>17911</t>
  </si>
  <si>
    <t>Impact Puget Sound Elementry Charter</t>
  </si>
  <si>
    <t>10070</t>
  </si>
  <si>
    <t>31063</t>
  </si>
  <si>
    <t>17411</t>
  </si>
  <si>
    <t>11056</t>
  </si>
  <si>
    <t>08402</t>
  </si>
  <si>
    <t>10003</t>
  </si>
  <si>
    <t>08458</t>
  </si>
  <si>
    <t>03017</t>
  </si>
  <si>
    <t>17415</t>
  </si>
  <si>
    <t>33212</t>
  </si>
  <si>
    <t>03052</t>
  </si>
  <si>
    <t>19403</t>
  </si>
  <si>
    <t>20402</t>
  </si>
  <si>
    <t>29311</t>
  </si>
  <si>
    <t>06101</t>
  </si>
  <si>
    <t>38126</t>
  </si>
  <si>
    <t>04129</t>
  </si>
  <si>
    <t>31004</t>
  </si>
  <si>
    <t>17414</t>
  </si>
  <si>
    <t>31306</t>
  </si>
  <si>
    <t>38264</t>
  </si>
  <si>
    <t>32362</t>
  </si>
  <si>
    <t>08122</t>
  </si>
  <si>
    <t>33183</t>
  </si>
  <si>
    <t>32903</t>
  </si>
  <si>
    <t>20406</t>
  </si>
  <si>
    <t>37504</t>
  </si>
  <si>
    <t>39120</t>
  </si>
  <si>
    <t>09207</t>
  </si>
  <si>
    <t>04019</t>
  </si>
  <si>
    <t>23311</t>
  </si>
  <si>
    <t>33207</t>
  </si>
  <si>
    <t>31025</t>
  </si>
  <si>
    <t>14065</t>
  </si>
  <si>
    <t>32354</t>
  </si>
  <si>
    <t>32326</t>
  </si>
  <si>
    <t>17400</t>
  </si>
  <si>
    <t>37505</t>
  </si>
  <si>
    <t>24350</t>
  </si>
  <si>
    <t>30031</t>
  </si>
  <si>
    <t>31103</t>
  </si>
  <si>
    <t>14066</t>
  </si>
  <si>
    <t>21214</t>
  </si>
  <si>
    <t>13161</t>
  </si>
  <si>
    <t>39209</t>
  </si>
  <si>
    <t>37507</t>
  </si>
  <si>
    <t>30029</t>
  </si>
  <si>
    <t>29320</t>
  </si>
  <si>
    <t>31006</t>
  </si>
  <si>
    <t>39003</t>
  </si>
  <si>
    <t>21014</t>
  </si>
  <si>
    <t>24014</t>
  </si>
  <si>
    <t>26056</t>
  </si>
  <si>
    <t>32325</t>
  </si>
  <si>
    <t>37506</t>
  </si>
  <si>
    <t>14064</t>
  </si>
  <si>
    <t>11051</t>
  </si>
  <si>
    <t>18400</t>
  </si>
  <si>
    <t>23403</t>
  </si>
  <si>
    <t>25200</t>
  </si>
  <si>
    <t>34003</t>
  </si>
  <si>
    <t>33211</t>
  </si>
  <si>
    <t>17417</t>
  </si>
  <si>
    <t>15201</t>
  </si>
  <si>
    <t>38324</t>
  </si>
  <si>
    <t>22105</t>
  </si>
  <si>
    <t>24105</t>
  </si>
  <si>
    <t>34111</t>
  </si>
  <si>
    <t>24019</t>
  </si>
  <si>
    <t>21300</t>
  </si>
  <si>
    <t>33030</t>
  </si>
  <si>
    <t>32123</t>
  </si>
  <si>
    <t>10065</t>
  </si>
  <si>
    <t>24410</t>
  </si>
  <si>
    <t>27344</t>
  </si>
  <si>
    <t>01147</t>
  </si>
  <si>
    <t>09102</t>
  </si>
  <si>
    <t>38301</t>
  </si>
  <si>
    <t>11001</t>
  </si>
  <si>
    <t>24122</t>
  </si>
  <si>
    <t>21301</t>
  </si>
  <si>
    <t>27401</t>
  </si>
  <si>
    <t>04901</t>
  </si>
  <si>
    <t>23402</t>
  </si>
  <si>
    <t>05121</t>
  </si>
  <si>
    <t>16050</t>
  </si>
  <si>
    <t>36402</t>
  </si>
  <si>
    <t>32907</t>
  </si>
  <si>
    <t>03116</t>
  </si>
  <si>
    <t>38267</t>
  </si>
  <si>
    <t>38901</t>
  </si>
  <si>
    <t>Pullman Community Montessori Charter</t>
  </si>
  <si>
    <t>27003</t>
  </si>
  <si>
    <t>16020</t>
  </si>
  <si>
    <t>16048</t>
  </si>
  <si>
    <t>05402</t>
  </si>
  <si>
    <t>13144</t>
  </si>
  <si>
    <t>34307</t>
  </si>
  <si>
    <t>17908</t>
  </si>
  <si>
    <t>22009</t>
  </si>
  <si>
    <t>17403</t>
  </si>
  <si>
    <t>10309</t>
  </si>
  <si>
    <t>03400</t>
  </si>
  <si>
    <t>06122</t>
  </si>
  <si>
    <t>01160</t>
  </si>
  <si>
    <t>32416</t>
  </si>
  <si>
    <t>17407</t>
  </si>
  <si>
    <t>34401</t>
  </si>
  <si>
    <t>20403</t>
  </si>
  <si>
    <t>38320</t>
  </si>
  <si>
    <t>13160</t>
  </si>
  <si>
    <t>14104</t>
  </si>
  <si>
    <t>34974</t>
  </si>
  <si>
    <t>School of the Blind</t>
  </si>
  <si>
    <t>34975</t>
  </si>
  <si>
    <t>School of the Deaf</t>
  </si>
  <si>
    <t>17001</t>
  </si>
  <si>
    <t>29101</t>
  </si>
  <si>
    <t>39119</t>
  </si>
  <si>
    <t>26070</t>
  </si>
  <si>
    <t>05323</t>
  </si>
  <si>
    <t>28010</t>
  </si>
  <si>
    <t>23309</t>
  </si>
  <si>
    <t>17412</t>
  </si>
  <si>
    <t>30002</t>
  </si>
  <si>
    <t>17404</t>
  </si>
  <si>
    <t>31201</t>
  </si>
  <si>
    <t>17410</t>
  </si>
  <si>
    <t>13156</t>
  </si>
  <si>
    <t>25118</t>
  </si>
  <si>
    <t>18402</t>
  </si>
  <si>
    <t>15206</t>
  </si>
  <si>
    <t>23042</t>
  </si>
  <si>
    <t>32081</t>
  </si>
  <si>
    <t>32901</t>
  </si>
  <si>
    <t>22008</t>
  </si>
  <si>
    <t>38322</t>
  </si>
  <si>
    <t>31401</t>
  </si>
  <si>
    <t>11054</t>
  </si>
  <si>
    <t>07035</t>
  </si>
  <si>
    <t>04069</t>
  </si>
  <si>
    <t>27001</t>
  </si>
  <si>
    <t>38304</t>
  </si>
  <si>
    <t>30303</t>
  </si>
  <si>
    <t>31311</t>
  </si>
  <si>
    <t>17905</t>
  </si>
  <si>
    <t>27905</t>
  </si>
  <si>
    <t>17902</t>
  </si>
  <si>
    <t>33202</t>
  </si>
  <si>
    <t>27320</t>
  </si>
  <si>
    <t>39201</t>
  </si>
  <si>
    <t>27010</t>
  </si>
  <si>
    <t>14077</t>
  </si>
  <si>
    <t>17409</t>
  </si>
  <si>
    <t>38265</t>
  </si>
  <si>
    <t>34402</t>
  </si>
  <si>
    <t>19400</t>
  </si>
  <si>
    <t>21237</t>
  </si>
  <si>
    <t>24404</t>
  </si>
  <si>
    <t>39202</t>
  </si>
  <si>
    <t>08130</t>
  </si>
  <si>
    <t>20400</t>
  </si>
  <si>
    <t>17406</t>
  </si>
  <si>
    <t>34033</t>
  </si>
  <si>
    <t>39002</t>
  </si>
  <si>
    <t>27083</t>
  </si>
  <si>
    <t>33070</t>
  </si>
  <si>
    <t>06037</t>
  </si>
  <si>
    <t>17402</t>
  </si>
  <si>
    <t>35200</t>
  </si>
  <si>
    <t>13073</t>
  </si>
  <si>
    <t>36401</t>
  </si>
  <si>
    <t>36140</t>
  </si>
  <si>
    <t>39207</t>
  </si>
  <si>
    <t>13146</t>
  </si>
  <si>
    <t>06112</t>
  </si>
  <si>
    <t>01109</t>
  </si>
  <si>
    <t>09209</t>
  </si>
  <si>
    <t>33049</t>
  </si>
  <si>
    <t>04246</t>
  </si>
  <si>
    <t>32363</t>
  </si>
  <si>
    <t>39208</t>
  </si>
  <si>
    <t>37902</t>
  </si>
  <si>
    <t>Whatcom Intergenerational Charter</t>
  </si>
  <si>
    <t>21303</t>
  </si>
  <si>
    <t>27416</t>
  </si>
  <si>
    <t>20405</t>
  </si>
  <si>
    <t>22200</t>
  </si>
  <si>
    <t>25160</t>
  </si>
  <si>
    <t>36901</t>
  </si>
  <si>
    <t>Innovation/Willow Acad Charter</t>
  </si>
  <si>
    <t>13167</t>
  </si>
  <si>
    <t>14117</t>
  </si>
  <si>
    <t>20094</t>
  </si>
  <si>
    <t>08404</t>
  </si>
  <si>
    <t>39007</t>
  </si>
  <si>
    <t>34002</t>
  </si>
  <si>
    <t>39205</t>
  </si>
  <si>
    <t>State Total</t>
  </si>
  <si>
    <t>27901</t>
  </si>
  <si>
    <t>27932</t>
  </si>
  <si>
    <t>06701</t>
  </si>
  <si>
    <t>17937</t>
  </si>
  <si>
    <t>37903</t>
  </si>
  <si>
    <t>17903</t>
  </si>
  <si>
    <t>05903</t>
  </si>
  <si>
    <t>17941</t>
  </si>
  <si>
    <t>18902</t>
  </si>
  <si>
    <t>34901</t>
  </si>
  <si>
    <t>39901</t>
  </si>
  <si>
    <t>&lt;- Selet from the dropdown</t>
  </si>
  <si>
    <t>2022-23 F</t>
  </si>
  <si>
    <t>Enrollment</t>
  </si>
  <si>
    <t>Basic Funding</t>
  </si>
  <si>
    <t>Emerg Immigrant - Competitve</t>
  </si>
  <si>
    <t>Emerg Immigrant - Formula</t>
  </si>
  <si>
    <t>Reallocation from Non-Participants</t>
  </si>
  <si>
    <t>Title III Allocation</t>
  </si>
  <si>
    <t>Change from Prior Year</t>
  </si>
  <si>
    <t>Percent Change</t>
  </si>
  <si>
    <t>District Name</t>
  </si>
  <si>
    <t>17919</t>
  </si>
  <si>
    <t>IMPACT RENTON CHARTER SCHOOL</t>
  </si>
  <si>
    <t>ROOTED CHARTER SCHOOL</t>
  </si>
  <si>
    <t>Current Enrollment</t>
  </si>
  <si>
    <t>projected expansion</t>
  </si>
  <si>
    <t>% ELL</t>
  </si>
  <si>
    <t>ELL increase</t>
  </si>
  <si>
    <t>Current ELL %</t>
  </si>
  <si>
    <t>2023-24 F</t>
  </si>
  <si>
    <t>06901</t>
  </si>
  <si>
    <t>Bates TC</t>
  </si>
  <si>
    <t>27931</t>
  </si>
  <si>
    <t>Estimated Enrollment</t>
  </si>
  <si>
    <t>2024-2025 P</t>
  </si>
  <si>
    <t/>
  </si>
  <si>
    <t>2024-2025 F</t>
  </si>
  <si>
    <t>Impact Black River Charter</t>
  </si>
  <si>
    <t>Impact Com Bay Charter</t>
  </si>
  <si>
    <t>Innovation Spokane Charter</t>
  </si>
  <si>
    <t>Paschal Sherman Tribal</t>
  </si>
  <si>
    <t>Rainier Valley Charter</t>
  </si>
  <si>
    <t>Rooted Schools Charter</t>
  </si>
  <si>
    <t>24915</t>
  </si>
  <si>
    <t>"Enrollment 25-26"</t>
  </si>
  <si>
    <t>Feeds to Allocation 2025-26</t>
  </si>
  <si>
    <t>Title III Consortia 2025-26</t>
  </si>
  <si>
    <t>2025-2026 revised F</t>
  </si>
  <si>
    <t>Feeds to Allocation 2026-27</t>
  </si>
  <si>
    <t>"Enrollment 26-27"</t>
  </si>
  <si>
    <t>2025-26 F</t>
  </si>
  <si>
    <t>2026-27 Title III A Preliminary Allocation</t>
  </si>
  <si>
    <t>2026-2027 Final</t>
  </si>
  <si>
    <t>Title III Consortia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</si>
</sst>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u val="singleAccounting"/>
      <sz val="10"/>
      <name val="Arial"/>
      <family val="2"/>
    </font>
    <font>
      <b/>
      <sz val="10"/>
      <color indexed="62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8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10"/>
      <name val="Tahoma"/>
      <family val="2"/>
    </font>
    <font>
      <sz val="12"/>
      <name val="Times New Roman"/>
      <family val="1"/>
    </font>
    <font>
      <sz val="10"/>
      <color indexed="18"/>
      <name val="Arial"/>
      <family val="2"/>
    </font>
    <font>
      <sz val="12"/>
      <color indexed="18"/>
      <name val="Monotype Corsiva"/>
      <family val="4"/>
    </font>
    <font>
      <sz val="10"/>
      <color indexed="17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  <font>
      <b/>
      <i/>
      <sz val="8"/>
      <name val="Comic Sans MS"/>
      <family val="4"/>
    </font>
    <font>
      <b/>
      <i/>
      <sz val="9"/>
      <name val="Comic Sans MS"/>
      <family val="4"/>
    </font>
    <font>
      <b/>
      <i/>
      <sz val="9"/>
      <color theme="1"/>
      <name val="Comic Sans MS"/>
      <family val="4"/>
    </font>
    <font>
      <b/>
      <i/>
      <sz val="10"/>
      <name val="Comic Sans MS"/>
      <family val="4"/>
    </font>
    <font>
      <sz val="7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  <font>
      <sz val="10"/>
      <color rgb="FFFFFFFF"/>
      <name val="Arial"/>
      <family val="2"/>
    </font>
    <font>
      <sz val="10"/>
      <name val="Arial"/>
    </font>
    <font>
      <sz val="11"/>
      <color indexed="8"/>
      <name val="Calibri"/>
      <family val="2"/>
      <scheme val="minor"/>
    </font>
    <font>
      <sz val="10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4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207">
    <xf numFmtId="0" fontId="0" fillId="0" borderId="0" xfId="0"/>
    <xf numFmtId="0" fontId="0" fillId="0" borderId="0" xfId="0" applyAlignment="1">
      <alignment horizontal="left"/>
    </xf>
    <xf numFmtId="43" fontId="0" fillId="0" borderId="0" xfId="0" applyNumberFormat="1"/>
    <xf numFmtId="14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/>
    </xf>
    <xf numFmtId="0" fontId="5" fillId="5" borderId="0" xfId="0" applyFont="1" applyFill="1"/>
    <xf numFmtId="0" fontId="0" fillId="6" borderId="0" xfId="0" applyFill="1"/>
    <xf numFmtId="43" fontId="0" fillId="0" borderId="0" xfId="1" applyFont="1"/>
    <xf numFmtId="0" fontId="7" fillId="0" borderId="0" xfId="0" applyFont="1" applyAlignment="1">
      <alignment vertical="center" wrapText="1"/>
    </xf>
    <xf numFmtId="0" fontId="8" fillId="7" borderId="1" xfId="0" applyFont="1" applyFill="1" applyBorder="1"/>
    <xf numFmtId="0" fontId="8" fillId="7" borderId="2" xfId="0" applyFont="1" applyFill="1" applyBorder="1" applyAlignment="1">
      <alignment horizontal="left"/>
    </xf>
    <xf numFmtId="0" fontId="8" fillId="7" borderId="2" xfId="0" applyFont="1" applyFill="1" applyBorder="1"/>
    <xf numFmtId="0" fontId="8" fillId="6" borderId="0" xfId="0" applyFont="1" applyFill="1"/>
    <xf numFmtId="0" fontId="6" fillId="0" borderId="0" xfId="0" applyFont="1"/>
    <xf numFmtId="0" fontId="0" fillId="8" borderId="0" xfId="0" applyFill="1"/>
    <xf numFmtId="43" fontId="9" fillId="9" borderId="0" xfId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164" fontId="10" fillId="6" borderId="0" xfId="0" applyNumberFormat="1" applyFont="1" applyFill="1" applyAlignment="1">
      <alignment horizontal="center" wrapText="1"/>
    </xf>
    <xf numFmtId="0" fontId="6" fillId="0" borderId="0" xfId="0" applyFont="1" applyAlignment="1">
      <alignment wrapText="1"/>
    </xf>
    <xf numFmtId="43" fontId="0" fillId="0" borderId="0" xfId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5" fillId="6" borderId="0" xfId="0" applyFont="1" applyFill="1" applyAlignment="1">
      <alignment horizontal="center"/>
    </xf>
    <xf numFmtId="0" fontId="6" fillId="9" borderId="0" xfId="0" applyFont="1" applyFill="1" applyAlignment="1">
      <alignment wrapText="1"/>
    </xf>
    <xf numFmtId="43" fontId="6" fillId="6" borderId="0" xfId="1" applyFont="1" applyFill="1" applyAlignment="1">
      <alignment horizont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43" fontId="5" fillId="10" borderId="0" xfId="1" applyFont="1" applyFill="1" applyAlignment="1">
      <alignment horizontal="center"/>
    </xf>
    <xf numFmtId="0" fontId="12" fillId="0" borderId="0" xfId="0" quotePrefix="1" applyFont="1" applyAlignment="1">
      <alignment horizontal="left"/>
    </xf>
    <xf numFmtId="0" fontId="13" fillId="0" borderId="0" xfId="0" applyFont="1" applyAlignment="1">
      <alignment horizontal="left"/>
    </xf>
    <xf numFmtId="0" fontId="5" fillId="11" borderId="0" xfId="0" applyFont="1" applyFill="1" applyAlignment="1">
      <alignment horizontal="center"/>
    </xf>
    <xf numFmtId="0" fontId="13" fillId="0" borderId="0" xfId="0" quotePrefix="1" applyFont="1" applyAlignment="1">
      <alignment horizontal="left"/>
    </xf>
    <xf numFmtId="0" fontId="11" fillId="0" borderId="0" xfId="0" applyFont="1" applyAlignment="1">
      <alignment horizontal="right"/>
    </xf>
    <xf numFmtId="0" fontId="16" fillId="12" borderId="0" xfId="0" applyFont="1" applyFill="1"/>
    <xf numFmtId="0" fontId="0" fillId="0" borderId="4" xfId="0" applyBorder="1"/>
    <xf numFmtId="0" fontId="5" fillId="11" borderId="0" xfId="0" applyFont="1" applyFill="1"/>
    <xf numFmtId="0" fontId="0" fillId="11" borderId="0" xfId="0" applyFill="1"/>
    <xf numFmtId="0" fontId="6" fillId="0" borderId="4" xfId="0" applyFont="1" applyBorder="1"/>
    <xf numFmtId="44" fontId="0" fillId="0" borderId="0" xfId="0" applyNumberFormat="1"/>
    <xf numFmtId="0" fontId="17" fillId="0" borderId="4" xfId="0" applyFont="1" applyBorder="1"/>
    <xf numFmtId="0" fontId="18" fillId="0" borderId="0" xfId="0" applyFont="1"/>
    <xf numFmtId="0" fontId="5" fillId="0" borderId="0" xfId="0" quotePrefix="1" applyFont="1" applyAlignment="1">
      <alignment horizontal="center"/>
    </xf>
    <xf numFmtId="0" fontId="19" fillId="0" borderId="4" xfId="0" applyFont="1" applyBorder="1"/>
    <xf numFmtId="44" fontId="5" fillId="7" borderId="0" xfId="2" applyFont="1" applyFill="1" applyBorder="1"/>
    <xf numFmtId="9" fontId="6" fillId="7" borderId="0" xfId="3" applyFont="1" applyFill="1" applyBorder="1"/>
    <xf numFmtId="43" fontId="6" fillId="0" borderId="0" xfId="1" applyFont="1" applyBorder="1" applyAlignment="1">
      <alignment horizontal="left" indent="1"/>
    </xf>
    <xf numFmtId="43" fontId="6" fillId="0" borderId="0" xfId="1" applyFont="1" applyBorder="1"/>
    <xf numFmtId="38" fontId="6" fillId="0" borderId="0" xfId="1" applyNumberFormat="1" applyFont="1" applyBorder="1" applyAlignment="1">
      <alignment horizontal="right" indent="2"/>
    </xf>
    <xf numFmtId="0" fontId="19" fillId="0" borderId="0" xfId="0" applyFont="1"/>
    <xf numFmtId="43" fontId="5" fillId="0" borderId="0" xfId="1" applyFont="1" applyBorder="1"/>
    <xf numFmtId="9" fontId="6" fillId="0" borderId="0" xfId="3" applyFont="1" applyFill="1" applyBorder="1"/>
    <xf numFmtId="164" fontId="0" fillId="0" borderId="0" xfId="1" applyNumberFormat="1" applyFont="1"/>
    <xf numFmtId="10" fontId="6" fillId="7" borderId="0" xfId="3" applyNumberFormat="1" applyFont="1" applyFill="1"/>
    <xf numFmtId="43" fontId="0" fillId="0" borderId="0" xfId="1" applyFont="1" applyFill="1" applyBorder="1"/>
    <xf numFmtId="10" fontId="5" fillId="0" borderId="0" xfId="3" applyNumberFormat="1" applyFont="1" applyFill="1"/>
    <xf numFmtId="44" fontId="5" fillId="0" borderId="2" xfId="1" applyNumberFormat="1" applyFont="1" applyBorder="1"/>
    <xf numFmtId="44" fontId="0" fillId="0" borderId="2" xfId="1" applyNumberFormat="1" applyFont="1" applyBorder="1"/>
    <xf numFmtId="40" fontId="5" fillId="0" borderId="0" xfId="0" applyNumberFormat="1" applyFont="1"/>
    <xf numFmtId="44" fontId="20" fillId="0" borderId="0" xfId="2" applyFont="1" applyFill="1" applyBorder="1"/>
    <xf numFmtId="43" fontId="20" fillId="0" borderId="0" xfId="1" applyFont="1" applyFill="1" applyBorder="1"/>
    <xf numFmtId="44" fontId="0" fillId="0" borderId="0" xfId="1" applyNumberFormat="1" applyFont="1" applyBorder="1"/>
    <xf numFmtId="44" fontId="0" fillId="0" borderId="0" xfId="2" applyFont="1" applyBorder="1"/>
    <xf numFmtId="44" fontId="5" fillId="0" borderId="5" xfId="2" applyFont="1" applyBorder="1"/>
    <xf numFmtId="40" fontId="0" fillId="0" borderId="0" xfId="0" applyNumberFormat="1"/>
    <xf numFmtId="0" fontId="5" fillId="12" borderId="1" xfId="0" applyFont="1" applyFill="1" applyBorder="1"/>
    <xf numFmtId="0" fontId="0" fillId="12" borderId="2" xfId="0" applyFill="1" applyBorder="1"/>
    <xf numFmtId="0" fontId="5" fillId="0" borderId="4" xfId="0" applyFont="1" applyBorder="1"/>
    <xf numFmtId="0" fontId="21" fillId="0" borderId="0" xfId="0" applyFont="1" applyAlignment="1">
      <alignment horizontal="left" wrapText="1"/>
    </xf>
    <xf numFmtId="165" fontId="0" fillId="0" borderId="0" xfId="2" applyNumberFormat="1" applyFont="1"/>
    <xf numFmtId="6" fontId="0" fillId="0" borderId="0" xfId="0" applyNumberFormat="1"/>
    <xf numFmtId="165" fontId="0" fillId="0" borderId="0" xfId="0" applyNumberFormat="1"/>
    <xf numFmtId="0" fontId="10" fillId="0" borderId="0" xfId="0" applyFont="1"/>
    <xf numFmtId="165" fontId="10" fillId="0" borderId="0" xfId="0" applyNumberFormat="1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6" fillId="0" borderId="6" xfId="0" applyFont="1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8" xfId="0" applyBorder="1"/>
    <xf numFmtId="0" fontId="0" fillId="0" borderId="9" xfId="0" applyBorder="1"/>
    <xf numFmtId="0" fontId="25" fillId="0" borderId="0" xfId="0" applyFont="1"/>
    <xf numFmtId="0" fontId="26" fillId="0" borderId="0" xfId="0" applyFont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2" fillId="2" borderId="0" xfId="4" applyBorder="1"/>
    <xf numFmtId="38" fontId="0" fillId="0" borderId="0" xfId="0" applyNumberFormat="1"/>
    <xf numFmtId="43" fontId="30" fillId="0" borderId="0" xfId="1" applyFont="1" applyFill="1" applyBorder="1" applyAlignment="1">
      <alignment horizontal="center"/>
    </xf>
    <xf numFmtId="43" fontId="29" fillId="0" borderId="0" xfId="1" applyFont="1" applyFill="1" applyBorder="1" applyAlignment="1">
      <alignment horizontal="center"/>
    </xf>
    <xf numFmtId="43" fontId="3" fillId="4" borderId="0" xfId="6" applyNumberFormat="1" applyBorder="1" applyAlignment="1">
      <alignment horizontal="center"/>
    </xf>
    <xf numFmtId="43" fontId="29" fillId="0" borderId="0" xfId="1" applyFont="1" applyFill="1" applyBorder="1" applyAlignment="1"/>
    <xf numFmtId="43" fontId="20" fillId="0" borderId="0" xfId="1" applyFont="1" applyFill="1" applyBorder="1" applyAlignment="1"/>
    <xf numFmtId="43" fontId="6" fillId="0" borderId="0" xfId="1" applyFont="1" applyFill="1" applyBorder="1"/>
    <xf numFmtId="164" fontId="1" fillId="0" borderId="0" xfId="1" applyNumberFormat="1" applyFill="1" applyBorder="1"/>
    <xf numFmtId="43" fontId="29" fillId="14" borderId="4" xfId="1" applyFont="1" applyFill="1" applyBorder="1"/>
    <xf numFmtId="43" fontId="29" fillId="14" borderId="16" xfId="1" applyFont="1" applyFill="1" applyBorder="1"/>
    <xf numFmtId="43" fontId="29" fillId="7" borderId="0" xfId="1" applyFont="1" applyFill="1" applyBorder="1"/>
    <xf numFmtId="43" fontId="31" fillId="0" borderId="0" xfId="1" applyFont="1" applyFill="1" applyBorder="1"/>
    <xf numFmtId="43" fontId="0" fillId="0" borderId="0" xfId="0" quotePrefix="1" applyNumberFormat="1"/>
    <xf numFmtId="0" fontId="32" fillId="0" borderId="6" xfId="0" applyFont="1" applyBorder="1" applyAlignment="1">
      <alignment horizontal="center" vertical="center"/>
    </xf>
    <xf numFmtId="43" fontId="29" fillId="0" borderId="6" xfId="1" applyFont="1" applyFill="1" applyBorder="1" applyAlignment="1">
      <alignment horizontal="center" vertical="center"/>
    </xf>
    <xf numFmtId="43" fontId="29" fillId="0" borderId="6" xfId="1" applyFont="1" applyFill="1" applyBorder="1" applyAlignment="1">
      <alignment horizontal="center" vertical="center" wrapText="1"/>
    </xf>
    <xf numFmtId="43" fontId="30" fillId="0" borderId="6" xfId="1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43" fontId="5" fillId="0" borderId="6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64" fontId="5" fillId="0" borderId="6" xfId="1" applyNumberFormat="1" applyFont="1" applyFill="1" applyBorder="1" applyAlignment="1">
      <alignment horizontal="center" vertical="center"/>
    </xf>
    <xf numFmtId="0" fontId="33" fillId="0" borderId="6" xfId="0" applyFont="1" applyBorder="1" applyAlignment="1">
      <alignment horizontal="left"/>
    </xf>
    <xf numFmtId="0" fontId="33" fillId="0" borderId="6" xfId="0" applyFont="1" applyBorder="1"/>
    <xf numFmtId="43" fontId="34" fillId="0" borderId="6" xfId="1" applyFont="1" applyFill="1" applyBorder="1" applyAlignment="1">
      <alignment horizontal="center"/>
    </xf>
    <xf numFmtId="43" fontId="34" fillId="0" borderId="6" xfId="1" applyFont="1" applyFill="1" applyBorder="1" applyAlignment="1">
      <alignment horizontal="center" wrapText="1"/>
    </xf>
    <xf numFmtId="43" fontId="35" fillId="0" borderId="6" xfId="1" applyFont="1" applyFill="1" applyBorder="1" applyAlignment="1">
      <alignment horizontal="center" wrapText="1"/>
    </xf>
    <xf numFmtId="0" fontId="36" fillId="0" borderId="6" xfId="0" applyFont="1" applyBorder="1"/>
    <xf numFmtId="43" fontId="36" fillId="0" borderId="6" xfId="1" applyFont="1" applyFill="1" applyBorder="1" applyAlignment="1">
      <alignment horizontal="center" wrapText="1"/>
    </xf>
    <xf numFmtId="164" fontId="36" fillId="0" borderId="6" xfId="1" applyNumberFormat="1" applyFont="1" applyFill="1" applyBorder="1"/>
    <xf numFmtId="38" fontId="36" fillId="0" borderId="6" xfId="0" applyNumberFormat="1" applyFont="1" applyBorder="1"/>
    <xf numFmtId="0" fontId="8" fillId="0" borderId="0" xfId="0" applyFont="1" applyAlignment="1">
      <alignment horizontal="left"/>
    </xf>
    <xf numFmtId="0" fontId="8" fillId="0" borderId="0" xfId="0" applyFont="1"/>
    <xf numFmtId="43" fontId="20" fillId="0" borderId="0" xfId="1" applyFont="1" applyFill="1" applyBorder="1" applyAlignment="1">
      <alignment horizontal="center"/>
    </xf>
    <xf numFmtId="164" fontId="29" fillId="0" borderId="0" xfId="1" applyNumberFormat="1" applyFont="1" applyFill="1" applyBorder="1"/>
    <xf numFmtId="43" fontId="37" fillId="0" borderId="0" xfId="1" applyFont="1" applyFill="1" applyBorder="1"/>
    <xf numFmtId="43" fontId="29" fillId="0" borderId="0" xfId="1" applyFont="1" applyFill="1" applyBorder="1"/>
    <xf numFmtId="43" fontId="20" fillId="0" borderId="0" xfId="1" applyFont="1" applyFill="1" applyBorder="1" applyAlignment="1">
      <alignment wrapText="1"/>
    </xf>
    <xf numFmtId="164" fontId="5" fillId="0" borderId="0" xfId="1" applyNumberFormat="1" applyFont="1" applyFill="1" applyBorder="1"/>
    <xf numFmtId="164" fontId="20" fillId="0" borderId="0" xfId="1" applyNumberFormat="1" applyFont="1" applyFill="1" applyBorder="1"/>
    <xf numFmtId="10" fontId="6" fillId="0" borderId="0" xfId="3" applyNumberFormat="1" applyFont="1" applyFill="1" applyBorder="1"/>
    <xf numFmtId="0" fontId="38" fillId="0" borderId="0" xfId="0" applyFont="1" applyAlignment="1">
      <alignment horizontal="left"/>
    </xf>
    <xf numFmtId="0" fontId="38" fillId="0" borderId="0" xfId="0" quotePrefix="1" applyFont="1"/>
    <xf numFmtId="0" fontId="38" fillId="0" borderId="0" xfId="0" applyFont="1"/>
    <xf numFmtId="43" fontId="38" fillId="0" borderId="0" xfId="1" applyFont="1" applyFill="1" applyBorder="1" applyAlignment="1">
      <alignment horizontal="center"/>
    </xf>
    <xf numFmtId="43" fontId="39" fillId="0" borderId="0" xfId="1" applyFont="1" applyFill="1" applyBorder="1" applyAlignment="1">
      <alignment horizontal="center" wrapText="1"/>
    </xf>
    <xf numFmtId="43" fontId="39" fillId="0" borderId="0" xfId="1" applyFont="1" applyFill="1" applyBorder="1"/>
    <xf numFmtId="0" fontId="39" fillId="0" borderId="0" xfId="0" applyFont="1"/>
    <xf numFmtId="164" fontId="39" fillId="0" borderId="0" xfId="1" applyNumberFormat="1" applyFont="1" applyFill="1" applyBorder="1"/>
    <xf numFmtId="38" fontId="39" fillId="0" borderId="0" xfId="0" applyNumberFormat="1" applyFont="1"/>
    <xf numFmtId="0" fontId="0" fillId="0" borderId="0" xfId="0" quotePrefix="1"/>
    <xf numFmtId="43" fontId="40" fillId="0" borderId="0" xfId="1" applyFont="1" applyFill="1" applyBorder="1"/>
    <xf numFmtId="41" fontId="40" fillId="0" borderId="0" xfId="1" applyNumberFormat="1" applyFont="1" applyFill="1" applyBorder="1"/>
    <xf numFmtId="164" fontId="20" fillId="0" borderId="0" xfId="0" applyNumberFormat="1" applyFont="1"/>
    <xf numFmtId="164" fontId="20" fillId="0" borderId="0" xfId="1" applyNumberFormat="1" applyFont="1" applyFill="1" applyBorder="1" applyAlignment="1">
      <alignment horizontal="center"/>
    </xf>
    <xf numFmtId="43" fontId="20" fillId="0" borderId="0" xfId="0" quotePrefix="1" applyNumberFormat="1" applyFont="1"/>
    <xf numFmtId="43" fontId="20" fillId="0" borderId="0" xfId="1" applyFont="1"/>
    <xf numFmtId="43" fontId="31" fillId="0" borderId="0" xfId="1" applyFont="1" applyFill="1" applyBorder="1" applyAlignment="1">
      <alignment horizontal="center"/>
    </xf>
    <xf numFmtId="164" fontId="41" fillId="0" borderId="0" xfId="1" applyNumberFormat="1" applyFont="1" applyFill="1" applyBorder="1" applyAlignment="1">
      <alignment horizontal="right"/>
    </xf>
    <xf numFmtId="165" fontId="6" fillId="0" borderId="0" xfId="2" applyNumberFormat="1" applyFont="1" applyFill="1" applyBorder="1" applyAlignment="1">
      <alignment horizontal="center" vertical="top" wrapText="1"/>
    </xf>
    <xf numFmtId="10" fontId="0" fillId="0" borderId="0" xfId="3" applyNumberFormat="1" applyFont="1" applyFill="1" applyBorder="1"/>
    <xf numFmtId="49" fontId="0" fillId="0" borderId="0" xfId="0" applyNumberFormat="1"/>
    <xf numFmtId="3" fontId="0" fillId="0" borderId="0" xfId="0" applyNumberFormat="1"/>
    <xf numFmtId="0" fontId="42" fillId="0" borderId="0" xfId="0" applyFont="1"/>
    <xf numFmtId="49" fontId="42" fillId="0" borderId="0" xfId="0" applyNumberFormat="1" applyFont="1"/>
    <xf numFmtId="3" fontId="42" fillId="0" borderId="0" xfId="0" applyNumberFormat="1" applyFont="1"/>
    <xf numFmtId="43" fontId="20" fillId="16" borderId="0" xfId="1" applyFont="1" applyFill="1" applyBorder="1"/>
    <xf numFmtId="49" fontId="0" fillId="0" borderId="0" xfId="0" quotePrefix="1" applyNumberFormat="1"/>
    <xf numFmtId="49" fontId="6" fillId="0" borderId="0" xfId="0" quotePrefix="1" applyNumberFormat="1" applyFont="1"/>
    <xf numFmtId="0" fontId="0" fillId="0" borderId="0" xfId="0" quotePrefix="1" applyAlignment="1">
      <alignment horizontal="left"/>
    </xf>
    <xf numFmtId="10" fontId="31" fillId="0" borderId="0" xfId="3" applyNumberFormat="1" applyFont="1" applyFill="1" applyBorder="1"/>
    <xf numFmtId="0" fontId="5" fillId="9" borderId="0" xfId="0" applyFont="1" applyFill="1"/>
    <xf numFmtId="0" fontId="7" fillId="17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6" fillId="18" borderId="0" xfId="0" applyFont="1" applyFill="1"/>
    <xf numFmtId="10" fontId="0" fillId="0" borderId="0" xfId="3" applyNumberFormat="1" applyFont="1"/>
    <xf numFmtId="44" fontId="0" fillId="0" borderId="0" xfId="2" applyFont="1"/>
    <xf numFmtId="0" fontId="6" fillId="0" borderId="9" xfId="0" applyFont="1" applyBorder="1"/>
    <xf numFmtId="44" fontId="0" fillId="0" borderId="9" xfId="2" applyFont="1" applyBorder="1"/>
    <xf numFmtId="44" fontId="5" fillId="0" borderId="0" xfId="2" applyFont="1"/>
    <xf numFmtId="44" fontId="43" fillId="0" borderId="0" xfId="0" applyNumberFormat="1" applyFont="1"/>
    <xf numFmtId="10" fontId="43" fillId="0" borderId="0" xfId="3" applyNumberFormat="1" applyFont="1"/>
    <xf numFmtId="0" fontId="6" fillId="0" borderId="0" xfId="0" quotePrefix="1" applyFont="1"/>
    <xf numFmtId="3" fontId="6" fillId="0" borderId="0" xfId="0" applyNumberFormat="1" applyFont="1" applyAlignment="1">
      <alignment horizontal="left"/>
    </xf>
    <xf numFmtId="0" fontId="17" fillId="19" borderId="0" xfId="0" applyFont="1" applyFill="1"/>
    <xf numFmtId="2" fontId="0" fillId="6" borderId="0" xfId="0" applyNumberFormat="1" applyFill="1"/>
    <xf numFmtId="2" fontId="0" fillId="0" borderId="0" xfId="0" applyNumberFormat="1"/>
    <xf numFmtId="0" fontId="0" fillId="20" borderId="0" xfId="0" applyFill="1"/>
    <xf numFmtId="0" fontId="5" fillId="20" borderId="6" xfId="0" applyFont="1" applyFill="1" applyBorder="1" applyAlignment="1">
      <alignment horizontal="center" vertical="center"/>
    </xf>
    <xf numFmtId="0" fontId="36" fillId="20" borderId="6" xfId="0" applyFont="1" applyFill="1" applyBorder="1"/>
    <xf numFmtId="0" fontId="5" fillId="20" borderId="0" xfId="0" applyFont="1" applyFill="1"/>
    <xf numFmtId="0" fontId="39" fillId="20" borderId="0" xfId="0" applyFont="1" applyFill="1"/>
    <xf numFmtId="0" fontId="42" fillId="20" borderId="0" xfId="0" applyFont="1" applyFill="1"/>
    <xf numFmtId="164" fontId="20" fillId="20" borderId="0" xfId="1" applyNumberFormat="1" applyFont="1" applyFill="1" applyBorder="1"/>
    <xf numFmtId="43" fontId="0" fillId="0" borderId="0" xfId="14" applyFont="1"/>
    <xf numFmtId="43" fontId="9" fillId="9" borderId="0" xfId="14" applyFont="1" applyFill="1" applyAlignment="1">
      <alignment horizontal="center" vertical="center" wrapText="1"/>
    </xf>
    <xf numFmtId="43" fontId="0" fillId="0" borderId="0" xfId="14" applyFont="1" applyAlignment="1">
      <alignment horizontal="center" wrapText="1"/>
    </xf>
    <xf numFmtId="43" fontId="6" fillId="6" borderId="0" xfId="14" applyFont="1" applyFill="1" applyAlignment="1">
      <alignment horizontal="center" wrapText="1"/>
    </xf>
    <xf numFmtId="43" fontId="6" fillId="0" borderId="0" xfId="14" applyFont="1" applyFill="1" applyAlignment="1">
      <alignment horizontal="center"/>
    </xf>
    <xf numFmtId="0" fontId="41" fillId="0" borderId="17" xfId="8" applyFont="1" applyBorder="1" applyAlignment="1">
      <alignment horizontal="center" vertical="center"/>
    </xf>
    <xf numFmtId="0" fontId="45" fillId="0" borderId="0" xfId="0" quotePrefix="1" applyFont="1"/>
    <xf numFmtId="0" fontId="12" fillId="0" borderId="0" xfId="0" quotePrefix="1" applyFont="1"/>
    <xf numFmtId="43" fontId="46" fillId="0" borderId="0" xfId="0" applyNumberFormat="1" applyFont="1"/>
    <xf numFmtId="43" fontId="29" fillId="13" borderId="1" xfId="1" applyFont="1" applyFill="1" applyBorder="1" applyAlignment="1">
      <alignment horizontal="center"/>
    </xf>
    <xf numFmtId="43" fontId="29" fillId="13" borderId="2" xfId="1" applyFont="1" applyFill="1" applyBorder="1" applyAlignment="1">
      <alignment horizontal="center"/>
    </xf>
    <xf numFmtId="43" fontId="29" fillId="14" borderId="14" xfId="1" applyFont="1" applyFill="1" applyBorder="1" applyAlignment="1">
      <alignment horizontal="center"/>
    </xf>
    <xf numFmtId="43" fontId="29" fillId="14" borderId="15" xfId="1" applyFont="1" applyFill="1" applyBorder="1" applyAlignment="1">
      <alignment horizontal="center"/>
    </xf>
    <xf numFmtId="43" fontId="29" fillId="5" borderId="4" xfId="1" applyFont="1" applyFill="1" applyBorder="1" applyAlignment="1">
      <alignment horizontal="center"/>
    </xf>
    <xf numFmtId="43" fontId="29" fillId="5" borderId="0" xfId="1" applyFont="1" applyFill="1" applyBorder="1" applyAlignment="1">
      <alignment horizontal="center"/>
    </xf>
    <xf numFmtId="43" fontId="3" fillId="3" borderId="0" xfId="5" applyNumberFormat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16" fillId="12" borderId="4" xfId="0" applyFont="1" applyFill="1" applyBorder="1" applyAlignment="1">
      <alignment horizontal="center"/>
    </xf>
    <xf numFmtId="0" fontId="16" fillId="12" borderId="0" xfId="0" applyFont="1" applyFill="1" applyAlignment="1">
      <alignment horizontal="center"/>
    </xf>
    <xf numFmtId="0" fontId="0" fillId="0" borderId="7" xfId="0" applyBorder="1" applyAlignment="1">
      <alignment horizontal="center"/>
    </xf>
  </cellXfs>
  <cellStyles count="15">
    <cellStyle name="Accent1" xfId="5" builtinId="29"/>
    <cellStyle name="Accent3" xfId="6" builtinId="37"/>
    <cellStyle name="Comma" xfId="1" builtinId="3"/>
    <cellStyle name="Comma 2" xfId="14" xr:uid="{79B65C6B-8F16-4670-9B6D-17E34A63F85E}"/>
    <cellStyle name="Currency" xfId="2" builtinId="4"/>
    <cellStyle name="Good" xfId="4" builtinId="26"/>
    <cellStyle name="Normal" xfId="0" builtinId="0"/>
    <cellStyle name="Normal 2" xfId="8" xr:uid="{2611C2BE-CF0C-435C-B5BF-BE5CD8259449}"/>
    <cellStyle name="Normal 2 2" xfId="11" xr:uid="{2C198C4B-96A6-4FBA-B23B-EDD7A869072C}"/>
    <cellStyle name="Normal 3" xfId="9" xr:uid="{32133840-7415-4768-8165-9A6842F9EECA}"/>
    <cellStyle name="Normal 3 2" xfId="12" xr:uid="{54804E9C-8433-45EC-91AF-D852CDE03E2D}"/>
    <cellStyle name="Normal 4" xfId="10" xr:uid="{93528D6D-4F68-4DC6-A1A2-3BE524055EDF}"/>
    <cellStyle name="Normal 4 2" xfId="13" xr:uid="{AAFD613F-2793-4F2B-8D0D-EC58CC9D777A}"/>
    <cellStyle name="Normal 5" xfId="7" xr:uid="{F3892290-0F53-49D4-93F6-AA8B9D652989}"/>
    <cellStyle name="Percent" xfId="3" builtinId="5"/>
  </cellStyles>
  <dxfs count="27">
    <dxf>
      <font>
        <b/>
        <i val="0"/>
        <color theme="2"/>
      </font>
      <fill>
        <gradientFill degree="45">
          <stop position="0">
            <color rgb="FFFFDEAD"/>
          </stop>
          <stop position="0.5">
            <color rgb="FF191970"/>
          </stop>
          <stop position="1">
            <color rgb="FFFFDEAD"/>
          </stop>
        </gradientFill>
      </fill>
    </dxf>
    <dxf>
      <font>
        <b/>
        <i val="0"/>
        <color theme="2"/>
      </font>
      <fill>
        <gradientFill degree="45">
          <stop position="0">
            <color rgb="FFFFDEAD"/>
          </stop>
          <stop position="0.5">
            <color rgb="FF191970"/>
          </stop>
          <stop position="1">
            <color rgb="FFFFDEAD"/>
          </stop>
        </gradientFill>
      </fill>
    </dxf>
    <dxf>
      <font>
        <b/>
        <i val="0"/>
        <color theme="2"/>
      </font>
      <fill>
        <gradientFill degree="45">
          <stop position="0">
            <color rgb="FFFFDEAD"/>
          </stop>
          <stop position="0.5">
            <color rgb="FF191970"/>
          </stop>
          <stop position="1">
            <color rgb="FFFFDEAD"/>
          </stop>
        </gradientFill>
      </fill>
    </dxf>
    <dxf>
      <font>
        <b/>
        <i val="0"/>
        <color theme="2"/>
      </font>
      <fill>
        <gradientFill degree="45">
          <stop position="0">
            <color rgb="FFFFDEAD"/>
          </stop>
          <stop position="0.5">
            <color rgb="FF191970"/>
          </stop>
          <stop position="1">
            <color rgb="FFFFDEAD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2"/>
      </font>
      <fill>
        <gradientFill degree="45">
          <stop position="0">
            <color rgb="FFFFDEAD"/>
          </stop>
          <stop position="0.5">
            <color rgb="FF191970"/>
          </stop>
          <stop position="1">
            <color rgb="FFFFDEAD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2"/>
      </font>
      <fill>
        <gradientFill degree="45">
          <stop position="0">
            <color rgb="FFFFDEAD"/>
          </stop>
          <stop position="0.5">
            <color rgb="FF191970"/>
          </stop>
          <stop position="1">
            <color rgb="FFFFDEAD"/>
          </stop>
        </gradientFill>
      </fill>
    </dxf>
    <dxf>
      <font>
        <b/>
        <i val="0"/>
        <color theme="2"/>
      </font>
      <fill>
        <gradientFill degree="45">
          <stop position="0">
            <color rgb="FFFFDEAD"/>
          </stop>
          <stop position="0.5">
            <color rgb="FF191970"/>
          </stop>
          <stop position="1">
            <color rgb="FFFFDEAD"/>
          </stop>
        </gradientFill>
      </fill>
    </dxf>
    <dxf>
      <font>
        <b/>
        <i val="0"/>
        <color theme="5" tint="-0.499984740745262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2"/>
      </font>
      <fill>
        <gradientFill degree="45">
          <stop position="0">
            <color rgb="FFFFDEAD"/>
          </stop>
          <stop position="0.5">
            <color rgb="FF191970"/>
          </stop>
          <stop position="1">
            <color rgb="FFFFDEAD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2"/>
      </font>
      <fill>
        <gradientFill degree="45">
          <stop position="0">
            <color rgb="FFFFDEAD"/>
          </stop>
          <stop position="0.5">
            <color rgb="FF191970"/>
          </stop>
          <stop position="1">
            <color rgb="FFFFDEAD"/>
          </stop>
        </gradientFill>
      </fill>
    </dxf>
    <dxf>
      <font>
        <b/>
        <i val="0"/>
        <color theme="2"/>
      </font>
      <fill>
        <gradientFill degree="45">
          <stop position="0">
            <color rgb="FFFFDEAD"/>
          </stop>
          <stop position="0.5">
            <color rgb="FF191970"/>
          </stop>
          <stop position="1">
            <color rgb="FFFFDEAD"/>
          </stop>
        </gradientFill>
      </fill>
    </dxf>
    <dxf>
      <font>
        <b/>
        <i val="0"/>
        <color theme="5" tint="-0.499984740745262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2"/>
      </font>
      <fill>
        <gradientFill degree="45">
          <stop position="0">
            <color rgb="FFFFDEAD"/>
          </stop>
          <stop position="0.5">
            <color rgb="FF191970"/>
          </stop>
          <stop position="1">
            <color rgb="FFFFDEAD"/>
          </stop>
        </gradient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DEB3-5CB6-4A0C-9FC6-6086DE24D6B0}">
  <dimension ref="B2:N20"/>
  <sheetViews>
    <sheetView workbookViewId="0">
      <selection activeCell="C5" sqref="C5"/>
    </sheetView>
  </sheetViews>
  <sheetFormatPr defaultRowHeight="15" x14ac:dyDescent="0.25"/>
  <cols>
    <col min="2" max="2" width="30.42578125" bestFit="1" customWidth="1"/>
    <col min="3" max="3" width="18.5703125" customWidth="1"/>
    <col min="4" max="4" width="14.140625" customWidth="1"/>
    <col min="5" max="6" width="14.42578125" hidden="1" customWidth="1"/>
    <col min="7" max="9" width="12.42578125" hidden="1" customWidth="1"/>
    <col min="10" max="10" width="9.140625" hidden="1" customWidth="1"/>
    <col min="11" max="11" width="11" hidden="1" customWidth="1"/>
    <col min="12" max="12" width="10.85546875" hidden="1" customWidth="1"/>
    <col min="13" max="13" width="0" hidden="1" customWidth="1"/>
  </cols>
  <sheetData>
    <row r="2" spans="2:14" ht="15.75" x14ac:dyDescent="0.25">
      <c r="B2" s="176" t="s">
        <v>831</v>
      </c>
    </row>
    <row r="5" spans="2:14" x14ac:dyDescent="0.25">
      <c r="B5" s="18" t="str">
        <f>VLOOKUP(C5,CCDDD!C:D,2,0)</f>
        <v>14005</v>
      </c>
      <c r="C5" s="163" t="s">
        <v>9</v>
      </c>
      <c r="D5" s="19" t="s">
        <v>790</v>
      </c>
    </row>
    <row r="7" spans="2:14" x14ac:dyDescent="0.25">
      <c r="C7" s="164" t="s">
        <v>832</v>
      </c>
      <c r="D7" s="164" t="s">
        <v>830</v>
      </c>
      <c r="E7" s="164" t="s">
        <v>333</v>
      </c>
      <c r="F7" s="164" t="s">
        <v>337</v>
      </c>
      <c r="G7" s="164" t="s">
        <v>339</v>
      </c>
      <c r="H7" s="164" t="s">
        <v>347</v>
      </c>
      <c r="I7" s="164" t="s">
        <v>348</v>
      </c>
      <c r="J7" s="164" t="s">
        <v>349</v>
      </c>
      <c r="K7" s="164" t="s">
        <v>350</v>
      </c>
      <c r="L7" s="164" t="s">
        <v>351</v>
      </c>
      <c r="M7" s="164" t="s">
        <v>352</v>
      </c>
    </row>
    <row r="8" spans="2:14" x14ac:dyDescent="0.25">
      <c r="C8" s="165"/>
      <c r="D8" s="165"/>
      <c r="E8" s="165"/>
      <c r="F8" s="165"/>
      <c r="G8" s="165"/>
      <c r="H8" s="164"/>
      <c r="I8" s="164"/>
      <c r="J8" s="164"/>
      <c r="K8" s="164"/>
      <c r="L8" s="164"/>
      <c r="M8" s="164"/>
    </row>
    <row r="9" spans="2:14" x14ac:dyDescent="0.25">
      <c r="B9" s="166" t="s">
        <v>792</v>
      </c>
      <c r="C9" s="178">
        <f>VLOOKUP($B$5,'Allocations 2026-27'!$B$8:$O$329,3,FALSE)</f>
        <v>481.83</v>
      </c>
      <c r="D9" s="178">
        <f>VLOOKUP($B$5,'Allocations 2025-26'!$B$8:$O$329,3,FALSE)</f>
        <v>503.49666666666673</v>
      </c>
      <c r="E9">
        <v>292.66999999999996</v>
      </c>
      <c r="F9">
        <v>273.14</v>
      </c>
      <c r="G9">
        <v>257</v>
      </c>
      <c r="H9">
        <v>185.22</v>
      </c>
      <c r="I9">
        <v>176</v>
      </c>
      <c r="J9">
        <v>167.38</v>
      </c>
      <c r="K9">
        <v>175.5</v>
      </c>
      <c r="L9">
        <v>160.5</v>
      </c>
      <c r="M9">
        <v>164</v>
      </c>
      <c r="N9" s="167"/>
    </row>
    <row r="10" spans="2:14" x14ac:dyDescent="0.25">
      <c r="B10" s="13"/>
      <c r="N10" s="167"/>
    </row>
    <row r="11" spans="2:14" x14ac:dyDescent="0.25">
      <c r="B11" s="166" t="s">
        <v>793</v>
      </c>
      <c r="C11" s="168">
        <f>VLOOKUP($B$5,'Allocations 2026-27'!B8:O329,4,FALSE)</f>
        <v>55756</v>
      </c>
      <c r="D11" s="168">
        <f>VLOOKUP($B$5,'Allocations 2025-26'!B8:O329,4,FALSE)</f>
        <v>58542</v>
      </c>
      <c r="E11" s="168">
        <v>34503</v>
      </c>
      <c r="F11" s="168">
        <v>33074</v>
      </c>
      <c r="G11" s="168">
        <v>31268</v>
      </c>
      <c r="H11" s="168">
        <v>31215</v>
      </c>
      <c r="I11" s="168">
        <v>30302</v>
      </c>
      <c r="J11" s="168">
        <v>29357</v>
      </c>
      <c r="K11" s="168">
        <v>32199</v>
      </c>
      <c r="L11" s="168">
        <v>26417</v>
      </c>
      <c r="M11" s="168">
        <v>24833</v>
      </c>
      <c r="N11" s="167"/>
    </row>
    <row r="12" spans="2:14" x14ac:dyDescent="0.25">
      <c r="B12" s="13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7"/>
    </row>
    <row r="13" spans="2:14" x14ac:dyDescent="0.25">
      <c r="B13" s="13" t="s">
        <v>794</v>
      </c>
      <c r="C13">
        <f>VLOOKUP($B$5,'Allocations 2026-27'!B8:O329,5,FALSE)</f>
        <v>0</v>
      </c>
      <c r="D13" s="168">
        <f>VLOOKUP($B$5,'Allocations 2025-26'!B8:O329,5,FALSE)</f>
        <v>0</v>
      </c>
      <c r="E13" s="168">
        <v>0</v>
      </c>
      <c r="F13" s="168">
        <v>0</v>
      </c>
      <c r="G13" s="168">
        <v>0</v>
      </c>
      <c r="H13" s="168">
        <v>0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7"/>
    </row>
    <row r="14" spans="2:14" x14ac:dyDescent="0.25">
      <c r="B14" s="13" t="s">
        <v>795</v>
      </c>
      <c r="C14">
        <f>VLOOKUP($B$5,'Allocations 2026-27'!B8:O329,6,FALSE)</f>
        <v>0</v>
      </c>
      <c r="D14" s="168">
        <f>VLOOKUP($B$5,'Allocations 2025-26'!B8:O329,6,FALSE)</f>
        <v>0</v>
      </c>
      <c r="E14" s="168">
        <v>0</v>
      </c>
      <c r="F14" s="168">
        <v>0</v>
      </c>
      <c r="G14" s="168">
        <v>0</v>
      </c>
      <c r="H14" s="168">
        <v>0</v>
      </c>
      <c r="I14" s="168">
        <v>0</v>
      </c>
      <c r="J14" s="168">
        <v>0</v>
      </c>
      <c r="K14" s="168">
        <v>0</v>
      </c>
      <c r="L14" s="168">
        <v>4350</v>
      </c>
      <c r="M14" s="168">
        <v>0</v>
      </c>
      <c r="N14" s="167"/>
    </row>
    <row r="15" spans="2:14" x14ac:dyDescent="0.25">
      <c r="B15" s="169" t="s">
        <v>796</v>
      </c>
      <c r="C15" s="170">
        <f>VLOOKUP($B$5,'Allocations 2026-27'!B8:O329,13,FALSE)</f>
        <v>476</v>
      </c>
      <c r="D15" s="170">
        <f>VLOOKUP($B$5,'Allocations 2025-26'!B8:O329,13,FALSE)</f>
        <v>433</v>
      </c>
      <c r="E15" s="170">
        <v>460</v>
      </c>
      <c r="F15" s="170">
        <v>449</v>
      </c>
      <c r="G15" s="170">
        <v>489</v>
      </c>
      <c r="H15" s="168">
        <v>423</v>
      </c>
      <c r="I15" s="168">
        <v>249</v>
      </c>
      <c r="J15" s="168">
        <v>131</v>
      </c>
      <c r="K15" s="168">
        <v>69</v>
      </c>
      <c r="L15" s="168">
        <v>429</v>
      </c>
      <c r="M15" s="168">
        <v>441</v>
      </c>
      <c r="N15" s="167"/>
    </row>
    <row r="16" spans="2:14" x14ac:dyDescent="0.25">
      <c r="B16" s="13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7"/>
    </row>
    <row r="17" spans="2:14" x14ac:dyDescent="0.25">
      <c r="B17" s="19" t="s">
        <v>797</v>
      </c>
      <c r="C17" s="171">
        <f>VLOOKUP($B$5,'Allocations 2026-27'!$B$8:$W$329,20,FALSE)</f>
        <v>56232</v>
      </c>
      <c r="D17" s="171">
        <f>VLOOKUP($B$5,'Allocations 2025-26'!$B$8:$W$329,20,FALSE)</f>
        <v>58975</v>
      </c>
      <c r="E17" s="171">
        <v>34963</v>
      </c>
      <c r="F17" s="168">
        <v>33523</v>
      </c>
      <c r="G17" s="168">
        <v>31757</v>
      </c>
      <c r="H17" s="168">
        <v>31638</v>
      </c>
      <c r="I17" s="168">
        <v>30551</v>
      </c>
      <c r="J17" s="168">
        <v>29488</v>
      </c>
      <c r="K17" s="168">
        <v>32268</v>
      </c>
      <c r="L17" s="168">
        <v>26846</v>
      </c>
      <c r="M17" s="168">
        <v>25274</v>
      </c>
      <c r="N17" s="167"/>
    </row>
    <row r="18" spans="2:14" x14ac:dyDescent="0.25">
      <c r="B18" s="19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7"/>
    </row>
    <row r="19" spans="2:14" x14ac:dyDescent="0.25">
      <c r="B19" s="13" t="s">
        <v>798</v>
      </c>
      <c r="C19" s="43">
        <f>C17-D17</f>
        <v>-2743</v>
      </c>
      <c r="D19" s="43"/>
      <c r="E19" s="43"/>
      <c r="F19" s="172">
        <f>F17-G17</f>
        <v>1766</v>
      </c>
      <c r="G19" s="43"/>
      <c r="H19" s="43">
        <f t="shared" ref="H19:K19" si="0">H17-I17</f>
        <v>1087</v>
      </c>
      <c r="I19" s="43">
        <f t="shared" si="0"/>
        <v>1063</v>
      </c>
      <c r="J19" s="43">
        <f t="shared" si="0"/>
        <v>-2780</v>
      </c>
      <c r="K19" s="43">
        <f t="shared" si="0"/>
        <v>5422</v>
      </c>
      <c r="L19" s="43">
        <f>L17-M17</f>
        <v>1572</v>
      </c>
    </row>
    <row r="20" spans="2:14" x14ac:dyDescent="0.25">
      <c r="B20" s="13" t="s">
        <v>799</v>
      </c>
      <c r="C20" s="167">
        <f>C17/D17-1</f>
        <v>-4.6511233573548139E-2</v>
      </c>
      <c r="D20" s="167"/>
      <c r="E20" s="167"/>
      <c r="F20" s="173">
        <f>IFERROR(F19/F17,0)</f>
        <v>5.2680249381021983E-2</v>
      </c>
      <c r="G20" s="167"/>
      <c r="H20" s="167">
        <f t="shared" ref="H20:K20" si="1">H19/I17</f>
        <v>3.5579850086740201E-2</v>
      </c>
      <c r="I20" s="167">
        <f t="shared" si="1"/>
        <v>3.6048562126966902E-2</v>
      </c>
      <c r="J20" s="167">
        <f t="shared" si="1"/>
        <v>-8.6153464732862284E-2</v>
      </c>
      <c r="K20" s="167">
        <f t="shared" si="1"/>
        <v>0.20196677344855846</v>
      </c>
      <c r="L20" s="167">
        <f>L19/M17</f>
        <v>6.2198306560101287E-2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EAD3F8-9BC7-40BE-857D-66BF7E5EBFAE}">
          <x14:formula1>
            <xm:f>CCDDD!$C$2:$C$321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5C8CB-2E8E-4AF3-B93F-0DB60C35A66A}">
  <dimension ref="A1:AK330"/>
  <sheetViews>
    <sheetView tabSelected="1" workbookViewId="0">
      <selection activeCell="AC31" sqref="AC31"/>
    </sheetView>
  </sheetViews>
  <sheetFormatPr defaultColWidth="9.140625" defaultRowHeight="15" x14ac:dyDescent="0.25"/>
  <cols>
    <col min="1" max="2" width="6.5703125" customWidth="1"/>
    <col min="3" max="3" width="40.42578125" bestFit="1" customWidth="1"/>
    <col min="4" max="4" width="11.7109375" style="64" customWidth="1"/>
    <col min="5" max="5" width="15.140625" style="64" customWidth="1"/>
    <col min="6" max="6" width="13.85546875" style="64" customWidth="1"/>
    <col min="7" max="7" width="10" style="64" customWidth="1"/>
    <col min="8" max="8" width="13.42578125" style="64" customWidth="1"/>
    <col min="9" max="9" width="15.42578125" style="128" customWidth="1"/>
    <col min="10" max="10" width="13.5703125" style="128" customWidth="1"/>
    <col min="11" max="11" width="14.5703125" style="64" customWidth="1"/>
    <col min="12" max="12" width="15.140625" style="64" customWidth="1"/>
    <col min="13" max="13" width="14.42578125" style="64" customWidth="1"/>
    <col min="14" max="14" width="12.85546875" style="64" customWidth="1"/>
    <col min="15" max="15" width="13.5703125" style="64" customWidth="1"/>
    <col min="16" max="16" width="7.140625" style="104" customWidth="1"/>
    <col min="17" max="17" width="9.140625" style="104" customWidth="1"/>
    <col min="18" max="18" width="13.140625" style="104" customWidth="1"/>
    <col min="19" max="19" width="9.140625" style="104" customWidth="1"/>
    <col min="20" max="20" width="10" style="104" customWidth="1"/>
    <col min="21" max="21" width="17.140625" style="104" customWidth="1"/>
    <col min="22" max="22" width="12.140625" style="64" customWidth="1"/>
    <col min="23" max="23" width="15.85546875" customWidth="1"/>
    <col min="24" max="24" width="13.42578125" style="99" customWidth="1"/>
    <col min="25" max="25" width="12.5703125" style="99" customWidth="1"/>
    <col min="26" max="26" width="12.85546875" style="13" customWidth="1"/>
    <col min="27" max="27" width="13" style="100" customWidth="1"/>
    <col min="28" max="28" width="2.28515625" style="179" customWidth="1"/>
    <col min="29" max="29" width="22.140625" style="93" customWidth="1"/>
    <col min="30" max="30" width="9.85546875" bestFit="1" customWidth="1"/>
    <col min="35" max="35" width="22.42578125" bestFit="1" customWidth="1"/>
    <col min="36" max="36" width="5.85546875" bestFit="1" customWidth="1"/>
    <col min="37" max="37" width="10.140625" bestFit="1" customWidth="1"/>
  </cols>
  <sheetData>
    <row r="1" spans="1:37" x14ac:dyDescent="0.25">
      <c r="A1" s="92"/>
      <c r="B1">
        <f>COLUMN(B1)-1</f>
        <v>1</v>
      </c>
      <c r="C1">
        <f t="shared" ref="C1:AA1" si="0">COLUMN(C1)-1</f>
        <v>2</v>
      </c>
      <c r="D1">
        <f t="shared" si="0"/>
        <v>3</v>
      </c>
      <c r="E1">
        <f t="shared" si="0"/>
        <v>4</v>
      </c>
      <c r="F1">
        <f t="shared" si="0"/>
        <v>5</v>
      </c>
      <c r="G1">
        <f t="shared" si="0"/>
        <v>6</v>
      </c>
      <c r="H1">
        <f t="shared" si="0"/>
        <v>7</v>
      </c>
      <c r="I1">
        <f t="shared" si="0"/>
        <v>8</v>
      </c>
      <c r="J1">
        <f t="shared" si="0"/>
        <v>9</v>
      </c>
      <c r="K1">
        <f t="shared" si="0"/>
        <v>10</v>
      </c>
      <c r="L1">
        <f t="shared" si="0"/>
        <v>11</v>
      </c>
      <c r="M1">
        <f t="shared" si="0"/>
        <v>12</v>
      </c>
      <c r="N1">
        <f t="shared" si="0"/>
        <v>13</v>
      </c>
      <c r="O1">
        <f t="shared" si="0"/>
        <v>14</v>
      </c>
      <c r="P1">
        <f t="shared" si="0"/>
        <v>15</v>
      </c>
      <c r="Q1">
        <f t="shared" si="0"/>
        <v>16</v>
      </c>
      <c r="R1">
        <f t="shared" si="0"/>
        <v>17</v>
      </c>
      <c r="S1">
        <f t="shared" si="0"/>
        <v>18</v>
      </c>
      <c r="T1">
        <f t="shared" si="0"/>
        <v>19</v>
      </c>
      <c r="U1">
        <f t="shared" si="0"/>
        <v>20</v>
      </c>
      <c r="V1">
        <f t="shared" si="0"/>
        <v>21</v>
      </c>
      <c r="W1">
        <f t="shared" si="0"/>
        <v>22</v>
      </c>
      <c r="X1">
        <f t="shared" si="0"/>
        <v>23</v>
      </c>
      <c r="Y1">
        <f t="shared" si="0"/>
        <v>24</v>
      </c>
      <c r="Z1">
        <f t="shared" si="0"/>
        <v>25</v>
      </c>
      <c r="AA1">
        <f t="shared" si="0"/>
        <v>26</v>
      </c>
    </row>
    <row r="2" spans="1:37" x14ac:dyDescent="0.25">
      <c r="A2" s="42"/>
      <c r="E2" s="195" t="s">
        <v>405</v>
      </c>
      <c r="F2" s="196"/>
      <c r="G2" s="196"/>
      <c r="H2" s="196"/>
      <c r="I2" s="197" t="s">
        <v>406</v>
      </c>
      <c r="J2" s="198"/>
      <c r="K2" s="199" t="s">
        <v>407</v>
      </c>
      <c r="L2" s="200"/>
      <c r="M2" s="200"/>
      <c r="N2" s="200"/>
      <c r="O2" s="200"/>
      <c r="P2" s="94"/>
      <c r="Q2" s="95"/>
      <c r="R2" s="201" t="s">
        <v>408</v>
      </c>
      <c r="S2" s="201"/>
      <c r="T2" s="201"/>
      <c r="U2" s="96" t="s">
        <v>409</v>
      </c>
      <c r="V2" s="95"/>
      <c r="W2" s="97"/>
      <c r="X2" s="98"/>
    </row>
    <row r="3" spans="1:37" x14ac:dyDescent="0.25">
      <c r="I3" s="101" t="s">
        <v>410</v>
      </c>
      <c r="J3" s="102"/>
      <c r="L3" s="103">
        <f>L7</f>
        <v>157275</v>
      </c>
      <c r="O3" s="103">
        <f>$E$6</f>
        <v>18590407</v>
      </c>
      <c r="Q3" s="64"/>
      <c r="R3" s="64"/>
      <c r="S3" s="64"/>
      <c r="T3" s="64"/>
      <c r="U3" s="64"/>
      <c r="V3" s="105"/>
      <c r="W3" s="103"/>
    </row>
    <row r="4" spans="1:37" s="112" customFormat="1" ht="48" x14ac:dyDescent="0.25">
      <c r="A4" s="106" t="s">
        <v>411</v>
      </c>
      <c r="B4" s="106" t="s">
        <v>0</v>
      </c>
      <c r="C4" s="106" t="s">
        <v>1</v>
      </c>
      <c r="D4" s="107" t="s">
        <v>412</v>
      </c>
      <c r="E4" s="108" t="s">
        <v>413</v>
      </c>
      <c r="F4" s="108" t="s">
        <v>414</v>
      </c>
      <c r="G4" s="108" t="s">
        <v>415</v>
      </c>
      <c r="H4" s="108" t="s">
        <v>416</v>
      </c>
      <c r="I4" s="108" t="s">
        <v>417</v>
      </c>
      <c r="J4" s="108" t="s">
        <v>418</v>
      </c>
      <c r="K4" s="108" t="s">
        <v>419</v>
      </c>
      <c r="L4" s="108" t="s">
        <v>420</v>
      </c>
      <c r="M4" s="108" t="s">
        <v>421</v>
      </c>
      <c r="N4" s="108" t="s">
        <v>422</v>
      </c>
      <c r="O4" s="108" t="s">
        <v>423</v>
      </c>
      <c r="P4" s="109" t="s">
        <v>424</v>
      </c>
      <c r="Q4" s="108" t="s">
        <v>425</v>
      </c>
      <c r="R4" s="108" t="s">
        <v>426</v>
      </c>
      <c r="S4" s="108" t="s">
        <v>427</v>
      </c>
      <c r="T4" s="108" t="s">
        <v>428</v>
      </c>
      <c r="U4" s="108" t="s">
        <v>429</v>
      </c>
      <c r="V4" s="108"/>
      <c r="W4" s="110"/>
      <c r="X4" s="111" t="s">
        <v>430</v>
      </c>
      <c r="Y4" s="111" t="s">
        <v>431</v>
      </c>
      <c r="Z4" s="112" t="s">
        <v>432</v>
      </c>
      <c r="AA4" s="113"/>
      <c r="AB4" s="180"/>
      <c r="AC4" s="110" t="s">
        <v>833</v>
      </c>
    </row>
    <row r="5" spans="1:37" s="119" customFormat="1" ht="15" customHeight="1" x14ac:dyDescent="0.35">
      <c r="A5" s="114"/>
      <c r="B5" s="115" t="s">
        <v>433</v>
      </c>
      <c r="C5" s="115"/>
      <c r="D5" s="116" t="s">
        <v>829</v>
      </c>
      <c r="E5" s="117"/>
      <c r="F5" s="117" t="s">
        <v>434</v>
      </c>
      <c r="G5" s="117" t="s">
        <v>434</v>
      </c>
      <c r="H5" s="117"/>
      <c r="I5" s="117"/>
      <c r="J5" s="117"/>
      <c r="K5" s="117" t="s">
        <v>435</v>
      </c>
      <c r="L5" s="117"/>
      <c r="M5" s="117"/>
      <c r="N5" s="117"/>
      <c r="O5" s="117"/>
      <c r="P5" s="118"/>
      <c r="Q5" s="117"/>
      <c r="R5" s="117"/>
      <c r="S5" s="117"/>
      <c r="T5" s="117"/>
      <c r="U5" s="117"/>
      <c r="V5" s="117"/>
      <c r="X5" s="120"/>
      <c r="Y5" s="120"/>
      <c r="AA5" s="121"/>
      <c r="AB5" s="181"/>
      <c r="AC5" s="122"/>
    </row>
    <row r="6" spans="1:37" x14ac:dyDescent="0.25">
      <c r="A6" s="123"/>
      <c r="B6" s="124"/>
      <c r="C6" s="124"/>
      <c r="E6" s="103">
        <f>Assuptions!C18</f>
        <v>18590407</v>
      </c>
      <c r="H6" s="125" t="str">
        <f>IF(H8&gt;E6,"Give "&amp;H8-E6&amp;" More",IF(H8&lt;E6,"Take "&amp;E6-H8&amp;" More","Balanced"))</f>
        <v>Balanced</v>
      </c>
      <c r="I6" s="103">
        <v>0</v>
      </c>
      <c r="J6" s="126"/>
      <c r="K6" s="127"/>
      <c r="L6" s="103">
        <v>10000</v>
      </c>
      <c r="M6" s="128"/>
      <c r="N6" s="129"/>
      <c r="O6" s="125" t="str">
        <f>IF(O7=O3,"Balanced",IF(O7&gt;O3,"Give "&amp;O7-O3&amp;" More","Take "&amp;O3-O7&amp;" More"))</f>
        <v>Give 5 More</v>
      </c>
      <c r="Q6" s="64"/>
      <c r="R6" s="64"/>
      <c r="S6" s="64"/>
      <c r="T6" s="64"/>
      <c r="U6" s="125" t="str">
        <f>IF(U8=U7,"Balanced",IF(U8&gt;U7,"Give "&amp;U8-U7&amp;" More","Take "&amp;U7-U8&amp;" More"))</f>
        <v>Balanced</v>
      </c>
      <c r="W6" s="125"/>
      <c r="AA6" s="130"/>
      <c r="AB6" s="182"/>
    </row>
    <row r="7" spans="1:37" x14ac:dyDescent="0.25">
      <c r="A7" s="123"/>
      <c r="B7" s="124"/>
      <c r="C7" s="124" t="s">
        <v>8</v>
      </c>
      <c r="D7" s="64">
        <f>D330</f>
        <v>160652.94259520687</v>
      </c>
      <c r="E7" s="64">
        <f>+E6/D7</f>
        <v>115.717811947222</v>
      </c>
      <c r="F7" s="131">
        <f>F324</f>
        <v>0</v>
      </c>
      <c r="G7" s="131">
        <f>G324</f>
        <v>0</v>
      </c>
      <c r="H7" s="64">
        <f>H330</f>
        <v>18590407</v>
      </c>
      <c r="I7" s="126">
        <f>I324</f>
        <v>0</v>
      </c>
      <c r="J7" s="126">
        <f>J330</f>
        <v>18590407</v>
      </c>
      <c r="K7" s="131"/>
      <c r="L7" s="64">
        <f>L330</f>
        <v>157275</v>
      </c>
      <c r="M7" s="64">
        <f>M330</f>
        <v>159293.81371059146</v>
      </c>
      <c r="N7" s="64">
        <f>N330</f>
        <v>157280</v>
      </c>
      <c r="O7" s="64">
        <f>O330</f>
        <v>18590412</v>
      </c>
      <c r="Q7" s="64">
        <f>Q324</f>
        <v>0</v>
      </c>
      <c r="R7" s="64">
        <v>0</v>
      </c>
      <c r="S7" s="64"/>
      <c r="T7" s="64">
        <f>SUM(T8:T319)</f>
        <v>0</v>
      </c>
      <c r="U7" s="64">
        <f>O7+R7</f>
        <v>18590412</v>
      </c>
      <c r="W7" s="64"/>
      <c r="X7" s="64">
        <f>SUM(X9:X326)</f>
        <v>19006862</v>
      </c>
      <c r="Y7" s="99">
        <f>O7-X7</f>
        <v>-416450</v>
      </c>
      <c r="Z7" s="132"/>
      <c r="AA7" s="130">
        <f>COUNTIF(AA9:AA328,"C")</f>
        <v>29</v>
      </c>
      <c r="AB7" s="182"/>
    </row>
    <row r="8" spans="1:37" s="139" customFormat="1" ht="10.15" customHeight="1" x14ac:dyDescent="0.2">
      <c r="A8" s="133"/>
      <c r="B8" s="134" t="s">
        <v>436</v>
      </c>
      <c r="C8" s="135" t="s">
        <v>437</v>
      </c>
      <c r="D8" s="136">
        <f>SUM(D9:D328)</f>
        <v>160652.94259520687</v>
      </c>
      <c r="E8" s="136">
        <f>SUM(E9:E328)</f>
        <v>18590407</v>
      </c>
      <c r="F8" s="136">
        <f t="shared" ref="F8:I8" si="1">SUM(F9:F326)</f>
        <v>0</v>
      </c>
      <c r="G8" s="136">
        <f t="shared" si="1"/>
        <v>0</v>
      </c>
      <c r="H8" s="136">
        <f>SUM(H9:H328)</f>
        <v>18590407</v>
      </c>
      <c r="I8" s="136">
        <f t="shared" si="1"/>
        <v>0</v>
      </c>
      <c r="J8" s="136">
        <f>SUM(J9:J328)</f>
        <v>18590407</v>
      </c>
      <c r="K8" s="136"/>
      <c r="L8" s="136">
        <f>SUM(L9:L328)</f>
        <v>157275</v>
      </c>
      <c r="M8" s="136">
        <f>SUM(M9:M328)</f>
        <v>159293.81371059146</v>
      </c>
      <c r="N8" s="136">
        <f>SUM(N9:N328)</f>
        <v>157280</v>
      </c>
      <c r="O8" s="136">
        <f>SUM(O9:O328)</f>
        <v>18590412</v>
      </c>
      <c r="P8" s="136"/>
      <c r="Q8" s="136">
        <f>SUM(Q9:Q326)</f>
        <v>0</v>
      </c>
      <c r="R8" s="136">
        <f>SUM(R9:R326)</f>
        <v>0</v>
      </c>
      <c r="S8" s="136"/>
      <c r="T8" s="136"/>
      <c r="U8" s="136">
        <f>SUM(U9:U328)</f>
        <v>18590412</v>
      </c>
      <c r="V8" s="137"/>
      <c r="W8" s="136"/>
      <c r="X8" s="138"/>
      <c r="Y8" s="138"/>
      <c r="AA8" s="140"/>
      <c r="AB8" s="183"/>
      <c r="AC8" s="141">
        <f>SUMIF(K9:K323,"c",U9:U323)</f>
        <v>1001809</v>
      </c>
    </row>
    <row r="9" spans="1:37" x14ac:dyDescent="0.25">
      <c r="A9" s="142" t="s">
        <v>438</v>
      </c>
      <c r="B9" t="s">
        <v>439</v>
      </c>
      <c r="C9" t="s">
        <v>9</v>
      </c>
      <c r="D9" s="143">
        <f>IFERROR(VLOOKUP(B9,'Enrollment 26-27'!$B$5:$I$332,8,FALSE),0)</f>
        <v>481.83</v>
      </c>
      <c r="E9" s="64">
        <f t="shared" ref="E9:E72" si="2">ROUND($D9/$D$7*$E$6,0)</f>
        <v>55756</v>
      </c>
      <c r="F9" s="144">
        <v>0</v>
      </c>
      <c r="G9" s="144">
        <v>0</v>
      </c>
      <c r="H9" s="64">
        <f t="shared" ref="H9:H72" si="3">SUM(E9:G9)</f>
        <v>55756</v>
      </c>
      <c r="I9" s="64">
        <f t="shared" ref="I9:I72" si="4">ROUND($D9/$D$7*$I$6,0)</f>
        <v>0</v>
      </c>
      <c r="J9" s="145">
        <f t="shared" ref="J9:J72" si="5">+H9+I9</f>
        <v>55756</v>
      </c>
      <c r="K9" s="146" t="str">
        <f>IF(ISERROR(VLOOKUP(B9,$AC$9:$AC$50,1,0)),IF(J9&gt;10000,"Y","N"), "C")</f>
        <v>Y</v>
      </c>
      <c r="L9" s="147">
        <f t="shared" ref="L9:L72" si="6">IF(OR(K9="N",K9="NR",AND(J9&lt;$L$6,K9&lt;&gt;"C")),J9,0)</f>
        <v>0</v>
      </c>
      <c r="M9" s="148">
        <f t="shared" ref="M9:M72" si="7">IF(L9=0,D9,0)</f>
        <v>481.83</v>
      </c>
      <c r="N9" s="64">
        <f t="shared" ref="N9:N72" si="8">ROUND(M9/$M$7*$L$3,0)</f>
        <v>476</v>
      </c>
      <c r="O9" s="64">
        <f t="shared" ref="O9:O72" si="9">J9-L9+N9</f>
        <v>56232</v>
      </c>
      <c r="Q9" s="104">
        <f t="shared" ref="Q9:Q72" si="10">-ROUND(IF(P9&gt;0,O9*(0.9-P9),0),0)</f>
        <v>0</v>
      </c>
      <c r="R9" s="104" t="str">
        <f t="shared" ref="R9:R72" si="11">IF($R$7=0,"Not Applicable",T9*($R$7/$T$7))</f>
        <v>Not Applicable</v>
      </c>
      <c r="S9" s="149" t="s">
        <v>815</v>
      </c>
      <c r="T9" s="149">
        <f>IF(O9=0,0,IF(S9="N",0,VLOOKUP(B9,'Enrollment 25-26'!$B$8:$K$332,9,FALSE)))</f>
        <v>0</v>
      </c>
      <c r="U9" s="64">
        <f t="shared" ref="U9:U72" si="12">IF(ISNUMBER(R9),O9+R9,O9)</f>
        <v>56232</v>
      </c>
      <c r="V9" s="128">
        <f t="shared" ref="V9:V72" si="13">IF(M9=0,0,O9/M9)</f>
        <v>116.70506195131063</v>
      </c>
      <c r="W9" s="150"/>
      <c r="X9" s="64">
        <f>IFERROR(VLOOKUP($B9,'Allocations 2025-26'!$B$9:$U$329,14,FALSE),0)</f>
        <v>58975</v>
      </c>
      <c r="Y9" s="99">
        <f t="shared" ref="Y9:Y72" si="14">O9-X9</f>
        <v>-2743</v>
      </c>
      <c r="Z9" s="132">
        <f t="shared" ref="Z9:Z72" si="15">IFERROR(IF(X9&gt;0,Y9/X9,0),0)</f>
        <v>-4.6511233573548111E-2</v>
      </c>
      <c r="AA9" s="151" t="str">
        <f>K9</f>
        <v>Y</v>
      </c>
      <c r="AC9" t="s">
        <v>490</v>
      </c>
      <c r="AE9" s="152"/>
    </row>
    <row r="10" spans="1:37" x14ac:dyDescent="0.25">
      <c r="A10" s="142" t="s">
        <v>438</v>
      </c>
      <c r="B10" t="s">
        <v>441</v>
      </c>
      <c r="C10" t="s">
        <v>10</v>
      </c>
      <c r="D10" s="143">
        <f>IFERROR(VLOOKUP(B10,'Enrollment 26-27'!$B$5:$I$332,8,FALSE),0)</f>
        <v>0</v>
      </c>
      <c r="E10" s="64">
        <f t="shared" si="2"/>
        <v>0</v>
      </c>
      <c r="F10" s="144">
        <v>0</v>
      </c>
      <c r="G10" s="144">
        <v>0</v>
      </c>
      <c r="H10" s="64">
        <f t="shared" si="3"/>
        <v>0</v>
      </c>
      <c r="I10" s="64">
        <f t="shared" si="4"/>
        <v>0</v>
      </c>
      <c r="J10" s="145">
        <f t="shared" si="5"/>
        <v>0</v>
      </c>
      <c r="K10" s="146" t="str">
        <f t="shared" ref="K10:K73" si="16">IF(ISERROR(VLOOKUP(B10,$AC$9:$AC$50,1,0)),IF(J10&gt;10000,"Y","N"), "C")</f>
        <v>N</v>
      </c>
      <c r="L10" s="147">
        <f t="shared" si="6"/>
        <v>0</v>
      </c>
      <c r="M10" s="148">
        <f t="shared" si="7"/>
        <v>0</v>
      </c>
      <c r="N10" s="64">
        <f t="shared" si="8"/>
        <v>0</v>
      </c>
      <c r="O10" s="64">
        <f t="shared" si="9"/>
        <v>0</v>
      </c>
      <c r="Q10" s="104">
        <f t="shared" si="10"/>
        <v>0</v>
      </c>
      <c r="R10" s="104" t="str">
        <f t="shared" si="11"/>
        <v>Not Applicable</v>
      </c>
      <c r="S10" s="149" t="s">
        <v>815</v>
      </c>
      <c r="T10" s="149">
        <f>IF(O10=0,0,IF(S10="N",0,VLOOKUP(B10,'Enrollment 25-26'!$B$8:$K$332,9,FALSE)))</f>
        <v>0</v>
      </c>
      <c r="U10" s="64">
        <f t="shared" si="12"/>
        <v>0</v>
      </c>
      <c r="V10" s="128">
        <f t="shared" si="13"/>
        <v>0</v>
      </c>
      <c r="W10" s="150"/>
      <c r="X10" s="64">
        <f>IFERROR(VLOOKUP($B10,'Allocations 2025-26'!$B$9:$U$329,14,FALSE),0)</f>
        <v>0</v>
      </c>
      <c r="Y10" s="99">
        <f t="shared" si="14"/>
        <v>0</v>
      </c>
      <c r="Z10" s="132">
        <f t="shared" si="15"/>
        <v>0</v>
      </c>
      <c r="AA10" s="151" t="str">
        <f t="shared" ref="AA10:AA73" si="17">K10</f>
        <v>N</v>
      </c>
      <c r="AC10" t="s">
        <v>486</v>
      </c>
      <c r="AE10" s="152"/>
    </row>
    <row r="11" spans="1:37" x14ac:dyDescent="0.25">
      <c r="A11" s="142" t="s">
        <v>443</v>
      </c>
      <c r="B11" t="s">
        <v>444</v>
      </c>
      <c r="C11" t="s">
        <v>11</v>
      </c>
      <c r="D11" s="143">
        <f>IFERROR(VLOOKUP(B11,'Enrollment 26-27'!$B$5:$I$332,8,FALSE),0)</f>
        <v>0</v>
      </c>
      <c r="E11" s="64">
        <f t="shared" si="2"/>
        <v>0</v>
      </c>
      <c r="F11" s="144">
        <v>0</v>
      </c>
      <c r="G11" s="144">
        <v>0</v>
      </c>
      <c r="H11" s="64">
        <f t="shared" si="3"/>
        <v>0</v>
      </c>
      <c r="I11" s="64">
        <f t="shared" si="4"/>
        <v>0</v>
      </c>
      <c r="J11" s="145">
        <f t="shared" si="5"/>
        <v>0</v>
      </c>
      <c r="K11" s="146" t="str">
        <f t="shared" si="16"/>
        <v>N</v>
      </c>
      <c r="L11" s="147">
        <f t="shared" si="6"/>
        <v>0</v>
      </c>
      <c r="M11" s="148">
        <f t="shared" si="7"/>
        <v>0</v>
      </c>
      <c r="N11" s="64">
        <f t="shared" si="8"/>
        <v>0</v>
      </c>
      <c r="O11" s="64">
        <f t="shared" si="9"/>
        <v>0</v>
      </c>
      <c r="Q11" s="104">
        <f t="shared" si="10"/>
        <v>0</v>
      </c>
      <c r="R11" s="104" t="str">
        <f t="shared" si="11"/>
        <v>Not Applicable</v>
      </c>
      <c r="S11" s="149" t="s">
        <v>815</v>
      </c>
      <c r="T11" s="149">
        <f>IF(O11=0,0,IF(S11="N",0,VLOOKUP(B11,'Enrollment 25-26'!$B$8:$K$332,9,FALSE)))</f>
        <v>0</v>
      </c>
      <c r="U11" s="64">
        <f t="shared" si="12"/>
        <v>0</v>
      </c>
      <c r="V11" s="128">
        <f t="shared" si="13"/>
        <v>0</v>
      </c>
      <c r="W11" s="150"/>
      <c r="X11" s="64">
        <f>IFERROR(VLOOKUP($B11,'Allocations 2025-26'!$B$9:$U$329,14,FALSE),0)</f>
        <v>0</v>
      </c>
      <c r="Y11" s="99">
        <f t="shared" si="14"/>
        <v>0</v>
      </c>
      <c r="Z11" s="132">
        <f t="shared" si="15"/>
        <v>0</v>
      </c>
      <c r="AA11" s="151" t="str">
        <f t="shared" si="17"/>
        <v>N</v>
      </c>
      <c r="AC11" t="s">
        <v>488</v>
      </c>
      <c r="AE11" s="152"/>
      <c r="AH11" s="19"/>
      <c r="AI11" s="19"/>
    </row>
    <row r="12" spans="1:37" x14ac:dyDescent="0.25">
      <c r="A12" s="142" t="s">
        <v>446</v>
      </c>
      <c r="B12" s="13" t="s">
        <v>447</v>
      </c>
      <c r="C12" t="s">
        <v>12</v>
      </c>
      <c r="D12" s="143">
        <f>IFERROR(VLOOKUP(B12,'Enrollment 26-27'!$B$5:$I$332,8,FALSE),0)</f>
        <v>49.17</v>
      </c>
      <c r="E12" s="64">
        <f t="shared" si="2"/>
        <v>5690</v>
      </c>
      <c r="F12" s="144">
        <v>0</v>
      </c>
      <c r="G12" s="144">
        <v>0</v>
      </c>
      <c r="H12" s="64">
        <f t="shared" si="3"/>
        <v>5690</v>
      </c>
      <c r="I12" s="64">
        <f t="shared" si="4"/>
        <v>0</v>
      </c>
      <c r="J12" s="145">
        <f t="shared" si="5"/>
        <v>5690</v>
      </c>
      <c r="K12" s="146" t="str">
        <f t="shared" si="16"/>
        <v>N</v>
      </c>
      <c r="L12" s="147">
        <f t="shared" si="6"/>
        <v>5690</v>
      </c>
      <c r="M12" s="148">
        <f t="shared" si="7"/>
        <v>0</v>
      </c>
      <c r="N12" s="64">
        <f t="shared" si="8"/>
        <v>0</v>
      </c>
      <c r="O12" s="64">
        <f t="shared" si="9"/>
        <v>0</v>
      </c>
      <c r="Q12" s="104">
        <f t="shared" si="10"/>
        <v>0</v>
      </c>
      <c r="R12" s="104" t="str">
        <f t="shared" si="11"/>
        <v>Not Applicable</v>
      </c>
      <c r="S12" s="149" t="s">
        <v>815</v>
      </c>
      <c r="T12" s="149">
        <f>IF(O12=0,0,IF(S12="N",0,VLOOKUP(B12,'Enrollment 25-26'!$B$8:$K$332,9,FALSE)))</f>
        <v>0</v>
      </c>
      <c r="U12" s="64">
        <f t="shared" si="12"/>
        <v>0</v>
      </c>
      <c r="V12" s="128">
        <f t="shared" si="13"/>
        <v>0</v>
      </c>
      <c r="W12" s="150"/>
      <c r="X12" s="64">
        <f>IFERROR(VLOOKUP($B12,'Allocations 2025-26'!$B$9:$U$329,14,FALSE),0)</f>
        <v>0</v>
      </c>
      <c r="Y12" s="99">
        <f t="shared" si="14"/>
        <v>0</v>
      </c>
      <c r="Z12" s="132">
        <f t="shared" si="15"/>
        <v>0</v>
      </c>
      <c r="AA12" s="151" t="str">
        <f t="shared" si="17"/>
        <v>N</v>
      </c>
      <c r="AC12" t="s">
        <v>523</v>
      </c>
      <c r="AE12" s="152"/>
      <c r="AH12" s="153"/>
      <c r="AI12" s="153"/>
      <c r="AJ12" s="153"/>
      <c r="AK12" s="154"/>
    </row>
    <row r="13" spans="1:37" s="155" customFormat="1" x14ac:dyDescent="0.25">
      <c r="A13" s="142" t="s">
        <v>446</v>
      </c>
      <c r="B13" t="s">
        <v>449</v>
      </c>
      <c r="C13" t="s">
        <v>13</v>
      </c>
      <c r="D13" s="143">
        <f>IFERROR(VLOOKUP(B13,'Enrollment 26-27'!$B$5:$I$332,8,FALSE),0)</f>
        <v>383.33666666666664</v>
      </c>
      <c r="E13" s="64">
        <f t="shared" si="2"/>
        <v>44359</v>
      </c>
      <c r="F13" s="144">
        <v>0</v>
      </c>
      <c r="G13" s="144">
        <v>0</v>
      </c>
      <c r="H13" s="64">
        <f t="shared" si="3"/>
        <v>44359</v>
      </c>
      <c r="I13" s="64">
        <f t="shared" si="4"/>
        <v>0</v>
      </c>
      <c r="J13" s="145">
        <f t="shared" si="5"/>
        <v>44359</v>
      </c>
      <c r="K13" s="146" t="str">
        <f t="shared" si="16"/>
        <v>Y</v>
      </c>
      <c r="L13" s="147">
        <f t="shared" si="6"/>
        <v>0</v>
      </c>
      <c r="M13" s="148">
        <f t="shared" si="7"/>
        <v>383.33666666666664</v>
      </c>
      <c r="N13" s="64">
        <f t="shared" si="8"/>
        <v>378</v>
      </c>
      <c r="O13" s="64">
        <f t="shared" si="9"/>
        <v>44737</v>
      </c>
      <c r="P13" s="104"/>
      <c r="Q13" s="104">
        <f t="shared" si="10"/>
        <v>0</v>
      </c>
      <c r="R13" s="104" t="str">
        <f t="shared" si="11"/>
        <v>Not Applicable</v>
      </c>
      <c r="S13" s="149" t="s">
        <v>815</v>
      </c>
      <c r="T13" s="149">
        <f>IF(O13=0,0,IF(S13="N",0,VLOOKUP(B13,'Enrollment 25-26'!$B$8:$K$332,9,FALSE)))</f>
        <v>0</v>
      </c>
      <c r="U13" s="64">
        <f t="shared" si="12"/>
        <v>44737</v>
      </c>
      <c r="V13" s="128">
        <f t="shared" si="13"/>
        <v>116.70420257215156</v>
      </c>
      <c r="W13" s="150"/>
      <c r="X13" s="64">
        <f>IFERROR(VLOOKUP($B13,'Allocations 2025-26'!$B$9:$U$329,14,FALSE),0)</f>
        <v>45388</v>
      </c>
      <c r="Y13" s="99">
        <f t="shared" si="14"/>
        <v>-651</v>
      </c>
      <c r="Z13" s="132">
        <f t="shared" si="15"/>
        <v>-1.4342998149290562E-2</v>
      </c>
      <c r="AA13" s="151" t="str">
        <f t="shared" si="17"/>
        <v>Y</v>
      </c>
      <c r="AB13" s="184"/>
      <c r="AC13" t="s">
        <v>440</v>
      </c>
      <c r="AD13"/>
      <c r="AE13" s="152"/>
      <c r="AI13"/>
      <c r="AJ13"/>
    </row>
    <row r="14" spans="1:37" x14ac:dyDescent="0.25">
      <c r="A14" s="142" t="s">
        <v>451</v>
      </c>
      <c r="B14" t="s">
        <v>452</v>
      </c>
      <c r="C14" t="s">
        <v>14</v>
      </c>
      <c r="D14" s="143">
        <f>IFERROR(VLOOKUP(B14,'Enrollment 26-27'!$B$5:$I$332,8,FALSE),0)</f>
        <v>0</v>
      </c>
      <c r="E14" s="64">
        <f t="shared" si="2"/>
        <v>0</v>
      </c>
      <c r="F14" s="144">
        <v>0</v>
      </c>
      <c r="G14" s="144">
        <v>0</v>
      </c>
      <c r="H14" s="64">
        <f t="shared" si="3"/>
        <v>0</v>
      </c>
      <c r="I14" s="64">
        <f t="shared" si="4"/>
        <v>0</v>
      </c>
      <c r="J14" s="145">
        <f t="shared" si="5"/>
        <v>0</v>
      </c>
      <c r="K14" s="146" t="str">
        <f t="shared" si="16"/>
        <v>N</v>
      </c>
      <c r="L14" s="147">
        <f t="shared" si="6"/>
        <v>0</v>
      </c>
      <c r="M14" s="148">
        <f t="shared" si="7"/>
        <v>0</v>
      </c>
      <c r="N14" s="64">
        <f t="shared" si="8"/>
        <v>0</v>
      </c>
      <c r="O14" s="64">
        <f t="shared" si="9"/>
        <v>0</v>
      </c>
      <c r="Q14" s="104">
        <f t="shared" si="10"/>
        <v>0</v>
      </c>
      <c r="R14" s="104" t="str">
        <f t="shared" si="11"/>
        <v>Not Applicable</v>
      </c>
      <c r="S14" s="149" t="s">
        <v>815</v>
      </c>
      <c r="T14" s="149">
        <f>IF(O14=0,0,IF(S14="N",0,VLOOKUP(B14,'Enrollment 25-26'!$B$8:$K$332,9,FALSE)))</f>
        <v>0</v>
      </c>
      <c r="U14" s="64">
        <f t="shared" si="12"/>
        <v>0</v>
      </c>
      <c r="V14" s="128">
        <f t="shared" si="13"/>
        <v>0</v>
      </c>
      <c r="W14" s="150"/>
      <c r="X14" s="64">
        <f>IFERROR(VLOOKUP($B14,'Allocations 2025-26'!$B$9:$U$329,14,FALSE),0)</f>
        <v>0</v>
      </c>
      <c r="Y14" s="99">
        <f t="shared" si="14"/>
        <v>0</v>
      </c>
      <c r="Z14" s="132">
        <f t="shared" si="15"/>
        <v>0</v>
      </c>
      <c r="AA14" s="151" t="str">
        <f t="shared" si="17"/>
        <v>N</v>
      </c>
      <c r="AC14"/>
      <c r="AE14" s="152"/>
      <c r="AH14" s="153"/>
      <c r="AI14" s="153"/>
      <c r="AJ14" s="153"/>
      <c r="AK14" s="154"/>
    </row>
    <row r="15" spans="1:37" x14ac:dyDescent="0.25">
      <c r="A15" s="142" t="s">
        <v>454</v>
      </c>
      <c r="B15" t="s">
        <v>455</v>
      </c>
      <c r="C15" t="s">
        <v>15</v>
      </c>
      <c r="D15" s="143">
        <f>IFERROR(VLOOKUP(B15,'Enrollment 26-27'!$B$5:$I$332,8,FALSE),0)</f>
        <v>5432.17</v>
      </c>
      <c r="E15" s="64">
        <f t="shared" si="2"/>
        <v>628599</v>
      </c>
      <c r="F15" s="144">
        <v>0</v>
      </c>
      <c r="G15" s="144">
        <v>0</v>
      </c>
      <c r="H15" s="64">
        <f t="shared" si="3"/>
        <v>628599</v>
      </c>
      <c r="I15" s="64">
        <f t="shared" si="4"/>
        <v>0</v>
      </c>
      <c r="J15" s="145">
        <f t="shared" si="5"/>
        <v>628599</v>
      </c>
      <c r="K15" s="146" t="str">
        <f t="shared" si="16"/>
        <v>C</v>
      </c>
      <c r="L15" s="147">
        <f t="shared" si="6"/>
        <v>0</v>
      </c>
      <c r="M15" s="148">
        <f t="shared" si="7"/>
        <v>5432.17</v>
      </c>
      <c r="N15" s="64">
        <f t="shared" si="8"/>
        <v>5363</v>
      </c>
      <c r="O15" s="64">
        <f t="shared" si="9"/>
        <v>633962</v>
      </c>
      <c r="Q15" s="104">
        <f t="shared" si="10"/>
        <v>0</v>
      </c>
      <c r="R15" s="104" t="str">
        <f t="shared" si="11"/>
        <v>Not Applicable</v>
      </c>
      <c r="S15" s="149" t="s">
        <v>815</v>
      </c>
      <c r="T15" s="149">
        <f>IF(O15=0,0,IF(S15="N",0,VLOOKUP(B15,'Enrollment 25-26'!$B$8:$K$332,9,FALSE)))</f>
        <v>0</v>
      </c>
      <c r="U15" s="64">
        <f t="shared" si="12"/>
        <v>633962</v>
      </c>
      <c r="V15" s="128">
        <f t="shared" si="13"/>
        <v>116.70511048071029</v>
      </c>
      <c r="W15" s="150"/>
      <c r="X15" s="64">
        <f>IFERROR(VLOOKUP($B15,'Allocations 2025-26'!$B$9:$U$329,14,FALSE),0)</f>
        <v>646948</v>
      </c>
      <c r="Y15" s="99">
        <f t="shared" si="14"/>
        <v>-12986</v>
      </c>
      <c r="Z15" s="132">
        <f t="shared" si="15"/>
        <v>-2.0072710635166968E-2</v>
      </c>
      <c r="AA15" s="151" t="str">
        <f t="shared" si="17"/>
        <v>C</v>
      </c>
      <c r="AC15" s="161" t="s">
        <v>594</v>
      </c>
      <c r="AE15" s="152"/>
      <c r="AH15" s="153"/>
      <c r="AI15" s="153"/>
      <c r="AJ15" s="153"/>
      <c r="AK15" s="154"/>
    </row>
    <row r="16" spans="1:37" x14ac:dyDescent="0.25">
      <c r="A16" s="142" t="s">
        <v>454</v>
      </c>
      <c r="B16" t="s">
        <v>457</v>
      </c>
      <c r="C16" t="s">
        <v>16</v>
      </c>
      <c r="D16" s="143">
        <f>IFERROR(VLOOKUP(B16,'Enrollment 26-27'!$B$5:$I$332,8,FALSE),0)</f>
        <v>55.33</v>
      </c>
      <c r="E16" s="64">
        <f t="shared" si="2"/>
        <v>6403</v>
      </c>
      <c r="F16" s="144">
        <v>0</v>
      </c>
      <c r="G16" s="144">
        <v>0</v>
      </c>
      <c r="H16" s="64">
        <f t="shared" si="3"/>
        <v>6403</v>
      </c>
      <c r="I16" s="64">
        <f t="shared" si="4"/>
        <v>0</v>
      </c>
      <c r="J16" s="145">
        <f t="shared" si="5"/>
        <v>6403</v>
      </c>
      <c r="K16" s="146" t="str">
        <f t="shared" si="16"/>
        <v>C</v>
      </c>
      <c r="L16" s="147">
        <f t="shared" si="6"/>
        <v>0</v>
      </c>
      <c r="M16" s="148">
        <f t="shared" si="7"/>
        <v>55.33</v>
      </c>
      <c r="N16" s="64">
        <f t="shared" si="8"/>
        <v>55</v>
      </c>
      <c r="O16" s="64">
        <f t="shared" si="9"/>
        <v>6458</v>
      </c>
      <c r="Q16" s="104">
        <f t="shared" si="10"/>
        <v>0</v>
      </c>
      <c r="R16" s="104" t="str">
        <f t="shared" si="11"/>
        <v>Not Applicable</v>
      </c>
      <c r="S16" s="149" t="s">
        <v>815</v>
      </c>
      <c r="T16" s="149">
        <f>IF(O16=0,0,IF(S16="N",0,VLOOKUP(B16,'Enrollment 25-26'!$B$8:$K$332,9,FALSE)))</f>
        <v>0</v>
      </c>
      <c r="U16" s="64">
        <f t="shared" si="12"/>
        <v>6458</v>
      </c>
      <c r="V16" s="128">
        <f t="shared" si="13"/>
        <v>116.71787457075727</v>
      </c>
      <c r="W16" s="150"/>
      <c r="X16" s="64">
        <f>IFERROR(VLOOKUP($B16,'Allocations 2025-26'!$B$9:$U$329,14,FALSE),0)</f>
        <v>5329</v>
      </c>
      <c r="Y16" s="99">
        <f t="shared" si="14"/>
        <v>1129</v>
      </c>
      <c r="Z16" s="132">
        <f t="shared" si="15"/>
        <v>0.21185963595421281</v>
      </c>
      <c r="AA16" s="151" t="str">
        <f t="shared" si="17"/>
        <v>C</v>
      </c>
      <c r="AC16" t="s">
        <v>473</v>
      </c>
      <c r="AE16" s="152"/>
      <c r="AH16" s="153"/>
      <c r="AI16" s="153"/>
      <c r="AJ16" s="153"/>
      <c r="AK16" s="154"/>
    </row>
    <row r="17" spans="1:37" x14ac:dyDescent="0.25">
      <c r="A17" s="142" t="s">
        <v>459</v>
      </c>
      <c r="B17" t="s">
        <v>460</v>
      </c>
      <c r="C17" t="s">
        <v>17</v>
      </c>
      <c r="D17" s="143">
        <f>IFERROR(VLOOKUP(B17,'Enrollment 26-27'!$B$5:$I$332,8,FALSE),0)</f>
        <v>1413.33</v>
      </c>
      <c r="E17" s="64">
        <f t="shared" si="2"/>
        <v>163547</v>
      </c>
      <c r="F17" s="144">
        <v>0</v>
      </c>
      <c r="G17" s="144">
        <v>0</v>
      </c>
      <c r="H17" s="64">
        <f t="shared" si="3"/>
        <v>163547</v>
      </c>
      <c r="I17" s="64">
        <f t="shared" si="4"/>
        <v>0</v>
      </c>
      <c r="J17" s="145">
        <f t="shared" si="5"/>
        <v>163547</v>
      </c>
      <c r="K17" s="146" t="str">
        <f t="shared" si="16"/>
        <v>Y</v>
      </c>
      <c r="L17" s="147">
        <f t="shared" si="6"/>
        <v>0</v>
      </c>
      <c r="M17" s="148">
        <f t="shared" si="7"/>
        <v>1413.33</v>
      </c>
      <c r="N17" s="64">
        <f t="shared" si="8"/>
        <v>1395</v>
      </c>
      <c r="O17" s="64">
        <f t="shared" si="9"/>
        <v>164942</v>
      </c>
      <c r="Q17" s="104">
        <f t="shared" si="10"/>
        <v>0</v>
      </c>
      <c r="R17" s="104" t="str">
        <f t="shared" si="11"/>
        <v>Not Applicable</v>
      </c>
      <c r="S17" s="149" t="s">
        <v>815</v>
      </c>
      <c r="T17" s="149">
        <f>IF(O17=0,0,IF(S17="N",0,VLOOKUP(B17,'Enrollment 25-26'!$B$8:$K$332,9,FALSE)))</f>
        <v>0</v>
      </c>
      <c r="U17" s="64">
        <f t="shared" si="12"/>
        <v>164942</v>
      </c>
      <c r="V17" s="128">
        <f t="shared" si="13"/>
        <v>116.70452052952956</v>
      </c>
      <c r="W17" s="150"/>
      <c r="X17" s="64">
        <f>IFERROR(VLOOKUP($B17,'Allocations 2025-26'!$B$9:$U$329,14,FALSE),0)</f>
        <v>170190</v>
      </c>
      <c r="Y17" s="99">
        <f t="shared" si="14"/>
        <v>-5248</v>
      </c>
      <c r="Z17" s="132">
        <f t="shared" si="15"/>
        <v>-3.0836124331629355E-2</v>
      </c>
      <c r="AA17" s="151" t="str">
        <f t="shared" si="17"/>
        <v>Y</v>
      </c>
      <c r="AC17" t="s">
        <v>477</v>
      </c>
      <c r="AE17" s="152"/>
      <c r="AH17" s="153"/>
      <c r="AI17" s="153"/>
      <c r="AJ17" s="153"/>
      <c r="AK17" s="154"/>
    </row>
    <row r="18" spans="1:37" x14ac:dyDescent="0.25">
      <c r="A18" s="142" t="s">
        <v>454</v>
      </c>
      <c r="B18" t="s">
        <v>463</v>
      </c>
      <c r="C18" t="s">
        <v>18</v>
      </c>
      <c r="D18" s="143">
        <f>IFERROR(VLOOKUP(B18,'Enrollment 26-27'!$B$5:$I$332,8,FALSE),0)</f>
        <v>3890.6633333333334</v>
      </c>
      <c r="E18" s="64">
        <f t="shared" si="2"/>
        <v>450219</v>
      </c>
      <c r="F18" s="144">
        <v>0</v>
      </c>
      <c r="G18" s="144">
        <v>0</v>
      </c>
      <c r="H18" s="64">
        <f t="shared" si="3"/>
        <v>450219</v>
      </c>
      <c r="I18" s="64">
        <f t="shared" si="4"/>
        <v>0</v>
      </c>
      <c r="J18" s="145">
        <f t="shared" si="5"/>
        <v>450219</v>
      </c>
      <c r="K18" s="146" t="str">
        <f t="shared" si="16"/>
        <v>Y</v>
      </c>
      <c r="L18" s="147">
        <f t="shared" si="6"/>
        <v>0</v>
      </c>
      <c r="M18" s="148">
        <f t="shared" si="7"/>
        <v>3890.6633333333334</v>
      </c>
      <c r="N18" s="64">
        <f t="shared" si="8"/>
        <v>3841</v>
      </c>
      <c r="O18" s="64">
        <f t="shared" si="9"/>
        <v>454060</v>
      </c>
      <c r="Q18" s="104">
        <f t="shared" si="10"/>
        <v>0</v>
      </c>
      <c r="R18" s="104" t="str">
        <f t="shared" si="11"/>
        <v>Not Applicable</v>
      </c>
      <c r="S18" s="149" t="s">
        <v>815</v>
      </c>
      <c r="T18" s="149">
        <f>IF(O18=0,0,IF(S18="N",0,VLOOKUP(B18,'Enrollment 25-26'!$B$8:$K$332,9,FALSE)))</f>
        <v>0</v>
      </c>
      <c r="U18" s="64">
        <f t="shared" si="12"/>
        <v>454060</v>
      </c>
      <c r="V18" s="128">
        <f t="shared" si="13"/>
        <v>116.70503487408745</v>
      </c>
      <c r="W18" s="150"/>
      <c r="X18" s="64">
        <f>IFERROR(VLOOKUP($B18,'Allocations 2025-26'!$B$9:$U$329,14,FALSE),0)</f>
        <v>459931</v>
      </c>
      <c r="Y18" s="99">
        <f t="shared" si="14"/>
        <v>-5871</v>
      </c>
      <c r="Z18" s="132">
        <f t="shared" si="15"/>
        <v>-1.2764958221994169E-2</v>
      </c>
      <c r="AA18" s="151" t="str">
        <f t="shared" si="17"/>
        <v>Y</v>
      </c>
      <c r="AC18" t="s">
        <v>475</v>
      </c>
      <c r="AE18" s="152"/>
      <c r="AH18" s="153"/>
      <c r="AI18" s="153"/>
      <c r="AJ18" s="153"/>
      <c r="AK18" s="154"/>
    </row>
    <row r="19" spans="1:37" x14ac:dyDescent="0.25">
      <c r="A19" s="142" t="s">
        <v>446</v>
      </c>
      <c r="B19" t="s">
        <v>465</v>
      </c>
      <c r="C19" t="s">
        <v>19</v>
      </c>
      <c r="D19" s="143">
        <f>IFERROR(VLOOKUP(B19,'Enrollment 26-27'!$B$5:$I$332,8,FALSE),0)</f>
        <v>1083.83</v>
      </c>
      <c r="E19" s="64">
        <f t="shared" si="2"/>
        <v>125418</v>
      </c>
      <c r="F19" s="144">
        <v>0</v>
      </c>
      <c r="G19" s="144">
        <v>0</v>
      </c>
      <c r="H19" s="64">
        <f t="shared" si="3"/>
        <v>125418</v>
      </c>
      <c r="I19" s="64">
        <f t="shared" si="4"/>
        <v>0</v>
      </c>
      <c r="J19" s="145">
        <f t="shared" si="5"/>
        <v>125418</v>
      </c>
      <c r="K19" s="146" t="str">
        <f t="shared" si="16"/>
        <v>Y</v>
      </c>
      <c r="L19" s="147">
        <f t="shared" si="6"/>
        <v>0</v>
      </c>
      <c r="M19" s="148">
        <f t="shared" si="7"/>
        <v>1083.83</v>
      </c>
      <c r="N19" s="64">
        <f t="shared" si="8"/>
        <v>1070</v>
      </c>
      <c r="O19" s="64">
        <f t="shared" si="9"/>
        <v>126488</v>
      </c>
      <c r="Q19" s="104">
        <f t="shared" si="10"/>
        <v>0</v>
      </c>
      <c r="R19" s="104" t="str">
        <f t="shared" si="11"/>
        <v>Not Applicable</v>
      </c>
      <c r="S19" s="149" t="s">
        <v>815</v>
      </c>
      <c r="T19" s="149">
        <f>IF(O19=0,0,IF(S19="N",0,VLOOKUP(B19,'Enrollment 25-26'!$B$8:$K$332,9,FALSE)))</f>
        <v>0</v>
      </c>
      <c r="U19" s="64">
        <f t="shared" si="12"/>
        <v>126488</v>
      </c>
      <c r="V19" s="128">
        <f t="shared" si="13"/>
        <v>116.70464925311165</v>
      </c>
      <c r="W19" s="150"/>
      <c r="X19" s="64">
        <f>IFERROR(VLOOKUP($B19,'Allocations 2025-26'!$B$9:$U$329,14,FALSE),0)</f>
        <v>125543</v>
      </c>
      <c r="Y19" s="99">
        <f t="shared" si="14"/>
        <v>945</v>
      </c>
      <c r="Z19" s="132">
        <f t="shared" si="15"/>
        <v>7.5273014027066425E-3</v>
      </c>
      <c r="AA19" s="151" t="str">
        <f t="shared" si="17"/>
        <v>Y</v>
      </c>
      <c r="AC19" t="s">
        <v>456</v>
      </c>
      <c r="AE19" s="152"/>
      <c r="AH19" s="153"/>
      <c r="AI19" s="153"/>
      <c r="AJ19" s="153"/>
      <c r="AK19" s="154"/>
    </row>
    <row r="20" spans="1:37" x14ac:dyDescent="0.25">
      <c r="A20" s="142" t="s">
        <v>443</v>
      </c>
      <c r="B20" t="s">
        <v>467</v>
      </c>
      <c r="C20" t="s">
        <v>20</v>
      </c>
      <c r="D20" s="143">
        <f>IFERROR(VLOOKUP(B20,'Enrollment 26-27'!$B$5:$I$332,8,FALSE),0)</f>
        <v>0</v>
      </c>
      <c r="E20" s="64">
        <f t="shared" si="2"/>
        <v>0</v>
      </c>
      <c r="F20" s="144">
        <v>0</v>
      </c>
      <c r="G20" s="144">
        <v>0</v>
      </c>
      <c r="H20" s="64">
        <f t="shared" si="3"/>
        <v>0</v>
      </c>
      <c r="I20" s="64">
        <f t="shared" si="4"/>
        <v>0</v>
      </c>
      <c r="J20" s="145">
        <f t="shared" si="5"/>
        <v>0</v>
      </c>
      <c r="K20" s="146" t="str">
        <f t="shared" si="16"/>
        <v>N</v>
      </c>
      <c r="L20" s="147">
        <f t="shared" si="6"/>
        <v>0</v>
      </c>
      <c r="M20" s="148">
        <f t="shared" si="7"/>
        <v>0</v>
      </c>
      <c r="N20" s="64">
        <f t="shared" si="8"/>
        <v>0</v>
      </c>
      <c r="O20" s="64">
        <f t="shared" si="9"/>
        <v>0</v>
      </c>
      <c r="Q20" s="104">
        <f t="shared" si="10"/>
        <v>0</v>
      </c>
      <c r="R20" s="104" t="str">
        <f t="shared" si="11"/>
        <v>Not Applicable</v>
      </c>
      <c r="S20" s="149" t="s">
        <v>815</v>
      </c>
      <c r="T20" s="149">
        <f>IF(O20=0,0,IF(S20="N",0,VLOOKUP(B20,'Enrollment 25-26'!$B$8:$K$332,9,FALSE)))</f>
        <v>0</v>
      </c>
      <c r="U20" s="64">
        <f t="shared" si="12"/>
        <v>0</v>
      </c>
      <c r="V20" s="128">
        <f t="shared" si="13"/>
        <v>0</v>
      </c>
      <c r="W20" s="150"/>
      <c r="X20" s="64">
        <f>IFERROR(VLOOKUP($B20,'Allocations 2025-26'!$B$9:$U$329,14,FALSE),0)</f>
        <v>0</v>
      </c>
      <c r="Y20" s="99">
        <f t="shared" si="14"/>
        <v>0</v>
      </c>
      <c r="Z20" s="132">
        <f t="shared" si="15"/>
        <v>0</v>
      </c>
      <c r="AA20" s="151" t="str">
        <f t="shared" si="17"/>
        <v>N</v>
      </c>
      <c r="AC20" t="s">
        <v>453</v>
      </c>
      <c r="AE20" s="152"/>
      <c r="AH20" s="153"/>
      <c r="AI20" s="153"/>
      <c r="AJ20" s="153"/>
      <c r="AK20" s="154"/>
    </row>
    <row r="21" spans="1:37" x14ac:dyDescent="0.25">
      <c r="A21" s="142" t="s">
        <v>454</v>
      </c>
      <c r="B21" t="s">
        <v>469</v>
      </c>
      <c r="C21" t="s">
        <v>21</v>
      </c>
      <c r="D21" s="143">
        <f>IFERROR(VLOOKUP(B21,'Enrollment 26-27'!$B$5:$I$332,8,FALSE),0)</f>
        <v>1937.5033333333333</v>
      </c>
      <c r="E21" s="64">
        <f t="shared" si="2"/>
        <v>224204</v>
      </c>
      <c r="F21" s="144">
        <v>0</v>
      </c>
      <c r="G21" s="144">
        <v>0</v>
      </c>
      <c r="H21" s="64">
        <f t="shared" si="3"/>
        <v>224204</v>
      </c>
      <c r="I21" s="64">
        <f t="shared" si="4"/>
        <v>0</v>
      </c>
      <c r="J21" s="145">
        <f t="shared" si="5"/>
        <v>224204</v>
      </c>
      <c r="K21" s="146" t="str">
        <f t="shared" si="16"/>
        <v>Y</v>
      </c>
      <c r="L21" s="147">
        <f t="shared" si="6"/>
        <v>0</v>
      </c>
      <c r="M21" s="148">
        <f t="shared" si="7"/>
        <v>1937.5033333333333</v>
      </c>
      <c r="N21" s="64">
        <f t="shared" si="8"/>
        <v>1913</v>
      </c>
      <c r="O21" s="64">
        <f t="shared" si="9"/>
        <v>226117</v>
      </c>
      <c r="Q21" s="104">
        <f t="shared" si="10"/>
        <v>0</v>
      </c>
      <c r="R21" s="104" t="str">
        <f t="shared" si="11"/>
        <v>Not Applicable</v>
      </c>
      <c r="S21" s="149" t="s">
        <v>815</v>
      </c>
      <c r="T21" s="149">
        <f>IF(O21=0,0,IF(S21="N",0,VLOOKUP(B21,'Enrollment 25-26'!$B$8:$K$332,9,FALSE)))</f>
        <v>0</v>
      </c>
      <c r="U21" s="64">
        <f t="shared" si="12"/>
        <v>226117</v>
      </c>
      <c r="V21" s="128">
        <f t="shared" si="13"/>
        <v>116.70534760370305</v>
      </c>
      <c r="W21" s="150"/>
      <c r="X21" s="64">
        <f>IFERROR(VLOOKUP($B21,'Allocations 2025-26'!$B$9:$U$329,14,FALSE),0)</f>
        <v>214679</v>
      </c>
      <c r="Y21" s="99">
        <f t="shared" si="14"/>
        <v>11438</v>
      </c>
      <c r="Z21" s="132">
        <f t="shared" si="15"/>
        <v>5.3279547603631468E-2</v>
      </c>
      <c r="AA21" s="151" t="str">
        <f t="shared" si="17"/>
        <v>Y</v>
      </c>
      <c r="AC21" t="s">
        <v>768</v>
      </c>
      <c r="AE21" s="152"/>
      <c r="AH21" s="153"/>
      <c r="AI21" s="153"/>
      <c r="AJ21" s="153"/>
      <c r="AK21" s="154"/>
    </row>
    <row r="22" spans="1:37" x14ac:dyDescent="0.25">
      <c r="A22" s="142" t="s">
        <v>471</v>
      </c>
      <c r="B22" t="s">
        <v>472</v>
      </c>
      <c r="C22" t="s">
        <v>22</v>
      </c>
      <c r="D22" s="143">
        <f>IFERROR(VLOOKUP(B22,'Enrollment 26-27'!$B$5:$I$332,8,FALSE),0)</f>
        <v>0</v>
      </c>
      <c r="E22" s="64">
        <f t="shared" si="2"/>
        <v>0</v>
      </c>
      <c r="F22" s="144">
        <v>0</v>
      </c>
      <c r="G22" s="144">
        <v>0</v>
      </c>
      <c r="H22" s="64">
        <f t="shared" si="3"/>
        <v>0</v>
      </c>
      <c r="I22" s="64">
        <f t="shared" si="4"/>
        <v>0</v>
      </c>
      <c r="J22" s="145">
        <f t="shared" si="5"/>
        <v>0</v>
      </c>
      <c r="K22" s="146" t="str">
        <f t="shared" si="16"/>
        <v>N</v>
      </c>
      <c r="L22" s="147">
        <f t="shared" si="6"/>
        <v>0</v>
      </c>
      <c r="M22" s="148">
        <f t="shared" si="7"/>
        <v>0</v>
      </c>
      <c r="N22" s="64">
        <f t="shared" si="8"/>
        <v>0</v>
      </c>
      <c r="O22" s="64">
        <f t="shared" si="9"/>
        <v>0</v>
      </c>
      <c r="Q22" s="104">
        <f t="shared" si="10"/>
        <v>0</v>
      </c>
      <c r="R22" s="104" t="str">
        <f t="shared" si="11"/>
        <v>Not Applicable</v>
      </c>
      <c r="S22" s="149" t="s">
        <v>815</v>
      </c>
      <c r="T22" s="149">
        <f>IF(O22=0,0,IF(S22="N",0,VLOOKUP(B22,'Enrollment 25-26'!$B$8:$K$332,9,FALSE)))</f>
        <v>0</v>
      </c>
      <c r="U22" s="64">
        <f t="shared" si="12"/>
        <v>0</v>
      </c>
      <c r="V22" s="128">
        <f t="shared" si="13"/>
        <v>0</v>
      </c>
      <c r="W22" s="150"/>
      <c r="X22" s="64">
        <f>IFERROR(VLOOKUP($B22,'Allocations 2025-26'!$B$9:$U$329,14,FALSE),0)</f>
        <v>0</v>
      </c>
      <c r="Y22" s="99">
        <f t="shared" si="14"/>
        <v>0</v>
      </c>
      <c r="Z22" s="132">
        <f t="shared" si="15"/>
        <v>0</v>
      </c>
      <c r="AA22" s="151" t="str">
        <f t="shared" si="17"/>
        <v>N</v>
      </c>
      <c r="AC22" t="s">
        <v>501</v>
      </c>
      <c r="AE22" s="152"/>
      <c r="AH22" s="153"/>
      <c r="AI22" s="153"/>
      <c r="AJ22" s="153"/>
      <c r="AK22" s="154"/>
    </row>
    <row r="23" spans="1:37" x14ac:dyDescent="0.25">
      <c r="A23" s="142" t="s">
        <v>446</v>
      </c>
      <c r="B23" t="s">
        <v>474</v>
      </c>
      <c r="C23" t="s">
        <v>23</v>
      </c>
      <c r="D23" s="143">
        <f>IFERROR(VLOOKUP(B23,'Enrollment 26-27'!$B$5:$I$332,8,FALSE),0)</f>
        <v>119.67</v>
      </c>
      <c r="E23" s="64">
        <f t="shared" si="2"/>
        <v>13848</v>
      </c>
      <c r="F23" s="144">
        <v>0</v>
      </c>
      <c r="G23" s="144">
        <v>0</v>
      </c>
      <c r="H23" s="64">
        <f t="shared" si="3"/>
        <v>13848</v>
      </c>
      <c r="I23" s="64">
        <f t="shared" si="4"/>
        <v>0</v>
      </c>
      <c r="J23" s="145">
        <f t="shared" si="5"/>
        <v>13848</v>
      </c>
      <c r="K23" s="146" t="str">
        <f t="shared" si="16"/>
        <v>Y</v>
      </c>
      <c r="L23" s="147">
        <f t="shared" si="6"/>
        <v>0</v>
      </c>
      <c r="M23" s="148">
        <f t="shared" si="7"/>
        <v>119.67</v>
      </c>
      <c r="N23" s="64">
        <f t="shared" si="8"/>
        <v>118</v>
      </c>
      <c r="O23" s="64">
        <f t="shared" si="9"/>
        <v>13966</v>
      </c>
      <c r="Q23" s="104">
        <f t="shared" si="10"/>
        <v>0</v>
      </c>
      <c r="R23" s="104" t="str">
        <f t="shared" si="11"/>
        <v>Not Applicable</v>
      </c>
      <c r="S23" s="149" t="s">
        <v>815</v>
      </c>
      <c r="T23" s="149">
        <f>IF(O23=0,0,IF(S23="N",0,VLOOKUP(B23,'Enrollment 25-26'!$B$8:$K$332,9,FALSE)))</f>
        <v>0</v>
      </c>
      <c r="U23" s="64">
        <f t="shared" si="12"/>
        <v>13966</v>
      </c>
      <c r="V23" s="128">
        <f t="shared" si="13"/>
        <v>116.70427007604245</v>
      </c>
      <c r="W23" s="150"/>
      <c r="X23" s="64">
        <f>IFERROR(VLOOKUP($B23,'Allocations 2025-26'!$B$9:$U$329,14,FALSE),0)</f>
        <v>13178</v>
      </c>
      <c r="Y23" s="99">
        <f t="shared" si="14"/>
        <v>788</v>
      </c>
      <c r="Z23" s="132">
        <f t="shared" si="15"/>
        <v>5.9796630748216728E-2</v>
      </c>
      <c r="AA23" s="151" t="str">
        <f t="shared" si="17"/>
        <v>Y</v>
      </c>
      <c r="AC23"/>
      <c r="AE23" s="152"/>
      <c r="AH23" s="153"/>
      <c r="AI23" s="153"/>
      <c r="AJ23" s="153"/>
      <c r="AK23" s="154"/>
    </row>
    <row r="24" spans="1:37" x14ac:dyDescent="0.25">
      <c r="A24" s="142" t="s">
        <v>438</v>
      </c>
      <c r="B24" t="s">
        <v>476</v>
      </c>
      <c r="C24" t="s">
        <v>24</v>
      </c>
      <c r="D24" s="143">
        <f>IFERROR(VLOOKUP(B24,'Enrollment 26-27'!$B$5:$I$332,8,FALSE),0)</f>
        <v>12.5</v>
      </c>
      <c r="E24" s="64">
        <f t="shared" si="2"/>
        <v>1446</v>
      </c>
      <c r="F24" s="144">
        <v>0</v>
      </c>
      <c r="G24" s="144">
        <v>0</v>
      </c>
      <c r="H24" s="64">
        <f t="shared" si="3"/>
        <v>1446</v>
      </c>
      <c r="I24" s="64">
        <f t="shared" si="4"/>
        <v>0</v>
      </c>
      <c r="J24" s="145">
        <f t="shared" si="5"/>
        <v>1446</v>
      </c>
      <c r="K24" s="146" t="str">
        <f t="shared" si="16"/>
        <v>N</v>
      </c>
      <c r="L24" s="147">
        <f t="shared" si="6"/>
        <v>1446</v>
      </c>
      <c r="M24" s="148">
        <f t="shared" si="7"/>
        <v>0</v>
      </c>
      <c r="N24" s="64">
        <f t="shared" si="8"/>
        <v>0</v>
      </c>
      <c r="O24" s="64">
        <f t="shared" si="9"/>
        <v>0</v>
      </c>
      <c r="Q24" s="104">
        <f t="shared" si="10"/>
        <v>0</v>
      </c>
      <c r="R24" s="104" t="str">
        <f t="shared" si="11"/>
        <v>Not Applicable</v>
      </c>
      <c r="S24" s="149" t="s">
        <v>815</v>
      </c>
      <c r="T24" s="149">
        <f>IF(O24=0,0,IF(S24="N",0,VLOOKUP(B24,'Enrollment 25-26'!$B$8:$K$332,9,FALSE)))</f>
        <v>0</v>
      </c>
      <c r="U24" s="64">
        <f t="shared" si="12"/>
        <v>0</v>
      </c>
      <c r="V24" s="128">
        <f t="shared" si="13"/>
        <v>0</v>
      </c>
      <c r="W24" s="150"/>
      <c r="X24" s="64">
        <f>IFERROR(VLOOKUP($B24,'Allocations 2025-26'!$B$9:$U$329,14,FALSE),0)</f>
        <v>0</v>
      </c>
      <c r="Y24" s="99">
        <f t="shared" si="14"/>
        <v>0</v>
      </c>
      <c r="Z24" s="132">
        <f t="shared" si="15"/>
        <v>0</v>
      </c>
      <c r="AA24" s="151" t="str">
        <f t="shared" si="17"/>
        <v>N</v>
      </c>
      <c r="AC24" t="s">
        <v>455</v>
      </c>
      <c r="AE24" s="152"/>
      <c r="AH24" s="153"/>
      <c r="AI24" s="153"/>
      <c r="AJ24" s="153"/>
      <c r="AK24" s="154"/>
    </row>
    <row r="25" spans="1:37" x14ac:dyDescent="0.25">
      <c r="A25" s="142" t="s">
        <v>478</v>
      </c>
      <c r="B25" t="s">
        <v>479</v>
      </c>
      <c r="C25" t="s">
        <v>25</v>
      </c>
      <c r="D25" s="143">
        <f>IFERROR(VLOOKUP(B25,'Enrollment 26-27'!$B$5:$I$332,8,FALSE),0)</f>
        <v>662.34</v>
      </c>
      <c r="E25" s="64">
        <f t="shared" si="2"/>
        <v>76645</v>
      </c>
      <c r="F25" s="144">
        <v>0</v>
      </c>
      <c r="G25" s="144">
        <v>0</v>
      </c>
      <c r="H25" s="64">
        <f t="shared" si="3"/>
        <v>76645</v>
      </c>
      <c r="I25" s="64">
        <f t="shared" si="4"/>
        <v>0</v>
      </c>
      <c r="J25" s="145">
        <f t="shared" si="5"/>
        <v>76645</v>
      </c>
      <c r="K25" s="146" t="str">
        <f t="shared" si="16"/>
        <v>Y</v>
      </c>
      <c r="L25" s="147">
        <f t="shared" si="6"/>
        <v>0</v>
      </c>
      <c r="M25" s="148">
        <f t="shared" si="7"/>
        <v>662.34</v>
      </c>
      <c r="N25" s="64">
        <f t="shared" si="8"/>
        <v>654</v>
      </c>
      <c r="O25" s="64">
        <f t="shared" si="9"/>
        <v>77299</v>
      </c>
      <c r="Q25" s="104">
        <f t="shared" si="10"/>
        <v>0</v>
      </c>
      <c r="R25" s="104" t="str">
        <f t="shared" si="11"/>
        <v>Not Applicable</v>
      </c>
      <c r="S25" s="149" t="s">
        <v>815</v>
      </c>
      <c r="T25" s="149">
        <f>IF(O25=0,0,IF(S25="N",0,VLOOKUP(B25,'Enrollment 25-26'!$B$8:$K$332,9,FALSE)))</f>
        <v>0</v>
      </c>
      <c r="U25" s="64">
        <f t="shared" si="12"/>
        <v>77299</v>
      </c>
      <c r="V25" s="128">
        <f t="shared" si="13"/>
        <v>116.70592143008122</v>
      </c>
      <c r="W25" s="150"/>
      <c r="X25" s="64">
        <f>IFERROR(VLOOKUP($B25,'Allocations 2025-26'!$B$9:$U$329,14,FALSE),0)</f>
        <v>77110</v>
      </c>
      <c r="Y25" s="99">
        <f t="shared" si="14"/>
        <v>189</v>
      </c>
      <c r="Z25" s="132">
        <f t="shared" si="15"/>
        <v>2.4510439631694981E-3</v>
      </c>
      <c r="AA25" s="151" t="str">
        <f t="shared" si="17"/>
        <v>Y</v>
      </c>
      <c r="AC25" t="s">
        <v>457</v>
      </c>
      <c r="AE25" s="152"/>
      <c r="AH25" s="153"/>
      <c r="AI25" s="153"/>
      <c r="AJ25" s="153"/>
      <c r="AK25" s="154"/>
    </row>
    <row r="26" spans="1:37" x14ac:dyDescent="0.25">
      <c r="A26" s="142" t="s">
        <v>481</v>
      </c>
      <c r="B26" t="s">
        <v>482</v>
      </c>
      <c r="C26" t="s">
        <v>26</v>
      </c>
      <c r="D26" s="143">
        <f>IFERROR(VLOOKUP(B26,'Enrollment 26-27'!$B$5:$I$332,8,FALSE),0)</f>
        <v>387.33000000000004</v>
      </c>
      <c r="E26" s="64">
        <f t="shared" si="2"/>
        <v>44821</v>
      </c>
      <c r="F26" s="144">
        <v>0</v>
      </c>
      <c r="G26" s="144">
        <v>0</v>
      </c>
      <c r="H26" s="64">
        <f t="shared" si="3"/>
        <v>44821</v>
      </c>
      <c r="I26" s="64">
        <f t="shared" si="4"/>
        <v>0</v>
      </c>
      <c r="J26" s="145">
        <f t="shared" si="5"/>
        <v>44821</v>
      </c>
      <c r="K26" s="146" t="str">
        <f t="shared" si="16"/>
        <v>Y</v>
      </c>
      <c r="L26" s="147">
        <f t="shared" si="6"/>
        <v>0</v>
      </c>
      <c r="M26" s="148">
        <f t="shared" si="7"/>
        <v>387.33000000000004</v>
      </c>
      <c r="N26" s="64">
        <f t="shared" si="8"/>
        <v>382</v>
      </c>
      <c r="O26" s="64">
        <f t="shared" si="9"/>
        <v>45203</v>
      </c>
      <c r="Q26" s="104">
        <f t="shared" si="10"/>
        <v>0</v>
      </c>
      <c r="R26" s="104" t="str">
        <f t="shared" si="11"/>
        <v>Not Applicable</v>
      </c>
      <c r="S26" s="149" t="s">
        <v>815</v>
      </c>
      <c r="T26" s="149">
        <f>IF(O26=0,0,IF(S26="N",0,VLOOKUP(B26,'Enrollment 25-26'!$B$8:$K$332,9,FALSE)))</f>
        <v>0</v>
      </c>
      <c r="U26" s="64">
        <f t="shared" si="12"/>
        <v>45203</v>
      </c>
      <c r="V26" s="128">
        <f t="shared" si="13"/>
        <v>116.70410244494357</v>
      </c>
      <c r="W26" s="150"/>
      <c r="X26" s="64">
        <f>IFERROR(VLOOKUP($B26,'Allocations 2025-26'!$B$9:$U$329,14,FALSE),0)</f>
        <v>46306</v>
      </c>
      <c r="Y26" s="99">
        <f t="shared" si="14"/>
        <v>-1103</v>
      </c>
      <c r="Z26" s="132">
        <f t="shared" si="15"/>
        <v>-2.3819807368375589E-2</v>
      </c>
      <c r="AA26" s="151" t="str">
        <f t="shared" si="17"/>
        <v>Y</v>
      </c>
      <c r="AC26"/>
      <c r="AE26" s="152"/>
      <c r="AH26" s="153"/>
      <c r="AI26" s="153"/>
      <c r="AJ26" s="153"/>
      <c r="AK26" s="154"/>
    </row>
    <row r="27" spans="1:37" x14ac:dyDescent="0.25">
      <c r="A27" s="142" t="s">
        <v>481</v>
      </c>
      <c r="B27" t="s">
        <v>485</v>
      </c>
      <c r="C27" t="s">
        <v>27</v>
      </c>
      <c r="D27" s="143">
        <f>IFERROR(VLOOKUP(B27,'Enrollment 26-27'!$B$5:$I$332,8,FALSE),0)</f>
        <v>398.5</v>
      </c>
      <c r="E27" s="64">
        <f t="shared" si="2"/>
        <v>46114</v>
      </c>
      <c r="F27" s="144">
        <v>0</v>
      </c>
      <c r="G27" s="144">
        <v>0</v>
      </c>
      <c r="H27" s="64">
        <f t="shared" si="3"/>
        <v>46114</v>
      </c>
      <c r="I27" s="64">
        <f t="shared" si="4"/>
        <v>0</v>
      </c>
      <c r="J27" s="145">
        <f t="shared" si="5"/>
        <v>46114</v>
      </c>
      <c r="K27" s="146" t="str">
        <f t="shared" si="16"/>
        <v>Y</v>
      </c>
      <c r="L27" s="147">
        <f t="shared" si="6"/>
        <v>0</v>
      </c>
      <c r="M27" s="148">
        <f t="shared" si="7"/>
        <v>398.5</v>
      </c>
      <c r="N27" s="64">
        <f t="shared" si="8"/>
        <v>393</v>
      </c>
      <c r="O27" s="64">
        <f t="shared" si="9"/>
        <v>46507</v>
      </c>
      <c r="Q27" s="104">
        <f t="shared" si="10"/>
        <v>0</v>
      </c>
      <c r="R27" s="104" t="str">
        <f t="shared" si="11"/>
        <v>Not Applicable</v>
      </c>
      <c r="S27" s="149" t="s">
        <v>815</v>
      </c>
      <c r="T27" s="149">
        <f>IF(O27=0,0,IF(S27="N",0,VLOOKUP(B27,'Enrollment 25-26'!$B$8:$K$332,9,FALSE)))</f>
        <v>0</v>
      </c>
      <c r="U27" s="64">
        <f t="shared" si="12"/>
        <v>46507</v>
      </c>
      <c r="V27" s="128">
        <f t="shared" si="13"/>
        <v>116.7051442910916</v>
      </c>
      <c r="W27" s="150"/>
      <c r="X27" s="64">
        <f>IFERROR(VLOOKUP($B27,'Allocations 2025-26'!$B$9:$U$329,14,FALSE),0)</f>
        <v>48843</v>
      </c>
      <c r="Y27" s="99">
        <f t="shared" si="14"/>
        <v>-2336</v>
      </c>
      <c r="Z27" s="132">
        <f t="shared" si="15"/>
        <v>-4.7826710071043957E-2</v>
      </c>
      <c r="AA27" s="151" t="str">
        <f t="shared" si="17"/>
        <v>Y</v>
      </c>
      <c r="AC27" t="s">
        <v>627</v>
      </c>
      <c r="AE27" s="152"/>
      <c r="AH27" s="153"/>
      <c r="AI27" s="153"/>
      <c r="AJ27" s="153"/>
      <c r="AK27" s="154"/>
    </row>
    <row r="28" spans="1:37" x14ac:dyDescent="0.25">
      <c r="A28" s="142" t="s">
        <v>478</v>
      </c>
      <c r="B28" t="s">
        <v>487</v>
      </c>
      <c r="C28" t="s">
        <v>28</v>
      </c>
      <c r="D28" s="143">
        <f>IFERROR(VLOOKUP(B28,'Enrollment 26-27'!$B$5:$I$332,8,FALSE),0)</f>
        <v>1</v>
      </c>
      <c r="E28" s="64">
        <f t="shared" si="2"/>
        <v>116</v>
      </c>
      <c r="F28" s="144">
        <v>0</v>
      </c>
      <c r="G28" s="144">
        <v>0</v>
      </c>
      <c r="H28" s="64">
        <f t="shared" si="3"/>
        <v>116</v>
      </c>
      <c r="I28" s="64">
        <f t="shared" si="4"/>
        <v>0</v>
      </c>
      <c r="J28" s="145">
        <f t="shared" si="5"/>
        <v>116</v>
      </c>
      <c r="K28" s="146" t="str">
        <f t="shared" si="16"/>
        <v>N</v>
      </c>
      <c r="L28" s="147">
        <f t="shared" si="6"/>
        <v>116</v>
      </c>
      <c r="M28" s="148">
        <f t="shared" si="7"/>
        <v>0</v>
      </c>
      <c r="N28" s="64">
        <f t="shared" si="8"/>
        <v>0</v>
      </c>
      <c r="O28" s="64">
        <f t="shared" si="9"/>
        <v>0</v>
      </c>
      <c r="Q28" s="104">
        <f t="shared" si="10"/>
        <v>0</v>
      </c>
      <c r="R28" s="104" t="str">
        <f t="shared" si="11"/>
        <v>Not Applicable</v>
      </c>
      <c r="S28" s="149" t="s">
        <v>815</v>
      </c>
      <c r="T28" s="149">
        <f>IF(O28=0,0,IF(S28="N",0,VLOOKUP(B28,'Enrollment 25-26'!$B$8:$K$332,9,FALSE)))</f>
        <v>0</v>
      </c>
      <c r="U28" s="64">
        <f t="shared" si="12"/>
        <v>0</v>
      </c>
      <c r="V28" s="128">
        <f t="shared" si="13"/>
        <v>0</v>
      </c>
      <c r="W28" s="150"/>
      <c r="X28" s="64">
        <f>IFERROR(VLOOKUP($B28,'Allocations 2025-26'!$B$9:$U$329,14,FALSE),0)</f>
        <v>0</v>
      </c>
      <c r="Y28" s="99">
        <f t="shared" si="14"/>
        <v>0</v>
      </c>
      <c r="Z28" s="132">
        <f t="shared" si="15"/>
        <v>0</v>
      </c>
      <c r="AA28" s="151" t="str">
        <f t="shared" si="17"/>
        <v>N</v>
      </c>
      <c r="AC28" t="s">
        <v>492</v>
      </c>
      <c r="AE28" s="152"/>
      <c r="AH28" s="153"/>
      <c r="AI28" s="153"/>
      <c r="AJ28" s="153"/>
      <c r="AK28" s="154"/>
    </row>
    <row r="29" spans="1:37" x14ac:dyDescent="0.25">
      <c r="A29" s="142" t="s">
        <v>446</v>
      </c>
      <c r="B29" t="s">
        <v>489</v>
      </c>
      <c r="C29" t="s">
        <v>29</v>
      </c>
      <c r="D29" s="143">
        <f>IFERROR(VLOOKUP(B29,'Enrollment 26-27'!$B$5:$I$332,8,FALSE),0)</f>
        <v>752.5</v>
      </c>
      <c r="E29" s="64">
        <f t="shared" si="2"/>
        <v>87078</v>
      </c>
      <c r="F29" s="144">
        <v>0</v>
      </c>
      <c r="G29" s="144">
        <v>0</v>
      </c>
      <c r="H29" s="64">
        <f t="shared" si="3"/>
        <v>87078</v>
      </c>
      <c r="I29" s="64">
        <f t="shared" si="4"/>
        <v>0</v>
      </c>
      <c r="J29" s="145">
        <f t="shared" si="5"/>
        <v>87078</v>
      </c>
      <c r="K29" s="146" t="str">
        <f t="shared" si="16"/>
        <v>Y</v>
      </c>
      <c r="L29" s="147">
        <f t="shared" si="6"/>
        <v>0</v>
      </c>
      <c r="M29" s="148">
        <f t="shared" si="7"/>
        <v>752.5</v>
      </c>
      <c r="N29" s="64">
        <f t="shared" si="8"/>
        <v>743</v>
      </c>
      <c r="O29" s="64">
        <f t="shared" si="9"/>
        <v>87821</v>
      </c>
      <c r="Q29" s="104">
        <f t="shared" si="10"/>
        <v>0</v>
      </c>
      <c r="R29" s="104" t="str">
        <f t="shared" si="11"/>
        <v>Not Applicable</v>
      </c>
      <c r="S29" s="149" t="s">
        <v>815</v>
      </c>
      <c r="T29" s="149">
        <f>IF(O29=0,0,IF(S29="N",0,VLOOKUP(B29,'Enrollment 25-26'!$B$8:$K$332,9,FALSE)))</f>
        <v>0</v>
      </c>
      <c r="U29" s="64">
        <f t="shared" si="12"/>
        <v>87821</v>
      </c>
      <c r="V29" s="128">
        <f t="shared" si="13"/>
        <v>116.70564784053155</v>
      </c>
      <c r="W29" s="150"/>
      <c r="X29" s="64">
        <f>IFERROR(VLOOKUP($B29,'Allocations 2025-26'!$B$9:$U$329,14,FALSE),0)</f>
        <v>94251</v>
      </c>
      <c r="Y29" s="99">
        <f t="shared" si="14"/>
        <v>-6430</v>
      </c>
      <c r="Z29" s="132">
        <f t="shared" si="15"/>
        <v>-6.8222087829306846E-2</v>
      </c>
      <c r="AA29" s="151" t="str">
        <f t="shared" si="17"/>
        <v>Y</v>
      </c>
      <c r="AC29"/>
      <c r="AE29" s="152"/>
      <c r="AH29" s="153"/>
      <c r="AI29" s="153"/>
      <c r="AJ29" s="153"/>
      <c r="AK29" s="154"/>
    </row>
    <row r="30" spans="1:37" x14ac:dyDescent="0.25">
      <c r="A30" s="142" t="s">
        <v>459</v>
      </c>
      <c r="B30" t="s">
        <v>491</v>
      </c>
      <c r="C30" t="s">
        <v>30</v>
      </c>
      <c r="D30" s="143">
        <f>IFERROR(VLOOKUP(B30,'Enrollment 26-27'!$B$5:$I$332,8,FALSE),0)</f>
        <v>289.16000000000003</v>
      </c>
      <c r="E30" s="64">
        <f t="shared" si="2"/>
        <v>33461</v>
      </c>
      <c r="F30" s="144">
        <v>0</v>
      </c>
      <c r="G30" s="144">
        <v>0</v>
      </c>
      <c r="H30" s="64">
        <f t="shared" si="3"/>
        <v>33461</v>
      </c>
      <c r="I30" s="64">
        <f t="shared" si="4"/>
        <v>0</v>
      </c>
      <c r="J30" s="145">
        <f t="shared" si="5"/>
        <v>33461</v>
      </c>
      <c r="K30" s="146" t="str">
        <f t="shared" si="16"/>
        <v>Y</v>
      </c>
      <c r="L30" s="147">
        <f t="shared" si="6"/>
        <v>0</v>
      </c>
      <c r="M30" s="148">
        <f t="shared" si="7"/>
        <v>289.16000000000003</v>
      </c>
      <c r="N30" s="64">
        <f t="shared" si="8"/>
        <v>285</v>
      </c>
      <c r="O30" s="64">
        <f t="shared" si="9"/>
        <v>33746</v>
      </c>
      <c r="Q30" s="104">
        <f t="shared" si="10"/>
        <v>0</v>
      </c>
      <c r="R30" s="104" t="str">
        <f t="shared" si="11"/>
        <v>Not Applicable</v>
      </c>
      <c r="S30" s="149" t="s">
        <v>815</v>
      </c>
      <c r="T30" s="149">
        <f>IF(O30=0,0,IF(S30="N",0,VLOOKUP(B30,'Enrollment 25-26'!$B$8:$K$332,9,FALSE)))</f>
        <v>0</v>
      </c>
      <c r="U30" s="64">
        <f t="shared" si="12"/>
        <v>33746</v>
      </c>
      <c r="V30" s="128">
        <f t="shared" si="13"/>
        <v>116.70355512519019</v>
      </c>
      <c r="W30" s="150"/>
      <c r="X30" s="64">
        <f>IFERROR(VLOOKUP($B30,'Allocations 2025-26'!$B$9:$U$329,14,FALSE),0)</f>
        <v>33557</v>
      </c>
      <c r="Y30" s="99">
        <f t="shared" si="14"/>
        <v>189</v>
      </c>
      <c r="Z30" s="132">
        <f t="shared" si="15"/>
        <v>5.6322078850910388E-3</v>
      </c>
      <c r="AA30" s="151" t="str">
        <f t="shared" si="17"/>
        <v>Y</v>
      </c>
      <c r="AC30" t="s">
        <v>578</v>
      </c>
      <c r="AE30" s="152"/>
      <c r="AH30" s="153"/>
      <c r="AI30" s="153"/>
      <c r="AJ30" s="153"/>
      <c r="AK30" s="154"/>
    </row>
    <row r="31" spans="1:37" x14ac:dyDescent="0.25">
      <c r="A31" s="142" t="s">
        <v>478</v>
      </c>
      <c r="B31" t="s">
        <v>493</v>
      </c>
      <c r="C31" t="s">
        <v>31</v>
      </c>
      <c r="D31" s="143">
        <f>IFERROR(VLOOKUP(B31,'Enrollment 26-27'!$B$5:$I$332,8,FALSE),0)</f>
        <v>0.67</v>
      </c>
      <c r="E31" s="64">
        <f t="shared" si="2"/>
        <v>78</v>
      </c>
      <c r="F31" s="144">
        <v>0</v>
      </c>
      <c r="G31" s="144">
        <v>0</v>
      </c>
      <c r="H31" s="64">
        <f t="shared" si="3"/>
        <v>78</v>
      </c>
      <c r="I31" s="64">
        <f t="shared" si="4"/>
        <v>0</v>
      </c>
      <c r="J31" s="145">
        <f t="shared" si="5"/>
        <v>78</v>
      </c>
      <c r="K31" s="146" t="str">
        <f t="shared" si="16"/>
        <v>N</v>
      </c>
      <c r="L31" s="147">
        <f t="shared" si="6"/>
        <v>78</v>
      </c>
      <c r="M31" s="148">
        <f t="shared" si="7"/>
        <v>0</v>
      </c>
      <c r="N31" s="64">
        <f t="shared" si="8"/>
        <v>0</v>
      </c>
      <c r="O31" s="64">
        <f t="shared" si="9"/>
        <v>0</v>
      </c>
      <c r="Q31" s="104">
        <f t="shared" si="10"/>
        <v>0</v>
      </c>
      <c r="R31" s="104" t="str">
        <f t="shared" si="11"/>
        <v>Not Applicable</v>
      </c>
      <c r="S31" s="149" t="s">
        <v>815</v>
      </c>
      <c r="T31" s="149">
        <f>IF(O31=0,0,IF(S31="N",0,VLOOKUP(B31,'Enrollment 25-26'!$B$8:$K$332,9,FALSE)))</f>
        <v>0</v>
      </c>
      <c r="U31" s="64">
        <f t="shared" si="12"/>
        <v>0</v>
      </c>
      <c r="V31" s="128">
        <f t="shared" si="13"/>
        <v>0</v>
      </c>
      <c r="W31" s="150"/>
      <c r="X31" s="64">
        <f>IFERROR(VLOOKUP($B31,'Allocations 2025-26'!$B$9:$U$329,14,FALSE),0)</f>
        <v>0</v>
      </c>
      <c r="Y31" s="99">
        <f t="shared" si="14"/>
        <v>0</v>
      </c>
      <c r="Z31" s="132">
        <f t="shared" si="15"/>
        <v>0</v>
      </c>
      <c r="AA31" s="151" t="str">
        <f t="shared" si="17"/>
        <v>N</v>
      </c>
      <c r="AC31" t="s">
        <v>483</v>
      </c>
      <c r="AE31" s="152"/>
      <c r="AH31" s="153"/>
      <c r="AI31" s="153"/>
      <c r="AJ31" s="153"/>
      <c r="AK31" s="154"/>
    </row>
    <row r="32" spans="1:37" x14ac:dyDescent="0.25">
      <c r="A32" s="142" t="s">
        <v>454</v>
      </c>
      <c r="B32" t="s">
        <v>495</v>
      </c>
      <c r="C32" t="s">
        <v>32</v>
      </c>
      <c r="D32" s="143">
        <f>IFERROR(VLOOKUP(B32,'Enrollment 26-27'!$B$5:$I$332,8,FALSE),0)</f>
        <v>0</v>
      </c>
      <c r="E32" s="64">
        <f t="shared" si="2"/>
        <v>0</v>
      </c>
      <c r="F32" s="144">
        <v>0</v>
      </c>
      <c r="G32" s="144">
        <v>0</v>
      </c>
      <c r="H32" s="64">
        <f t="shared" si="3"/>
        <v>0</v>
      </c>
      <c r="I32" s="64">
        <f t="shared" si="4"/>
        <v>0</v>
      </c>
      <c r="J32" s="145">
        <f t="shared" si="5"/>
        <v>0</v>
      </c>
      <c r="K32" s="146" t="str">
        <f t="shared" si="16"/>
        <v>N</v>
      </c>
      <c r="L32" s="147">
        <f t="shared" si="6"/>
        <v>0</v>
      </c>
      <c r="M32" s="148">
        <f t="shared" si="7"/>
        <v>0</v>
      </c>
      <c r="N32" s="64">
        <f t="shared" si="8"/>
        <v>0</v>
      </c>
      <c r="O32" s="64">
        <f t="shared" si="9"/>
        <v>0</v>
      </c>
      <c r="Q32" s="104">
        <f t="shared" si="10"/>
        <v>0</v>
      </c>
      <c r="R32" s="104" t="str">
        <f t="shared" si="11"/>
        <v>Not Applicable</v>
      </c>
      <c r="S32" s="149" t="s">
        <v>815</v>
      </c>
      <c r="T32" s="149">
        <f>IF(O32=0,0,IF(S32="N",0,VLOOKUP(B32,'Enrollment 25-26'!$B$8:$K$332,9,FALSE)))</f>
        <v>0</v>
      </c>
      <c r="U32" s="64">
        <f t="shared" si="12"/>
        <v>0</v>
      </c>
      <c r="V32" s="128">
        <f t="shared" si="13"/>
        <v>0</v>
      </c>
      <c r="W32" s="150"/>
      <c r="X32" s="64">
        <f>IFERROR(VLOOKUP($B32,'Allocations 2025-26'!$B$9:$U$329,14,FALSE),0)</f>
        <v>0</v>
      </c>
      <c r="Y32" s="99">
        <f t="shared" si="14"/>
        <v>0</v>
      </c>
      <c r="Z32" s="132">
        <f t="shared" si="15"/>
        <v>0</v>
      </c>
      <c r="AA32" s="151" t="str">
        <f t="shared" si="17"/>
        <v>N</v>
      </c>
      <c r="AC32" t="s">
        <v>464</v>
      </c>
      <c r="AE32" s="152"/>
      <c r="AH32" s="153"/>
      <c r="AI32" s="153"/>
      <c r="AJ32" s="153"/>
      <c r="AK32" s="154"/>
    </row>
    <row r="33" spans="1:37" x14ac:dyDescent="0.25">
      <c r="A33" s="142" t="s">
        <v>481</v>
      </c>
      <c r="B33" t="s">
        <v>496</v>
      </c>
      <c r="C33" t="s">
        <v>33</v>
      </c>
      <c r="D33" s="143">
        <f>IFERROR(VLOOKUP(B33,'Enrollment 26-27'!$B$5:$I$332,8,FALSE),0)</f>
        <v>137.17000000000002</v>
      </c>
      <c r="E33" s="64">
        <f t="shared" si="2"/>
        <v>15873</v>
      </c>
      <c r="F33" s="144">
        <v>0</v>
      </c>
      <c r="G33" s="144">
        <v>0</v>
      </c>
      <c r="H33" s="64">
        <f t="shared" si="3"/>
        <v>15873</v>
      </c>
      <c r="I33" s="64">
        <f t="shared" si="4"/>
        <v>0</v>
      </c>
      <c r="J33" s="145">
        <f t="shared" si="5"/>
        <v>15873</v>
      </c>
      <c r="K33" s="146" t="str">
        <f t="shared" si="16"/>
        <v>Y</v>
      </c>
      <c r="L33" s="147">
        <f t="shared" si="6"/>
        <v>0</v>
      </c>
      <c r="M33" s="148">
        <f t="shared" si="7"/>
        <v>137.17000000000002</v>
      </c>
      <c r="N33" s="64">
        <f t="shared" si="8"/>
        <v>135</v>
      </c>
      <c r="O33" s="64">
        <f t="shared" si="9"/>
        <v>16008</v>
      </c>
      <c r="Q33" s="104">
        <f t="shared" si="10"/>
        <v>0</v>
      </c>
      <c r="R33" s="104" t="str">
        <f t="shared" si="11"/>
        <v>Not Applicable</v>
      </c>
      <c r="S33" s="149" t="s">
        <v>815</v>
      </c>
      <c r="T33" s="149">
        <f>IF(O33=0,0,IF(S33="N",0,VLOOKUP(B33,'Enrollment 25-26'!$B$8:$K$332,9,FALSE)))</f>
        <v>0</v>
      </c>
      <c r="U33" s="64">
        <f t="shared" si="12"/>
        <v>16008</v>
      </c>
      <c r="V33" s="128">
        <f t="shared" si="13"/>
        <v>116.70190274841437</v>
      </c>
      <c r="W33" s="150"/>
      <c r="X33" s="64">
        <f>IFERROR(VLOOKUP($B33,'Allocations 2025-26'!$B$9:$U$329,14,FALSE),0)</f>
        <v>15948</v>
      </c>
      <c r="Y33" s="99">
        <f t="shared" si="14"/>
        <v>60</v>
      </c>
      <c r="Z33" s="132">
        <f t="shared" si="15"/>
        <v>3.7622272385252069E-3</v>
      </c>
      <c r="AA33" s="151" t="str">
        <f t="shared" si="17"/>
        <v>Y</v>
      </c>
      <c r="AC33" t="s">
        <v>461</v>
      </c>
      <c r="AE33" s="152"/>
      <c r="AH33" s="153"/>
      <c r="AI33" s="153"/>
      <c r="AJ33" s="153"/>
      <c r="AK33" s="154"/>
    </row>
    <row r="34" spans="1:37" x14ac:dyDescent="0.25">
      <c r="A34" s="142" t="s">
        <v>481</v>
      </c>
      <c r="B34" t="s">
        <v>500</v>
      </c>
      <c r="C34" t="s">
        <v>34</v>
      </c>
      <c r="D34" s="143">
        <f>IFERROR(VLOOKUP(B34,'Enrollment 26-27'!$B$5:$I$332,8,FALSE),0)</f>
        <v>175.16</v>
      </c>
      <c r="E34" s="64">
        <f t="shared" si="2"/>
        <v>20269</v>
      </c>
      <c r="F34" s="144">
        <v>0</v>
      </c>
      <c r="G34" s="144">
        <v>0</v>
      </c>
      <c r="H34" s="64">
        <f t="shared" si="3"/>
        <v>20269</v>
      </c>
      <c r="I34" s="64">
        <f t="shared" si="4"/>
        <v>0</v>
      </c>
      <c r="J34" s="145">
        <f t="shared" si="5"/>
        <v>20269</v>
      </c>
      <c r="K34" s="146" t="str">
        <f t="shared" si="16"/>
        <v>Y</v>
      </c>
      <c r="L34" s="147">
        <f t="shared" si="6"/>
        <v>0</v>
      </c>
      <c r="M34" s="148">
        <f t="shared" si="7"/>
        <v>175.16</v>
      </c>
      <c r="N34" s="64">
        <f t="shared" si="8"/>
        <v>173</v>
      </c>
      <c r="O34" s="64">
        <f t="shared" si="9"/>
        <v>20442</v>
      </c>
      <c r="Q34" s="104">
        <f t="shared" si="10"/>
        <v>0</v>
      </c>
      <c r="R34" s="104" t="str">
        <f t="shared" si="11"/>
        <v>Not Applicable</v>
      </c>
      <c r="S34" s="149" t="s">
        <v>815</v>
      </c>
      <c r="T34" s="149">
        <f>IF(O34=0,0,IF(S34="N",0,VLOOKUP(B34,'Enrollment 25-26'!$B$8:$K$332,9,FALSE)))</f>
        <v>0</v>
      </c>
      <c r="U34" s="64">
        <f t="shared" si="12"/>
        <v>20442</v>
      </c>
      <c r="V34" s="128">
        <f t="shared" si="13"/>
        <v>116.70472710664535</v>
      </c>
      <c r="W34" s="150"/>
      <c r="X34" s="64">
        <f>IFERROR(VLOOKUP($B34,'Allocations 2025-26'!$B$9:$U$329,14,FALSE),0)</f>
        <v>21727</v>
      </c>
      <c r="Y34" s="99">
        <f t="shared" si="14"/>
        <v>-1285</v>
      </c>
      <c r="Z34" s="132">
        <f t="shared" si="15"/>
        <v>-5.9143001795001614E-2</v>
      </c>
      <c r="AA34" s="151" t="str">
        <f t="shared" si="17"/>
        <v>Y</v>
      </c>
      <c r="AC34" t="s">
        <v>801</v>
      </c>
      <c r="AE34" s="152"/>
      <c r="AH34" s="153"/>
      <c r="AI34" s="153"/>
      <c r="AJ34" s="153"/>
      <c r="AK34" s="154"/>
    </row>
    <row r="35" spans="1:37" x14ac:dyDescent="0.25">
      <c r="A35" s="142" t="s">
        <v>459</v>
      </c>
      <c r="B35" t="s">
        <v>501</v>
      </c>
      <c r="C35" t="s">
        <v>35</v>
      </c>
      <c r="D35" s="143">
        <f>IFERROR(VLOOKUP(B35,'Enrollment 26-27'!$B$5:$I$332,8,FALSE),0)</f>
        <v>25</v>
      </c>
      <c r="E35" s="64">
        <f t="shared" si="2"/>
        <v>2893</v>
      </c>
      <c r="F35" s="144">
        <v>0</v>
      </c>
      <c r="G35" s="144">
        <v>0</v>
      </c>
      <c r="H35" s="64">
        <f t="shared" si="3"/>
        <v>2893</v>
      </c>
      <c r="I35" s="64">
        <f t="shared" si="4"/>
        <v>0</v>
      </c>
      <c r="J35" s="145">
        <f t="shared" si="5"/>
        <v>2893</v>
      </c>
      <c r="K35" s="146" t="str">
        <f t="shared" si="16"/>
        <v>C</v>
      </c>
      <c r="L35" s="147">
        <f t="shared" si="6"/>
        <v>0</v>
      </c>
      <c r="M35" s="148">
        <f t="shared" si="7"/>
        <v>25</v>
      </c>
      <c r="N35" s="64">
        <f t="shared" si="8"/>
        <v>25</v>
      </c>
      <c r="O35" s="64">
        <f t="shared" si="9"/>
        <v>2918</v>
      </c>
      <c r="Q35" s="104">
        <f t="shared" si="10"/>
        <v>0</v>
      </c>
      <c r="R35" s="104" t="str">
        <f t="shared" si="11"/>
        <v>Not Applicable</v>
      </c>
      <c r="S35" s="149" t="s">
        <v>815</v>
      </c>
      <c r="T35" s="149">
        <f>IF(O35=0,0,IF(S35="N",0,VLOOKUP(B35,'Enrollment 25-26'!$B$8:$K$332,9,FALSE)))</f>
        <v>0</v>
      </c>
      <c r="U35" s="64">
        <f t="shared" si="12"/>
        <v>2918</v>
      </c>
      <c r="V35" s="128">
        <f t="shared" si="13"/>
        <v>116.72</v>
      </c>
      <c r="W35" s="150"/>
      <c r="X35" s="64">
        <f>IFERROR(VLOOKUP($B35,'Allocations 2025-26'!$B$9:$U$329,14,FALSE),0)</f>
        <v>2851</v>
      </c>
      <c r="Y35" s="99">
        <f t="shared" si="14"/>
        <v>67</v>
      </c>
      <c r="Z35" s="132">
        <f t="shared" si="15"/>
        <v>2.3500526131182042E-2</v>
      </c>
      <c r="AA35" s="151" t="str">
        <f t="shared" si="17"/>
        <v>C</v>
      </c>
      <c r="AC35"/>
      <c r="AE35" s="152"/>
      <c r="AH35" s="153"/>
      <c r="AI35" s="153"/>
      <c r="AJ35" s="153"/>
      <c r="AK35" s="154"/>
    </row>
    <row r="36" spans="1:37" x14ac:dyDescent="0.25">
      <c r="A36" s="142" t="s">
        <v>497</v>
      </c>
      <c r="B36" t="s">
        <v>502</v>
      </c>
      <c r="C36" t="s">
        <v>503</v>
      </c>
      <c r="D36" s="143">
        <f>IFERROR(VLOOKUP(B36,'Enrollment 26-27'!$B$5:$I$332,8,FALSE),0)</f>
        <v>7.0676346153846152</v>
      </c>
      <c r="E36" s="64">
        <f t="shared" si="2"/>
        <v>818</v>
      </c>
      <c r="F36" s="144">
        <v>0</v>
      </c>
      <c r="G36" s="144">
        <v>0</v>
      </c>
      <c r="H36" s="64">
        <f t="shared" si="3"/>
        <v>818</v>
      </c>
      <c r="I36" s="64">
        <f t="shared" si="4"/>
        <v>0</v>
      </c>
      <c r="J36" s="145">
        <f t="shared" si="5"/>
        <v>818</v>
      </c>
      <c r="K36" s="146" t="str">
        <f t="shared" si="16"/>
        <v>N</v>
      </c>
      <c r="L36" s="147">
        <f t="shared" si="6"/>
        <v>818</v>
      </c>
      <c r="M36" s="148">
        <f t="shared" si="7"/>
        <v>0</v>
      </c>
      <c r="N36" s="64">
        <f t="shared" si="8"/>
        <v>0</v>
      </c>
      <c r="O36" s="64">
        <f t="shared" si="9"/>
        <v>0</v>
      </c>
      <c r="Q36" s="104">
        <f t="shared" si="10"/>
        <v>0</v>
      </c>
      <c r="R36" s="104" t="str">
        <f t="shared" si="11"/>
        <v>Not Applicable</v>
      </c>
      <c r="S36" s="149" t="s">
        <v>815</v>
      </c>
      <c r="T36" s="149">
        <f>IF(O36=0,0,IF(S36="N",0,VLOOKUP(B36,'Enrollment 25-26'!$B$8:$K$332,9,FALSE)))</f>
        <v>0</v>
      </c>
      <c r="U36" s="64">
        <f t="shared" si="12"/>
        <v>0</v>
      </c>
      <c r="V36" s="128">
        <f t="shared" si="13"/>
        <v>0</v>
      </c>
      <c r="W36" s="150"/>
      <c r="X36" s="64">
        <f>IFERROR(VLOOKUP($B36,'Allocations 2025-26'!$B$9:$U$329,14,FALSE),0)</f>
        <v>0</v>
      </c>
      <c r="Y36" s="99">
        <f t="shared" si="14"/>
        <v>0</v>
      </c>
      <c r="Z36" s="132">
        <f t="shared" si="15"/>
        <v>0</v>
      </c>
      <c r="AA36" s="151" t="str">
        <f t="shared" si="17"/>
        <v>N</v>
      </c>
      <c r="AC36" t="s">
        <v>470</v>
      </c>
      <c r="AE36" s="152"/>
      <c r="AH36" s="153"/>
      <c r="AI36" s="153"/>
      <c r="AJ36" s="153"/>
      <c r="AK36" s="154"/>
    </row>
    <row r="37" spans="1:37" x14ac:dyDescent="0.25">
      <c r="A37" s="142" t="s">
        <v>459</v>
      </c>
      <c r="B37" t="s">
        <v>504</v>
      </c>
      <c r="C37" t="s">
        <v>37</v>
      </c>
      <c r="D37" s="143">
        <f>IFERROR(VLOOKUP(B37,'Enrollment 26-27'!$B$5:$I$332,8,FALSE),0)</f>
        <v>1.33</v>
      </c>
      <c r="E37" s="64">
        <f t="shared" si="2"/>
        <v>154</v>
      </c>
      <c r="F37" s="144">
        <v>0</v>
      </c>
      <c r="G37" s="144">
        <v>0</v>
      </c>
      <c r="H37" s="64">
        <f t="shared" si="3"/>
        <v>154</v>
      </c>
      <c r="I37" s="64">
        <f t="shared" si="4"/>
        <v>0</v>
      </c>
      <c r="J37" s="145">
        <f t="shared" si="5"/>
        <v>154</v>
      </c>
      <c r="K37" s="146" t="str">
        <f t="shared" si="16"/>
        <v>N</v>
      </c>
      <c r="L37" s="147">
        <f t="shared" si="6"/>
        <v>154</v>
      </c>
      <c r="M37" s="148">
        <f t="shared" si="7"/>
        <v>0</v>
      </c>
      <c r="N37" s="64">
        <f t="shared" si="8"/>
        <v>0</v>
      </c>
      <c r="O37" s="64">
        <f t="shared" si="9"/>
        <v>0</v>
      </c>
      <c r="Q37" s="104">
        <f t="shared" si="10"/>
        <v>0</v>
      </c>
      <c r="R37" s="104" t="str">
        <f t="shared" si="11"/>
        <v>Not Applicable</v>
      </c>
      <c r="S37" s="149" t="s">
        <v>815</v>
      </c>
      <c r="T37" s="149">
        <f>IF(O37=0,0,IF(S37="N",0,VLOOKUP(B37,'Enrollment 25-26'!$B$8:$K$332,9,FALSE)))</f>
        <v>0</v>
      </c>
      <c r="U37" s="64">
        <f t="shared" si="12"/>
        <v>0</v>
      </c>
      <c r="V37" s="128">
        <f t="shared" si="13"/>
        <v>0</v>
      </c>
      <c r="W37" s="150"/>
      <c r="X37" s="64">
        <f>IFERROR(VLOOKUP($B37,'Allocations 2025-26'!$B$9:$U$329,14,FALSE),0)</f>
        <v>0</v>
      </c>
      <c r="Y37" s="99">
        <f t="shared" si="14"/>
        <v>0</v>
      </c>
      <c r="Z37" s="132">
        <f t="shared" si="15"/>
        <v>0</v>
      </c>
      <c r="AA37" s="151" t="str">
        <f t="shared" si="17"/>
        <v>N</v>
      </c>
      <c r="AC37" t="s">
        <v>468</v>
      </c>
      <c r="AE37" s="152"/>
      <c r="AH37" s="153"/>
      <c r="AI37" s="153"/>
      <c r="AJ37" s="153"/>
      <c r="AK37" s="154"/>
    </row>
    <row r="38" spans="1:37" x14ac:dyDescent="0.25">
      <c r="A38" s="142" t="s">
        <v>478</v>
      </c>
      <c r="B38" t="s">
        <v>505</v>
      </c>
      <c r="C38" t="s">
        <v>38</v>
      </c>
      <c r="D38" s="143">
        <f>IFERROR(VLOOKUP(B38,'Enrollment 26-27'!$B$5:$I$332,8,FALSE),0)</f>
        <v>475.65999999999997</v>
      </c>
      <c r="E38" s="64">
        <f t="shared" si="2"/>
        <v>55042</v>
      </c>
      <c r="F38" s="144">
        <v>0</v>
      </c>
      <c r="G38" s="144">
        <v>0</v>
      </c>
      <c r="H38" s="64">
        <f t="shared" si="3"/>
        <v>55042</v>
      </c>
      <c r="I38" s="64">
        <f t="shared" si="4"/>
        <v>0</v>
      </c>
      <c r="J38" s="145">
        <f t="shared" si="5"/>
        <v>55042</v>
      </c>
      <c r="K38" s="146" t="str">
        <f t="shared" si="16"/>
        <v>Y</v>
      </c>
      <c r="L38" s="147">
        <f t="shared" si="6"/>
        <v>0</v>
      </c>
      <c r="M38" s="148">
        <f t="shared" si="7"/>
        <v>475.65999999999997</v>
      </c>
      <c r="N38" s="64">
        <f t="shared" si="8"/>
        <v>470</v>
      </c>
      <c r="O38" s="64">
        <f t="shared" si="9"/>
        <v>55512</v>
      </c>
      <c r="Q38" s="104">
        <f t="shared" si="10"/>
        <v>0</v>
      </c>
      <c r="R38" s="104" t="str">
        <f t="shared" si="11"/>
        <v>Not Applicable</v>
      </c>
      <c r="S38" s="149" t="s">
        <v>815</v>
      </c>
      <c r="T38" s="149">
        <f>IF(O38=0,0,IF(S38="N",0,VLOOKUP(B38,'Enrollment 25-26'!$B$8:$K$332,9,FALSE)))</f>
        <v>0</v>
      </c>
      <c r="U38" s="64">
        <f t="shared" si="12"/>
        <v>55512</v>
      </c>
      <c r="V38" s="128">
        <f t="shared" si="13"/>
        <v>116.7052096034983</v>
      </c>
      <c r="W38" s="150"/>
      <c r="X38" s="64">
        <f>IFERROR(VLOOKUP($B38,'Allocations 2025-26'!$B$9:$U$329,14,FALSE),0)</f>
        <v>60927</v>
      </c>
      <c r="Y38" s="99">
        <f t="shared" si="14"/>
        <v>-5415</v>
      </c>
      <c r="Z38" s="132">
        <f t="shared" si="15"/>
        <v>-8.887685262691418E-2</v>
      </c>
      <c r="AA38" s="151" t="str">
        <f t="shared" si="17"/>
        <v>Y</v>
      </c>
      <c r="AC38"/>
      <c r="AE38" s="152"/>
      <c r="AH38" s="153"/>
      <c r="AI38" s="153"/>
      <c r="AJ38" s="153"/>
      <c r="AK38" s="154"/>
    </row>
    <row r="39" spans="1:37" x14ac:dyDescent="0.25">
      <c r="A39" s="142" t="s">
        <v>443</v>
      </c>
      <c r="B39" t="s">
        <v>506</v>
      </c>
      <c r="C39" t="s">
        <v>39</v>
      </c>
      <c r="D39" s="143">
        <f>IFERROR(VLOOKUP(B39,'Enrollment 26-27'!$B$5:$I$332,8,FALSE),0)</f>
        <v>921.49333333333334</v>
      </c>
      <c r="E39" s="64">
        <f t="shared" si="2"/>
        <v>106633</v>
      </c>
      <c r="F39" s="144">
        <v>0</v>
      </c>
      <c r="G39" s="144">
        <v>0</v>
      </c>
      <c r="H39" s="64">
        <f t="shared" si="3"/>
        <v>106633</v>
      </c>
      <c r="I39" s="64">
        <f t="shared" si="4"/>
        <v>0</v>
      </c>
      <c r="J39" s="145">
        <f t="shared" si="5"/>
        <v>106633</v>
      </c>
      <c r="K39" s="146" t="str">
        <f t="shared" si="16"/>
        <v>Y</v>
      </c>
      <c r="L39" s="147">
        <f t="shared" si="6"/>
        <v>0</v>
      </c>
      <c r="M39" s="148">
        <f t="shared" si="7"/>
        <v>921.49333333333334</v>
      </c>
      <c r="N39" s="64">
        <f t="shared" si="8"/>
        <v>910</v>
      </c>
      <c r="O39" s="64">
        <f t="shared" si="9"/>
        <v>107543</v>
      </c>
      <c r="Q39" s="104">
        <f t="shared" si="10"/>
        <v>0</v>
      </c>
      <c r="R39" s="104" t="str">
        <f t="shared" si="11"/>
        <v>Not Applicable</v>
      </c>
      <c r="S39" s="149" t="s">
        <v>815</v>
      </c>
      <c r="T39" s="149">
        <f>IF(O39=0,0,IF(S39="N",0,VLOOKUP(B39,'Enrollment 25-26'!$B$8:$K$332,9,FALSE)))</f>
        <v>0</v>
      </c>
      <c r="U39" s="64">
        <f t="shared" si="12"/>
        <v>107543</v>
      </c>
      <c r="V39" s="128">
        <f t="shared" si="13"/>
        <v>116.70513080217617</v>
      </c>
      <c r="W39" s="150"/>
      <c r="X39" s="64">
        <f>IFERROR(VLOOKUP($B39,'Allocations 2025-26'!$B$9:$U$329,14,FALSE),0)</f>
        <v>110004</v>
      </c>
      <c r="Y39" s="99">
        <f t="shared" si="14"/>
        <v>-2461</v>
      </c>
      <c r="Z39" s="132">
        <f t="shared" si="15"/>
        <v>-2.237191374859096E-2</v>
      </c>
      <c r="AA39" s="151" t="str">
        <f t="shared" si="17"/>
        <v>Y</v>
      </c>
      <c r="AC39" t="s">
        <v>448</v>
      </c>
      <c r="AE39" s="152"/>
      <c r="AH39" s="153"/>
      <c r="AI39" s="153"/>
      <c r="AJ39" s="153"/>
      <c r="AK39" s="154"/>
    </row>
    <row r="40" spans="1:37" x14ac:dyDescent="0.25">
      <c r="A40" s="142" t="s">
        <v>438</v>
      </c>
      <c r="B40" t="s">
        <v>507</v>
      </c>
      <c r="C40" t="s">
        <v>40</v>
      </c>
      <c r="D40" s="143">
        <f>IFERROR(VLOOKUP(B40,'Enrollment 26-27'!$B$5:$I$332,8,FALSE),0)</f>
        <v>558.66</v>
      </c>
      <c r="E40" s="64">
        <f t="shared" si="2"/>
        <v>64647</v>
      </c>
      <c r="F40" s="144">
        <v>0</v>
      </c>
      <c r="G40" s="144">
        <v>0</v>
      </c>
      <c r="H40" s="64">
        <f t="shared" si="3"/>
        <v>64647</v>
      </c>
      <c r="I40" s="64">
        <f t="shared" si="4"/>
        <v>0</v>
      </c>
      <c r="J40" s="145">
        <f t="shared" si="5"/>
        <v>64647</v>
      </c>
      <c r="K40" s="146" t="str">
        <f t="shared" si="16"/>
        <v>Y</v>
      </c>
      <c r="L40" s="147">
        <f t="shared" si="6"/>
        <v>0</v>
      </c>
      <c r="M40" s="148">
        <f t="shared" si="7"/>
        <v>558.66</v>
      </c>
      <c r="N40" s="64">
        <f t="shared" si="8"/>
        <v>552</v>
      </c>
      <c r="O40" s="64">
        <f t="shared" si="9"/>
        <v>65199</v>
      </c>
      <c r="Q40" s="104">
        <f t="shared" si="10"/>
        <v>0</v>
      </c>
      <c r="R40" s="104" t="str">
        <f t="shared" si="11"/>
        <v>Not Applicable</v>
      </c>
      <c r="S40" s="149" t="s">
        <v>815</v>
      </c>
      <c r="T40" s="149">
        <f>IF(O40=0,0,IF(S40="N",0,VLOOKUP(B40,'Enrollment 25-26'!$B$8:$K$332,9,FALSE)))</f>
        <v>0</v>
      </c>
      <c r="U40" s="64">
        <f t="shared" si="12"/>
        <v>65199</v>
      </c>
      <c r="V40" s="128">
        <f t="shared" si="13"/>
        <v>116.70604661153475</v>
      </c>
      <c r="W40" s="150"/>
      <c r="X40" s="64">
        <f>IFERROR(VLOOKUP($B40,'Allocations 2025-26'!$B$9:$U$329,14,FALSE),0)</f>
        <v>65865</v>
      </c>
      <c r="Y40" s="99">
        <f t="shared" si="14"/>
        <v>-666</v>
      </c>
      <c r="Z40" s="132">
        <f t="shared" si="15"/>
        <v>-1.0111591892507401E-2</v>
      </c>
      <c r="AA40" s="151" t="str">
        <f t="shared" si="17"/>
        <v>Y</v>
      </c>
      <c r="AC40" t="s">
        <v>618</v>
      </c>
      <c r="AE40" s="152"/>
      <c r="AH40" s="153"/>
      <c r="AI40" s="153"/>
      <c r="AJ40" s="153"/>
      <c r="AK40" s="154"/>
    </row>
    <row r="41" spans="1:37" x14ac:dyDescent="0.25">
      <c r="A41" s="142" t="s">
        <v>438</v>
      </c>
      <c r="B41" t="s">
        <v>508</v>
      </c>
      <c r="C41" t="s">
        <v>41</v>
      </c>
      <c r="D41" s="143">
        <f>IFERROR(VLOOKUP(B41,'Enrollment 26-27'!$B$5:$I$332,8,FALSE),0)</f>
        <v>144.34</v>
      </c>
      <c r="E41" s="64">
        <f t="shared" si="2"/>
        <v>16703</v>
      </c>
      <c r="F41" s="144">
        <v>0</v>
      </c>
      <c r="G41" s="144">
        <v>0</v>
      </c>
      <c r="H41" s="64">
        <f t="shared" si="3"/>
        <v>16703</v>
      </c>
      <c r="I41" s="64">
        <f t="shared" si="4"/>
        <v>0</v>
      </c>
      <c r="J41" s="145">
        <f t="shared" si="5"/>
        <v>16703</v>
      </c>
      <c r="K41" s="146" t="str">
        <f t="shared" si="16"/>
        <v>Y</v>
      </c>
      <c r="L41" s="147">
        <f t="shared" si="6"/>
        <v>0</v>
      </c>
      <c r="M41" s="148">
        <f t="shared" si="7"/>
        <v>144.34</v>
      </c>
      <c r="N41" s="64">
        <f t="shared" si="8"/>
        <v>143</v>
      </c>
      <c r="O41" s="64">
        <f t="shared" si="9"/>
        <v>16846</v>
      </c>
      <c r="Q41" s="104">
        <f t="shared" si="10"/>
        <v>0</v>
      </c>
      <c r="R41" s="104" t="str">
        <f t="shared" si="11"/>
        <v>Not Applicable</v>
      </c>
      <c r="S41" s="149" t="s">
        <v>815</v>
      </c>
      <c r="T41" s="149">
        <f>IF(O41=0,0,IF(S41="N",0,VLOOKUP(B41,'Enrollment 25-26'!$B$8:$K$332,9,FALSE)))</f>
        <v>0</v>
      </c>
      <c r="U41" s="64">
        <f t="shared" si="12"/>
        <v>16846</v>
      </c>
      <c r="V41" s="128">
        <f t="shared" si="13"/>
        <v>116.71054454759594</v>
      </c>
      <c r="W41" s="150"/>
      <c r="X41" s="64">
        <f>IFERROR(VLOOKUP($B41,'Allocations 2025-26'!$B$9:$U$329,14,FALSE),0)</f>
        <v>18781</v>
      </c>
      <c r="Y41" s="99">
        <f t="shared" si="14"/>
        <v>-1935</v>
      </c>
      <c r="Z41" s="132">
        <f t="shared" si="15"/>
        <v>-0.10302965763271392</v>
      </c>
      <c r="AA41" s="151" t="str">
        <f t="shared" si="17"/>
        <v>Y</v>
      </c>
      <c r="AC41" t="s">
        <v>656</v>
      </c>
      <c r="AE41" s="152"/>
      <c r="AH41" s="153"/>
      <c r="AI41" s="153"/>
      <c r="AJ41" s="153"/>
      <c r="AK41" s="154"/>
    </row>
    <row r="42" spans="1:37" x14ac:dyDescent="0.25">
      <c r="A42" s="142" t="s">
        <v>443</v>
      </c>
      <c r="B42" t="s">
        <v>509</v>
      </c>
      <c r="C42" t="s">
        <v>42</v>
      </c>
      <c r="D42" s="143">
        <f>IFERROR(VLOOKUP(B42,'Enrollment 26-27'!$B$5:$I$332,8,FALSE),0)</f>
        <v>566.33333333333337</v>
      </c>
      <c r="E42" s="64">
        <f t="shared" si="2"/>
        <v>65535</v>
      </c>
      <c r="F42" s="144">
        <v>0</v>
      </c>
      <c r="G42" s="144">
        <v>0</v>
      </c>
      <c r="H42" s="64">
        <f t="shared" si="3"/>
        <v>65535</v>
      </c>
      <c r="I42" s="64">
        <f t="shared" si="4"/>
        <v>0</v>
      </c>
      <c r="J42" s="145">
        <f t="shared" si="5"/>
        <v>65535</v>
      </c>
      <c r="K42" s="146" t="str">
        <f t="shared" si="16"/>
        <v>Y</v>
      </c>
      <c r="L42" s="147">
        <f t="shared" si="6"/>
        <v>0</v>
      </c>
      <c r="M42" s="148">
        <f t="shared" si="7"/>
        <v>566.33333333333337</v>
      </c>
      <c r="N42" s="64">
        <f t="shared" si="8"/>
        <v>559</v>
      </c>
      <c r="O42" s="64">
        <f t="shared" si="9"/>
        <v>66094</v>
      </c>
      <c r="Q42" s="104">
        <f t="shared" si="10"/>
        <v>0</v>
      </c>
      <c r="R42" s="104" t="str">
        <f t="shared" si="11"/>
        <v>Not Applicable</v>
      </c>
      <c r="S42" s="149" t="s">
        <v>815</v>
      </c>
      <c r="T42" s="149">
        <f>IF(O42=0,0,IF(S42="N",0,VLOOKUP(B42,'Enrollment 25-26'!$B$8:$K$332,9,FALSE)))</f>
        <v>0</v>
      </c>
      <c r="U42" s="64">
        <f t="shared" si="12"/>
        <v>66094</v>
      </c>
      <c r="V42" s="128">
        <f t="shared" si="13"/>
        <v>116.70512065921129</v>
      </c>
      <c r="W42" s="150"/>
      <c r="X42" s="64">
        <f>IFERROR(VLOOKUP($B42,'Allocations 2025-26'!$B$9:$U$329,14,FALSE),0)</f>
        <v>62313</v>
      </c>
      <c r="Y42" s="99">
        <f t="shared" si="14"/>
        <v>3781</v>
      </c>
      <c r="Z42" s="132">
        <f t="shared" si="15"/>
        <v>6.0677547221286085E-2</v>
      </c>
      <c r="AA42" s="151" t="str">
        <f t="shared" si="17"/>
        <v>Y</v>
      </c>
      <c r="AC42"/>
      <c r="AE42" s="152"/>
      <c r="AH42" s="153"/>
      <c r="AI42" s="153"/>
      <c r="AJ42" s="153"/>
      <c r="AK42" s="154"/>
    </row>
    <row r="43" spans="1:37" ht="14.45" customHeight="1" x14ac:dyDescent="0.25">
      <c r="A43" s="142" t="s">
        <v>443</v>
      </c>
      <c r="B43" t="s">
        <v>510</v>
      </c>
      <c r="C43" t="s">
        <v>43</v>
      </c>
      <c r="D43" s="143">
        <f>IFERROR(VLOOKUP(B43,'Enrollment 26-27'!$B$5:$I$332,8,FALSE),0)</f>
        <v>5.33</v>
      </c>
      <c r="E43" s="64">
        <f t="shared" si="2"/>
        <v>617</v>
      </c>
      <c r="F43" s="144">
        <v>0</v>
      </c>
      <c r="G43" s="144">
        <v>0</v>
      </c>
      <c r="H43" s="64">
        <f t="shared" si="3"/>
        <v>617</v>
      </c>
      <c r="I43" s="64">
        <f t="shared" si="4"/>
        <v>0</v>
      </c>
      <c r="J43" s="145">
        <f t="shared" si="5"/>
        <v>617</v>
      </c>
      <c r="K43" s="146" t="str">
        <f t="shared" si="16"/>
        <v>N</v>
      </c>
      <c r="L43" s="147">
        <f t="shared" si="6"/>
        <v>617</v>
      </c>
      <c r="M43" s="148">
        <f t="shared" si="7"/>
        <v>0</v>
      </c>
      <c r="N43" s="64">
        <f t="shared" si="8"/>
        <v>0</v>
      </c>
      <c r="O43" s="64">
        <f t="shared" si="9"/>
        <v>0</v>
      </c>
      <c r="Q43" s="104">
        <f t="shared" si="10"/>
        <v>0</v>
      </c>
      <c r="R43" s="104" t="str">
        <f t="shared" si="11"/>
        <v>Not Applicable</v>
      </c>
      <c r="S43" s="149" t="s">
        <v>815</v>
      </c>
      <c r="T43" s="149">
        <f>IF(O43=0,0,IF(S43="N",0,VLOOKUP(B43,'Enrollment 25-26'!$B$8:$K$332,9,FALSE)))</f>
        <v>0</v>
      </c>
      <c r="U43" s="64">
        <f t="shared" si="12"/>
        <v>0</v>
      </c>
      <c r="V43" s="128">
        <f t="shared" si="13"/>
        <v>0</v>
      </c>
      <c r="W43" s="150"/>
      <c r="X43" s="64">
        <f>IFERROR(VLOOKUP($B43,'Allocations 2025-26'!$B$9:$U$329,14,FALSE),0)</f>
        <v>0</v>
      </c>
      <c r="Y43" s="99">
        <f t="shared" si="14"/>
        <v>0</v>
      </c>
      <c r="Z43" s="132">
        <f t="shared" si="15"/>
        <v>0</v>
      </c>
      <c r="AA43" s="151" t="str">
        <f t="shared" si="17"/>
        <v>N</v>
      </c>
      <c r="AC43" t="s">
        <v>629</v>
      </c>
      <c r="AE43" s="152"/>
      <c r="AH43" s="153"/>
      <c r="AI43" s="153"/>
      <c r="AJ43" s="153"/>
      <c r="AK43" s="154"/>
    </row>
    <row r="44" spans="1:37" x14ac:dyDescent="0.25">
      <c r="A44" s="142"/>
      <c r="B44" s="33" t="s">
        <v>779</v>
      </c>
      <c r="C44" s="34" t="s">
        <v>44</v>
      </c>
      <c r="D44" s="143">
        <f>IFERROR(VLOOKUP(B44,'Enrollment 26-27'!$B$5:$I$332,8,FALSE),0)</f>
        <v>9.5</v>
      </c>
      <c r="E44" s="64">
        <f t="shared" si="2"/>
        <v>1099</v>
      </c>
      <c r="F44" s="144">
        <v>0</v>
      </c>
      <c r="G44" s="144">
        <v>0</v>
      </c>
      <c r="H44" s="64">
        <f t="shared" si="3"/>
        <v>1099</v>
      </c>
      <c r="I44" s="64">
        <f t="shared" si="4"/>
        <v>0</v>
      </c>
      <c r="J44" s="145">
        <f t="shared" si="5"/>
        <v>1099</v>
      </c>
      <c r="K44" s="146" t="str">
        <f t="shared" si="16"/>
        <v>N</v>
      </c>
      <c r="L44" s="147">
        <f t="shared" si="6"/>
        <v>1099</v>
      </c>
      <c r="M44" s="148">
        <f t="shared" si="7"/>
        <v>0</v>
      </c>
      <c r="N44" s="64">
        <f t="shared" si="8"/>
        <v>0</v>
      </c>
      <c r="O44" s="64">
        <f t="shared" si="9"/>
        <v>0</v>
      </c>
      <c r="Q44" s="104">
        <f t="shared" si="10"/>
        <v>0</v>
      </c>
      <c r="R44" s="104" t="str">
        <f t="shared" si="11"/>
        <v>Not Applicable</v>
      </c>
      <c r="S44" s="149" t="s">
        <v>815</v>
      </c>
      <c r="T44" s="149">
        <f>IF(O44=0,0,IF(S44="N",0,VLOOKUP(B44,'Enrollment 25-26'!$B$8:$K$332,9,FALSE)))</f>
        <v>0</v>
      </c>
      <c r="U44" s="64">
        <f t="shared" si="12"/>
        <v>0</v>
      </c>
      <c r="V44" s="128">
        <f t="shared" si="13"/>
        <v>0</v>
      </c>
      <c r="W44" s="150"/>
      <c r="X44" s="64">
        <f>IFERROR(VLOOKUP($B44,'Allocations 2025-26'!$B$9:$U$329,14,FALSE),0)</f>
        <v>0</v>
      </c>
      <c r="Y44" s="99">
        <f t="shared" si="14"/>
        <v>0</v>
      </c>
      <c r="Z44" s="132">
        <f t="shared" si="15"/>
        <v>0</v>
      </c>
      <c r="AA44" s="151" t="str">
        <f t="shared" si="17"/>
        <v>N</v>
      </c>
      <c r="AC44" t="s">
        <v>714</v>
      </c>
      <c r="AE44" s="152"/>
      <c r="AH44" s="153"/>
      <c r="AI44" s="153"/>
      <c r="AJ44" s="153"/>
      <c r="AK44" s="154"/>
    </row>
    <row r="45" spans="1:37" x14ac:dyDescent="0.25">
      <c r="A45" s="142" t="s">
        <v>478</v>
      </c>
      <c r="B45" t="s">
        <v>511</v>
      </c>
      <c r="C45" t="s">
        <v>45</v>
      </c>
      <c r="D45" s="143">
        <f>IFERROR(VLOOKUP(B45,'Enrollment 26-27'!$B$5:$I$332,8,FALSE),0)</f>
        <v>24</v>
      </c>
      <c r="E45" s="64">
        <f t="shared" si="2"/>
        <v>2777</v>
      </c>
      <c r="F45" s="144">
        <v>0</v>
      </c>
      <c r="G45" s="144">
        <v>0</v>
      </c>
      <c r="H45" s="64">
        <f t="shared" si="3"/>
        <v>2777</v>
      </c>
      <c r="I45" s="64">
        <f t="shared" si="4"/>
        <v>0</v>
      </c>
      <c r="J45" s="145">
        <f t="shared" si="5"/>
        <v>2777</v>
      </c>
      <c r="K45" s="146" t="str">
        <f t="shared" si="16"/>
        <v>N</v>
      </c>
      <c r="L45" s="147">
        <f t="shared" si="6"/>
        <v>2777</v>
      </c>
      <c r="M45" s="148">
        <f t="shared" si="7"/>
        <v>0</v>
      </c>
      <c r="N45" s="64">
        <f t="shared" si="8"/>
        <v>0</v>
      </c>
      <c r="O45" s="64">
        <f t="shared" si="9"/>
        <v>0</v>
      </c>
      <c r="Q45" s="104">
        <f t="shared" si="10"/>
        <v>0</v>
      </c>
      <c r="R45" s="104" t="str">
        <f t="shared" si="11"/>
        <v>Not Applicable</v>
      </c>
      <c r="S45" s="149" t="s">
        <v>815</v>
      </c>
      <c r="T45" s="149">
        <f>IF(O45=0,0,IF(S45="N",0,VLOOKUP(B45,'Enrollment 25-26'!$B$8:$K$332,9,FALSE)))</f>
        <v>0</v>
      </c>
      <c r="U45" s="64">
        <f t="shared" si="12"/>
        <v>0</v>
      </c>
      <c r="V45" s="128">
        <f t="shared" si="13"/>
        <v>0</v>
      </c>
      <c r="W45" s="150"/>
      <c r="X45" s="64">
        <f>IFERROR(VLOOKUP($B45,'Allocations 2025-26'!$B$9:$U$329,14,FALSE),0)</f>
        <v>3007</v>
      </c>
      <c r="Y45" s="99">
        <f t="shared" si="14"/>
        <v>-3007</v>
      </c>
      <c r="Z45" s="132">
        <f t="shared" si="15"/>
        <v>-1</v>
      </c>
      <c r="AA45" s="151" t="str">
        <f t="shared" si="17"/>
        <v>N</v>
      </c>
      <c r="AE45" s="152"/>
      <c r="AH45" s="153"/>
      <c r="AI45" s="153"/>
      <c r="AJ45" s="153"/>
      <c r="AK45" s="154"/>
    </row>
    <row r="46" spans="1:37" x14ac:dyDescent="0.25">
      <c r="A46" s="142" t="s">
        <v>451</v>
      </c>
      <c r="B46" t="s">
        <v>512</v>
      </c>
      <c r="C46" t="s">
        <v>46</v>
      </c>
      <c r="D46" s="143">
        <f>IFERROR(VLOOKUP(B46,'Enrollment 26-27'!$B$5:$I$332,8,FALSE),0)</f>
        <v>21.67</v>
      </c>
      <c r="E46" s="64">
        <f t="shared" si="2"/>
        <v>2508</v>
      </c>
      <c r="F46" s="144">
        <v>0</v>
      </c>
      <c r="G46" s="144">
        <v>0</v>
      </c>
      <c r="H46" s="64">
        <f t="shared" si="3"/>
        <v>2508</v>
      </c>
      <c r="I46" s="64">
        <f t="shared" si="4"/>
        <v>0</v>
      </c>
      <c r="J46" s="145">
        <f t="shared" si="5"/>
        <v>2508</v>
      </c>
      <c r="K46" s="146" t="str">
        <f t="shared" si="16"/>
        <v>N</v>
      </c>
      <c r="L46" s="147">
        <f t="shared" si="6"/>
        <v>2508</v>
      </c>
      <c r="M46" s="148">
        <f t="shared" si="7"/>
        <v>0</v>
      </c>
      <c r="N46" s="64">
        <f t="shared" si="8"/>
        <v>0</v>
      </c>
      <c r="O46" s="64">
        <f t="shared" si="9"/>
        <v>0</v>
      </c>
      <c r="Q46" s="104">
        <f t="shared" si="10"/>
        <v>0</v>
      </c>
      <c r="R46" s="104" t="str">
        <f t="shared" si="11"/>
        <v>Not Applicable</v>
      </c>
      <c r="S46" s="149" t="s">
        <v>815</v>
      </c>
      <c r="T46" s="149">
        <f>IF(O46=0,0,IF(S46="N",0,VLOOKUP(B46,'Enrollment 25-26'!$B$8:$K$332,9,FALSE)))</f>
        <v>0</v>
      </c>
      <c r="U46" s="64">
        <f t="shared" si="12"/>
        <v>0</v>
      </c>
      <c r="V46" s="128">
        <f t="shared" si="13"/>
        <v>0</v>
      </c>
      <c r="W46" s="150"/>
      <c r="X46" s="64">
        <f>IFERROR(VLOOKUP($B46,'Allocations 2025-26'!$B$9:$U$329,14,FALSE),0)</f>
        <v>3065</v>
      </c>
      <c r="Y46" s="99">
        <f t="shared" si="14"/>
        <v>-3065</v>
      </c>
      <c r="Z46" s="132">
        <f t="shared" si="15"/>
        <v>-1</v>
      </c>
      <c r="AA46" s="151" t="str">
        <f t="shared" si="17"/>
        <v>N</v>
      </c>
      <c r="AC46" s="64"/>
      <c r="AE46" s="152"/>
      <c r="AH46" s="153"/>
      <c r="AI46" s="153"/>
      <c r="AJ46" s="153"/>
      <c r="AK46" s="154"/>
    </row>
    <row r="47" spans="1:37" x14ac:dyDescent="0.25">
      <c r="A47" s="142" t="s">
        <v>471</v>
      </c>
      <c r="B47" t="s">
        <v>466</v>
      </c>
      <c r="C47" t="s">
        <v>47</v>
      </c>
      <c r="D47" s="143">
        <f>IFERROR(VLOOKUP(B47,'Enrollment 26-27'!$B$5:$I$332,8,FALSE),0)</f>
        <v>26.496666666666666</v>
      </c>
      <c r="E47" s="64">
        <f t="shared" si="2"/>
        <v>3066</v>
      </c>
      <c r="F47" s="144">
        <v>0</v>
      </c>
      <c r="G47" s="144">
        <v>0</v>
      </c>
      <c r="H47" s="64">
        <f t="shared" si="3"/>
        <v>3066</v>
      </c>
      <c r="I47" s="64">
        <f t="shared" si="4"/>
        <v>0</v>
      </c>
      <c r="J47" s="145">
        <f t="shared" si="5"/>
        <v>3066</v>
      </c>
      <c r="K47" s="146" t="str">
        <f t="shared" si="16"/>
        <v>N</v>
      </c>
      <c r="L47" s="147">
        <f t="shared" si="6"/>
        <v>3066</v>
      </c>
      <c r="M47" s="148">
        <f t="shared" si="7"/>
        <v>0</v>
      </c>
      <c r="N47" s="64">
        <f t="shared" si="8"/>
        <v>0</v>
      </c>
      <c r="O47" s="64">
        <f t="shared" si="9"/>
        <v>0</v>
      </c>
      <c r="Q47" s="104">
        <f t="shared" si="10"/>
        <v>0</v>
      </c>
      <c r="R47" s="104" t="str">
        <f t="shared" si="11"/>
        <v>Not Applicable</v>
      </c>
      <c r="S47" s="149" t="s">
        <v>815</v>
      </c>
      <c r="T47" s="149">
        <f>IF(O47=0,0,IF(S47="N",0,VLOOKUP(B47,'Enrollment 25-26'!$B$8:$K$332,9,FALSE)))</f>
        <v>0</v>
      </c>
      <c r="U47" s="64">
        <f t="shared" si="12"/>
        <v>0</v>
      </c>
      <c r="V47" s="128">
        <f t="shared" si="13"/>
        <v>0</v>
      </c>
      <c r="W47" s="150"/>
      <c r="X47" s="64">
        <f>IFERROR(VLOOKUP($B47,'Allocations 2025-26'!$B$9:$U$329,14,FALSE),0)</f>
        <v>2050</v>
      </c>
      <c r="Y47" s="99">
        <f t="shared" si="14"/>
        <v>-2050</v>
      </c>
      <c r="Z47" s="132">
        <f t="shared" si="15"/>
        <v>-1</v>
      </c>
      <c r="AA47" s="151" t="str">
        <f t="shared" si="17"/>
        <v>N</v>
      </c>
      <c r="AC47" s="64"/>
      <c r="AE47" s="152"/>
      <c r="AH47" s="153"/>
      <c r="AI47" s="153"/>
      <c r="AJ47" s="153"/>
      <c r="AK47" s="154"/>
    </row>
    <row r="48" spans="1:37" x14ac:dyDescent="0.25">
      <c r="A48" s="142" t="s">
        <v>454</v>
      </c>
      <c r="B48" t="s">
        <v>513</v>
      </c>
      <c r="C48" t="s">
        <v>48</v>
      </c>
      <c r="D48" s="143">
        <f>IFERROR(VLOOKUP(B48,'Enrollment 26-27'!$B$5:$I$332,8,FALSE),0)</f>
        <v>2062.67</v>
      </c>
      <c r="E48" s="64">
        <f t="shared" si="2"/>
        <v>238688</v>
      </c>
      <c r="F48" s="144">
        <v>0</v>
      </c>
      <c r="G48" s="144">
        <v>0</v>
      </c>
      <c r="H48" s="64">
        <f t="shared" si="3"/>
        <v>238688</v>
      </c>
      <c r="I48" s="64">
        <f t="shared" si="4"/>
        <v>0</v>
      </c>
      <c r="J48" s="145">
        <f t="shared" si="5"/>
        <v>238688</v>
      </c>
      <c r="K48" s="146" t="str">
        <f t="shared" si="16"/>
        <v>Y</v>
      </c>
      <c r="L48" s="147">
        <f t="shared" si="6"/>
        <v>0</v>
      </c>
      <c r="M48" s="148">
        <f t="shared" si="7"/>
        <v>2062.67</v>
      </c>
      <c r="N48" s="64">
        <f t="shared" si="8"/>
        <v>2037</v>
      </c>
      <c r="O48" s="64">
        <f t="shared" si="9"/>
        <v>240725</v>
      </c>
      <c r="Q48" s="104">
        <f t="shared" si="10"/>
        <v>0</v>
      </c>
      <c r="R48" s="104" t="str">
        <f t="shared" si="11"/>
        <v>Not Applicable</v>
      </c>
      <c r="S48" s="149" t="s">
        <v>815</v>
      </c>
      <c r="T48" s="149">
        <f>IF(O48=0,0,IF(S48="N",0,VLOOKUP(B48,'Enrollment 25-26'!$B$8:$K$332,9,FALSE)))</f>
        <v>0</v>
      </c>
      <c r="U48" s="64">
        <f t="shared" si="12"/>
        <v>240725</v>
      </c>
      <c r="V48" s="128">
        <f t="shared" si="13"/>
        <v>116.70553215007732</v>
      </c>
      <c r="W48" s="150"/>
      <c r="X48" s="64">
        <f>IFERROR(VLOOKUP($B48,'Allocations 2025-26'!$B$9:$U$329,14,FALSE),0)</f>
        <v>245660</v>
      </c>
      <c r="Y48" s="99">
        <f t="shared" si="14"/>
        <v>-4935</v>
      </c>
      <c r="Z48" s="132">
        <f t="shared" si="15"/>
        <v>-2.0088740535699749E-2</v>
      </c>
      <c r="AA48" s="151" t="str">
        <f t="shared" si="17"/>
        <v>Y</v>
      </c>
      <c r="AC48" s="64"/>
      <c r="AE48" s="152"/>
      <c r="AH48" s="153"/>
      <c r="AI48" s="153"/>
      <c r="AJ48" s="153"/>
      <c r="AK48" s="154"/>
    </row>
    <row r="49" spans="1:37" x14ac:dyDescent="0.25">
      <c r="A49" s="142" t="s">
        <v>443</v>
      </c>
      <c r="B49" t="s">
        <v>514</v>
      </c>
      <c r="C49" t="s">
        <v>50</v>
      </c>
      <c r="D49" s="143">
        <f>IFERROR(VLOOKUP(B49,'Enrollment 26-27'!$B$5:$I$332,8,FALSE),0)</f>
        <v>0</v>
      </c>
      <c r="E49" s="64">
        <f t="shared" si="2"/>
        <v>0</v>
      </c>
      <c r="F49" s="144">
        <v>0</v>
      </c>
      <c r="G49" s="144">
        <v>0</v>
      </c>
      <c r="H49" s="64">
        <f t="shared" si="3"/>
        <v>0</v>
      </c>
      <c r="I49" s="64">
        <f t="shared" si="4"/>
        <v>0</v>
      </c>
      <c r="J49" s="145">
        <f t="shared" si="5"/>
        <v>0</v>
      </c>
      <c r="K49" s="146" t="str">
        <f t="shared" si="16"/>
        <v>N</v>
      </c>
      <c r="L49" s="147">
        <f t="shared" si="6"/>
        <v>0</v>
      </c>
      <c r="M49" s="148">
        <f t="shared" si="7"/>
        <v>0</v>
      </c>
      <c r="N49" s="64">
        <f t="shared" si="8"/>
        <v>0</v>
      </c>
      <c r="O49" s="64">
        <f t="shared" si="9"/>
        <v>0</v>
      </c>
      <c r="Q49" s="104">
        <f t="shared" si="10"/>
        <v>0</v>
      </c>
      <c r="R49" s="104" t="str">
        <f t="shared" si="11"/>
        <v>Not Applicable</v>
      </c>
      <c r="S49" s="149" t="s">
        <v>815</v>
      </c>
      <c r="T49" s="149">
        <f>IF(O49=0,0,IF(S49="N",0,VLOOKUP(B49,'Enrollment 25-26'!$B$8:$K$332,9,FALSE)))</f>
        <v>0</v>
      </c>
      <c r="U49" s="64">
        <f t="shared" si="12"/>
        <v>0</v>
      </c>
      <c r="V49" s="128">
        <f t="shared" si="13"/>
        <v>0</v>
      </c>
      <c r="W49" s="150"/>
      <c r="X49" s="64">
        <f>IFERROR(VLOOKUP($B49,'Allocations 2025-26'!$B$9:$U$329,14,FALSE),0)</f>
        <v>0</v>
      </c>
      <c r="Y49" s="99">
        <f t="shared" si="14"/>
        <v>0</v>
      </c>
      <c r="Z49" s="132">
        <f t="shared" si="15"/>
        <v>0</v>
      </c>
      <c r="AA49" s="151" t="str">
        <f t="shared" si="17"/>
        <v>N</v>
      </c>
      <c r="AC49" s="64"/>
      <c r="AE49" s="152"/>
      <c r="AH49" s="153"/>
      <c r="AI49" s="153"/>
      <c r="AJ49" s="153"/>
      <c r="AK49" s="154"/>
    </row>
    <row r="50" spans="1:37" x14ac:dyDescent="0.25">
      <c r="A50" s="142" t="s">
        <v>451</v>
      </c>
      <c r="B50" t="s">
        <v>515</v>
      </c>
      <c r="C50" t="s">
        <v>51</v>
      </c>
      <c r="D50" s="143">
        <f>IFERROR(VLOOKUP(B50,'Enrollment 26-27'!$B$5:$I$332,8,FALSE),0)</f>
        <v>245.5</v>
      </c>
      <c r="E50" s="64">
        <f t="shared" si="2"/>
        <v>28409</v>
      </c>
      <c r="F50" s="144">
        <v>0</v>
      </c>
      <c r="G50" s="144">
        <v>0</v>
      </c>
      <c r="H50" s="64">
        <f t="shared" si="3"/>
        <v>28409</v>
      </c>
      <c r="I50" s="64">
        <f t="shared" si="4"/>
        <v>0</v>
      </c>
      <c r="J50" s="145">
        <f t="shared" si="5"/>
        <v>28409</v>
      </c>
      <c r="K50" s="146" t="str">
        <f t="shared" si="16"/>
        <v>Y</v>
      </c>
      <c r="L50" s="147">
        <f t="shared" si="6"/>
        <v>0</v>
      </c>
      <c r="M50" s="148">
        <f t="shared" si="7"/>
        <v>245.5</v>
      </c>
      <c r="N50" s="64">
        <f t="shared" si="8"/>
        <v>242</v>
      </c>
      <c r="O50" s="64">
        <f t="shared" si="9"/>
        <v>28651</v>
      </c>
      <c r="Q50" s="104">
        <f t="shared" si="10"/>
        <v>0</v>
      </c>
      <c r="R50" s="104" t="str">
        <f t="shared" si="11"/>
        <v>Not Applicable</v>
      </c>
      <c r="S50" s="149" t="s">
        <v>815</v>
      </c>
      <c r="T50" s="149">
        <f>IF(O50=0,0,IF(S50="N",0,VLOOKUP(B50,'Enrollment 25-26'!$B$8:$K$332,9,FALSE)))</f>
        <v>0</v>
      </c>
      <c r="U50" s="64">
        <f t="shared" si="12"/>
        <v>28651</v>
      </c>
      <c r="V50" s="128">
        <f t="shared" si="13"/>
        <v>116.70468431771894</v>
      </c>
      <c r="W50" s="150"/>
      <c r="X50" s="64">
        <f>IFERROR(VLOOKUP($B50,'Allocations 2025-26'!$B$9:$U$329,14,FALSE),0)</f>
        <v>28560</v>
      </c>
      <c r="Y50" s="99">
        <f t="shared" si="14"/>
        <v>91</v>
      </c>
      <c r="Z50" s="132">
        <f t="shared" si="15"/>
        <v>3.1862745098039215E-3</v>
      </c>
      <c r="AA50" s="151" t="str">
        <f t="shared" si="17"/>
        <v>Y</v>
      </c>
      <c r="AC50" s="64"/>
      <c r="AE50" s="152"/>
      <c r="AH50" s="153"/>
      <c r="AI50" s="153"/>
      <c r="AJ50" s="153"/>
      <c r="AK50" s="154"/>
    </row>
    <row r="51" spans="1:37" x14ac:dyDescent="0.25">
      <c r="A51" s="142" t="s">
        <v>443</v>
      </c>
      <c r="B51" t="s">
        <v>516</v>
      </c>
      <c r="C51" t="s">
        <v>52</v>
      </c>
      <c r="D51" s="143">
        <f>IFERROR(VLOOKUP(B51,'Enrollment 26-27'!$B$5:$I$332,8,FALSE),0)</f>
        <v>0</v>
      </c>
      <c r="E51" s="64">
        <f t="shared" si="2"/>
        <v>0</v>
      </c>
      <c r="F51" s="144">
        <v>0</v>
      </c>
      <c r="G51" s="144">
        <v>0</v>
      </c>
      <c r="H51" s="64">
        <f t="shared" si="3"/>
        <v>0</v>
      </c>
      <c r="I51" s="64">
        <f t="shared" si="4"/>
        <v>0</v>
      </c>
      <c r="J51" s="145">
        <f t="shared" si="5"/>
        <v>0</v>
      </c>
      <c r="K51" s="146" t="str">
        <f t="shared" si="16"/>
        <v>N</v>
      </c>
      <c r="L51" s="147">
        <f t="shared" si="6"/>
        <v>0</v>
      </c>
      <c r="M51" s="148">
        <f t="shared" si="7"/>
        <v>0</v>
      </c>
      <c r="N51" s="64">
        <f t="shared" si="8"/>
        <v>0</v>
      </c>
      <c r="O51" s="64">
        <f t="shared" si="9"/>
        <v>0</v>
      </c>
      <c r="Q51" s="104">
        <f t="shared" si="10"/>
        <v>0</v>
      </c>
      <c r="R51" s="104" t="str">
        <f t="shared" si="11"/>
        <v>Not Applicable</v>
      </c>
      <c r="S51" s="149" t="s">
        <v>815</v>
      </c>
      <c r="T51" s="149">
        <f>IF(O51=0,0,IF(S51="N",0,VLOOKUP(B51,'Enrollment 25-26'!$B$8:$K$332,9,FALSE)))</f>
        <v>0</v>
      </c>
      <c r="U51" s="64">
        <f t="shared" si="12"/>
        <v>0</v>
      </c>
      <c r="V51" s="128">
        <f t="shared" si="13"/>
        <v>0</v>
      </c>
      <c r="W51" s="150"/>
      <c r="X51" s="64">
        <f>IFERROR(VLOOKUP($B51,'Allocations 2025-26'!$B$9:$U$329,14,FALSE),0)</f>
        <v>0</v>
      </c>
      <c r="Y51" s="99">
        <f t="shared" si="14"/>
        <v>0</v>
      </c>
      <c r="Z51" s="132">
        <f t="shared" si="15"/>
        <v>0</v>
      </c>
      <c r="AA51" s="151" t="str">
        <f t="shared" si="17"/>
        <v>N</v>
      </c>
      <c r="AC51" s="64"/>
      <c r="AE51" s="152"/>
      <c r="AH51" s="153"/>
      <c r="AI51" s="153"/>
      <c r="AJ51" s="153"/>
      <c r="AK51" s="154"/>
    </row>
    <row r="52" spans="1:37" x14ac:dyDescent="0.25">
      <c r="A52" s="142" t="s">
        <v>443</v>
      </c>
      <c r="B52" t="s">
        <v>517</v>
      </c>
      <c r="C52" t="s">
        <v>53</v>
      </c>
      <c r="D52" s="143">
        <f>IFERROR(VLOOKUP(B52,'Enrollment 26-27'!$B$5:$I$332,8,FALSE),0)</f>
        <v>0</v>
      </c>
      <c r="E52" s="64">
        <f t="shared" si="2"/>
        <v>0</v>
      </c>
      <c r="F52" s="144">
        <v>0</v>
      </c>
      <c r="G52" s="144">
        <v>0</v>
      </c>
      <c r="H52" s="64">
        <f t="shared" si="3"/>
        <v>0</v>
      </c>
      <c r="I52" s="64">
        <f t="shared" si="4"/>
        <v>0</v>
      </c>
      <c r="J52" s="145">
        <f t="shared" si="5"/>
        <v>0</v>
      </c>
      <c r="K52" s="146" t="str">
        <f t="shared" si="16"/>
        <v>N</v>
      </c>
      <c r="L52" s="147">
        <f t="shared" si="6"/>
        <v>0</v>
      </c>
      <c r="M52" s="148">
        <f t="shared" si="7"/>
        <v>0</v>
      </c>
      <c r="N52" s="64">
        <f t="shared" si="8"/>
        <v>0</v>
      </c>
      <c r="O52" s="64">
        <f t="shared" si="9"/>
        <v>0</v>
      </c>
      <c r="Q52" s="104">
        <f t="shared" si="10"/>
        <v>0</v>
      </c>
      <c r="R52" s="104" t="str">
        <f t="shared" si="11"/>
        <v>Not Applicable</v>
      </c>
      <c r="S52" s="149" t="s">
        <v>815</v>
      </c>
      <c r="T52" s="149">
        <f>IF(O52=0,0,IF(S52="N",0,VLOOKUP(B52,'Enrollment 25-26'!$B$8:$K$332,9,FALSE)))</f>
        <v>0</v>
      </c>
      <c r="U52" s="64">
        <f t="shared" si="12"/>
        <v>0</v>
      </c>
      <c r="V52" s="128">
        <f t="shared" si="13"/>
        <v>0</v>
      </c>
      <c r="W52" s="150"/>
      <c r="X52" s="64">
        <f>IFERROR(VLOOKUP($B52,'Allocations 2025-26'!$B$9:$U$329,14,FALSE),0)</f>
        <v>0</v>
      </c>
      <c r="Y52" s="99">
        <f t="shared" si="14"/>
        <v>0</v>
      </c>
      <c r="Z52" s="132">
        <f t="shared" si="15"/>
        <v>0</v>
      </c>
      <c r="AA52" s="151" t="str">
        <f t="shared" si="17"/>
        <v>N</v>
      </c>
      <c r="AC52" s="64"/>
      <c r="AE52" s="152"/>
      <c r="AH52" s="153"/>
      <c r="AI52" s="153"/>
      <c r="AJ52" s="153"/>
      <c r="AK52" s="154"/>
    </row>
    <row r="53" spans="1:37" x14ac:dyDescent="0.25">
      <c r="A53" s="142" t="s">
        <v>451</v>
      </c>
      <c r="B53" t="s">
        <v>518</v>
      </c>
      <c r="C53" t="s">
        <v>54</v>
      </c>
      <c r="D53" s="143">
        <f>IFERROR(VLOOKUP(B53,'Enrollment 26-27'!$B$5:$I$332,8,FALSE),0)</f>
        <v>134</v>
      </c>
      <c r="E53" s="64">
        <f t="shared" si="2"/>
        <v>15506</v>
      </c>
      <c r="F53" s="144">
        <v>0</v>
      </c>
      <c r="G53" s="144">
        <v>0</v>
      </c>
      <c r="H53" s="64">
        <f t="shared" si="3"/>
        <v>15506</v>
      </c>
      <c r="I53" s="64">
        <f t="shared" si="4"/>
        <v>0</v>
      </c>
      <c r="J53" s="145">
        <f t="shared" si="5"/>
        <v>15506</v>
      </c>
      <c r="K53" s="146" t="str">
        <f t="shared" si="16"/>
        <v>Y</v>
      </c>
      <c r="L53" s="147">
        <f t="shared" si="6"/>
        <v>0</v>
      </c>
      <c r="M53" s="148">
        <f t="shared" si="7"/>
        <v>134</v>
      </c>
      <c r="N53" s="64">
        <f t="shared" si="8"/>
        <v>132</v>
      </c>
      <c r="O53" s="64">
        <f t="shared" si="9"/>
        <v>15638</v>
      </c>
      <c r="Q53" s="104">
        <f t="shared" si="10"/>
        <v>0</v>
      </c>
      <c r="R53" s="104" t="str">
        <f t="shared" si="11"/>
        <v>Not Applicable</v>
      </c>
      <c r="S53" s="149" t="s">
        <v>815</v>
      </c>
      <c r="T53" s="149">
        <f>IF(O53=0,0,IF(S53="N",0,VLOOKUP(B53,'Enrollment 25-26'!$B$8:$K$332,9,FALSE)))</f>
        <v>0</v>
      </c>
      <c r="U53" s="64">
        <f t="shared" si="12"/>
        <v>15638</v>
      </c>
      <c r="V53" s="128">
        <f t="shared" si="13"/>
        <v>116.70149253731343</v>
      </c>
      <c r="W53" s="150"/>
      <c r="X53" s="64">
        <f>IFERROR(VLOOKUP($B53,'Allocations 2025-26'!$B$9:$U$329,14,FALSE),0)</f>
        <v>16554</v>
      </c>
      <c r="Y53" s="99">
        <f t="shared" si="14"/>
        <v>-916</v>
      </c>
      <c r="Z53" s="132">
        <f t="shared" si="15"/>
        <v>-5.5334058233659542E-2</v>
      </c>
      <c r="AA53" s="151" t="str">
        <f t="shared" si="17"/>
        <v>Y</v>
      </c>
      <c r="AC53" s="64"/>
      <c r="AE53" s="152"/>
      <c r="AH53" s="153"/>
      <c r="AI53" s="153"/>
      <c r="AJ53" s="153"/>
      <c r="AK53" s="154"/>
    </row>
    <row r="54" spans="1:37" x14ac:dyDescent="0.25">
      <c r="A54" s="142" t="s">
        <v>443</v>
      </c>
      <c r="B54" t="s">
        <v>519</v>
      </c>
      <c r="C54" t="s">
        <v>55</v>
      </c>
      <c r="D54" s="143">
        <f>IFERROR(VLOOKUP(B54,'Enrollment 26-27'!$B$5:$I$332,8,FALSE),0)</f>
        <v>7.67</v>
      </c>
      <c r="E54" s="64">
        <f t="shared" si="2"/>
        <v>888</v>
      </c>
      <c r="F54" s="144">
        <v>0</v>
      </c>
      <c r="G54" s="144">
        <v>0</v>
      </c>
      <c r="H54" s="64">
        <f t="shared" si="3"/>
        <v>888</v>
      </c>
      <c r="I54" s="64">
        <f t="shared" si="4"/>
        <v>0</v>
      </c>
      <c r="J54" s="145">
        <f t="shared" si="5"/>
        <v>888</v>
      </c>
      <c r="K54" s="146" t="str">
        <f t="shared" si="16"/>
        <v>N</v>
      </c>
      <c r="L54" s="147">
        <f t="shared" si="6"/>
        <v>888</v>
      </c>
      <c r="M54" s="148">
        <f t="shared" si="7"/>
        <v>0</v>
      </c>
      <c r="N54" s="64">
        <f t="shared" si="8"/>
        <v>0</v>
      </c>
      <c r="O54" s="64">
        <f t="shared" si="9"/>
        <v>0</v>
      </c>
      <c r="Q54" s="104">
        <f t="shared" si="10"/>
        <v>0</v>
      </c>
      <c r="R54" s="104" t="str">
        <f t="shared" si="11"/>
        <v>Not Applicable</v>
      </c>
      <c r="S54" s="149" t="s">
        <v>815</v>
      </c>
      <c r="T54" s="149">
        <f>IF(O54=0,0,IF(S54="N",0,VLOOKUP(B54,'Enrollment 25-26'!$B$8:$K$332,9,FALSE)))</f>
        <v>0</v>
      </c>
      <c r="U54" s="64">
        <f t="shared" si="12"/>
        <v>0</v>
      </c>
      <c r="V54" s="128">
        <f t="shared" si="13"/>
        <v>0</v>
      </c>
      <c r="W54" s="150"/>
      <c r="X54" s="64">
        <f>IFERROR(VLOOKUP($B54,'Allocations 2025-26'!$B$9:$U$329,14,FALSE),0)</f>
        <v>0</v>
      </c>
      <c r="Y54" s="99">
        <f t="shared" si="14"/>
        <v>0</v>
      </c>
      <c r="Z54" s="132">
        <f t="shared" si="15"/>
        <v>0</v>
      </c>
      <c r="AA54" s="151" t="str">
        <f t="shared" si="17"/>
        <v>N</v>
      </c>
      <c r="AC54" s="64"/>
      <c r="AE54" s="152"/>
      <c r="AH54" s="153"/>
      <c r="AI54" s="153"/>
      <c r="AJ54" s="153"/>
      <c r="AK54" s="154"/>
    </row>
    <row r="55" spans="1:37" x14ac:dyDescent="0.25">
      <c r="A55" s="142" t="s">
        <v>446</v>
      </c>
      <c r="B55" t="s">
        <v>520</v>
      </c>
      <c r="C55" t="s">
        <v>56</v>
      </c>
      <c r="D55" s="143">
        <f>IFERROR(VLOOKUP(B55,'Enrollment 26-27'!$B$5:$I$332,8,FALSE),0)</f>
        <v>29.673333333333332</v>
      </c>
      <c r="E55" s="64">
        <f t="shared" si="2"/>
        <v>3434</v>
      </c>
      <c r="F55" s="144">
        <v>0</v>
      </c>
      <c r="G55" s="144">
        <v>0</v>
      </c>
      <c r="H55" s="64">
        <f t="shared" si="3"/>
        <v>3434</v>
      </c>
      <c r="I55" s="64">
        <f t="shared" si="4"/>
        <v>0</v>
      </c>
      <c r="J55" s="145">
        <f t="shared" si="5"/>
        <v>3434</v>
      </c>
      <c r="K55" s="146" t="str">
        <f t="shared" si="16"/>
        <v>N</v>
      </c>
      <c r="L55" s="147">
        <f t="shared" si="6"/>
        <v>3434</v>
      </c>
      <c r="M55" s="148">
        <f t="shared" si="7"/>
        <v>0</v>
      </c>
      <c r="N55" s="64">
        <f t="shared" si="8"/>
        <v>0</v>
      </c>
      <c r="O55" s="64">
        <f t="shared" si="9"/>
        <v>0</v>
      </c>
      <c r="Q55" s="104">
        <f t="shared" si="10"/>
        <v>0</v>
      </c>
      <c r="R55" s="104" t="str">
        <f t="shared" si="11"/>
        <v>Not Applicable</v>
      </c>
      <c r="S55" s="149" t="s">
        <v>815</v>
      </c>
      <c r="T55" s="149">
        <f>IF(O55=0,0,IF(S55="N",0,VLOOKUP(B55,'Enrollment 25-26'!$B$8:$K$332,9,FALSE)))</f>
        <v>0</v>
      </c>
      <c r="U55" s="64">
        <f t="shared" si="12"/>
        <v>0</v>
      </c>
      <c r="V55" s="128">
        <f t="shared" si="13"/>
        <v>0</v>
      </c>
      <c r="W55" s="150"/>
      <c r="X55" s="64">
        <f>IFERROR(VLOOKUP($B55,'Allocations 2025-26'!$B$9:$U$329,14,FALSE),0)</f>
        <v>0</v>
      </c>
      <c r="Y55" s="99">
        <f t="shared" si="14"/>
        <v>0</v>
      </c>
      <c r="Z55" s="132">
        <f t="shared" si="15"/>
        <v>0</v>
      </c>
      <c r="AA55" s="151" t="str">
        <f t="shared" si="17"/>
        <v>N</v>
      </c>
      <c r="AC55" s="64"/>
      <c r="AE55" s="152"/>
      <c r="AH55" s="153"/>
      <c r="AI55" s="153"/>
      <c r="AJ55" s="153"/>
      <c r="AK55" s="154"/>
    </row>
    <row r="56" spans="1:37" x14ac:dyDescent="0.25">
      <c r="A56" s="142" t="s">
        <v>446</v>
      </c>
      <c r="B56" t="s">
        <v>492</v>
      </c>
      <c r="C56" t="s">
        <v>57</v>
      </c>
      <c r="D56" s="143">
        <f>IFERROR(VLOOKUP(B56,'Enrollment 26-27'!$B$5:$I$332,8,FALSE),0)</f>
        <v>24.83</v>
      </c>
      <c r="E56" s="64">
        <f t="shared" si="2"/>
        <v>2873</v>
      </c>
      <c r="F56" s="144">
        <v>0</v>
      </c>
      <c r="G56" s="144">
        <v>0</v>
      </c>
      <c r="H56" s="64">
        <f t="shared" si="3"/>
        <v>2873</v>
      </c>
      <c r="I56" s="64">
        <f t="shared" si="4"/>
        <v>0</v>
      </c>
      <c r="J56" s="145">
        <f t="shared" si="5"/>
        <v>2873</v>
      </c>
      <c r="K56" s="146" t="str">
        <f t="shared" si="16"/>
        <v>C</v>
      </c>
      <c r="L56" s="147">
        <f t="shared" si="6"/>
        <v>0</v>
      </c>
      <c r="M56" s="148">
        <f t="shared" si="7"/>
        <v>24.83</v>
      </c>
      <c r="N56" s="64">
        <f t="shared" si="8"/>
        <v>25</v>
      </c>
      <c r="O56" s="64">
        <f t="shared" si="9"/>
        <v>2898</v>
      </c>
      <c r="Q56" s="104">
        <f t="shared" si="10"/>
        <v>0</v>
      </c>
      <c r="R56" s="104" t="str">
        <f t="shared" si="11"/>
        <v>Not Applicable</v>
      </c>
      <c r="S56" s="149" t="s">
        <v>815</v>
      </c>
      <c r="T56" s="149">
        <f>IF(O56=0,0,IF(S56="N",0,VLOOKUP(B56,'Enrollment 25-26'!$B$8:$K$332,9,FALSE)))</f>
        <v>0</v>
      </c>
      <c r="U56" s="64">
        <f t="shared" si="12"/>
        <v>2898</v>
      </c>
      <c r="V56" s="128">
        <f t="shared" si="13"/>
        <v>116.7136528393073</v>
      </c>
      <c r="W56" s="150"/>
      <c r="X56" s="64">
        <f>IFERROR(VLOOKUP($B56,'Allocations 2025-26'!$B$9:$U$329,14,FALSE),0)</f>
        <v>3104</v>
      </c>
      <c r="Y56" s="99">
        <f t="shared" si="14"/>
        <v>-206</v>
      </c>
      <c r="Z56" s="132">
        <f t="shared" si="15"/>
        <v>-6.6365979381443299E-2</v>
      </c>
      <c r="AA56" s="151" t="str">
        <f t="shared" si="17"/>
        <v>C</v>
      </c>
      <c r="AC56" s="64"/>
      <c r="AE56" s="152"/>
      <c r="AH56" s="153"/>
      <c r="AI56" s="153"/>
      <c r="AJ56" s="153"/>
      <c r="AK56" s="154"/>
    </row>
    <row r="57" spans="1:37" x14ac:dyDescent="0.25">
      <c r="A57" s="142" t="s">
        <v>438</v>
      </c>
      <c r="B57" t="s">
        <v>521</v>
      </c>
      <c r="C57" t="s">
        <v>58</v>
      </c>
      <c r="D57" s="143">
        <f>IFERROR(VLOOKUP(B57,'Enrollment 26-27'!$B$5:$I$332,8,FALSE),0)</f>
        <v>2</v>
      </c>
      <c r="E57" s="64">
        <f t="shared" si="2"/>
        <v>231</v>
      </c>
      <c r="F57" s="144">
        <v>0</v>
      </c>
      <c r="G57" s="144">
        <v>0</v>
      </c>
      <c r="H57" s="64">
        <f t="shared" si="3"/>
        <v>231</v>
      </c>
      <c r="I57" s="64">
        <f t="shared" si="4"/>
        <v>0</v>
      </c>
      <c r="J57" s="145">
        <f t="shared" si="5"/>
        <v>231</v>
      </c>
      <c r="K57" s="146" t="str">
        <f t="shared" si="16"/>
        <v>N</v>
      </c>
      <c r="L57" s="147">
        <f t="shared" si="6"/>
        <v>231</v>
      </c>
      <c r="M57" s="148">
        <f t="shared" si="7"/>
        <v>0</v>
      </c>
      <c r="N57" s="64">
        <f t="shared" si="8"/>
        <v>0</v>
      </c>
      <c r="O57" s="64">
        <f t="shared" si="9"/>
        <v>0</v>
      </c>
      <c r="Q57" s="104">
        <f t="shared" si="10"/>
        <v>0</v>
      </c>
      <c r="R57" s="104" t="str">
        <f t="shared" si="11"/>
        <v>Not Applicable</v>
      </c>
      <c r="S57" s="149" t="s">
        <v>815</v>
      </c>
      <c r="T57" s="149">
        <f>IF(O57=0,0,IF(S57="N",0,VLOOKUP(B57,'Enrollment 25-26'!$B$8:$K$332,9,FALSE)))</f>
        <v>0</v>
      </c>
      <c r="U57" s="64">
        <f t="shared" si="12"/>
        <v>0</v>
      </c>
      <c r="V57" s="128">
        <f t="shared" si="13"/>
        <v>0</v>
      </c>
      <c r="W57" s="150"/>
      <c r="X57" s="64">
        <f>IFERROR(VLOOKUP($B57,'Allocations 2025-26'!$B$9:$U$329,14,FALSE),0)</f>
        <v>0</v>
      </c>
      <c r="Y57" s="99">
        <f t="shared" si="14"/>
        <v>0</v>
      </c>
      <c r="Z57" s="132">
        <f t="shared" si="15"/>
        <v>0</v>
      </c>
      <c r="AA57" s="151" t="str">
        <f t="shared" si="17"/>
        <v>N</v>
      </c>
      <c r="AC57" s="64"/>
      <c r="AE57" s="152"/>
      <c r="AH57" s="153"/>
      <c r="AI57" s="153"/>
      <c r="AJ57" s="153"/>
      <c r="AK57" s="154"/>
    </row>
    <row r="58" spans="1:37" x14ac:dyDescent="0.25">
      <c r="A58" s="142" t="s">
        <v>481</v>
      </c>
      <c r="B58" t="s">
        <v>522</v>
      </c>
      <c r="C58" t="s">
        <v>59</v>
      </c>
      <c r="D58" s="143">
        <f>IFERROR(VLOOKUP(B58,'Enrollment 26-27'!$B$5:$I$332,8,FALSE),0)</f>
        <v>0</v>
      </c>
      <c r="E58" s="64">
        <f t="shared" si="2"/>
        <v>0</v>
      </c>
      <c r="F58" s="144">
        <v>0</v>
      </c>
      <c r="G58" s="144">
        <v>0</v>
      </c>
      <c r="H58" s="64">
        <f t="shared" si="3"/>
        <v>0</v>
      </c>
      <c r="I58" s="64">
        <f t="shared" si="4"/>
        <v>0</v>
      </c>
      <c r="J58" s="145">
        <f t="shared" si="5"/>
        <v>0</v>
      </c>
      <c r="K58" s="146" t="str">
        <f t="shared" si="16"/>
        <v>N</v>
      </c>
      <c r="L58" s="147">
        <f t="shared" si="6"/>
        <v>0</v>
      </c>
      <c r="M58" s="148">
        <f t="shared" si="7"/>
        <v>0</v>
      </c>
      <c r="N58" s="64">
        <f t="shared" si="8"/>
        <v>0</v>
      </c>
      <c r="O58" s="64">
        <f t="shared" si="9"/>
        <v>0</v>
      </c>
      <c r="Q58" s="104">
        <f t="shared" si="10"/>
        <v>0</v>
      </c>
      <c r="R58" s="104" t="str">
        <f t="shared" si="11"/>
        <v>Not Applicable</v>
      </c>
      <c r="S58" s="149" t="s">
        <v>815</v>
      </c>
      <c r="T58" s="149">
        <f>IF(O58=0,0,IF(S58="N",0,VLOOKUP(B58,'Enrollment 25-26'!$B$8:$K$332,9,FALSE)))</f>
        <v>0</v>
      </c>
      <c r="U58" s="64">
        <f t="shared" si="12"/>
        <v>0</v>
      </c>
      <c r="V58" s="128">
        <f t="shared" si="13"/>
        <v>0</v>
      </c>
      <c r="W58" s="150"/>
      <c r="X58" s="64">
        <f>IFERROR(VLOOKUP($B58,'Allocations 2025-26'!$B$9:$U$329,14,FALSE),0)</f>
        <v>0</v>
      </c>
      <c r="Y58" s="99">
        <f t="shared" si="14"/>
        <v>0</v>
      </c>
      <c r="Z58" s="132">
        <f t="shared" si="15"/>
        <v>0</v>
      </c>
      <c r="AA58" s="151" t="str">
        <f t="shared" si="17"/>
        <v>N</v>
      </c>
      <c r="AC58" s="64"/>
      <c r="AE58" s="152"/>
      <c r="AH58" s="153"/>
      <c r="AI58" s="153"/>
      <c r="AJ58" s="153"/>
      <c r="AK58" s="154"/>
    </row>
    <row r="59" spans="1:37" x14ac:dyDescent="0.25">
      <c r="A59" s="142" t="s">
        <v>446</v>
      </c>
      <c r="B59" t="s">
        <v>523</v>
      </c>
      <c r="C59" t="s">
        <v>60</v>
      </c>
      <c r="D59" s="143">
        <f>IFERROR(VLOOKUP(B59,'Enrollment 26-27'!$B$5:$I$332,8,FALSE),0)</f>
        <v>32.17</v>
      </c>
      <c r="E59" s="64">
        <f t="shared" si="2"/>
        <v>3723</v>
      </c>
      <c r="F59" s="144">
        <v>0</v>
      </c>
      <c r="G59" s="144">
        <v>0</v>
      </c>
      <c r="H59" s="64">
        <f t="shared" si="3"/>
        <v>3723</v>
      </c>
      <c r="I59" s="64">
        <f t="shared" si="4"/>
        <v>0</v>
      </c>
      <c r="J59" s="145">
        <f t="shared" si="5"/>
        <v>3723</v>
      </c>
      <c r="K59" s="146" t="str">
        <f t="shared" si="16"/>
        <v>C</v>
      </c>
      <c r="L59" s="147">
        <f t="shared" si="6"/>
        <v>0</v>
      </c>
      <c r="M59" s="148">
        <f t="shared" si="7"/>
        <v>32.17</v>
      </c>
      <c r="N59" s="64">
        <f t="shared" si="8"/>
        <v>32</v>
      </c>
      <c r="O59" s="64">
        <f t="shared" si="9"/>
        <v>3755</v>
      </c>
      <c r="Q59" s="104">
        <f t="shared" si="10"/>
        <v>0</v>
      </c>
      <c r="R59" s="104" t="str">
        <f t="shared" si="11"/>
        <v>Not Applicable</v>
      </c>
      <c r="S59" s="149" t="s">
        <v>815</v>
      </c>
      <c r="T59" s="149">
        <f>IF(O59=0,0,IF(S59="N",0,VLOOKUP(B59,'Enrollment 25-26'!$B$8:$K$332,9,FALSE)))</f>
        <v>0</v>
      </c>
      <c r="U59" s="64">
        <f t="shared" si="12"/>
        <v>3755</v>
      </c>
      <c r="V59" s="128">
        <f t="shared" si="13"/>
        <v>116.72365557973266</v>
      </c>
      <c r="W59" s="150"/>
      <c r="X59" s="64">
        <f>IFERROR(VLOOKUP($B59,'Allocations 2025-26'!$B$9:$U$329,14,FALSE),0)</f>
        <v>3729</v>
      </c>
      <c r="Y59" s="99">
        <f t="shared" si="14"/>
        <v>26</v>
      </c>
      <c r="Z59" s="132">
        <f t="shared" si="15"/>
        <v>6.9723786537945831E-3</v>
      </c>
      <c r="AA59" s="151" t="str">
        <f t="shared" si="17"/>
        <v>C</v>
      </c>
      <c r="AC59" s="64"/>
      <c r="AE59" s="152"/>
      <c r="AH59" s="153"/>
      <c r="AI59" s="153"/>
      <c r="AJ59" s="153"/>
      <c r="AK59" s="154"/>
    </row>
    <row r="60" spans="1:37" x14ac:dyDescent="0.25">
      <c r="A60" s="142" t="s">
        <v>478</v>
      </c>
      <c r="B60" t="s">
        <v>524</v>
      </c>
      <c r="C60" t="s">
        <v>61</v>
      </c>
      <c r="D60" s="143">
        <f>IFERROR(VLOOKUP(B60,'Enrollment 26-27'!$B$5:$I$332,8,FALSE),0)</f>
        <v>1.33</v>
      </c>
      <c r="E60" s="64">
        <f t="shared" si="2"/>
        <v>154</v>
      </c>
      <c r="F60" s="144">
        <v>0</v>
      </c>
      <c r="G60" s="144">
        <v>0</v>
      </c>
      <c r="H60" s="64">
        <f t="shared" si="3"/>
        <v>154</v>
      </c>
      <c r="I60" s="64">
        <f t="shared" si="4"/>
        <v>0</v>
      </c>
      <c r="J60" s="145">
        <f t="shared" si="5"/>
        <v>154</v>
      </c>
      <c r="K60" s="146" t="str">
        <f t="shared" si="16"/>
        <v>N</v>
      </c>
      <c r="L60" s="147">
        <f t="shared" si="6"/>
        <v>154</v>
      </c>
      <c r="M60" s="148">
        <f t="shared" si="7"/>
        <v>0</v>
      </c>
      <c r="N60" s="64">
        <f t="shared" si="8"/>
        <v>0</v>
      </c>
      <c r="O60" s="64">
        <f t="shared" si="9"/>
        <v>0</v>
      </c>
      <c r="Q60" s="104">
        <f t="shared" si="10"/>
        <v>0</v>
      </c>
      <c r="R60" s="104" t="str">
        <f t="shared" si="11"/>
        <v>Not Applicable</v>
      </c>
      <c r="S60" s="149" t="s">
        <v>815</v>
      </c>
      <c r="T60" s="149">
        <f>IF(O60=0,0,IF(S60="N",0,VLOOKUP(B60,'Enrollment 25-26'!$B$8:$K$332,9,FALSE)))</f>
        <v>0</v>
      </c>
      <c r="U60" s="64">
        <f t="shared" si="12"/>
        <v>0</v>
      </c>
      <c r="V60" s="128">
        <f t="shared" si="13"/>
        <v>0</v>
      </c>
      <c r="W60" s="150"/>
      <c r="X60" s="64">
        <f>IFERROR(VLOOKUP($B60,'Allocations 2025-26'!$B$9:$U$329,14,FALSE),0)</f>
        <v>0</v>
      </c>
      <c r="Y60" s="99">
        <f t="shared" si="14"/>
        <v>0</v>
      </c>
      <c r="Z60" s="132">
        <f t="shared" si="15"/>
        <v>0</v>
      </c>
      <c r="AA60" s="151" t="str">
        <f t="shared" si="17"/>
        <v>N</v>
      </c>
      <c r="AC60" s="64"/>
      <c r="AE60" s="152"/>
      <c r="AH60" s="153"/>
      <c r="AI60" s="153"/>
      <c r="AJ60" s="153"/>
      <c r="AK60" s="154"/>
    </row>
    <row r="61" spans="1:37" x14ac:dyDescent="0.25">
      <c r="A61" s="142" t="s">
        <v>443</v>
      </c>
      <c r="B61" t="s">
        <v>525</v>
      </c>
      <c r="C61" t="s">
        <v>62</v>
      </c>
      <c r="D61" s="143">
        <f>IFERROR(VLOOKUP(B61,'Enrollment 26-27'!$B$5:$I$332,8,FALSE),0)</f>
        <v>0</v>
      </c>
      <c r="E61" s="64">
        <f t="shared" si="2"/>
        <v>0</v>
      </c>
      <c r="F61" s="144">
        <v>0</v>
      </c>
      <c r="G61" s="144">
        <v>0</v>
      </c>
      <c r="H61" s="64">
        <f t="shared" si="3"/>
        <v>0</v>
      </c>
      <c r="I61" s="64">
        <f t="shared" si="4"/>
        <v>0</v>
      </c>
      <c r="J61" s="145">
        <f t="shared" si="5"/>
        <v>0</v>
      </c>
      <c r="K61" s="146" t="str">
        <f t="shared" si="16"/>
        <v>N</v>
      </c>
      <c r="L61" s="147">
        <f t="shared" si="6"/>
        <v>0</v>
      </c>
      <c r="M61" s="148">
        <f t="shared" si="7"/>
        <v>0</v>
      </c>
      <c r="N61" s="64">
        <f t="shared" si="8"/>
        <v>0</v>
      </c>
      <c r="O61" s="64">
        <f t="shared" si="9"/>
        <v>0</v>
      </c>
      <c r="Q61" s="104">
        <f t="shared" si="10"/>
        <v>0</v>
      </c>
      <c r="R61" s="104" t="str">
        <f t="shared" si="11"/>
        <v>Not Applicable</v>
      </c>
      <c r="S61" s="149" t="s">
        <v>815</v>
      </c>
      <c r="T61" s="149">
        <f>IF(O61=0,0,IF(S61="N",0,VLOOKUP(B61,'Enrollment 25-26'!$B$8:$K$332,9,FALSE)))</f>
        <v>0</v>
      </c>
      <c r="U61" s="64">
        <f t="shared" si="12"/>
        <v>0</v>
      </c>
      <c r="V61" s="128">
        <f t="shared" si="13"/>
        <v>0</v>
      </c>
      <c r="W61" s="150"/>
      <c r="X61" s="64">
        <f>IFERROR(VLOOKUP($B61,'Allocations 2025-26'!$B$9:$U$329,14,FALSE),0)</f>
        <v>0</v>
      </c>
      <c r="Y61" s="99">
        <f t="shared" si="14"/>
        <v>0</v>
      </c>
      <c r="Z61" s="132">
        <f t="shared" si="15"/>
        <v>0</v>
      </c>
      <c r="AA61" s="151" t="str">
        <f t="shared" si="17"/>
        <v>N</v>
      </c>
      <c r="AC61" s="64"/>
      <c r="AE61" s="152"/>
      <c r="AH61" s="153"/>
      <c r="AI61" s="153"/>
      <c r="AJ61" s="153"/>
      <c r="AK61" s="154"/>
    </row>
    <row r="62" spans="1:37" x14ac:dyDescent="0.25">
      <c r="A62" s="142" t="s">
        <v>443</v>
      </c>
      <c r="B62" t="s">
        <v>526</v>
      </c>
      <c r="C62" t="s">
        <v>63</v>
      </c>
      <c r="D62" s="143">
        <f>IFERROR(VLOOKUP(B62,'Enrollment 26-27'!$B$5:$I$332,8,FALSE),0)</f>
        <v>0</v>
      </c>
      <c r="E62" s="64">
        <f t="shared" si="2"/>
        <v>0</v>
      </c>
      <c r="F62" s="144">
        <v>0</v>
      </c>
      <c r="G62" s="144">
        <v>0</v>
      </c>
      <c r="H62" s="64">
        <f t="shared" si="3"/>
        <v>0</v>
      </c>
      <c r="I62" s="64">
        <f t="shared" si="4"/>
        <v>0</v>
      </c>
      <c r="J62" s="145">
        <f t="shared" si="5"/>
        <v>0</v>
      </c>
      <c r="K62" s="146" t="str">
        <f t="shared" si="16"/>
        <v>N</v>
      </c>
      <c r="L62" s="147">
        <f t="shared" si="6"/>
        <v>0</v>
      </c>
      <c r="M62" s="148">
        <f t="shared" si="7"/>
        <v>0</v>
      </c>
      <c r="N62" s="64">
        <f t="shared" si="8"/>
        <v>0</v>
      </c>
      <c r="O62" s="64">
        <f t="shared" si="9"/>
        <v>0</v>
      </c>
      <c r="Q62" s="104">
        <f t="shared" si="10"/>
        <v>0</v>
      </c>
      <c r="R62" s="104" t="str">
        <f t="shared" si="11"/>
        <v>Not Applicable</v>
      </c>
      <c r="S62" s="149" t="s">
        <v>815</v>
      </c>
      <c r="T62" s="149">
        <f>IF(O62=0,0,IF(S62="N",0,VLOOKUP(B62,'Enrollment 25-26'!$B$8:$K$332,9,FALSE)))</f>
        <v>0</v>
      </c>
      <c r="U62" s="64">
        <f t="shared" si="12"/>
        <v>0</v>
      </c>
      <c r="V62" s="128">
        <f t="shared" si="13"/>
        <v>0</v>
      </c>
      <c r="W62" s="150"/>
      <c r="X62" s="64">
        <f>IFERROR(VLOOKUP($B62,'Allocations 2025-26'!$B$9:$U$329,14,FALSE),0)</f>
        <v>0</v>
      </c>
      <c r="Y62" s="99">
        <f t="shared" si="14"/>
        <v>0</v>
      </c>
      <c r="Z62" s="132">
        <f t="shared" si="15"/>
        <v>0</v>
      </c>
      <c r="AA62" s="151" t="str">
        <f t="shared" si="17"/>
        <v>N</v>
      </c>
      <c r="AC62" s="64"/>
      <c r="AE62" s="152"/>
      <c r="AH62" s="153"/>
      <c r="AI62" s="153"/>
      <c r="AJ62" s="153"/>
      <c r="AK62" s="154"/>
    </row>
    <row r="63" spans="1:37" x14ac:dyDescent="0.25">
      <c r="A63" s="142" t="s">
        <v>443</v>
      </c>
      <c r="B63" t="s">
        <v>527</v>
      </c>
      <c r="C63" t="s">
        <v>64</v>
      </c>
      <c r="D63" s="143">
        <f>IFERROR(VLOOKUP(B63,'Enrollment 26-27'!$B$5:$I$332,8,FALSE),0)</f>
        <v>0</v>
      </c>
      <c r="E63" s="64">
        <f t="shared" si="2"/>
        <v>0</v>
      </c>
      <c r="F63" s="144">
        <v>0</v>
      </c>
      <c r="G63" s="144">
        <v>0</v>
      </c>
      <c r="H63" s="64">
        <f t="shared" si="3"/>
        <v>0</v>
      </c>
      <c r="I63" s="64">
        <f t="shared" si="4"/>
        <v>0</v>
      </c>
      <c r="J63" s="145">
        <f t="shared" si="5"/>
        <v>0</v>
      </c>
      <c r="K63" s="146" t="str">
        <f t="shared" si="16"/>
        <v>N</v>
      </c>
      <c r="L63" s="147">
        <f t="shared" si="6"/>
        <v>0</v>
      </c>
      <c r="M63" s="148">
        <f t="shared" si="7"/>
        <v>0</v>
      </c>
      <c r="N63" s="64">
        <f t="shared" si="8"/>
        <v>0</v>
      </c>
      <c r="O63" s="64">
        <f t="shared" si="9"/>
        <v>0</v>
      </c>
      <c r="Q63" s="104">
        <f t="shared" si="10"/>
        <v>0</v>
      </c>
      <c r="R63" s="104" t="str">
        <f t="shared" si="11"/>
        <v>Not Applicable</v>
      </c>
      <c r="S63" s="149" t="s">
        <v>815</v>
      </c>
      <c r="T63" s="149">
        <f>IF(O63=0,0,IF(S63="N",0,VLOOKUP(B63,'Enrollment 25-26'!$B$8:$K$332,9,FALSE)))</f>
        <v>0</v>
      </c>
      <c r="U63" s="64">
        <f t="shared" si="12"/>
        <v>0</v>
      </c>
      <c r="V63" s="128">
        <f t="shared" si="13"/>
        <v>0</v>
      </c>
      <c r="W63" s="150"/>
      <c r="X63" s="64">
        <f>IFERROR(VLOOKUP($B63,'Allocations 2025-26'!$B$9:$U$329,14,FALSE),0)</f>
        <v>0</v>
      </c>
      <c r="Y63" s="99">
        <f t="shared" si="14"/>
        <v>0</v>
      </c>
      <c r="Z63" s="132">
        <f t="shared" si="15"/>
        <v>0</v>
      </c>
      <c r="AA63" s="151" t="str">
        <f t="shared" si="17"/>
        <v>N</v>
      </c>
      <c r="AC63" s="64"/>
      <c r="AE63" s="152"/>
      <c r="AH63" s="153"/>
      <c r="AI63" s="153"/>
      <c r="AJ63" s="153"/>
      <c r="AK63" s="154"/>
    </row>
    <row r="64" spans="1:37" x14ac:dyDescent="0.25">
      <c r="A64" s="142" t="s">
        <v>471</v>
      </c>
      <c r="B64" t="s">
        <v>528</v>
      </c>
      <c r="C64" t="s">
        <v>65</v>
      </c>
      <c r="D64" s="143">
        <f>IFERROR(VLOOKUP(B64,'Enrollment 26-27'!$B$5:$I$332,8,FALSE),0)</f>
        <v>0</v>
      </c>
      <c r="E64" s="64">
        <f t="shared" si="2"/>
        <v>0</v>
      </c>
      <c r="F64" s="144">
        <v>0</v>
      </c>
      <c r="G64" s="144">
        <v>0</v>
      </c>
      <c r="H64" s="64">
        <f t="shared" si="3"/>
        <v>0</v>
      </c>
      <c r="I64" s="64">
        <f t="shared" si="4"/>
        <v>0</v>
      </c>
      <c r="J64" s="145">
        <f t="shared" si="5"/>
        <v>0</v>
      </c>
      <c r="K64" s="146" t="str">
        <f t="shared" si="16"/>
        <v>N</v>
      </c>
      <c r="L64" s="147">
        <f t="shared" si="6"/>
        <v>0</v>
      </c>
      <c r="M64" s="148">
        <f t="shared" si="7"/>
        <v>0</v>
      </c>
      <c r="N64" s="64">
        <f t="shared" si="8"/>
        <v>0</v>
      </c>
      <c r="O64" s="64">
        <f t="shared" si="9"/>
        <v>0</v>
      </c>
      <c r="Q64" s="104">
        <f t="shared" si="10"/>
        <v>0</v>
      </c>
      <c r="R64" s="104" t="str">
        <f t="shared" si="11"/>
        <v>Not Applicable</v>
      </c>
      <c r="S64" s="149" t="s">
        <v>815</v>
      </c>
      <c r="T64" s="149">
        <f>IF(O64=0,0,IF(S64="N",0,VLOOKUP(B64,'Enrollment 25-26'!$B$8:$K$332,9,FALSE)))</f>
        <v>0</v>
      </c>
      <c r="U64" s="64">
        <f t="shared" si="12"/>
        <v>0</v>
      </c>
      <c r="V64" s="128">
        <f t="shared" si="13"/>
        <v>0</v>
      </c>
      <c r="W64" s="150"/>
      <c r="X64" s="64">
        <f>IFERROR(VLOOKUP($B64,'Allocations 2025-26'!$B$9:$U$329,14,FALSE),0)</f>
        <v>0</v>
      </c>
      <c r="Y64" s="99">
        <f t="shared" si="14"/>
        <v>0</v>
      </c>
      <c r="Z64" s="132">
        <f t="shared" si="15"/>
        <v>0</v>
      </c>
      <c r="AA64" s="151" t="str">
        <f t="shared" si="17"/>
        <v>N</v>
      </c>
      <c r="AC64" s="64"/>
      <c r="AE64" s="152"/>
      <c r="AH64" s="153"/>
      <c r="AI64" s="153"/>
      <c r="AJ64" s="153"/>
      <c r="AK64" s="154"/>
    </row>
    <row r="65" spans="1:37" x14ac:dyDescent="0.25">
      <c r="A65" s="142" t="s">
        <v>446</v>
      </c>
      <c r="B65" t="s">
        <v>529</v>
      </c>
      <c r="C65" t="s">
        <v>66</v>
      </c>
      <c r="D65" s="143">
        <f>IFERROR(VLOOKUP(B65,'Enrollment 26-27'!$B$5:$I$332,8,FALSE),0)</f>
        <v>0.83</v>
      </c>
      <c r="E65" s="64">
        <f t="shared" si="2"/>
        <v>96</v>
      </c>
      <c r="F65" s="144">
        <v>0</v>
      </c>
      <c r="G65" s="144">
        <v>0</v>
      </c>
      <c r="H65" s="64">
        <f t="shared" si="3"/>
        <v>96</v>
      </c>
      <c r="I65" s="64">
        <f t="shared" si="4"/>
        <v>0</v>
      </c>
      <c r="J65" s="145">
        <f t="shared" si="5"/>
        <v>96</v>
      </c>
      <c r="K65" s="146" t="str">
        <f t="shared" si="16"/>
        <v>N</v>
      </c>
      <c r="L65" s="147">
        <f t="shared" si="6"/>
        <v>96</v>
      </c>
      <c r="M65" s="148">
        <f t="shared" si="7"/>
        <v>0</v>
      </c>
      <c r="N65" s="64">
        <f t="shared" si="8"/>
        <v>0</v>
      </c>
      <c r="O65" s="64">
        <f t="shared" si="9"/>
        <v>0</v>
      </c>
      <c r="Q65" s="104">
        <f t="shared" si="10"/>
        <v>0</v>
      </c>
      <c r="R65" s="104" t="str">
        <f t="shared" si="11"/>
        <v>Not Applicable</v>
      </c>
      <c r="S65" s="149" t="s">
        <v>815</v>
      </c>
      <c r="T65" s="149">
        <f>IF(O65=0,0,IF(S65="N",0,VLOOKUP(B65,'Enrollment 25-26'!$B$8:$K$332,9,FALSE)))</f>
        <v>0</v>
      </c>
      <c r="U65" s="64">
        <f t="shared" si="12"/>
        <v>0</v>
      </c>
      <c r="V65" s="128">
        <f t="shared" si="13"/>
        <v>0</v>
      </c>
      <c r="W65" s="150"/>
      <c r="X65" s="64">
        <f>IFERROR(VLOOKUP($B65,'Allocations 2025-26'!$B$9:$U$329,14,FALSE),0)</f>
        <v>0</v>
      </c>
      <c r="Y65" s="99">
        <f t="shared" si="14"/>
        <v>0</v>
      </c>
      <c r="Z65" s="132">
        <f t="shared" si="15"/>
        <v>0</v>
      </c>
      <c r="AA65" s="151" t="str">
        <f t="shared" si="17"/>
        <v>N</v>
      </c>
      <c r="AC65" s="64"/>
      <c r="AE65" s="152"/>
      <c r="AH65" s="153"/>
      <c r="AI65" s="153"/>
      <c r="AJ65" s="153"/>
      <c r="AK65" s="154"/>
    </row>
    <row r="66" spans="1:37" x14ac:dyDescent="0.25">
      <c r="A66" s="142" t="s">
        <v>443</v>
      </c>
      <c r="B66" t="s">
        <v>530</v>
      </c>
      <c r="C66" t="s">
        <v>67</v>
      </c>
      <c r="D66" s="143">
        <f>IFERROR(VLOOKUP(B66,'Enrollment 26-27'!$B$5:$I$332,8,FALSE),0)</f>
        <v>0</v>
      </c>
      <c r="E66" s="64">
        <f t="shared" si="2"/>
        <v>0</v>
      </c>
      <c r="F66" s="144">
        <v>0</v>
      </c>
      <c r="G66" s="144">
        <v>0</v>
      </c>
      <c r="H66" s="64">
        <f t="shared" si="3"/>
        <v>0</v>
      </c>
      <c r="I66" s="64">
        <f t="shared" si="4"/>
        <v>0</v>
      </c>
      <c r="J66" s="145">
        <f t="shared" si="5"/>
        <v>0</v>
      </c>
      <c r="K66" s="146" t="str">
        <f t="shared" si="16"/>
        <v>N</v>
      </c>
      <c r="L66" s="147">
        <f t="shared" si="6"/>
        <v>0</v>
      </c>
      <c r="M66" s="148">
        <f t="shared" si="7"/>
        <v>0</v>
      </c>
      <c r="N66" s="64">
        <f t="shared" si="8"/>
        <v>0</v>
      </c>
      <c r="O66" s="64">
        <f t="shared" si="9"/>
        <v>0</v>
      </c>
      <c r="Q66" s="104">
        <f t="shared" si="10"/>
        <v>0</v>
      </c>
      <c r="R66" s="104" t="str">
        <f t="shared" si="11"/>
        <v>Not Applicable</v>
      </c>
      <c r="S66" s="149" t="s">
        <v>815</v>
      </c>
      <c r="T66" s="149">
        <f>IF(O66=0,0,IF(S66="N",0,VLOOKUP(B66,'Enrollment 25-26'!$B$8:$K$332,9,FALSE)))</f>
        <v>0</v>
      </c>
      <c r="U66" s="64">
        <f t="shared" si="12"/>
        <v>0</v>
      </c>
      <c r="V66" s="128">
        <f t="shared" si="13"/>
        <v>0</v>
      </c>
      <c r="W66" s="150"/>
      <c r="X66" s="64">
        <f>IFERROR(VLOOKUP($B66,'Allocations 2025-26'!$B$9:$U$329,14,FALSE),0)</f>
        <v>0</v>
      </c>
      <c r="Y66" s="99">
        <f t="shared" si="14"/>
        <v>0</v>
      </c>
      <c r="Z66" s="132">
        <f t="shared" si="15"/>
        <v>0</v>
      </c>
      <c r="AA66" s="151" t="str">
        <f t="shared" si="17"/>
        <v>N</v>
      </c>
      <c r="AC66" s="64"/>
      <c r="AE66" s="152"/>
      <c r="AH66" s="153"/>
      <c r="AI66" s="153"/>
      <c r="AJ66" s="153"/>
      <c r="AK66" s="154"/>
    </row>
    <row r="67" spans="1:37" x14ac:dyDescent="0.25">
      <c r="A67" s="142" t="s">
        <v>451</v>
      </c>
      <c r="B67" t="s">
        <v>531</v>
      </c>
      <c r="C67" t="s">
        <v>68</v>
      </c>
      <c r="D67" s="143">
        <f>IFERROR(VLOOKUP(B67,'Enrollment 26-27'!$B$5:$I$332,8,FALSE),0)</f>
        <v>1.17</v>
      </c>
      <c r="E67" s="64">
        <f t="shared" si="2"/>
        <v>135</v>
      </c>
      <c r="F67" s="144">
        <v>0</v>
      </c>
      <c r="G67" s="144">
        <v>0</v>
      </c>
      <c r="H67" s="64">
        <f t="shared" si="3"/>
        <v>135</v>
      </c>
      <c r="I67" s="64">
        <f t="shared" si="4"/>
        <v>0</v>
      </c>
      <c r="J67" s="145">
        <f t="shared" si="5"/>
        <v>135</v>
      </c>
      <c r="K67" s="146" t="str">
        <f t="shared" si="16"/>
        <v>N</v>
      </c>
      <c r="L67" s="147">
        <f t="shared" si="6"/>
        <v>135</v>
      </c>
      <c r="M67" s="148">
        <f t="shared" si="7"/>
        <v>0</v>
      </c>
      <c r="N67" s="64">
        <f t="shared" si="8"/>
        <v>0</v>
      </c>
      <c r="O67" s="64">
        <f t="shared" si="9"/>
        <v>0</v>
      </c>
      <c r="Q67" s="104">
        <f t="shared" si="10"/>
        <v>0</v>
      </c>
      <c r="R67" s="104" t="str">
        <f t="shared" si="11"/>
        <v>Not Applicable</v>
      </c>
      <c r="S67" s="149" t="s">
        <v>815</v>
      </c>
      <c r="T67" s="149">
        <f>IF(O67=0,0,IF(S67="N",0,VLOOKUP(B67,'Enrollment 25-26'!$B$8:$K$332,9,FALSE)))</f>
        <v>0</v>
      </c>
      <c r="U67" s="64">
        <f t="shared" si="12"/>
        <v>0</v>
      </c>
      <c r="V67" s="128">
        <f t="shared" si="13"/>
        <v>0</v>
      </c>
      <c r="W67" s="150"/>
      <c r="X67" s="64">
        <f>IFERROR(VLOOKUP($B67,'Allocations 2025-26'!$B$9:$U$329,14,FALSE),0)</f>
        <v>0</v>
      </c>
      <c r="Y67" s="99">
        <f t="shared" si="14"/>
        <v>0</v>
      </c>
      <c r="Z67" s="132">
        <f t="shared" si="15"/>
        <v>0</v>
      </c>
      <c r="AA67" s="151" t="str">
        <f t="shared" si="17"/>
        <v>N</v>
      </c>
      <c r="AC67" s="64"/>
      <c r="AE67" s="152"/>
      <c r="AH67" s="153"/>
      <c r="AI67" s="153"/>
      <c r="AJ67" s="153"/>
      <c r="AK67" s="154"/>
    </row>
    <row r="68" spans="1:37" x14ac:dyDescent="0.25">
      <c r="A68" s="142" t="s">
        <v>443</v>
      </c>
      <c r="B68" t="s">
        <v>532</v>
      </c>
      <c r="C68" t="s">
        <v>69</v>
      </c>
      <c r="D68" s="143">
        <f>IFERROR(VLOOKUP(B68,'Enrollment 26-27'!$B$5:$I$332,8,FALSE),0)</f>
        <v>24.5</v>
      </c>
      <c r="E68" s="64">
        <f t="shared" si="2"/>
        <v>2835</v>
      </c>
      <c r="F68" s="144">
        <v>0</v>
      </c>
      <c r="G68" s="144">
        <v>0</v>
      </c>
      <c r="H68" s="64">
        <f t="shared" si="3"/>
        <v>2835</v>
      </c>
      <c r="I68" s="64">
        <f t="shared" si="4"/>
        <v>0</v>
      </c>
      <c r="J68" s="145">
        <f t="shared" si="5"/>
        <v>2835</v>
      </c>
      <c r="K68" s="146" t="str">
        <f t="shared" si="16"/>
        <v>N</v>
      </c>
      <c r="L68" s="147">
        <f t="shared" si="6"/>
        <v>2835</v>
      </c>
      <c r="M68" s="148">
        <f t="shared" si="7"/>
        <v>0</v>
      </c>
      <c r="N68" s="64">
        <f t="shared" si="8"/>
        <v>0</v>
      </c>
      <c r="O68" s="64">
        <f t="shared" si="9"/>
        <v>0</v>
      </c>
      <c r="Q68" s="104">
        <f t="shared" si="10"/>
        <v>0</v>
      </c>
      <c r="R68" s="104" t="str">
        <f t="shared" si="11"/>
        <v>Not Applicable</v>
      </c>
      <c r="S68" s="149" t="s">
        <v>815</v>
      </c>
      <c r="T68" s="149">
        <f>IF(O68=0,0,IF(S68="N",0,VLOOKUP(B68,'Enrollment 25-26'!$B$8:$K$332,9,FALSE)))</f>
        <v>0</v>
      </c>
      <c r="U68" s="64">
        <f t="shared" si="12"/>
        <v>0</v>
      </c>
      <c r="V68" s="128">
        <f t="shared" si="13"/>
        <v>0</v>
      </c>
      <c r="W68" s="150"/>
      <c r="X68" s="64">
        <f>IFERROR(VLOOKUP($B68,'Allocations 2025-26'!$B$9:$U$329,14,FALSE),0)</f>
        <v>0</v>
      </c>
      <c r="Y68" s="99">
        <f t="shared" si="14"/>
        <v>0</v>
      </c>
      <c r="Z68" s="132">
        <f t="shared" si="15"/>
        <v>0</v>
      </c>
      <c r="AA68" s="151" t="str">
        <f t="shared" si="17"/>
        <v>N</v>
      </c>
      <c r="AC68" s="64"/>
      <c r="AE68" s="152"/>
      <c r="AH68" s="153"/>
      <c r="AI68" s="153"/>
      <c r="AJ68" s="153"/>
      <c r="AK68" s="154"/>
    </row>
    <row r="69" spans="1:37" x14ac:dyDescent="0.25">
      <c r="A69" s="142" t="s">
        <v>454</v>
      </c>
      <c r="B69" t="s">
        <v>480</v>
      </c>
      <c r="C69" t="s">
        <v>70</v>
      </c>
      <c r="D69" s="143">
        <f>IFERROR(VLOOKUP(B69,'Enrollment 26-27'!$B$5:$I$332,8,FALSE),0)</f>
        <v>121.33</v>
      </c>
      <c r="E69" s="64">
        <f t="shared" si="2"/>
        <v>14040</v>
      </c>
      <c r="F69" s="144">
        <v>0</v>
      </c>
      <c r="G69" s="144">
        <v>0</v>
      </c>
      <c r="H69" s="64">
        <f t="shared" si="3"/>
        <v>14040</v>
      </c>
      <c r="I69" s="64">
        <f t="shared" si="4"/>
        <v>0</v>
      </c>
      <c r="J69" s="145">
        <f t="shared" si="5"/>
        <v>14040</v>
      </c>
      <c r="K69" s="146" t="str">
        <f t="shared" si="16"/>
        <v>Y</v>
      </c>
      <c r="L69" s="147">
        <f t="shared" si="6"/>
        <v>0</v>
      </c>
      <c r="M69" s="148">
        <f t="shared" si="7"/>
        <v>121.33</v>
      </c>
      <c r="N69" s="64">
        <f t="shared" si="8"/>
        <v>120</v>
      </c>
      <c r="O69" s="64">
        <f t="shared" si="9"/>
        <v>14160</v>
      </c>
      <c r="Q69" s="104">
        <f t="shared" si="10"/>
        <v>0</v>
      </c>
      <c r="R69" s="104" t="str">
        <f t="shared" si="11"/>
        <v>Not Applicable</v>
      </c>
      <c r="S69" s="149" t="s">
        <v>815</v>
      </c>
      <c r="T69" s="149">
        <f>IF(O69=0,0,IF(S69="N",0,VLOOKUP(B69,'Enrollment 25-26'!$B$8:$K$332,9,FALSE)))</f>
        <v>0</v>
      </c>
      <c r="U69" s="64">
        <f t="shared" si="12"/>
        <v>14160</v>
      </c>
      <c r="V69" s="128">
        <f t="shared" si="13"/>
        <v>116.70650292590456</v>
      </c>
      <c r="W69" s="150"/>
      <c r="X69" s="64">
        <f>IFERROR(VLOOKUP($B69,'Allocations 2025-26'!$B$9:$U$329,14,FALSE),0)</f>
        <v>13861</v>
      </c>
      <c r="Y69" s="99">
        <f t="shared" si="14"/>
        <v>299</v>
      </c>
      <c r="Z69" s="132">
        <f t="shared" si="15"/>
        <v>2.1571315200923456E-2</v>
      </c>
      <c r="AA69" s="151" t="str">
        <f t="shared" si="17"/>
        <v>Y</v>
      </c>
      <c r="AC69" s="64"/>
      <c r="AE69" s="152"/>
      <c r="AH69" s="153"/>
      <c r="AI69" s="153"/>
      <c r="AJ69" s="153"/>
      <c r="AK69" s="154"/>
    </row>
    <row r="70" spans="1:37" x14ac:dyDescent="0.25">
      <c r="A70" s="142" t="s">
        <v>451</v>
      </c>
      <c r="B70" t="s">
        <v>533</v>
      </c>
      <c r="C70" t="s">
        <v>71</v>
      </c>
      <c r="D70" s="143">
        <f>IFERROR(VLOOKUP(B70,'Enrollment 26-27'!$B$5:$I$332,8,FALSE),0)</f>
        <v>0</v>
      </c>
      <c r="E70" s="64">
        <f t="shared" si="2"/>
        <v>0</v>
      </c>
      <c r="F70" s="144">
        <v>0</v>
      </c>
      <c r="G70" s="144">
        <v>0</v>
      </c>
      <c r="H70" s="64">
        <f t="shared" si="3"/>
        <v>0</v>
      </c>
      <c r="I70" s="64">
        <f t="shared" si="4"/>
        <v>0</v>
      </c>
      <c r="J70" s="145">
        <f t="shared" si="5"/>
        <v>0</v>
      </c>
      <c r="K70" s="146" t="str">
        <f t="shared" si="16"/>
        <v>N</v>
      </c>
      <c r="L70" s="147">
        <f t="shared" si="6"/>
        <v>0</v>
      </c>
      <c r="M70" s="148">
        <f t="shared" si="7"/>
        <v>0</v>
      </c>
      <c r="N70" s="64">
        <f t="shared" si="8"/>
        <v>0</v>
      </c>
      <c r="O70" s="64">
        <f t="shared" si="9"/>
        <v>0</v>
      </c>
      <c r="Q70" s="104">
        <f t="shared" si="10"/>
        <v>0</v>
      </c>
      <c r="R70" s="104" t="str">
        <f t="shared" si="11"/>
        <v>Not Applicable</v>
      </c>
      <c r="S70" s="149" t="s">
        <v>815</v>
      </c>
      <c r="T70" s="149">
        <f>IF(O70=0,0,IF(S70="N",0,VLOOKUP(B70,'Enrollment 25-26'!$B$8:$K$332,9,FALSE)))</f>
        <v>0</v>
      </c>
      <c r="U70" s="64">
        <f t="shared" si="12"/>
        <v>0</v>
      </c>
      <c r="V70" s="128">
        <f t="shared" si="13"/>
        <v>0</v>
      </c>
      <c r="W70" s="150"/>
      <c r="X70" s="64">
        <f>IFERROR(VLOOKUP($B70,'Allocations 2025-26'!$B$9:$U$329,14,FALSE),0)</f>
        <v>0</v>
      </c>
      <c r="Y70" s="99">
        <f t="shared" si="14"/>
        <v>0</v>
      </c>
      <c r="Z70" s="132">
        <f t="shared" si="15"/>
        <v>0</v>
      </c>
      <c r="AA70" s="151" t="str">
        <f t="shared" si="17"/>
        <v>N</v>
      </c>
      <c r="AC70" s="64"/>
      <c r="AE70" s="152"/>
      <c r="AH70" s="153"/>
      <c r="AI70" s="153"/>
      <c r="AJ70" s="153"/>
      <c r="AK70" s="154"/>
    </row>
    <row r="71" spans="1:37" x14ac:dyDescent="0.25">
      <c r="A71" s="142" t="s">
        <v>443</v>
      </c>
      <c r="B71" t="s">
        <v>534</v>
      </c>
      <c r="C71" t="s">
        <v>72</v>
      </c>
      <c r="D71" s="143">
        <f>IFERROR(VLOOKUP(B71,'Enrollment 26-27'!$B$5:$I$332,8,FALSE),0)</f>
        <v>253.67</v>
      </c>
      <c r="E71" s="64">
        <f t="shared" si="2"/>
        <v>29354</v>
      </c>
      <c r="F71" s="144">
        <v>0</v>
      </c>
      <c r="G71" s="144">
        <v>0</v>
      </c>
      <c r="H71" s="64">
        <f t="shared" si="3"/>
        <v>29354</v>
      </c>
      <c r="I71" s="64">
        <f t="shared" si="4"/>
        <v>0</v>
      </c>
      <c r="J71" s="145">
        <f t="shared" si="5"/>
        <v>29354</v>
      </c>
      <c r="K71" s="146" t="str">
        <f t="shared" si="16"/>
        <v>Y</v>
      </c>
      <c r="L71" s="147">
        <f t="shared" si="6"/>
        <v>0</v>
      </c>
      <c r="M71" s="148">
        <f t="shared" si="7"/>
        <v>253.67</v>
      </c>
      <c r="N71" s="64">
        <f t="shared" si="8"/>
        <v>250</v>
      </c>
      <c r="O71" s="64">
        <f t="shared" si="9"/>
        <v>29604</v>
      </c>
      <c r="Q71" s="104">
        <f t="shared" si="10"/>
        <v>0</v>
      </c>
      <c r="R71" s="104" t="str">
        <f t="shared" si="11"/>
        <v>Not Applicable</v>
      </c>
      <c r="S71" s="149" t="s">
        <v>815</v>
      </c>
      <c r="T71" s="149">
        <f>IF(O71=0,0,IF(S71="N",0,VLOOKUP(B71,'Enrollment 25-26'!$B$8:$K$332,9,FALSE)))</f>
        <v>0</v>
      </c>
      <c r="U71" s="64">
        <f t="shared" si="12"/>
        <v>29604</v>
      </c>
      <c r="V71" s="128">
        <f t="shared" si="13"/>
        <v>116.70280285410179</v>
      </c>
      <c r="W71" s="150"/>
      <c r="X71" s="64">
        <f>IFERROR(VLOOKUP($B71,'Allocations 2025-26'!$B$9:$U$329,14,FALSE),0)</f>
        <v>24363</v>
      </c>
      <c r="Y71" s="99">
        <f t="shared" si="14"/>
        <v>5241</v>
      </c>
      <c r="Z71" s="132">
        <f t="shared" si="15"/>
        <v>0.2151212904814678</v>
      </c>
      <c r="AA71" s="151" t="str">
        <f t="shared" si="17"/>
        <v>Y</v>
      </c>
      <c r="AC71" s="64"/>
      <c r="AE71" s="152"/>
      <c r="AH71" s="153"/>
      <c r="AI71" s="153"/>
      <c r="AJ71" s="153"/>
      <c r="AK71" s="154"/>
    </row>
    <row r="72" spans="1:37" x14ac:dyDescent="0.25">
      <c r="A72" s="142" t="s">
        <v>471</v>
      </c>
      <c r="B72" t="s">
        <v>535</v>
      </c>
      <c r="C72" t="s">
        <v>73</v>
      </c>
      <c r="D72" s="143">
        <f>IFERROR(VLOOKUP(B72,'Enrollment 26-27'!$B$5:$I$332,8,FALSE),0)</f>
        <v>449.33000000000004</v>
      </c>
      <c r="E72" s="64">
        <f t="shared" si="2"/>
        <v>51995</v>
      </c>
      <c r="F72" s="144">
        <v>0</v>
      </c>
      <c r="G72" s="144">
        <v>0</v>
      </c>
      <c r="H72" s="64">
        <f t="shared" si="3"/>
        <v>51995</v>
      </c>
      <c r="I72" s="64">
        <f t="shared" si="4"/>
        <v>0</v>
      </c>
      <c r="J72" s="145">
        <f t="shared" si="5"/>
        <v>51995</v>
      </c>
      <c r="K72" s="146" t="str">
        <f t="shared" si="16"/>
        <v>Y</v>
      </c>
      <c r="L72" s="147">
        <f t="shared" si="6"/>
        <v>0</v>
      </c>
      <c r="M72" s="148">
        <f t="shared" si="7"/>
        <v>449.33000000000004</v>
      </c>
      <c r="N72" s="64">
        <f t="shared" si="8"/>
        <v>444</v>
      </c>
      <c r="O72" s="64">
        <f t="shared" si="9"/>
        <v>52439</v>
      </c>
      <c r="Q72" s="104">
        <f t="shared" si="10"/>
        <v>0</v>
      </c>
      <c r="R72" s="104" t="str">
        <f t="shared" si="11"/>
        <v>Not Applicable</v>
      </c>
      <c r="S72" s="149" t="s">
        <v>815</v>
      </c>
      <c r="T72" s="149">
        <f>IF(O72=0,0,IF(S72="N",0,VLOOKUP(B72,'Enrollment 25-26'!$B$8:$K$332,9,FALSE)))</f>
        <v>0</v>
      </c>
      <c r="U72" s="64">
        <f t="shared" si="12"/>
        <v>52439</v>
      </c>
      <c r="V72" s="128">
        <f t="shared" si="13"/>
        <v>116.70487169786125</v>
      </c>
      <c r="W72" s="150"/>
      <c r="X72" s="64">
        <f>IFERROR(VLOOKUP($B72,'Allocations 2025-26'!$B$9:$U$329,14,FALSE),0)</f>
        <v>55521</v>
      </c>
      <c r="Y72" s="99">
        <f t="shared" si="14"/>
        <v>-3082</v>
      </c>
      <c r="Z72" s="132">
        <f t="shared" si="15"/>
        <v>-5.5510527548134937E-2</v>
      </c>
      <c r="AA72" s="151" t="str">
        <f t="shared" si="17"/>
        <v>Y</v>
      </c>
      <c r="AC72" s="64"/>
      <c r="AE72" s="152"/>
      <c r="AH72" s="153"/>
      <c r="AI72" s="153"/>
      <c r="AJ72" s="153"/>
      <c r="AK72" s="154"/>
    </row>
    <row r="73" spans="1:37" x14ac:dyDescent="0.25">
      <c r="A73" s="142" t="s">
        <v>481</v>
      </c>
      <c r="B73" t="s">
        <v>536</v>
      </c>
      <c r="C73" t="s">
        <v>74</v>
      </c>
      <c r="D73" s="143">
        <f>IFERROR(VLOOKUP(B73,'Enrollment 26-27'!$B$5:$I$332,8,FALSE),0)</f>
        <v>1161.1600000000001</v>
      </c>
      <c r="E73" s="64">
        <f t="shared" ref="E73:E136" si="18">ROUND($D73/$D$7*$E$6,0)</f>
        <v>134367</v>
      </c>
      <c r="F73" s="144">
        <v>0</v>
      </c>
      <c r="G73" s="144">
        <v>0</v>
      </c>
      <c r="H73" s="64">
        <f t="shared" ref="H73:H136" si="19">SUM(E73:G73)</f>
        <v>134367</v>
      </c>
      <c r="I73" s="64">
        <f t="shared" ref="I73:I136" si="20">ROUND($D73/$D$7*$I$6,0)</f>
        <v>0</v>
      </c>
      <c r="J73" s="145">
        <f t="shared" ref="J73:J136" si="21">+H73+I73</f>
        <v>134367</v>
      </c>
      <c r="K73" s="146" t="str">
        <f t="shared" si="16"/>
        <v>Y</v>
      </c>
      <c r="L73" s="147">
        <f t="shared" ref="L73:L136" si="22">IF(OR(K73="N",K73="NR",AND(J73&lt;$L$6,K73&lt;&gt;"C")),J73,0)</f>
        <v>0</v>
      </c>
      <c r="M73" s="148">
        <f t="shared" ref="M73:M136" si="23">IF(L73=0,D73,0)</f>
        <v>1161.1600000000001</v>
      </c>
      <c r="N73" s="64">
        <f t="shared" ref="N73:N136" si="24">ROUND(M73/$M$7*$L$3,0)</f>
        <v>1146</v>
      </c>
      <c r="O73" s="64">
        <f t="shared" ref="O73:O136" si="25">J73-L73+N73</f>
        <v>135513</v>
      </c>
      <c r="Q73" s="104">
        <f t="shared" ref="Q73:Q136" si="26">-ROUND(IF(P73&gt;0,O73*(0.9-P73),0),0)</f>
        <v>0</v>
      </c>
      <c r="R73" s="104" t="str">
        <f t="shared" ref="R73:R136" si="27">IF($R$7=0,"Not Applicable",T73*($R$7/$T$7))</f>
        <v>Not Applicable</v>
      </c>
      <c r="S73" s="149" t="s">
        <v>815</v>
      </c>
      <c r="T73" s="149">
        <f>IF(O73=0,0,IF(S73="N",0,VLOOKUP(B73,'Enrollment 25-26'!$B$8:$K$332,9,FALSE)))</f>
        <v>0</v>
      </c>
      <c r="U73" s="64">
        <f t="shared" ref="U73:U136" si="28">IF(ISNUMBER(R73),O73+R73,O73)</f>
        <v>135513</v>
      </c>
      <c r="V73" s="128">
        <f t="shared" ref="V73:V136" si="29">IF(M73=0,0,O73/M73)</f>
        <v>116.70484687726066</v>
      </c>
      <c r="W73" s="150"/>
      <c r="X73" s="64">
        <f>IFERROR(VLOOKUP($B73,'Allocations 2025-26'!$B$9:$U$329,14,FALSE),0)</f>
        <v>137843</v>
      </c>
      <c r="Y73" s="99">
        <f t="shared" ref="Y73:Y136" si="30">O73-X73</f>
        <v>-2330</v>
      </c>
      <c r="Z73" s="132">
        <f t="shared" ref="Z73:Z136" si="31">IFERROR(IF(X73&gt;0,Y73/X73,0),0)</f>
        <v>-1.690328852390038E-2</v>
      </c>
      <c r="AA73" s="151" t="str">
        <f t="shared" si="17"/>
        <v>Y</v>
      </c>
      <c r="AC73" s="64"/>
      <c r="AE73" s="152"/>
      <c r="AH73" s="153"/>
      <c r="AI73" s="153"/>
      <c r="AJ73" s="153"/>
      <c r="AK73" s="154"/>
    </row>
    <row r="74" spans="1:37" x14ac:dyDescent="0.25">
      <c r="A74" s="142" t="s">
        <v>471</v>
      </c>
      <c r="B74" t="s">
        <v>537</v>
      </c>
      <c r="C74" t="s">
        <v>75</v>
      </c>
      <c r="D74" s="143">
        <f>IFERROR(VLOOKUP(B74,'Enrollment 26-27'!$B$5:$I$332,8,FALSE),0)</f>
        <v>3.67</v>
      </c>
      <c r="E74" s="64">
        <f t="shared" si="18"/>
        <v>425</v>
      </c>
      <c r="F74" s="144">
        <v>0</v>
      </c>
      <c r="G74" s="144">
        <v>0</v>
      </c>
      <c r="H74" s="64">
        <f t="shared" si="19"/>
        <v>425</v>
      </c>
      <c r="I74" s="64">
        <f t="shared" si="20"/>
        <v>0</v>
      </c>
      <c r="J74" s="145">
        <f t="shared" si="21"/>
        <v>425</v>
      </c>
      <c r="K74" s="146" t="str">
        <f t="shared" ref="K74:K137" si="32">IF(ISERROR(VLOOKUP(B74,$AC$9:$AC$50,1,0)),IF(J74&gt;10000,"Y","N"), "C")</f>
        <v>N</v>
      </c>
      <c r="L74" s="147">
        <f t="shared" si="22"/>
        <v>425</v>
      </c>
      <c r="M74" s="148">
        <f t="shared" si="23"/>
        <v>0</v>
      </c>
      <c r="N74" s="64">
        <f t="shared" si="24"/>
        <v>0</v>
      </c>
      <c r="O74" s="64">
        <f t="shared" si="25"/>
        <v>0</v>
      </c>
      <c r="Q74" s="104">
        <f t="shared" si="26"/>
        <v>0</v>
      </c>
      <c r="R74" s="104" t="str">
        <f t="shared" si="27"/>
        <v>Not Applicable</v>
      </c>
      <c r="S74" s="149" t="s">
        <v>815</v>
      </c>
      <c r="T74" s="149">
        <f>IF(O74=0,0,IF(S74="N",0,VLOOKUP(B74,'Enrollment 25-26'!$B$8:$K$332,9,FALSE)))</f>
        <v>0</v>
      </c>
      <c r="U74" s="64">
        <f t="shared" si="28"/>
        <v>0</v>
      </c>
      <c r="V74" s="128">
        <f t="shared" si="29"/>
        <v>0</v>
      </c>
      <c r="W74" s="150"/>
      <c r="X74" s="64">
        <f>IFERROR(VLOOKUP($B74,'Allocations 2025-26'!$B$9:$U$329,14,FALSE),0)</f>
        <v>0</v>
      </c>
      <c r="Y74" s="99">
        <f t="shared" si="30"/>
        <v>0</v>
      </c>
      <c r="Z74" s="132">
        <f t="shared" si="31"/>
        <v>0</v>
      </c>
      <c r="AA74" s="151" t="str">
        <f t="shared" ref="AA74:AA137" si="33">K74</f>
        <v>N</v>
      </c>
      <c r="AC74" s="64"/>
      <c r="AE74" s="152"/>
      <c r="AH74" s="153"/>
      <c r="AI74" s="153"/>
      <c r="AJ74" s="153"/>
      <c r="AK74" s="154"/>
    </row>
    <row r="75" spans="1:37" x14ac:dyDescent="0.25">
      <c r="A75" s="142" t="s">
        <v>454</v>
      </c>
      <c r="B75" t="s">
        <v>538</v>
      </c>
      <c r="C75" t="s">
        <v>76</v>
      </c>
      <c r="D75" s="143">
        <f>IFERROR(VLOOKUP(B75,'Enrollment 26-27'!$B$5:$I$332,8,FALSE),0)</f>
        <v>29.5</v>
      </c>
      <c r="E75" s="64">
        <f t="shared" si="18"/>
        <v>3414</v>
      </c>
      <c r="F75" s="144">
        <v>0</v>
      </c>
      <c r="G75" s="144">
        <v>0</v>
      </c>
      <c r="H75" s="64">
        <f t="shared" si="19"/>
        <v>3414</v>
      </c>
      <c r="I75" s="64">
        <f t="shared" si="20"/>
        <v>0</v>
      </c>
      <c r="J75" s="145">
        <f t="shared" si="21"/>
        <v>3414</v>
      </c>
      <c r="K75" s="146" t="str">
        <f t="shared" si="32"/>
        <v>N</v>
      </c>
      <c r="L75" s="147">
        <f t="shared" si="22"/>
        <v>3414</v>
      </c>
      <c r="M75" s="148">
        <f t="shared" si="23"/>
        <v>0</v>
      </c>
      <c r="N75" s="64">
        <f t="shared" si="24"/>
        <v>0</v>
      </c>
      <c r="O75" s="64">
        <f t="shared" si="25"/>
        <v>0</v>
      </c>
      <c r="Q75" s="104">
        <f t="shared" si="26"/>
        <v>0</v>
      </c>
      <c r="R75" s="104" t="str">
        <f t="shared" si="27"/>
        <v>Not Applicable</v>
      </c>
      <c r="S75" s="149" t="s">
        <v>815</v>
      </c>
      <c r="T75" s="149">
        <f>IF(O75=0,0,IF(S75="N",0,VLOOKUP(B75,'Enrollment 25-26'!$B$8:$K$332,9,FALSE)))</f>
        <v>0</v>
      </c>
      <c r="U75" s="64">
        <f t="shared" si="28"/>
        <v>0</v>
      </c>
      <c r="V75" s="128">
        <f t="shared" si="29"/>
        <v>0</v>
      </c>
      <c r="W75" s="150"/>
      <c r="X75" s="64">
        <f>IFERROR(VLOOKUP($B75,'Allocations 2025-26'!$B$9:$U$329,14,FALSE),0)</f>
        <v>2381</v>
      </c>
      <c r="Y75" s="99">
        <f t="shared" si="30"/>
        <v>-2381</v>
      </c>
      <c r="Z75" s="132">
        <f t="shared" si="31"/>
        <v>-1</v>
      </c>
      <c r="AA75" s="151" t="str">
        <f t="shared" si="33"/>
        <v>N</v>
      </c>
      <c r="AC75" s="64"/>
      <c r="AE75" s="152"/>
      <c r="AH75" s="153"/>
      <c r="AI75" s="153"/>
      <c r="AJ75" s="153"/>
      <c r="AK75" s="154"/>
    </row>
    <row r="76" spans="1:37" x14ac:dyDescent="0.25">
      <c r="A76" s="142" t="s">
        <v>446</v>
      </c>
      <c r="B76" t="s">
        <v>539</v>
      </c>
      <c r="C76" t="s">
        <v>77</v>
      </c>
      <c r="D76" s="143">
        <f>IFERROR(VLOOKUP(B76,'Enrollment 26-27'!$B$5:$I$332,8,FALSE),0)</f>
        <v>4029.67</v>
      </c>
      <c r="E76" s="64">
        <f t="shared" si="18"/>
        <v>466305</v>
      </c>
      <c r="F76" s="144">
        <v>0</v>
      </c>
      <c r="G76" s="144">
        <v>0</v>
      </c>
      <c r="H76" s="64">
        <f t="shared" si="19"/>
        <v>466305</v>
      </c>
      <c r="I76" s="64">
        <f t="shared" si="20"/>
        <v>0</v>
      </c>
      <c r="J76" s="145">
        <f t="shared" si="21"/>
        <v>466305</v>
      </c>
      <c r="K76" s="146" t="str">
        <f t="shared" si="32"/>
        <v>Y</v>
      </c>
      <c r="L76" s="147">
        <f t="shared" si="22"/>
        <v>0</v>
      </c>
      <c r="M76" s="148">
        <f t="shared" si="23"/>
        <v>4029.67</v>
      </c>
      <c r="N76" s="64">
        <f t="shared" si="24"/>
        <v>3979</v>
      </c>
      <c r="O76" s="64">
        <f t="shared" si="25"/>
        <v>470284</v>
      </c>
      <c r="Q76" s="104">
        <f t="shared" si="26"/>
        <v>0</v>
      </c>
      <c r="R76" s="104" t="str">
        <f t="shared" si="27"/>
        <v>Not Applicable</v>
      </c>
      <c r="S76" s="149" t="s">
        <v>815</v>
      </c>
      <c r="T76" s="149">
        <f>IF(O76=0,0,IF(S76="N",0,VLOOKUP(B76,'Enrollment 25-26'!$B$8:$K$332,9,FALSE)))</f>
        <v>0</v>
      </c>
      <c r="U76" s="64">
        <f t="shared" si="28"/>
        <v>470284</v>
      </c>
      <c r="V76" s="128">
        <f t="shared" si="29"/>
        <v>116.70533815424092</v>
      </c>
      <c r="W76" s="150"/>
      <c r="X76" s="64">
        <f>IFERROR(VLOOKUP($B76,'Allocations 2025-26'!$B$9:$U$329,14,FALSE),0)</f>
        <v>497509</v>
      </c>
      <c r="Y76" s="99">
        <f t="shared" si="30"/>
        <v>-27225</v>
      </c>
      <c r="Z76" s="132">
        <f t="shared" si="31"/>
        <v>-5.4722628133360401E-2</v>
      </c>
      <c r="AA76" s="151" t="str">
        <f t="shared" si="33"/>
        <v>Y</v>
      </c>
      <c r="AC76" s="64"/>
      <c r="AE76" s="152"/>
      <c r="AH76" s="153"/>
      <c r="AI76" s="153"/>
      <c r="AJ76" s="153"/>
      <c r="AK76" s="154"/>
    </row>
    <row r="77" spans="1:37" x14ac:dyDescent="0.25">
      <c r="A77" s="142" t="s">
        <v>471</v>
      </c>
      <c r="B77" t="s">
        <v>540</v>
      </c>
      <c r="C77" t="s">
        <v>78</v>
      </c>
      <c r="D77" s="143">
        <f>IFERROR(VLOOKUP(B77,'Enrollment 26-27'!$B$5:$I$332,8,FALSE),0)</f>
        <v>232.49666666666664</v>
      </c>
      <c r="E77" s="64">
        <f t="shared" si="18"/>
        <v>26904</v>
      </c>
      <c r="F77" s="144">
        <v>0</v>
      </c>
      <c r="G77" s="144">
        <v>0</v>
      </c>
      <c r="H77" s="64">
        <f t="shared" si="19"/>
        <v>26904</v>
      </c>
      <c r="I77" s="64">
        <f t="shared" si="20"/>
        <v>0</v>
      </c>
      <c r="J77" s="145">
        <f t="shared" si="21"/>
        <v>26904</v>
      </c>
      <c r="K77" s="146" t="str">
        <f t="shared" si="32"/>
        <v>Y</v>
      </c>
      <c r="L77" s="147">
        <f t="shared" si="22"/>
        <v>0</v>
      </c>
      <c r="M77" s="148">
        <f t="shared" si="23"/>
        <v>232.49666666666664</v>
      </c>
      <c r="N77" s="64">
        <f t="shared" si="24"/>
        <v>230</v>
      </c>
      <c r="O77" s="64">
        <f t="shared" si="25"/>
        <v>27134</v>
      </c>
      <c r="Q77" s="104">
        <f t="shared" si="26"/>
        <v>0</v>
      </c>
      <c r="R77" s="104" t="str">
        <f t="shared" si="27"/>
        <v>Not Applicable</v>
      </c>
      <c r="S77" s="149" t="s">
        <v>815</v>
      </c>
      <c r="T77" s="149">
        <f>IF(O77=0,0,IF(S77="N",0,VLOOKUP(B77,'Enrollment 25-26'!$B$8:$K$332,9,FALSE)))</f>
        <v>0</v>
      </c>
      <c r="U77" s="64">
        <f t="shared" si="28"/>
        <v>27134</v>
      </c>
      <c r="V77" s="128">
        <f t="shared" si="29"/>
        <v>116.70704956343461</v>
      </c>
      <c r="W77" s="150"/>
      <c r="X77" s="64">
        <f>IFERROR(VLOOKUP($B77,'Allocations 2025-26'!$B$9:$U$329,14,FALSE),0)</f>
        <v>31118</v>
      </c>
      <c r="Y77" s="99">
        <f t="shared" si="30"/>
        <v>-3984</v>
      </c>
      <c r="Z77" s="132">
        <f t="shared" si="31"/>
        <v>-0.12802879362426892</v>
      </c>
      <c r="AA77" s="151" t="str">
        <f t="shared" si="33"/>
        <v>Y</v>
      </c>
      <c r="AC77" s="64"/>
      <c r="AE77" s="152"/>
      <c r="AH77" s="153"/>
      <c r="AI77" s="153"/>
      <c r="AJ77" s="153"/>
      <c r="AK77" s="154"/>
    </row>
    <row r="78" spans="1:37" x14ac:dyDescent="0.25">
      <c r="A78" s="142" t="s">
        <v>438</v>
      </c>
      <c r="B78" t="s">
        <v>541</v>
      </c>
      <c r="C78" t="s">
        <v>79</v>
      </c>
      <c r="D78" s="143">
        <f>IFERROR(VLOOKUP(B78,'Enrollment 26-27'!$B$5:$I$332,8,FALSE),0)</f>
        <v>143.32999999999998</v>
      </c>
      <c r="E78" s="64">
        <f t="shared" si="18"/>
        <v>16586</v>
      </c>
      <c r="F78" s="144">
        <v>0</v>
      </c>
      <c r="G78" s="144">
        <v>0</v>
      </c>
      <c r="H78" s="64">
        <f t="shared" si="19"/>
        <v>16586</v>
      </c>
      <c r="I78" s="64">
        <f t="shared" si="20"/>
        <v>0</v>
      </c>
      <c r="J78" s="145">
        <f t="shared" si="21"/>
        <v>16586</v>
      </c>
      <c r="K78" s="146" t="str">
        <f t="shared" si="32"/>
        <v>Y</v>
      </c>
      <c r="L78" s="147">
        <f t="shared" si="22"/>
        <v>0</v>
      </c>
      <c r="M78" s="148">
        <f t="shared" si="23"/>
        <v>143.32999999999998</v>
      </c>
      <c r="N78" s="64">
        <f t="shared" si="24"/>
        <v>142</v>
      </c>
      <c r="O78" s="64">
        <f t="shared" si="25"/>
        <v>16728</v>
      </c>
      <c r="Q78" s="104">
        <f t="shared" si="26"/>
        <v>0</v>
      </c>
      <c r="R78" s="104" t="str">
        <f t="shared" si="27"/>
        <v>Not Applicable</v>
      </c>
      <c r="S78" s="149" t="s">
        <v>815</v>
      </c>
      <c r="T78" s="149">
        <f>IF(O78=0,0,IF(S78="N",0,VLOOKUP(B78,'Enrollment 25-26'!$B$8:$K$332,9,FALSE)))</f>
        <v>0</v>
      </c>
      <c r="U78" s="64">
        <f t="shared" si="28"/>
        <v>16728</v>
      </c>
      <c r="V78" s="128">
        <f t="shared" si="29"/>
        <v>116.70969092304473</v>
      </c>
      <c r="W78" s="150"/>
      <c r="X78" s="64">
        <f>IFERROR(VLOOKUP($B78,'Allocations 2025-26'!$B$9:$U$329,14,FALSE),0)</f>
        <v>16495</v>
      </c>
      <c r="Y78" s="99">
        <f t="shared" si="30"/>
        <v>233</v>
      </c>
      <c r="Z78" s="132">
        <f t="shared" si="31"/>
        <v>1.4125492573507124E-2</v>
      </c>
      <c r="AA78" s="151" t="str">
        <f t="shared" si="33"/>
        <v>Y</v>
      </c>
      <c r="AC78" s="64"/>
      <c r="AE78" s="152"/>
      <c r="AH78" s="153"/>
      <c r="AI78" s="153"/>
      <c r="AJ78" s="153"/>
      <c r="AK78" s="154"/>
    </row>
    <row r="79" spans="1:37" x14ac:dyDescent="0.25">
      <c r="A79" s="142" t="s">
        <v>443</v>
      </c>
      <c r="B79" t="s">
        <v>542</v>
      </c>
      <c r="C79" t="s">
        <v>80</v>
      </c>
      <c r="D79" s="143">
        <f>IFERROR(VLOOKUP(B79,'Enrollment 26-27'!$B$5:$I$332,8,FALSE),0)</f>
        <v>0</v>
      </c>
      <c r="E79" s="64">
        <f t="shared" si="18"/>
        <v>0</v>
      </c>
      <c r="F79" s="144">
        <v>0</v>
      </c>
      <c r="G79" s="144">
        <v>0</v>
      </c>
      <c r="H79" s="64">
        <f t="shared" si="19"/>
        <v>0</v>
      </c>
      <c r="I79" s="64">
        <f t="shared" si="20"/>
        <v>0</v>
      </c>
      <c r="J79" s="145">
        <f t="shared" si="21"/>
        <v>0</v>
      </c>
      <c r="K79" s="146" t="str">
        <f t="shared" si="32"/>
        <v>N</v>
      </c>
      <c r="L79" s="147">
        <f t="shared" si="22"/>
        <v>0</v>
      </c>
      <c r="M79" s="148">
        <f t="shared" si="23"/>
        <v>0</v>
      </c>
      <c r="N79" s="64">
        <f t="shared" si="24"/>
        <v>0</v>
      </c>
      <c r="O79" s="64">
        <f t="shared" si="25"/>
        <v>0</v>
      </c>
      <c r="Q79" s="104">
        <f t="shared" si="26"/>
        <v>0</v>
      </c>
      <c r="R79" s="104" t="str">
        <f t="shared" si="27"/>
        <v>Not Applicable</v>
      </c>
      <c r="S79" s="149" t="s">
        <v>815</v>
      </c>
      <c r="T79" s="149">
        <f>IF(O79=0,0,IF(S79="N",0,VLOOKUP(B79,'Enrollment 25-26'!$B$8:$K$332,9,FALSE)))</f>
        <v>0</v>
      </c>
      <c r="U79" s="64">
        <f t="shared" si="28"/>
        <v>0</v>
      </c>
      <c r="V79" s="128">
        <f t="shared" si="29"/>
        <v>0</v>
      </c>
      <c r="W79" s="150"/>
      <c r="X79" s="64">
        <f>IFERROR(VLOOKUP($B79,'Allocations 2025-26'!$B$9:$U$329,14,FALSE),0)</f>
        <v>0</v>
      </c>
      <c r="Y79" s="99">
        <f t="shared" si="30"/>
        <v>0</v>
      </c>
      <c r="Z79" s="132">
        <f t="shared" si="31"/>
        <v>0</v>
      </c>
      <c r="AA79" s="151" t="str">
        <f t="shared" si="33"/>
        <v>N</v>
      </c>
      <c r="AC79" s="64"/>
      <c r="AE79" s="152"/>
      <c r="AH79" s="153"/>
      <c r="AI79" s="153"/>
      <c r="AJ79" s="153"/>
      <c r="AK79" s="154"/>
    </row>
    <row r="80" spans="1:37" x14ac:dyDescent="0.25">
      <c r="A80" s="142" t="s">
        <v>481</v>
      </c>
      <c r="B80" t="s">
        <v>543</v>
      </c>
      <c r="C80" t="s">
        <v>81</v>
      </c>
      <c r="D80" s="143">
        <f>IFERROR(VLOOKUP(B80,'Enrollment 26-27'!$B$5:$I$332,8,FALSE),0)</f>
        <v>131.16</v>
      </c>
      <c r="E80" s="64">
        <f t="shared" si="18"/>
        <v>15178</v>
      </c>
      <c r="F80" s="144">
        <v>0</v>
      </c>
      <c r="G80" s="144">
        <v>0</v>
      </c>
      <c r="H80" s="64">
        <f t="shared" si="19"/>
        <v>15178</v>
      </c>
      <c r="I80" s="64">
        <f t="shared" si="20"/>
        <v>0</v>
      </c>
      <c r="J80" s="145">
        <f t="shared" si="21"/>
        <v>15178</v>
      </c>
      <c r="K80" s="146" t="str">
        <f t="shared" si="32"/>
        <v>Y</v>
      </c>
      <c r="L80" s="147">
        <f t="shared" si="22"/>
        <v>0</v>
      </c>
      <c r="M80" s="148">
        <f t="shared" si="23"/>
        <v>131.16</v>
      </c>
      <c r="N80" s="64">
        <f t="shared" si="24"/>
        <v>129</v>
      </c>
      <c r="O80" s="64">
        <f t="shared" si="25"/>
        <v>15307</v>
      </c>
      <c r="Q80" s="104">
        <f t="shared" si="26"/>
        <v>0</v>
      </c>
      <c r="R80" s="104" t="str">
        <f t="shared" si="27"/>
        <v>Not Applicable</v>
      </c>
      <c r="S80" s="149" t="s">
        <v>815</v>
      </c>
      <c r="T80" s="149">
        <f>IF(O80=0,0,IF(S80="N",0,VLOOKUP(B80,'Enrollment 25-26'!$B$8:$K$332,9,FALSE)))</f>
        <v>0</v>
      </c>
      <c r="U80" s="64">
        <f t="shared" si="28"/>
        <v>15307</v>
      </c>
      <c r="V80" s="128">
        <f t="shared" si="29"/>
        <v>116.70478804513571</v>
      </c>
      <c r="W80" s="150"/>
      <c r="X80" s="64">
        <f>IFERROR(VLOOKUP($B80,'Allocations 2025-26'!$B$9:$U$329,14,FALSE),0)</f>
        <v>15285</v>
      </c>
      <c r="Y80" s="99">
        <f t="shared" si="30"/>
        <v>22</v>
      </c>
      <c r="Z80" s="132">
        <f t="shared" si="31"/>
        <v>1.4393195943735689E-3</v>
      </c>
      <c r="AA80" s="151" t="str">
        <f t="shared" si="33"/>
        <v>Y</v>
      </c>
      <c r="AC80" s="64"/>
      <c r="AE80" s="152"/>
      <c r="AH80" s="153"/>
      <c r="AI80" s="153"/>
      <c r="AJ80" s="153"/>
      <c r="AK80" s="154"/>
    </row>
    <row r="81" spans="1:37" x14ac:dyDescent="0.25">
      <c r="A81" s="142" t="s">
        <v>454</v>
      </c>
      <c r="B81" t="s">
        <v>544</v>
      </c>
      <c r="C81" t="s">
        <v>82</v>
      </c>
      <c r="D81" s="143">
        <f>IFERROR(VLOOKUP(B81,'Enrollment 26-27'!$B$5:$I$332,8,FALSE),0)</f>
        <v>311.66000000000003</v>
      </c>
      <c r="E81" s="64">
        <f t="shared" si="18"/>
        <v>36065</v>
      </c>
      <c r="F81" s="144">
        <v>0</v>
      </c>
      <c r="G81" s="144">
        <v>0</v>
      </c>
      <c r="H81" s="64">
        <f t="shared" si="19"/>
        <v>36065</v>
      </c>
      <c r="I81" s="64">
        <f t="shared" si="20"/>
        <v>0</v>
      </c>
      <c r="J81" s="145">
        <f t="shared" si="21"/>
        <v>36065</v>
      </c>
      <c r="K81" s="146" t="str">
        <f t="shared" si="32"/>
        <v>Y</v>
      </c>
      <c r="L81" s="147">
        <f t="shared" si="22"/>
        <v>0</v>
      </c>
      <c r="M81" s="148">
        <f t="shared" si="23"/>
        <v>311.66000000000003</v>
      </c>
      <c r="N81" s="64">
        <f t="shared" si="24"/>
        <v>308</v>
      </c>
      <c r="O81" s="64">
        <f t="shared" si="25"/>
        <v>36373</v>
      </c>
      <c r="Q81" s="104">
        <f t="shared" si="26"/>
        <v>0</v>
      </c>
      <c r="R81" s="104" t="str">
        <f t="shared" si="27"/>
        <v>Not Applicable</v>
      </c>
      <c r="S81" s="149" t="s">
        <v>815</v>
      </c>
      <c r="T81" s="149">
        <f>IF(O81=0,0,IF(S81="N",0,VLOOKUP(B81,'Enrollment 25-26'!$B$8:$K$332,9,FALSE)))</f>
        <v>0</v>
      </c>
      <c r="U81" s="64">
        <f t="shared" si="28"/>
        <v>36373</v>
      </c>
      <c r="V81" s="128">
        <f t="shared" si="29"/>
        <v>116.70730924725662</v>
      </c>
      <c r="W81" s="150"/>
      <c r="X81" s="64">
        <f>IFERROR(VLOOKUP($B81,'Allocations 2025-26'!$B$9:$U$329,14,FALSE),0)</f>
        <v>38556</v>
      </c>
      <c r="Y81" s="99">
        <f t="shared" si="30"/>
        <v>-2183</v>
      </c>
      <c r="Z81" s="132">
        <f t="shared" si="31"/>
        <v>-5.6618943873845834E-2</v>
      </c>
      <c r="AA81" s="151" t="str">
        <f t="shared" si="33"/>
        <v>Y</v>
      </c>
      <c r="AC81" s="64"/>
      <c r="AE81" s="152"/>
      <c r="AH81" s="153"/>
      <c r="AI81" s="153"/>
      <c r="AJ81" s="153"/>
      <c r="AK81" s="154"/>
    </row>
    <row r="82" spans="1:37" x14ac:dyDescent="0.25">
      <c r="A82" s="142" t="s">
        <v>481</v>
      </c>
      <c r="B82" t="s">
        <v>545</v>
      </c>
      <c r="C82" t="s">
        <v>83</v>
      </c>
      <c r="D82" s="143">
        <f>IFERROR(VLOOKUP(B82,'Enrollment 26-27'!$B$5:$I$332,8,FALSE),0)</f>
        <v>466.33000000000004</v>
      </c>
      <c r="E82" s="64">
        <f t="shared" si="18"/>
        <v>53963</v>
      </c>
      <c r="F82" s="144">
        <v>0</v>
      </c>
      <c r="G82" s="144">
        <v>0</v>
      </c>
      <c r="H82" s="64">
        <f t="shared" si="19"/>
        <v>53963</v>
      </c>
      <c r="I82" s="64">
        <f t="shared" si="20"/>
        <v>0</v>
      </c>
      <c r="J82" s="145">
        <f t="shared" si="21"/>
        <v>53963</v>
      </c>
      <c r="K82" s="146" t="str">
        <f t="shared" si="32"/>
        <v>Y</v>
      </c>
      <c r="L82" s="147">
        <f t="shared" si="22"/>
        <v>0</v>
      </c>
      <c r="M82" s="148">
        <f t="shared" si="23"/>
        <v>466.33000000000004</v>
      </c>
      <c r="N82" s="64">
        <f t="shared" si="24"/>
        <v>460</v>
      </c>
      <c r="O82" s="64">
        <f t="shared" si="25"/>
        <v>54423</v>
      </c>
      <c r="Q82" s="104">
        <f t="shared" si="26"/>
        <v>0</v>
      </c>
      <c r="R82" s="104" t="str">
        <f t="shared" si="27"/>
        <v>Not Applicable</v>
      </c>
      <c r="S82" s="149" t="s">
        <v>815</v>
      </c>
      <c r="T82" s="149">
        <f>IF(O82=0,0,IF(S82="N",0,VLOOKUP(B82,'Enrollment 25-26'!$B$8:$K$332,9,FALSE)))</f>
        <v>0</v>
      </c>
      <c r="U82" s="64">
        <f t="shared" si="28"/>
        <v>54423</v>
      </c>
      <c r="V82" s="128">
        <f t="shared" si="29"/>
        <v>116.70490854116183</v>
      </c>
      <c r="W82" s="150"/>
      <c r="X82" s="64">
        <f>IFERROR(VLOOKUP($B82,'Allocations 2025-26'!$B$9:$U$329,14,FALSE),0)</f>
        <v>56554</v>
      </c>
      <c r="Y82" s="99">
        <f t="shared" si="30"/>
        <v>-2131</v>
      </c>
      <c r="Z82" s="132">
        <f t="shared" si="31"/>
        <v>-3.7680800650705518E-2</v>
      </c>
      <c r="AA82" s="151" t="str">
        <f t="shared" si="33"/>
        <v>Y</v>
      </c>
      <c r="AC82" s="64"/>
      <c r="AE82" s="152"/>
      <c r="AH82" s="153"/>
      <c r="AI82" s="153"/>
      <c r="AJ82" s="153"/>
      <c r="AK82" s="154"/>
    </row>
    <row r="83" spans="1:37" x14ac:dyDescent="0.25">
      <c r="A83" s="142" t="s">
        <v>497</v>
      </c>
      <c r="B83" s="142" t="s">
        <v>546</v>
      </c>
      <c r="C83" t="s">
        <v>547</v>
      </c>
      <c r="D83" s="143">
        <f>IFERROR(VLOOKUP(B83,'Enrollment 26-27'!$B$5:$I$332,8,FALSE),0)</f>
        <v>0</v>
      </c>
      <c r="E83" s="64">
        <f t="shared" si="18"/>
        <v>0</v>
      </c>
      <c r="F83" s="144">
        <v>0</v>
      </c>
      <c r="G83" s="144">
        <v>0</v>
      </c>
      <c r="H83" s="64">
        <f t="shared" si="19"/>
        <v>0</v>
      </c>
      <c r="I83" s="64">
        <f t="shared" si="20"/>
        <v>0</v>
      </c>
      <c r="J83" s="145">
        <f t="shared" si="21"/>
        <v>0</v>
      </c>
      <c r="K83" s="146" t="str">
        <f t="shared" si="32"/>
        <v>N</v>
      </c>
      <c r="L83" s="147">
        <f t="shared" si="22"/>
        <v>0</v>
      </c>
      <c r="M83" s="148">
        <f t="shared" si="23"/>
        <v>0</v>
      </c>
      <c r="N83" s="64">
        <f t="shared" si="24"/>
        <v>0</v>
      </c>
      <c r="O83" s="64">
        <f t="shared" si="25"/>
        <v>0</v>
      </c>
      <c r="Q83" s="104">
        <f t="shared" si="26"/>
        <v>0</v>
      </c>
      <c r="R83" s="104" t="str">
        <f t="shared" si="27"/>
        <v>Not Applicable</v>
      </c>
      <c r="S83" s="149" t="s">
        <v>815</v>
      </c>
      <c r="T83" s="149">
        <f>IF(O83=0,0,IF(S83="N",0,VLOOKUP(B83,'Enrollment 25-26'!$B$8:$K$332,9,FALSE)))</f>
        <v>0</v>
      </c>
      <c r="U83" s="64">
        <f t="shared" si="28"/>
        <v>0</v>
      </c>
      <c r="V83" s="128">
        <f t="shared" si="29"/>
        <v>0</v>
      </c>
      <c r="W83" s="150"/>
      <c r="X83" s="64">
        <f>IFERROR(VLOOKUP($B83,'Allocations 2025-26'!$B$9:$U$329,14,FALSE),0)</f>
        <v>0</v>
      </c>
      <c r="Y83" s="99">
        <f t="shared" si="30"/>
        <v>0</v>
      </c>
      <c r="Z83" s="132">
        <f t="shared" si="31"/>
        <v>0</v>
      </c>
      <c r="AA83" s="151" t="str">
        <f t="shared" si="33"/>
        <v>N</v>
      </c>
      <c r="AC83" s="64"/>
      <c r="AE83" s="152"/>
      <c r="AH83" s="153"/>
      <c r="AI83" s="153"/>
      <c r="AJ83" s="153"/>
      <c r="AK83" s="154"/>
    </row>
    <row r="84" spans="1:37" x14ac:dyDescent="0.25">
      <c r="A84" s="142" t="s">
        <v>497</v>
      </c>
      <c r="B84" t="s">
        <v>548</v>
      </c>
      <c r="C84" t="s">
        <v>549</v>
      </c>
      <c r="D84" s="143">
        <f>IFERROR(VLOOKUP(B84,'Enrollment 26-27'!$B$5:$I$332,8,FALSE),0)</f>
        <v>0</v>
      </c>
      <c r="E84" s="64">
        <f t="shared" si="18"/>
        <v>0</v>
      </c>
      <c r="F84" s="144">
        <v>0</v>
      </c>
      <c r="G84" s="144">
        <v>0</v>
      </c>
      <c r="H84" s="64">
        <f t="shared" si="19"/>
        <v>0</v>
      </c>
      <c r="I84" s="64">
        <f t="shared" si="20"/>
        <v>0</v>
      </c>
      <c r="J84" s="145">
        <f t="shared" si="21"/>
        <v>0</v>
      </c>
      <c r="K84" s="146" t="str">
        <f t="shared" si="32"/>
        <v>N</v>
      </c>
      <c r="L84" s="147">
        <f t="shared" si="22"/>
        <v>0</v>
      </c>
      <c r="M84" s="148">
        <f t="shared" si="23"/>
        <v>0</v>
      </c>
      <c r="N84" s="64">
        <f t="shared" si="24"/>
        <v>0</v>
      </c>
      <c r="O84" s="64">
        <f t="shared" si="25"/>
        <v>0</v>
      </c>
      <c r="Q84" s="104">
        <f t="shared" si="26"/>
        <v>0</v>
      </c>
      <c r="R84" s="104" t="str">
        <f t="shared" si="27"/>
        <v>Not Applicable</v>
      </c>
      <c r="S84" s="149" t="s">
        <v>815</v>
      </c>
      <c r="T84" s="149">
        <f>IF(O84=0,0,IF(S84="N",0,VLOOKUP(B84,'Enrollment 25-26'!$B$8:$K$332,9,FALSE)))</f>
        <v>0</v>
      </c>
      <c r="U84" s="64">
        <f t="shared" si="28"/>
        <v>0</v>
      </c>
      <c r="V84" s="128">
        <f t="shared" si="29"/>
        <v>0</v>
      </c>
      <c r="W84" s="150"/>
      <c r="X84" s="64">
        <f>IFERROR(VLOOKUP($B84,'Allocations 2025-26'!$B$9:$U$329,14,FALSE),0)</f>
        <v>0</v>
      </c>
      <c r="Y84" s="99">
        <f t="shared" si="30"/>
        <v>0</v>
      </c>
      <c r="Z84" s="132">
        <f t="shared" si="31"/>
        <v>0</v>
      </c>
      <c r="AA84" s="151" t="str">
        <f t="shared" si="33"/>
        <v>N</v>
      </c>
      <c r="AC84" s="64"/>
      <c r="AE84" s="152"/>
      <c r="AH84" s="153"/>
      <c r="AI84" s="153"/>
      <c r="AJ84" s="153"/>
      <c r="AK84" s="154"/>
    </row>
    <row r="85" spans="1:37" x14ac:dyDescent="0.25">
      <c r="A85" s="142" t="s">
        <v>497</v>
      </c>
      <c r="B85" t="s">
        <v>550</v>
      </c>
      <c r="C85" t="s">
        <v>551</v>
      </c>
      <c r="D85" s="143">
        <f>IFERROR(VLOOKUP(B85,'Enrollment 26-27'!$B$5:$I$332,8,FALSE),0)</f>
        <v>0</v>
      </c>
      <c r="E85" s="64">
        <f t="shared" si="18"/>
        <v>0</v>
      </c>
      <c r="F85" s="144">
        <v>0</v>
      </c>
      <c r="G85" s="144">
        <v>0</v>
      </c>
      <c r="H85" s="64">
        <f t="shared" si="19"/>
        <v>0</v>
      </c>
      <c r="I85" s="64">
        <f t="shared" si="20"/>
        <v>0</v>
      </c>
      <c r="J85" s="145">
        <f t="shared" si="21"/>
        <v>0</v>
      </c>
      <c r="K85" s="146" t="str">
        <f t="shared" si="32"/>
        <v>N</v>
      </c>
      <c r="L85" s="147">
        <f t="shared" si="22"/>
        <v>0</v>
      </c>
      <c r="M85" s="148">
        <f t="shared" si="23"/>
        <v>0</v>
      </c>
      <c r="N85" s="64">
        <f t="shared" si="24"/>
        <v>0</v>
      </c>
      <c r="O85" s="64">
        <f t="shared" si="25"/>
        <v>0</v>
      </c>
      <c r="Q85" s="104">
        <f t="shared" si="26"/>
        <v>0</v>
      </c>
      <c r="R85" s="104" t="str">
        <f t="shared" si="27"/>
        <v>Not Applicable</v>
      </c>
      <c r="S85" s="149" t="s">
        <v>815</v>
      </c>
      <c r="T85" s="149">
        <f>IF(O85=0,0,IF(S85="N",0,VLOOKUP(B85,'Enrollment 25-26'!$B$8:$K$332,9,FALSE)))</f>
        <v>0</v>
      </c>
      <c r="U85" s="64">
        <f t="shared" si="28"/>
        <v>0</v>
      </c>
      <c r="V85" s="128">
        <f t="shared" si="29"/>
        <v>0</v>
      </c>
      <c r="W85" s="150"/>
      <c r="X85" s="64">
        <f>IFERROR(VLOOKUP($B85,'Allocations 2025-26'!$B$9:$U$329,14,FALSE),0)</f>
        <v>0</v>
      </c>
      <c r="Y85" s="99">
        <f t="shared" si="30"/>
        <v>0</v>
      </c>
      <c r="Z85" s="132">
        <f t="shared" si="31"/>
        <v>0</v>
      </c>
      <c r="AA85" s="151" t="str">
        <f t="shared" si="33"/>
        <v>N</v>
      </c>
      <c r="AC85" s="64"/>
      <c r="AE85" s="152"/>
      <c r="AH85" s="153"/>
      <c r="AI85" s="153"/>
      <c r="AJ85" s="153"/>
      <c r="AK85" s="154"/>
    </row>
    <row r="86" spans="1:37" x14ac:dyDescent="0.25">
      <c r="A86" s="142" t="s">
        <v>438</v>
      </c>
      <c r="B86" t="s">
        <v>552</v>
      </c>
      <c r="C86" t="s">
        <v>85</v>
      </c>
      <c r="D86" s="143">
        <f>IFERROR(VLOOKUP(B86,'Enrollment 26-27'!$B$5:$I$332,8,FALSE),0)</f>
        <v>2</v>
      </c>
      <c r="E86" s="64">
        <f t="shared" si="18"/>
        <v>231</v>
      </c>
      <c r="F86" s="144">
        <v>0</v>
      </c>
      <c r="G86" s="144">
        <v>0</v>
      </c>
      <c r="H86" s="64">
        <f t="shared" si="19"/>
        <v>231</v>
      </c>
      <c r="I86" s="64">
        <f t="shared" si="20"/>
        <v>0</v>
      </c>
      <c r="J86" s="145">
        <f t="shared" si="21"/>
        <v>231</v>
      </c>
      <c r="K86" s="146" t="str">
        <f t="shared" si="32"/>
        <v>N</v>
      </c>
      <c r="L86" s="147">
        <f t="shared" si="22"/>
        <v>231</v>
      </c>
      <c r="M86" s="148">
        <f t="shared" si="23"/>
        <v>0</v>
      </c>
      <c r="N86" s="64">
        <f t="shared" si="24"/>
        <v>0</v>
      </c>
      <c r="O86" s="64">
        <f t="shared" si="25"/>
        <v>0</v>
      </c>
      <c r="Q86" s="104">
        <f t="shared" si="26"/>
        <v>0</v>
      </c>
      <c r="R86" s="104" t="str">
        <f t="shared" si="27"/>
        <v>Not Applicable</v>
      </c>
      <c r="S86" s="149" t="s">
        <v>815</v>
      </c>
      <c r="T86" s="149">
        <f>IF(O86=0,0,IF(S86="N",0,VLOOKUP(B86,'Enrollment 25-26'!$B$8:$K$332,9,FALSE)))</f>
        <v>0</v>
      </c>
      <c r="U86" s="64">
        <f t="shared" si="28"/>
        <v>0</v>
      </c>
      <c r="V86" s="128">
        <f t="shared" si="29"/>
        <v>0</v>
      </c>
      <c r="W86" s="150"/>
      <c r="X86" s="64">
        <f>IFERROR(VLOOKUP($B86,'Allocations 2025-26'!$B$9:$U$329,14,FALSE),0)</f>
        <v>0</v>
      </c>
      <c r="Y86" s="99">
        <f t="shared" si="30"/>
        <v>0</v>
      </c>
      <c r="Z86" s="132">
        <f t="shared" si="31"/>
        <v>0</v>
      </c>
      <c r="AA86" s="151" t="str">
        <f t="shared" si="33"/>
        <v>N</v>
      </c>
      <c r="AC86" s="64"/>
      <c r="AE86" s="152"/>
      <c r="AH86" s="153"/>
      <c r="AI86" s="153"/>
      <c r="AJ86" s="153"/>
      <c r="AK86" s="154"/>
    </row>
    <row r="87" spans="1:37" x14ac:dyDescent="0.25">
      <c r="A87" s="142" t="s">
        <v>446</v>
      </c>
      <c r="B87" t="s">
        <v>553</v>
      </c>
      <c r="C87" t="s">
        <v>86</v>
      </c>
      <c r="D87" s="143">
        <f>IFERROR(VLOOKUP(B87,'Enrollment 26-27'!$B$5:$I$332,8,FALSE),0)</f>
        <v>3903.83</v>
      </c>
      <c r="E87" s="64">
        <f t="shared" si="18"/>
        <v>451743</v>
      </c>
      <c r="F87" s="144">
        <v>0</v>
      </c>
      <c r="G87" s="144">
        <v>0</v>
      </c>
      <c r="H87" s="64">
        <f t="shared" si="19"/>
        <v>451743</v>
      </c>
      <c r="I87" s="64">
        <f t="shared" si="20"/>
        <v>0</v>
      </c>
      <c r="J87" s="145">
        <f t="shared" si="21"/>
        <v>451743</v>
      </c>
      <c r="K87" s="146" t="str">
        <f t="shared" si="32"/>
        <v>Y</v>
      </c>
      <c r="L87" s="147">
        <f t="shared" si="22"/>
        <v>0</v>
      </c>
      <c r="M87" s="148">
        <f t="shared" si="23"/>
        <v>3903.83</v>
      </c>
      <c r="N87" s="64">
        <f t="shared" si="24"/>
        <v>3854</v>
      </c>
      <c r="O87" s="64">
        <f t="shared" si="25"/>
        <v>455597</v>
      </c>
      <c r="Q87" s="104">
        <f t="shared" si="26"/>
        <v>0</v>
      </c>
      <c r="R87" s="104" t="str">
        <f t="shared" si="27"/>
        <v>Not Applicable</v>
      </c>
      <c r="S87" s="149" t="s">
        <v>815</v>
      </c>
      <c r="T87" s="149">
        <f>IF(O87=0,0,IF(S87="N",0,VLOOKUP(B87,'Enrollment 25-26'!$B$8:$K$332,9,FALSE)))</f>
        <v>0</v>
      </c>
      <c r="U87" s="64">
        <f t="shared" si="28"/>
        <v>455597</v>
      </c>
      <c r="V87" s="128">
        <f t="shared" si="29"/>
        <v>116.70513316409783</v>
      </c>
      <c r="W87" s="150"/>
      <c r="X87" s="64">
        <f>IFERROR(VLOOKUP($B87,'Allocations 2025-26'!$B$9:$U$329,14,FALSE),0)</f>
        <v>479705</v>
      </c>
      <c r="Y87" s="99">
        <f t="shared" si="30"/>
        <v>-24108</v>
      </c>
      <c r="Z87" s="132">
        <f t="shared" si="31"/>
        <v>-5.0255886430201895E-2</v>
      </c>
      <c r="AA87" s="151" t="str">
        <f t="shared" si="33"/>
        <v>Y</v>
      </c>
      <c r="AC87" s="64"/>
      <c r="AE87" s="152"/>
      <c r="AH87" s="153"/>
      <c r="AI87" s="153"/>
      <c r="AJ87" s="153"/>
      <c r="AK87" s="154"/>
    </row>
    <row r="88" spans="1:37" x14ac:dyDescent="0.25">
      <c r="A88" s="142" t="s">
        <v>459</v>
      </c>
      <c r="B88" t="s">
        <v>554</v>
      </c>
      <c r="C88" t="s">
        <v>87</v>
      </c>
      <c r="D88" s="143">
        <f>IFERROR(VLOOKUP(B88,'Enrollment 26-27'!$B$5:$I$332,8,FALSE),0)</f>
        <v>3870.4966666666664</v>
      </c>
      <c r="E88" s="64">
        <f t="shared" si="18"/>
        <v>447885</v>
      </c>
      <c r="F88" s="144">
        <v>0</v>
      </c>
      <c r="G88" s="144">
        <v>0</v>
      </c>
      <c r="H88" s="64">
        <f t="shared" si="19"/>
        <v>447885</v>
      </c>
      <c r="I88" s="64">
        <f t="shared" si="20"/>
        <v>0</v>
      </c>
      <c r="J88" s="145">
        <f t="shared" si="21"/>
        <v>447885</v>
      </c>
      <c r="K88" s="146" t="str">
        <f t="shared" si="32"/>
        <v>Y</v>
      </c>
      <c r="L88" s="147">
        <f t="shared" si="22"/>
        <v>0</v>
      </c>
      <c r="M88" s="148">
        <f t="shared" si="23"/>
        <v>3870.4966666666664</v>
      </c>
      <c r="N88" s="64">
        <f t="shared" si="24"/>
        <v>3821</v>
      </c>
      <c r="O88" s="64">
        <f t="shared" si="25"/>
        <v>451706</v>
      </c>
      <c r="Q88" s="104">
        <f t="shared" si="26"/>
        <v>0</v>
      </c>
      <c r="R88" s="104" t="str">
        <f t="shared" si="27"/>
        <v>Not Applicable</v>
      </c>
      <c r="S88" s="149" t="s">
        <v>815</v>
      </c>
      <c r="T88" s="149">
        <f>IF(O88=0,0,IF(S88="N",0,VLOOKUP(B88,'Enrollment 25-26'!$B$8:$K$332,9,FALSE)))</f>
        <v>0</v>
      </c>
      <c r="U88" s="64">
        <f t="shared" si="28"/>
        <v>451706</v>
      </c>
      <c r="V88" s="128">
        <f t="shared" si="29"/>
        <v>116.70491900694915</v>
      </c>
      <c r="W88" s="150"/>
      <c r="X88" s="64">
        <f>IFERROR(VLOOKUP($B88,'Allocations 2025-26'!$B$9:$U$329,14,FALSE),0)</f>
        <v>473556</v>
      </c>
      <c r="Y88" s="99">
        <f t="shared" si="30"/>
        <v>-21850</v>
      </c>
      <c r="Z88" s="132">
        <f t="shared" si="31"/>
        <v>-4.6140266409886055E-2</v>
      </c>
      <c r="AA88" s="151" t="str">
        <f t="shared" si="33"/>
        <v>Y</v>
      </c>
      <c r="AC88" s="64"/>
      <c r="AE88" s="152"/>
      <c r="AH88" s="153"/>
      <c r="AI88" s="153"/>
      <c r="AJ88" s="153"/>
      <c r="AK88" s="154"/>
    </row>
    <row r="89" spans="1:37" x14ac:dyDescent="0.25">
      <c r="A89" s="142" t="s">
        <v>443</v>
      </c>
      <c r="B89" t="s">
        <v>555</v>
      </c>
      <c r="C89" t="s">
        <v>88</v>
      </c>
      <c r="D89" s="143">
        <f>IFERROR(VLOOKUP(B89,'Enrollment 26-27'!$B$5:$I$332,8,FALSE),0)</f>
        <v>0</v>
      </c>
      <c r="E89" s="64">
        <f t="shared" si="18"/>
        <v>0</v>
      </c>
      <c r="F89" s="144">
        <v>0</v>
      </c>
      <c r="G89" s="144">
        <v>0</v>
      </c>
      <c r="H89" s="64">
        <f t="shared" si="19"/>
        <v>0</v>
      </c>
      <c r="I89" s="64">
        <f t="shared" si="20"/>
        <v>0</v>
      </c>
      <c r="J89" s="145">
        <f t="shared" si="21"/>
        <v>0</v>
      </c>
      <c r="K89" s="146" t="str">
        <f t="shared" si="32"/>
        <v>N</v>
      </c>
      <c r="L89" s="147">
        <f t="shared" si="22"/>
        <v>0</v>
      </c>
      <c r="M89" s="148">
        <f t="shared" si="23"/>
        <v>0</v>
      </c>
      <c r="N89" s="64">
        <f t="shared" si="24"/>
        <v>0</v>
      </c>
      <c r="O89" s="64">
        <f t="shared" si="25"/>
        <v>0</v>
      </c>
      <c r="Q89" s="104">
        <f t="shared" si="26"/>
        <v>0</v>
      </c>
      <c r="R89" s="104" t="str">
        <f t="shared" si="27"/>
        <v>Not Applicable</v>
      </c>
      <c r="S89" s="149" t="s">
        <v>815</v>
      </c>
      <c r="T89" s="149">
        <f>IF(O89=0,0,IF(S89="N",0,VLOOKUP(B89,'Enrollment 25-26'!$B$8:$K$332,9,FALSE)))</f>
        <v>0</v>
      </c>
      <c r="U89" s="64">
        <f t="shared" si="28"/>
        <v>0</v>
      </c>
      <c r="V89" s="128">
        <f t="shared" si="29"/>
        <v>0</v>
      </c>
      <c r="W89" s="150"/>
      <c r="X89" s="64">
        <f>IFERROR(VLOOKUP($B89,'Allocations 2025-26'!$B$9:$U$329,14,FALSE),0)</f>
        <v>0</v>
      </c>
      <c r="Y89" s="99">
        <f t="shared" si="30"/>
        <v>0</v>
      </c>
      <c r="Z89" s="132">
        <f t="shared" si="31"/>
        <v>0</v>
      </c>
      <c r="AA89" s="151" t="str">
        <f t="shared" si="33"/>
        <v>N</v>
      </c>
      <c r="AC89" s="64"/>
      <c r="AE89" s="152"/>
      <c r="AH89" s="153"/>
      <c r="AI89" s="153"/>
      <c r="AJ89" s="153"/>
      <c r="AK89" s="154"/>
    </row>
    <row r="90" spans="1:37" x14ac:dyDescent="0.25">
      <c r="A90" s="142" t="s">
        <v>454</v>
      </c>
      <c r="B90" t="s">
        <v>556</v>
      </c>
      <c r="C90" t="s">
        <v>89</v>
      </c>
      <c r="D90" s="143">
        <f>IFERROR(VLOOKUP(B90,'Enrollment 26-27'!$B$5:$I$332,8,FALSE),0)</f>
        <v>7151.17</v>
      </c>
      <c r="E90" s="64">
        <f t="shared" si="18"/>
        <v>827518</v>
      </c>
      <c r="F90" s="144">
        <v>0</v>
      </c>
      <c r="G90" s="144">
        <v>0</v>
      </c>
      <c r="H90" s="64">
        <f t="shared" si="19"/>
        <v>827518</v>
      </c>
      <c r="I90" s="64">
        <f t="shared" si="20"/>
        <v>0</v>
      </c>
      <c r="J90" s="145">
        <f t="shared" si="21"/>
        <v>827518</v>
      </c>
      <c r="K90" s="146" t="str">
        <f t="shared" si="32"/>
        <v>Y</v>
      </c>
      <c r="L90" s="147">
        <f t="shared" si="22"/>
        <v>0</v>
      </c>
      <c r="M90" s="148">
        <f t="shared" si="23"/>
        <v>7151.17</v>
      </c>
      <c r="N90" s="64">
        <f t="shared" si="24"/>
        <v>7061</v>
      </c>
      <c r="O90" s="64">
        <f t="shared" si="25"/>
        <v>834579</v>
      </c>
      <c r="Q90" s="104">
        <f t="shared" si="26"/>
        <v>0</v>
      </c>
      <c r="R90" s="104" t="str">
        <f t="shared" si="27"/>
        <v>Not Applicable</v>
      </c>
      <c r="S90" s="149" t="s">
        <v>815</v>
      </c>
      <c r="T90" s="149">
        <f>IF(O90=0,0,IF(S90="N",0,VLOOKUP(B90,'Enrollment 25-26'!$B$8:$K$332,9,FALSE)))</f>
        <v>0</v>
      </c>
      <c r="U90" s="64">
        <f t="shared" si="28"/>
        <v>834579</v>
      </c>
      <c r="V90" s="128">
        <f t="shared" si="29"/>
        <v>116.70523844349945</v>
      </c>
      <c r="W90" s="150"/>
      <c r="X90" s="64">
        <f>IFERROR(VLOOKUP($B90,'Allocations 2025-26'!$B$9:$U$329,14,FALSE),0)</f>
        <v>853758</v>
      </c>
      <c r="Y90" s="99">
        <f t="shared" si="30"/>
        <v>-19179</v>
      </c>
      <c r="Z90" s="132">
        <f t="shared" si="31"/>
        <v>-2.2464211169909973E-2</v>
      </c>
      <c r="AA90" s="151" t="str">
        <f t="shared" si="33"/>
        <v>Y</v>
      </c>
      <c r="AC90" s="64"/>
      <c r="AE90" s="152"/>
      <c r="AH90" s="153"/>
      <c r="AI90" s="153"/>
      <c r="AJ90" s="153"/>
      <c r="AK90" s="154"/>
    </row>
    <row r="91" spans="1:37" x14ac:dyDescent="0.25">
      <c r="A91" s="142" t="s">
        <v>446</v>
      </c>
      <c r="B91" t="s">
        <v>557</v>
      </c>
      <c r="C91" t="s">
        <v>90</v>
      </c>
      <c r="D91" s="143">
        <f>IFERROR(VLOOKUP(B91,'Enrollment 26-27'!$B$5:$I$332,8,FALSE),0)</f>
        <v>519.83666666666659</v>
      </c>
      <c r="E91" s="64">
        <f t="shared" si="18"/>
        <v>60154</v>
      </c>
      <c r="F91" s="144">
        <v>0</v>
      </c>
      <c r="G91" s="144">
        <v>0</v>
      </c>
      <c r="H91" s="64">
        <f t="shared" si="19"/>
        <v>60154</v>
      </c>
      <c r="I91" s="64">
        <f t="shared" si="20"/>
        <v>0</v>
      </c>
      <c r="J91" s="145">
        <f t="shared" si="21"/>
        <v>60154</v>
      </c>
      <c r="K91" s="146" t="str">
        <f t="shared" si="32"/>
        <v>Y</v>
      </c>
      <c r="L91" s="147">
        <f t="shared" si="22"/>
        <v>0</v>
      </c>
      <c r="M91" s="148">
        <f t="shared" si="23"/>
        <v>519.83666666666659</v>
      </c>
      <c r="N91" s="64">
        <f t="shared" si="24"/>
        <v>513</v>
      </c>
      <c r="O91" s="64">
        <f t="shared" si="25"/>
        <v>60667</v>
      </c>
      <c r="Q91" s="104">
        <f t="shared" si="26"/>
        <v>0</v>
      </c>
      <c r="R91" s="104" t="str">
        <f t="shared" si="27"/>
        <v>Not Applicable</v>
      </c>
      <c r="S91" s="149" t="s">
        <v>815</v>
      </c>
      <c r="T91" s="149">
        <f>IF(O91=0,0,IF(S91="N",0,VLOOKUP(B91,'Enrollment 25-26'!$B$8:$K$332,9,FALSE)))</f>
        <v>0</v>
      </c>
      <c r="U91" s="64">
        <f t="shared" si="28"/>
        <v>60667</v>
      </c>
      <c r="V91" s="128">
        <f t="shared" si="29"/>
        <v>116.70396470686308</v>
      </c>
      <c r="W91" s="150"/>
      <c r="X91" s="64">
        <f>IFERROR(VLOOKUP($B91,'Allocations 2025-26'!$B$9:$U$329,14,FALSE),0)</f>
        <v>63387</v>
      </c>
      <c r="Y91" s="99">
        <f t="shared" si="30"/>
        <v>-2720</v>
      </c>
      <c r="Z91" s="132">
        <f t="shared" si="31"/>
        <v>-4.291100698881474E-2</v>
      </c>
      <c r="AA91" s="151" t="str">
        <f t="shared" si="33"/>
        <v>Y</v>
      </c>
      <c r="AC91" s="64"/>
      <c r="AE91" s="152"/>
      <c r="AH91" s="153"/>
      <c r="AI91" s="153"/>
      <c r="AJ91" s="153"/>
      <c r="AK91" s="154"/>
    </row>
    <row r="92" spans="1:37" x14ac:dyDescent="0.25">
      <c r="A92" s="142" t="s">
        <v>454</v>
      </c>
      <c r="B92" t="s">
        <v>558</v>
      </c>
      <c r="C92" t="s">
        <v>91</v>
      </c>
      <c r="D92" s="143">
        <f>IFERROR(VLOOKUP(B92,'Enrollment 26-27'!$B$5:$I$332,8,FALSE),0)</f>
        <v>796.16666666666663</v>
      </c>
      <c r="E92" s="64">
        <f t="shared" si="18"/>
        <v>92131</v>
      </c>
      <c r="F92" s="144">
        <v>0</v>
      </c>
      <c r="G92" s="144">
        <v>0</v>
      </c>
      <c r="H92" s="64">
        <f t="shared" si="19"/>
        <v>92131</v>
      </c>
      <c r="I92" s="64">
        <f t="shared" si="20"/>
        <v>0</v>
      </c>
      <c r="J92" s="145">
        <f t="shared" si="21"/>
        <v>92131</v>
      </c>
      <c r="K92" s="146" t="str">
        <f t="shared" si="32"/>
        <v>Y</v>
      </c>
      <c r="L92" s="147">
        <f t="shared" si="22"/>
        <v>0</v>
      </c>
      <c r="M92" s="148">
        <f t="shared" si="23"/>
        <v>796.16666666666663</v>
      </c>
      <c r="N92" s="64">
        <f t="shared" si="24"/>
        <v>786</v>
      </c>
      <c r="O92" s="64">
        <f t="shared" si="25"/>
        <v>92917</v>
      </c>
      <c r="Q92" s="104">
        <f t="shared" si="26"/>
        <v>0</v>
      </c>
      <c r="R92" s="104" t="str">
        <f t="shared" si="27"/>
        <v>Not Applicable</v>
      </c>
      <c r="S92" s="149" t="s">
        <v>815</v>
      </c>
      <c r="T92" s="149">
        <f>IF(O92=0,0,IF(S92="N",0,VLOOKUP(B92,'Enrollment 25-26'!$B$8:$K$332,9,FALSE)))</f>
        <v>0</v>
      </c>
      <c r="U92" s="64">
        <f t="shared" si="28"/>
        <v>92917</v>
      </c>
      <c r="V92" s="128">
        <f t="shared" si="29"/>
        <v>116.70546368013397</v>
      </c>
      <c r="W92" s="150"/>
      <c r="X92" s="64">
        <f>IFERROR(VLOOKUP($B92,'Allocations 2025-26'!$B$9:$U$329,14,FALSE),0)</f>
        <v>94406</v>
      </c>
      <c r="Y92" s="99">
        <f t="shared" si="30"/>
        <v>-1489</v>
      </c>
      <c r="Z92" s="132">
        <f t="shared" si="31"/>
        <v>-1.5772302607885091E-2</v>
      </c>
      <c r="AA92" s="151" t="str">
        <f t="shared" si="33"/>
        <v>Y</v>
      </c>
      <c r="AC92" s="64"/>
      <c r="AE92" s="152"/>
      <c r="AH92" s="153"/>
      <c r="AI92" s="153"/>
      <c r="AJ92" s="153"/>
      <c r="AK92" s="154"/>
    </row>
    <row r="93" spans="1:37" x14ac:dyDescent="0.25">
      <c r="A93" s="142" t="s">
        <v>451</v>
      </c>
      <c r="B93" t="s">
        <v>559</v>
      </c>
      <c r="C93" t="s">
        <v>92</v>
      </c>
      <c r="D93" s="143">
        <f>IFERROR(VLOOKUP(B93,'Enrollment 26-27'!$B$5:$I$332,8,FALSE),0)</f>
        <v>180.32999999999998</v>
      </c>
      <c r="E93" s="64">
        <f t="shared" si="18"/>
        <v>20867</v>
      </c>
      <c r="F93" s="144">
        <v>0</v>
      </c>
      <c r="G93" s="144">
        <v>0</v>
      </c>
      <c r="H93" s="64">
        <f t="shared" si="19"/>
        <v>20867</v>
      </c>
      <c r="I93" s="64">
        <f t="shared" si="20"/>
        <v>0</v>
      </c>
      <c r="J93" s="145">
        <f t="shared" si="21"/>
        <v>20867</v>
      </c>
      <c r="K93" s="146" t="str">
        <f t="shared" si="32"/>
        <v>Y</v>
      </c>
      <c r="L93" s="147">
        <f t="shared" si="22"/>
        <v>0</v>
      </c>
      <c r="M93" s="148">
        <f t="shared" si="23"/>
        <v>180.32999999999998</v>
      </c>
      <c r="N93" s="64">
        <f t="shared" si="24"/>
        <v>178</v>
      </c>
      <c r="O93" s="64">
        <f t="shared" si="25"/>
        <v>21045</v>
      </c>
      <c r="Q93" s="104">
        <f t="shared" si="26"/>
        <v>0</v>
      </c>
      <c r="R93" s="104" t="str">
        <f t="shared" si="27"/>
        <v>Not Applicable</v>
      </c>
      <c r="S93" s="149" t="s">
        <v>815</v>
      </c>
      <c r="T93" s="149">
        <f>IF(O93=0,0,IF(S93="N",0,VLOOKUP(B93,'Enrollment 25-26'!$B$8:$K$332,9,FALSE)))</f>
        <v>0</v>
      </c>
      <c r="U93" s="64">
        <f t="shared" si="28"/>
        <v>21045</v>
      </c>
      <c r="V93" s="128">
        <f t="shared" si="29"/>
        <v>116.70271169522543</v>
      </c>
      <c r="W93" s="150"/>
      <c r="X93" s="64">
        <f>IFERROR(VLOOKUP($B93,'Allocations 2025-26'!$B$9:$U$329,14,FALSE),0)</f>
        <v>22410</v>
      </c>
      <c r="Y93" s="99">
        <f t="shared" si="30"/>
        <v>-1365</v>
      </c>
      <c r="Z93" s="132">
        <f t="shared" si="31"/>
        <v>-6.0910307898259707E-2</v>
      </c>
      <c r="AA93" s="151" t="str">
        <f t="shared" si="33"/>
        <v>Y</v>
      </c>
      <c r="AC93" s="64"/>
      <c r="AE93" s="152"/>
      <c r="AH93" s="153"/>
      <c r="AI93" s="153"/>
      <c r="AJ93" s="153"/>
      <c r="AK93" s="154"/>
    </row>
    <row r="94" spans="1:37" x14ac:dyDescent="0.25">
      <c r="A94" s="142" t="s">
        <v>454</v>
      </c>
      <c r="B94" t="s">
        <v>560</v>
      </c>
      <c r="C94" t="s">
        <v>93</v>
      </c>
      <c r="D94" s="143">
        <f>IFERROR(VLOOKUP(B94,'Enrollment 26-27'!$B$5:$I$332,8,FALSE),0)</f>
        <v>1272.4933333333333</v>
      </c>
      <c r="E94" s="64">
        <f t="shared" si="18"/>
        <v>147250</v>
      </c>
      <c r="F94" s="144">
        <v>0</v>
      </c>
      <c r="G94" s="144">
        <v>0</v>
      </c>
      <c r="H94" s="64">
        <f t="shared" si="19"/>
        <v>147250</v>
      </c>
      <c r="I94" s="64">
        <f t="shared" si="20"/>
        <v>0</v>
      </c>
      <c r="J94" s="145">
        <f t="shared" si="21"/>
        <v>147250</v>
      </c>
      <c r="K94" s="146" t="str">
        <f t="shared" si="32"/>
        <v>Y</v>
      </c>
      <c r="L94" s="147">
        <f t="shared" si="22"/>
        <v>0</v>
      </c>
      <c r="M94" s="148">
        <f t="shared" si="23"/>
        <v>1272.4933333333333</v>
      </c>
      <c r="N94" s="64">
        <f t="shared" si="24"/>
        <v>1256</v>
      </c>
      <c r="O94" s="64">
        <f t="shared" si="25"/>
        <v>148506</v>
      </c>
      <c r="Q94" s="104">
        <f t="shared" si="26"/>
        <v>0</v>
      </c>
      <c r="R94" s="104" t="str">
        <f t="shared" si="27"/>
        <v>Not Applicable</v>
      </c>
      <c r="S94" s="149" t="s">
        <v>815</v>
      </c>
      <c r="T94" s="149">
        <f>IF(O94=0,0,IF(S94="N",0,VLOOKUP(B94,'Enrollment 25-26'!$B$8:$K$332,9,FALSE)))</f>
        <v>0</v>
      </c>
      <c r="U94" s="64">
        <f t="shared" si="28"/>
        <v>148506</v>
      </c>
      <c r="V94" s="128">
        <f t="shared" si="29"/>
        <v>116.70473715644876</v>
      </c>
      <c r="W94" s="150"/>
      <c r="X94" s="64">
        <f>IFERROR(VLOOKUP($B94,'Allocations 2025-26'!$B$9:$U$329,14,FALSE),0)</f>
        <v>145963</v>
      </c>
      <c r="Y94" s="99">
        <f t="shared" si="30"/>
        <v>2543</v>
      </c>
      <c r="Z94" s="132">
        <f t="shared" si="31"/>
        <v>1.7422223440186898E-2</v>
      </c>
      <c r="AA94" s="151" t="str">
        <f t="shared" si="33"/>
        <v>Y</v>
      </c>
      <c r="AC94" s="64"/>
      <c r="AE94" s="152"/>
      <c r="AH94" s="153"/>
      <c r="AI94" s="153"/>
      <c r="AJ94" s="153"/>
      <c r="AK94" s="154"/>
    </row>
    <row r="95" spans="1:37" x14ac:dyDescent="0.25">
      <c r="A95" s="142" t="s">
        <v>443</v>
      </c>
      <c r="B95" t="s">
        <v>561</v>
      </c>
      <c r="C95" t="s">
        <v>94</v>
      </c>
      <c r="D95" s="143">
        <f>IFERROR(VLOOKUP(B95,'Enrollment 26-27'!$B$5:$I$332,8,FALSE),0)</f>
        <v>3</v>
      </c>
      <c r="E95" s="64">
        <f t="shared" si="18"/>
        <v>347</v>
      </c>
      <c r="F95" s="144">
        <v>0</v>
      </c>
      <c r="G95" s="144">
        <v>0</v>
      </c>
      <c r="H95" s="64">
        <f t="shared" si="19"/>
        <v>347</v>
      </c>
      <c r="I95" s="64">
        <f t="shared" si="20"/>
        <v>0</v>
      </c>
      <c r="J95" s="145">
        <f t="shared" si="21"/>
        <v>347</v>
      </c>
      <c r="K95" s="146" t="str">
        <f t="shared" si="32"/>
        <v>N</v>
      </c>
      <c r="L95" s="147">
        <f t="shared" si="22"/>
        <v>347</v>
      </c>
      <c r="M95" s="148">
        <f t="shared" si="23"/>
        <v>0</v>
      </c>
      <c r="N95" s="64">
        <f t="shared" si="24"/>
        <v>0</v>
      </c>
      <c r="O95" s="64">
        <f t="shared" si="25"/>
        <v>0</v>
      </c>
      <c r="Q95" s="104">
        <f t="shared" si="26"/>
        <v>0</v>
      </c>
      <c r="R95" s="104" t="str">
        <f t="shared" si="27"/>
        <v>Not Applicable</v>
      </c>
      <c r="S95" s="149" t="s">
        <v>815</v>
      </c>
      <c r="T95" s="149">
        <f>IF(O95=0,0,IF(S95="N",0,VLOOKUP(B95,'Enrollment 25-26'!$B$8:$K$332,9,FALSE)))</f>
        <v>0</v>
      </c>
      <c r="U95" s="64">
        <f t="shared" si="28"/>
        <v>0</v>
      </c>
      <c r="V95" s="128">
        <f t="shared" si="29"/>
        <v>0</v>
      </c>
      <c r="W95" s="150"/>
      <c r="X95" s="64">
        <f>IFERROR(VLOOKUP($B95,'Allocations 2025-26'!$B$9:$U$329,14,FALSE),0)</f>
        <v>0</v>
      </c>
      <c r="Y95" s="99">
        <f t="shared" si="30"/>
        <v>0</v>
      </c>
      <c r="Z95" s="132">
        <f t="shared" si="31"/>
        <v>0</v>
      </c>
      <c r="AA95" s="151" t="str">
        <f t="shared" si="33"/>
        <v>N</v>
      </c>
      <c r="AC95" s="64"/>
      <c r="AE95" s="152"/>
      <c r="AH95" s="153"/>
      <c r="AI95" s="153"/>
      <c r="AJ95" s="153"/>
      <c r="AK95" s="154"/>
    </row>
    <row r="96" spans="1:37" x14ac:dyDescent="0.25">
      <c r="A96" s="142" t="s">
        <v>443</v>
      </c>
      <c r="B96" t="s">
        <v>562</v>
      </c>
      <c r="C96" t="s">
        <v>95</v>
      </c>
      <c r="D96" s="143">
        <f>IFERROR(VLOOKUP(B96,'Enrollment 26-27'!$B$5:$I$332,8,FALSE),0)</f>
        <v>0</v>
      </c>
      <c r="E96" s="64">
        <f t="shared" si="18"/>
        <v>0</v>
      </c>
      <c r="F96" s="144">
        <v>0</v>
      </c>
      <c r="G96" s="144">
        <v>0</v>
      </c>
      <c r="H96" s="64">
        <f t="shared" si="19"/>
        <v>0</v>
      </c>
      <c r="I96" s="64">
        <f t="shared" si="20"/>
        <v>0</v>
      </c>
      <c r="J96" s="145">
        <f t="shared" si="21"/>
        <v>0</v>
      </c>
      <c r="K96" s="146" t="str">
        <f t="shared" si="32"/>
        <v>N</v>
      </c>
      <c r="L96" s="147">
        <f t="shared" si="22"/>
        <v>0</v>
      </c>
      <c r="M96" s="148">
        <f t="shared" si="23"/>
        <v>0</v>
      </c>
      <c r="N96" s="64">
        <f t="shared" si="24"/>
        <v>0</v>
      </c>
      <c r="O96" s="64">
        <f t="shared" si="25"/>
        <v>0</v>
      </c>
      <c r="Q96" s="104">
        <f t="shared" si="26"/>
        <v>0</v>
      </c>
      <c r="R96" s="104" t="str">
        <f t="shared" si="27"/>
        <v>Not Applicable</v>
      </c>
      <c r="S96" s="149" t="s">
        <v>815</v>
      </c>
      <c r="T96" s="149">
        <f>IF(O96=0,0,IF(S96="N",0,VLOOKUP(B96,'Enrollment 25-26'!$B$8:$K$332,9,FALSE)))</f>
        <v>0</v>
      </c>
      <c r="U96" s="64">
        <f t="shared" si="28"/>
        <v>0</v>
      </c>
      <c r="V96" s="128">
        <f t="shared" si="29"/>
        <v>0</v>
      </c>
      <c r="W96" s="150"/>
      <c r="X96" s="64">
        <f>IFERROR(VLOOKUP($B96,'Allocations 2025-26'!$B$9:$U$329,14,FALSE),0)</f>
        <v>0</v>
      </c>
      <c r="Y96" s="99">
        <f t="shared" si="30"/>
        <v>0</v>
      </c>
      <c r="Z96" s="132">
        <f t="shared" si="31"/>
        <v>0</v>
      </c>
      <c r="AA96" s="151" t="str">
        <f t="shared" si="33"/>
        <v>N</v>
      </c>
      <c r="AC96" s="64"/>
      <c r="AE96" s="152"/>
      <c r="AH96" s="153"/>
      <c r="AI96" s="153"/>
      <c r="AJ96" s="153"/>
      <c r="AK96" s="154"/>
    </row>
    <row r="97" spans="1:37" x14ac:dyDescent="0.25">
      <c r="A97" s="142" t="s">
        <v>459</v>
      </c>
      <c r="B97" t="s">
        <v>563</v>
      </c>
      <c r="C97" t="s">
        <v>96</v>
      </c>
      <c r="D97" s="143">
        <f>IFERROR(VLOOKUP(B97,'Enrollment 26-27'!$B$5:$I$332,8,FALSE),0)</f>
        <v>0</v>
      </c>
      <c r="E97" s="64">
        <f t="shared" si="18"/>
        <v>0</v>
      </c>
      <c r="F97" s="144">
        <v>0</v>
      </c>
      <c r="G97" s="144">
        <v>0</v>
      </c>
      <c r="H97" s="64">
        <f t="shared" si="19"/>
        <v>0</v>
      </c>
      <c r="I97" s="64">
        <f t="shared" si="20"/>
        <v>0</v>
      </c>
      <c r="J97" s="145">
        <f t="shared" si="21"/>
        <v>0</v>
      </c>
      <c r="K97" s="146" t="str">
        <f t="shared" si="32"/>
        <v>N</v>
      </c>
      <c r="L97" s="147">
        <f t="shared" si="22"/>
        <v>0</v>
      </c>
      <c r="M97" s="148">
        <f t="shared" si="23"/>
        <v>0</v>
      </c>
      <c r="N97" s="64">
        <f t="shared" si="24"/>
        <v>0</v>
      </c>
      <c r="O97" s="64">
        <f t="shared" si="25"/>
        <v>0</v>
      </c>
      <c r="Q97" s="104">
        <f t="shared" si="26"/>
        <v>0</v>
      </c>
      <c r="R97" s="104" t="str">
        <f t="shared" si="27"/>
        <v>Not Applicable</v>
      </c>
      <c r="S97" s="149" t="s">
        <v>815</v>
      </c>
      <c r="T97" s="149">
        <f>IF(O97=0,0,IF(S97="N",0,VLOOKUP(B97,'Enrollment 25-26'!$B$8:$K$332,9,FALSE)))</f>
        <v>0</v>
      </c>
      <c r="U97" s="64">
        <f t="shared" si="28"/>
        <v>0</v>
      </c>
      <c r="V97" s="128">
        <f t="shared" si="29"/>
        <v>0</v>
      </c>
      <c r="W97" s="150"/>
      <c r="X97" s="64">
        <f>IFERROR(VLOOKUP($B97,'Allocations 2025-26'!$B$9:$U$329,14,FALSE),0)</f>
        <v>0</v>
      </c>
      <c r="Y97" s="99">
        <f t="shared" si="30"/>
        <v>0</v>
      </c>
      <c r="Z97" s="132">
        <f t="shared" si="31"/>
        <v>0</v>
      </c>
      <c r="AA97" s="151" t="str">
        <f t="shared" si="33"/>
        <v>N</v>
      </c>
      <c r="AC97" s="64"/>
      <c r="AE97" s="152"/>
      <c r="AH97" s="153"/>
      <c r="AI97" s="153"/>
      <c r="AJ97" s="153"/>
      <c r="AK97" s="154"/>
    </row>
    <row r="98" spans="1:37" x14ac:dyDescent="0.25">
      <c r="A98" s="142" t="s">
        <v>471</v>
      </c>
      <c r="B98" t="s">
        <v>564</v>
      </c>
      <c r="C98" t="s">
        <v>97</v>
      </c>
      <c r="D98" s="143">
        <f>IFERROR(VLOOKUP(B98,'Enrollment 26-27'!$B$5:$I$332,8,FALSE),0)</f>
        <v>136.32999999999998</v>
      </c>
      <c r="E98" s="64">
        <f t="shared" si="18"/>
        <v>15776</v>
      </c>
      <c r="F98" s="144">
        <v>0</v>
      </c>
      <c r="G98" s="144">
        <v>0</v>
      </c>
      <c r="H98" s="64">
        <f t="shared" si="19"/>
        <v>15776</v>
      </c>
      <c r="I98" s="64">
        <f t="shared" si="20"/>
        <v>0</v>
      </c>
      <c r="J98" s="145">
        <f t="shared" si="21"/>
        <v>15776</v>
      </c>
      <c r="K98" s="146" t="str">
        <f t="shared" si="32"/>
        <v>Y</v>
      </c>
      <c r="L98" s="147">
        <f t="shared" si="22"/>
        <v>0</v>
      </c>
      <c r="M98" s="148">
        <f t="shared" si="23"/>
        <v>136.32999999999998</v>
      </c>
      <c r="N98" s="64">
        <f t="shared" si="24"/>
        <v>135</v>
      </c>
      <c r="O98" s="64">
        <f t="shared" si="25"/>
        <v>15911</v>
      </c>
      <c r="Q98" s="104">
        <f t="shared" si="26"/>
        <v>0</v>
      </c>
      <c r="R98" s="104" t="str">
        <f t="shared" si="27"/>
        <v>Not Applicable</v>
      </c>
      <c r="S98" s="149" t="s">
        <v>815</v>
      </c>
      <c r="T98" s="149">
        <f>IF(O98=0,0,IF(S98="N",0,VLOOKUP(B98,'Enrollment 25-26'!$B$8:$K$332,9,FALSE)))</f>
        <v>0</v>
      </c>
      <c r="U98" s="64">
        <f t="shared" si="28"/>
        <v>15911</v>
      </c>
      <c r="V98" s="128">
        <f t="shared" si="29"/>
        <v>116.70945499889974</v>
      </c>
      <c r="W98" s="150"/>
      <c r="X98" s="64">
        <f>IFERROR(VLOOKUP($B98,'Allocations 2025-26'!$B$9:$U$329,14,FALSE),0)</f>
        <v>15422</v>
      </c>
      <c r="Y98" s="99">
        <f t="shared" si="30"/>
        <v>489</v>
      </c>
      <c r="Z98" s="132">
        <f t="shared" si="31"/>
        <v>3.1707949682272078E-2</v>
      </c>
      <c r="AA98" s="151" t="str">
        <f t="shared" si="33"/>
        <v>Y</v>
      </c>
      <c r="AC98" s="64"/>
      <c r="AE98" s="152"/>
      <c r="AH98" s="153"/>
      <c r="AI98" s="153"/>
      <c r="AJ98" s="153"/>
      <c r="AK98" s="154"/>
    </row>
    <row r="99" spans="1:37" x14ac:dyDescent="0.25">
      <c r="A99" s="142" t="s">
        <v>481</v>
      </c>
      <c r="B99" t="s">
        <v>565</v>
      </c>
      <c r="C99" t="s">
        <v>98</v>
      </c>
      <c r="D99" s="143">
        <f>IFERROR(VLOOKUP(B99,'Enrollment 26-27'!$B$5:$I$332,8,FALSE),0)</f>
        <v>154.33333333333334</v>
      </c>
      <c r="E99" s="64">
        <f t="shared" si="18"/>
        <v>17859</v>
      </c>
      <c r="F99" s="144">
        <v>0</v>
      </c>
      <c r="G99" s="144">
        <v>0</v>
      </c>
      <c r="H99" s="64">
        <f t="shared" si="19"/>
        <v>17859</v>
      </c>
      <c r="I99" s="64">
        <f t="shared" si="20"/>
        <v>0</v>
      </c>
      <c r="J99" s="145">
        <f t="shared" si="21"/>
        <v>17859</v>
      </c>
      <c r="K99" s="146" t="str">
        <f t="shared" si="32"/>
        <v>Y</v>
      </c>
      <c r="L99" s="147">
        <f t="shared" si="22"/>
        <v>0</v>
      </c>
      <c r="M99" s="148">
        <f t="shared" si="23"/>
        <v>154.33333333333334</v>
      </c>
      <c r="N99" s="64">
        <f t="shared" si="24"/>
        <v>152</v>
      </c>
      <c r="O99" s="64">
        <f t="shared" si="25"/>
        <v>18011</v>
      </c>
      <c r="Q99" s="104">
        <f t="shared" si="26"/>
        <v>0</v>
      </c>
      <c r="R99" s="104" t="str">
        <f t="shared" si="27"/>
        <v>Not Applicable</v>
      </c>
      <c r="S99" s="149" t="s">
        <v>815</v>
      </c>
      <c r="T99" s="149">
        <f>IF(O99=0,0,IF(S99="N",0,VLOOKUP(B99,'Enrollment 25-26'!$B$8:$K$332,9,FALSE)))</f>
        <v>0</v>
      </c>
      <c r="U99" s="64">
        <f t="shared" si="28"/>
        <v>18011</v>
      </c>
      <c r="V99" s="128">
        <f t="shared" si="29"/>
        <v>116.70194384449243</v>
      </c>
      <c r="W99" s="150"/>
      <c r="X99" s="64">
        <f>IFERROR(VLOOKUP($B99,'Allocations 2025-26'!$B$9:$U$329,14,FALSE),0)</f>
        <v>17979</v>
      </c>
      <c r="Y99" s="99">
        <f t="shared" si="30"/>
        <v>32</v>
      </c>
      <c r="Z99" s="132">
        <f t="shared" si="31"/>
        <v>1.7798542744312809E-3</v>
      </c>
      <c r="AA99" s="151" t="str">
        <f t="shared" si="33"/>
        <v>Y</v>
      </c>
      <c r="AC99" s="64"/>
      <c r="AE99" s="152"/>
      <c r="AH99" s="153"/>
      <c r="AI99" s="153"/>
      <c r="AJ99" s="153"/>
      <c r="AK99" s="154"/>
    </row>
    <row r="100" spans="1:37" x14ac:dyDescent="0.25">
      <c r="A100" s="142" t="s">
        <v>471</v>
      </c>
      <c r="B100" t="s">
        <v>566</v>
      </c>
      <c r="C100" t="s">
        <v>99</v>
      </c>
      <c r="D100" s="143">
        <f>IFERROR(VLOOKUP(B100,'Enrollment 26-27'!$B$5:$I$332,8,FALSE),0)</f>
        <v>1104.5</v>
      </c>
      <c r="E100" s="64">
        <f t="shared" si="18"/>
        <v>127810</v>
      </c>
      <c r="F100" s="144">
        <v>0</v>
      </c>
      <c r="G100" s="144">
        <v>0</v>
      </c>
      <c r="H100" s="64">
        <f t="shared" si="19"/>
        <v>127810</v>
      </c>
      <c r="I100" s="64">
        <f t="shared" si="20"/>
        <v>0</v>
      </c>
      <c r="J100" s="145">
        <f t="shared" si="21"/>
        <v>127810</v>
      </c>
      <c r="K100" s="146" t="str">
        <f t="shared" si="32"/>
        <v>Y</v>
      </c>
      <c r="L100" s="147">
        <f t="shared" si="22"/>
        <v>0</v>
      </c>
      <c r="M100" s="148">
        <f t="shared" si="23"/>
        <v>1104.5</v>
      </c>
      <c r="N100" s="64">
        <f t="shared" si="24"/>
        <v>1091</v>
      </c>
      <c r="O100" s="64">
        <f t="shared" si="25"/>
        <v>128901</v>
      </c>
      <c r="Q100" s="104">
        <f t="shared" si="26"/>
        <v>0</v>
      </c>
      <c r="R100" s="104" t="str">
        <f t="shared" si="27"/>
        <v>Not Applicable</v>
      </c>
      <c r="S100" s="149" t="s">
        <v>815</v>
      </c>
      <c r="T100" s="149">
        <f>IF(O100=0,0,IF(S100="N",0,VLOOKUP(B100,'Enrollment 25-26'!$B$8:$K$332,9,FALSE)))</f>
        <v>0</v>
      </c>
      <c r="U100" s="64">
        <f t="shared" si="28"/>
        <v>128901</v>
      </c>
      <c r="V100" s="128">
        <f t="shared" si="29"/>
        <v>116.70529651425984</v>
      </c>
      <c r="W100" s="150"/>
      <c r="X100" s="64">
        <f>IFERROR(VLOOKUP($B100,'Allocations 2025-26'!$B$9:$U$329,14,FALSE),0)</f>
        <v>130619</v>
      </c>
      <c r="Y100" s="99">
        <f t="shared" si="30"/>
        <v>-1718</v>
      </c>
      <c r="Z100" s="132">
        <f t="shared" si="31"/>
        <v>-1.3152757255835675E-2</v>
      </c>
      <c r="AA100" s="151" t="str">
        <f t="shared" si="33"/>
        <v>Y</v>
      </c>
      <c r="AC100" s="64"/>
      <c r="AE100" s="152"/>
      <c r="AH100" s="153"/>
      <c r="AI100" s="153"/>
      <c r="AJ100" s="153"/>
      <c r="AK100" s="154"/>
    </row>
    <row r="101" spans="1:37" x14ac:dyDescent="0.25">
      <c r="A101" s="142" t="s">
        <v>471</v>
      </c>
      <c r="B101" t="s">
        <v>567</v>
      </c>
      <c r="C101" t="s">
        <v>100</v>
      </c>
      <c r="D101" s="143">
        <f>IFERROR(VLOOKUP(B101,'Enrollment 26-27'!$B$5:$I$332,8,FALSE),0)</f>
        <v>738.16</v>
      </c>
      <c r="E101" s="64">
        <f t="shared" si="18"/>
        <v>85418</v>
      </c>
      <c r="F101" s="144">
        <v>0</v>
      </c>
      <c r="G101" s="144">
        <v>0</v>
      </c>
      <c r="H101" s="64">
        <f t="shared" si="19"/>
        <v>85418</v>
      </c>
      <c r="I101" s="64">
        <f t="shared" si="20"/>
        <v>0</v>
      </c>
      <c r="J101" s="145">
        <f t="shared" si="21"/>
        <v>85418</v>
      </c>
      <c r="K101" s="146" t="str">
        <f t="shared" si="32"/>
        <v>Y</v>
      </c>
      <c r="L101" s="147">
        <f t="shared" si="22"/>
        <v>0</v>
      </c>
      <c r="M101" s="148">
        <f t="shared" si="23"/>
        <v>738.16</v>
      </c>
      <c r="N101" s="64">
        <f t="shared" si="24"/>
        <v>729</v>
      </c>
      <c r="O101" s="64">
        <f t="shared" si="25"/>
        <v>86147</v>
      </c>
      <c r="Q101" s="104">
        <f t="shared" si="26"/>
        <v>0</v>
      </c>
      <c r="R101" s="104" t="str">
        <f t="shared" si="27"/>
        <v>Not Applicable</v>
      </c>
      <c r="S101" s="149" t="s">
        <v>815</v>
      </c>
      <c r="T101" s="149">
        <f>IF(O101=0,0,IF(S101="N",0,VLOOKUP(B101,'Enrollment 25-26'!$B$8:$K$332,9,FALSE)))</f>
        <v>0</v>
      </c>
      <c r="U101" s="64">
        <f t="shared" si="28"/>
        <v>86147</v>
      </c>
      <c r="V101" s="128">
        <f t="shared" si="29"/>
        <v>116.7050503955782</v>
      </c>
      <c r="W101" s="150"/>
      <c r="X101" s="64">
        <f>IFERROR(VLOOKUP($B101,'Allocations 2025-26'!$B$9:$U$329,14,FALSE),0)</f>
        <v>80839</v>
      </c>
      <c r="Y101" s="99">
        <f t="shared" si="30"/>
        <v>5308</v>
      </c>
      <c r="Z101" s="132">
        <f t="shared" si="31"/>
        <v>6.5661376315887129E-2</v>
      </c>
      <c r="AA101" s="151" t="str">
        <f t="shared" si="33"/>
        <v>Y</v>
      </c>
      <c r="AC101" s="64"/>
      <c r="AE101" s="152"/>
      <c r="AH101" s="153"/>
      <c r="AI101" s="153"/>
      <c r="AJ101" s="153"/>
      <c r="AK101" s="154"/>
    </row>
    <row r="102" spans="1:37" x14ac:dyDescent="0.25">
      <c r="A102" s="142" t="s">
        <v>446</v>
      </c>
      <c r="B102" t="s">
        <v>568</v>
      </c>
      <c r="C102" t="s">
        <v>101</v>
      </c>
      <c r="D102" s="143">
        <f>IFERROR(VLOOKUP(B102,'Enrollment 26-27'!$B$5:$I$332,8,FALSE),0)</f>
        <v>89.66</v>
      </c>
      <c r="E102" s="64">
        <f t="shared" si="18"/>
        <v>10375</v>
      </c>
      <c r="F102" s="144">
        <v>0</v>
      </c>
      <c r="G102" s="144">
        <v>0</v>
      </c>
      <c r="H102" s="64">
        <f t="shared" si="19"/>
        <v>10375</v>
      </c>
      <c r="I102" s="64">
        <f t="shared" si="20"/>
        <v>0</v>
      </c>
      <c r="J102" s="145">
        <f t="shared" si="21"/>
        <v>10375</v>
      </c>
      <c r="K102" s="146" t="str">
        <f t="shared" si="32"/>
        <v>Y</v>
      </c>
      <c r="L102" s="147">
        <f t="shared" si="22"/>
        <v>0</v>
      </c>
      <c r="M102" s="148">
        <f t="shared" si="23"/>
        <v>89.66</v>
      </c>
      <c r="N102" s="64">
        <f t="shared" si="24"/>
        <v>89</v>
      </c>
      <c r="O102" s="64">
        <f t="shared" si="25"/>
        <v>10464</v>
      </c>
      <c r="Q102" s="104">
        <f t="shared" si="26"/>
        <v>0</v>
      </c>
      <c r="R102" s="104" t="str">
        <f t="shared" si="27"/>
        <v>Not Applicable</v>
      </c>
      <c r="S102" s="149" t="s">
        <v>815</v>
      </c>
      <c r="T102" s="149">
        <f>IF(O102=0,0,IF(S102="N",0,VLOOKUP(B102,'Enrollment 25-26'!$B$8:$K$332,9,FALSE)))</f>
        <v>0</v>
      </c>
      <c r="U102" s="64">
        <f t="shared" si="28"/>
        <v>10464</v>
      </c>
      <c r="V102" s="128">
        <f t="shared" si="29"/>
        <v>116.70756190051306</v>
      </c>
      <c r="W102" s="150"/>
      <c r="X102" s="64">
        <f>IFERROR(VLOOKUP($B102,'Allocations 2025-26'!$B$9:$U$329,14,FALSE),0)</f>
        <v>11966</v>
      </c>
      <c r="Y102" s="99">
        <f t="shared" si="30"/>
        <v>-1502</v>
      </c>
      <c r="Z102" s="132">
        <f t="shared" si="31"/>
        <v>-0.12552231322079224</v>
      </c>
      <c r="AA102" s="151" t="str">
        <f t="shared" si="33"/>
        <v>Y</v>
      </c>
      <c r="AC102" s="64"/>
      <c r="AE102" s="152"/>
      <c r="AH102" s="153"/>
      <c r="AI102" s="153"/>
      <c r="AJ102" s="153"/>
      <c r="AK102" s="154"/>
    </row>
    <row r="103" spans="1:37" x14ac:dyDescent="0.25">
      <c r="A103" s="142" t="s">
        <v>438</v>
      </c>
      <c r="B103" t="s">
        <v>569</v>
      </c>
      <c r="C103" t="s">
        <v>102</v>
      </c>
      <c r="D103" s="143">
        <f>IFERROR(VLOOKUP(B103,'Enrollment 26-27'!$B$5:$I$332,8,FALSE),0)</f>
        <v>0</v>
      </c>
      <c r="E103" s="64">
        <f t="shared" si="18"/>
        <v>0</v>
      </c>
      <c r="F103" s="144">
        <v>0</v>
      </c>
      <c r="G103" s="144">
        <v>0</v>
      </c>
      <c r="H103" s="64">
        <f t="shared" si="19"/>
        <v>0</v>
      </c>
      <c r="I103" s="64">
        <f t="shared" si="20"/>
        <v>0</v>
      </c>
      <c r="J103" s="145">
        <f t="shared" si="21"/>
        <v>0</v>
      </c>
      <c r="K103" s="146" t="str">
        <f t="shared" si="32"/>
        <v>N</v>
      </c>
      <c r="L103" s="147">
        <f t="shared" si="22"/>
        <v>0</v>
      </c>
      <c r="M103" s="148">
        <f t="shared" si="23"/>
        <v>0</v>
      </c>
      <c r="N103" s="64">
        <f t="shared" si="24"/>
        <v>0</v>
      </c>
      <c r="O103" s="64">
        <f t="shared" si="25"/>
        <v>0</v>
      </c>
      <c r="Q103" s="104">
        <f t="shared" si="26"/>
        <v>0</v>
      </c>
      <c r="R103" s="104" t="str">
        <f t="shared" si="27"/>
        <v>Not Applicable</v>
      </c>
      <c r="S103" s="149" t="s">
        <v>815</v>
      </c>
      <c r="T103" s="149">
        <f>IF(O103=0,0,IF(S103="N",0,VLOOKUP(B103,'Enrollment 25-26'!$B$8:$K$332,9,FALSE)))</f>
        <v>0</v>
      </c>
      <c r="U103" s="64">
        <f t="shared" si="28"/>
        <v>0</v>
      </c>
      <c r="V103" s="128">
        <f t="shared" si="29"/>
        <v>0</v>
      </c>
      <c r="W103" s="150"/>
      <c r="X103" s="64">
        <f>IFERROR(VLOOKUP($B103,'Allocations 2025-26'!$B$9:$U$329,14,FALSE),0)</f>
        <v>0</v>
      </c>
      <c r="Y103" s="99">
        <f t="shared" si="30"/>
        <v>0</v>
      </c>
      <c r="Z103" s="132">
        <f t="shared" si="31"/>
        <v>0</v>
      </c>
      <c r="AA103" s="151" t="str">
        <f t="shared" si="33"/>
        <v>N</v>
      </c>
      <c r="AC103" s="64"/>
      <c r="AE103" s="152"/>
      <c r="AH103" s="153"/>
      <c r="AI103" s="153"/>
      <c r="AJ103" s="153"/>
      <c r="AK103" s="154"/>
    </row>
    <row r="104" spans="1:37" x14ac:dyDescent="0.25">
      <c r="A104" s="142" t="s">
        <v>443</v>
      </c>
      <c r="B104" t="s">
        <v>570</v>
      </c>
      <c r="C104" t="s">
        <v>103</v>
      </c>
      <c r="D104" s="143">
        <f>IFERROR(VLOOKUP(B104,'Enrollment 26-27'!$B$5:$I$332,8,FALSE),0)</f>
        <v>1.83</v>
      </c>
      <c r="E104" s="64">
        <f t="shared" si="18"/>
        <v>212</v>
      </c>
      <c r="F104" s="144">
        <v>0</v>
      </c>
      <c r="G104" s="144">
        <v>0</v>
      </c>
      <c r="H104" s="64">
        <f t="shared" si="19"/>
        <v>212</v>
      </c>
      <c r="I104" s="64">
        <f t="shared" si="20"/>
        <v>0</v>
      </c>
      <c r="J104" s="145">
        <f t="shared" si="21"/>
        <v>212</v>
      </c>
      <c r="K104" s="146" t="str">
        <f t="shared" si="32"/>
        <v>N</v>
      </c>
      <c r="L104" s="147">
        <f t="shared" si="22"/>
        <v>212</v>
      </c>
      <c r="M104" s="148">
        <f t="shared" si="23"/>
        <v>0</v>
      </c>
      <c r="N104" s="64">
        <f t="shared" si="24"/>
        <v>0</v>
      </c>
      <c r="O104" s="64">
        <f t="shared" si="25"/>
        <v>0</v>
      </c>
      <c r="Q104" s="104">
        <f t="shared" si="26"/>
        <v>0</v>
      </c>
      <c r="R104" s="104" t="str">
        <f t="shared" si="27"/>
        <v>Not Applicable</v>
      </c>
      <c r="S104" s="149" t="s">
        <v>815</v>
      </c>
      <c r="T104" s="149">
        <f>IF(O104=0,0,IF(S104="N",0,VLOOKUP(B104,'Enrollment 25-26'!$B$8:$K$332,9,FALSE)))</f>
        <v>0</v>
      </c>
      <c r="U104" s="64">
        <f t="shared" si="28"/>
        <v>0</v>
      </c>
      <c r="V104" s="128">
        <f t="shared" si="29"/>
        <v>0</v>
      </c>
      <c r="W104" s="150"/>
      <c r="X104" s="64">
        <f>IFERROR(VLOOKUP($B104,'Allocations 2025-26'!$B$9:$U$329,14,FALSE),0)</f>
        <v>0</v>
      </c>
      <c r="Y104" s="99">
        <f t="shared" si="30"/>
        <v>0</v>
      </c>
      <c r="Z104" s="132">
        <f t="shared" si="31"/>
        <v>0</v>
      </c>
      <c r="AA104" s="151" t="str">
        <f t="shared" si="33"/>
        <v>N</v>
      </c>
      <c r="AC104" s="64"/>
      <c r="AE104" s="152"/>
      <c r="AH104" s="153"/>
      <c r="AI104" s="153"/>
      <c r="AJ104" s="153"/>
      <c r="AK104" s="154"/>
    </row>
    <row r="105" spans="1:37" x14ac:dyDescent="0.25">
      <c r="A105" s="142" t="s">
        <v>459</v>
      </c>
      <c r="B105" t="s">
        <v>571</v>
      </c>
      <c r="C105" t="s">
        <v>104</v>
      </c>
      <c r="D105" s="143">
        <f>IFERROR(VLOOKUP(B105,'Enrollment 26-27'!$B$5:$I$332,8,FALSE),0)</f>
        <v>1.83</v>
      </c>
      <c r="E105" s="64">
        <f t="shared" si="18"/>
        <v>212</v>
      </c>
      <c r="F105" s="144">
        <v>0</v>
      </c>
      <c r="G105" s="144">
        <v>0</v>
      </c>
      <c r="H105" s="64">
        <f t="shared" si="19"/>
        <v>212</v>
      </c>
      <c r="I105" s="64">
        <f t="shared" si="20"/>
        <v>0</v>
      </c>
      <c r="J105" s="145">
        <f t="shared" si="21"/>
        <v>212</v>
      </c>
      <c r="K105" s="146" t="str">
        <f t="shared" si="32"/>
        <v>N</v>
      </c>
      <c r="L105" s="147">
        <f t="shared" si="22"/>
        <v>212</v>
      </c>
      <c r="M105" s="148">
        <f t="shared" si="23"/>
        <v>0</v>
      </c>
      <c r="N105" s="64">
        <f t="shared" si="24"/>
        <v>0</v>
      </c>
      <c r="O105" s="64">
        <f t="shared" si="25"/>
        <v>0</v>
      </c>
      <c r="Q105" s="104">
        <f t="shared" si="26"/>
        <v>0</v>
      </c>
      <c r="R105" s="104" t="str">
        <f t="shared" si="27"/>
        <v>Not Applicable</v>
      </c>
      <c r="S105" s="149" t="s">
        <v>815</v>
      </c>
      <c r="T105" s="149">
        <f>IF(O105=0,0,IF(S105="N",0,VLOOKUP(B105,'Enrollment 25-26'!$B$8:$K$332,9,FALSE)))</f>
        <v>0</v>
      </c>
      <c r="U105" s="64">
        <f t="shared" si="28"/>
        <v>0</v>
      </c>
      <c r="V105" s="128">
        <f t="shared" si="29"/>
        <v>0</v>
      </c>
      <c r="W105" s="150"/>
      <c r="X105" s="64">
        <f>IFERROR(VLOOKUP($B105,'Allocations 2025-26'!$B$9:$U$329,14,FALSE),0)</f>
        <v>0</v>
      </c>
      <c r="Y105" s="99">
        <f t="shared" si="30"/>
        <v>0</v>
      </c>
      <c r="Z105" s="132">
        <f t="shared" si="31"/>
        <v>0</v>
      </c>
      <c r="AA105" s="151" t="str">
        <f t="shared" si="33"/>
        <v>N</v>
      </c>
      <c r="AC105" s="64"/>
      <c r="AE105" s="152"/>
      <c r="AH105" s="153"/>
      <c r="AI105" s="153"/>
      <c r="AJ105" s="153"/>
      <c r="AK105" s="154"/>
    </row>
    <row r="106" spans="1:37" x14ac:dyDescent="0.25">
      <c r="A106" s="142" t="s">
        <v>438</v>
      </c>
      <c r="B106" t="s">
        <v>572</v>
      </c>
      <c r="C106" t="s">
        <v>105</v>
      </c>
      <c r="D106" s="143">
        <f>IFERROR(VLOOKUP(B106,'Enrollment 26-27'!$B$5:$I$332,8,FALSE),0)</f>
        <v>2.83</v>
      </c>
      <c r="E106" s="64">
        <f t="shared" si="18"/>
        <v>327</v>
      </c>
      <c r="F106" s="144">
        <v>0</v>
      </c>
      <c r="G106" s="144">
        <v>0</v>
      </c>
      <c r="H106" s="64">
        <f t="shared" si="19"/>
        <v>327</v>
      </c>
      <c r="I106" s="64">
        <f t="shared" si="20"/>
        <v>0</v>
      </c>
      <c r="J106" s="145">
        <f t="shared" si="21"/>
        <v>327</v>
      </c>
      <c r="K106" s="146" t="str">
        <f t="shared" si="32"/>
        <v>N</v>
      </c>
      <c r="L106" s="147">
        <f t="shared" si="22"/>
        <v>327</v>
      </c>
      <c r="M106" s="148">
        <f t="shared" si="23"/>
        <v>0</v>
      </c>
      <c r="N106" s="64">
        <f t="shared" si="24"/>
        <v>0</v>
      </c>
      <c r="O106" s="64">
        <f t="shared" si="25"/>
        <v>0</v>
      </c>
      <c r="Q106" s="104">
        <f t="shared" si="26"/>
        <v>0</v>
      </c>
      <c r="R106" s="104" t="str">
        <f t="shared" si="27"/>
        <v>Not Applicable</v>
      </c>
      <c r="S106" s="149" t="s">
        <v>815</v>
      </c>
      <c r="T106" s="149">
        <f>IF(O106=0,0,IF(S106="N",0,VLOOKUP(B106,'Enrollment 25-26'!$B$8:$K$332,9,FALSE)))</f>
        <v>0</v>
      </c>
      <c r="U106" s="64">
        <f t="shared" si="28"/>
        <v>0</v>
      </c>
      <c r="V106" s="128">
        <f t="shared" si="29"/>
        <v>0</v>
      </c>
      <c r="W106" s="150"/>
      <c r="X106" s="64">
        <f>IFERROR(VLOOKUP($B106,'Allocations 2025-26'!$B$9:$U$329,14,FALSE),0)</f>
        <v>0</v>
      </c>
      <c r="Y106" s="99">
        <f t="shared" si="30"/>
        <v>0</v>
      </c>
      <c r="Z106" s="132">
        <f t="shared" si="31"/>
        <v>0</v>
      </c>
      <c r="AA106" s="151" t="str">
        <f t="shared" si="33"/>
        <v>N</v>
      </c>
      <c r="AC106" s="64"/>
      <c r="AE106" s="152"/>
      <c r="AH106" s="153"/>
      <c r="AI106" s="153"/>
      <c r="AJ106" s="153"/>
      <c r="AK106" s="154"/>
    </row>
    <row r="107" spans="1:37" x14ac:dyDescent="0.25">
      <c r="A107" s="142" t="s">
        <v>443</v>
      </c>
      <c r="B107" t="s">
        <v>573</v>
      </c>
      <c r="C107" t="s">
        <v>106</v>
      </c>
      <c r="D107" s="143">
        <f>IFERROR(VLOOKUP(B107,'Enrollment 26-27'!$B$5:$I$332,8,FALSE),0)</f>
        <v>0</v>
      </c>
      <c r="E107" s="64">
        <f t="shared" si="18"/>
        <v>0</v>
      </c>
      <c r="F107" s="144">
        <v>0</v>
      </c>
      <c r="G107" s="144">
        <v>0</v>
      </c>
      <c r="H107" s="64">
        <f t="shared" si="19"/>
        <v>0</v>
      </c>
      <c r="I107" s="64">
        <f t="shared" si="20"/>
        <v>0</v>
      </c>
      <c r="J107" s="145">
        <f t="shared" si="21"/>
        <v>0</v>
      </c>
      <c r="K107" s="146" t="str">
        <f t="shared" si="32"/>
        <v>N</v>
      </c>
      <c r="L107" s="147">
        <f t="shared" si="22"/>
        <v>0</v>
      </c>
      <c r="M107" s="148">
        <f t="shared" si="23"/>
        <v>0</v>
      </c>
      <c r="N107" s="64">
        <f t="shared" si="24"/>
        <v>0</v>
      </c>
      <c r="O107" s="64">
        <f t="shared" si="25"/>
        <v>0</v>
      </c>
      <c r="Q107" s="104">
        <f t="shared" si="26"/>
        <v>0</v>
      </c>
      <c r="R107" s="104" t="str">
        <f t="shared" si="27"/>
        <v>Not Applicable</v>
      </c>
      <c r="S107" s="149" t="s">
        <v>815</v>
      </c>
      <c r="T107" s="149">
        <f>IF(O107=0,0,IF(S107="N",0,VLOOKUP(B107,'Enrollment 25-26'!$B$8:$K$332,9,FALSE)))</f>
        <v>0</v>
      </c>
      <c r="U107" s="64">
        <f t="shared" si="28"/>
        <v>0</v>
      </c>
      <c r="V107" s="128">
        <f t="shared" si="29"/>
        <v>0</v>
      </c>
      <c r="W107" s="150"/>
      <c r="X107" s="64">
        <f>IFERROR(VLOOKUP($B107,'Allocations 2025-26'!$B$9:$U$329,14,FALSE),0)</f>
        <v>0</v>
      </c>
      <c r="Y107" s="99">
        <f t="shared" si="30"/>
        <v>0</v>
      </c>
      <c r="Z107" s="132">
        <f t="shared" si="31"/>
        <v>0</v>
      </c>
      <c r="AA107" s="151" t="str">
        <f t="shared" si="33"/>
        <v>N</v>
      </c>
      <c r="AC107" s="64"/>
      <c r="AE107" s="152"/>
      <c r="AH107" s="153"/>
      <c r="AI107" s="153"/>
      <c r="AJ107" s="153"/>
      <c r="AK107" s="154"/>
    </row>
    <row r="108" spans="1:37" x14ac:dyDescent="0.25">
      <c r="A108" s="142" t="s">
        <v>471</v>
      </c>
      <c r="B108" t="s">
        <v>574</v>
      </c>
      <c r="C108" t="s">
        <v>107</v>
      </c>
      <c r="D108" s="143">
        <f>IFERROR(VLOOKUP(B108,'Enrollment 26-27'!$B$5:$I$332,8,FALSE),0)</f>
        <v>299.50666666666666</v>
      </c>
      <c r="E108" s="64">
        <f t="shared" si="18"/>
        <v>34658</v>
      </c>
      <c r="F108" s="144">
        <v>0</v>
      </c>
      <c r="G108" s="144">
        <v>0</v>
      </c>
      <c r="H108" s="64">
        <f t="shared" si="19"/>
        <v>34658</v>
      </c>
      <c r="I108" s="64">
        <f t="shared" si="20"/>
        <v>0</v>
      </c>
      <c r="J108" s="145">
        <f t="shared" si="21"/>
        <v>34658</v>
      </c>
      <c r="K108" s="146" t="str">
        <f t="shared" si="32"/>
        <v>Y</v>
      </c>
      <c r="L108" s="147">
        <f t="shared" si="22"/>
        <v>0</v>
      </c>
      <c r="M108" s="148">
        <f t="shared" si="23"/>
        <v>299.50666666666666</v>
      </c>
      <c r="N108" s="64">
        <f t="shared" si="24"/>
        <v>296</v>
      </c>
      <c r="O108" s="64">
        <f t="shared" si="25"/>
        <v>34954</v>
      </c>
      <c r="Q108" s="104">
        <f t="shared" si="26"/>
        <v>0</v>
      </c>
      <c r="R108" s="104" t="str">
        <f t="shared" si="27"/>
        <v>Not Applicable</v>
      </c>
      <c r="S108" s="149" t="s">
        <v>815</v>
      </c>
      <c r="T108" s="149">
        <f>IF(O108=0,0,IF(S108="N",0,VLOOKUP(B108,'Enrollment 25-26'!$B$8:$K$332,9,FALSE)))</f>
        <v>0</v>
      </c>
      <c r="U108" s="64">
        <f t="shared" si="28"/>
        <v>34954</v>
      </c>
      <c r="V108" s="128">
        <f t="shared" si="29"/>
        <v>116.70524863108223</v>
      </c>
      <c r="W108" s="150"/>
      <c r="X108" s="64">
        <f>IFERROR(VLOOKUP($B108,'Allocations 2025-26'!$B$9:$U$329,14,FALSE),0)</f>
        <v>36545</v>
      </c>
      <c r="Y108" s="99">
        <f t="shared" si="30"/>
        <v>-1591</v>
      </c>
      <c r="Z108" s="132">
        <f t="shared" si="31"/>
        <v>-4.3535367355315366E-2</v>
      </c>
      <c r="AA108" s="151" t="str">
        <f t="shared" si="33"/>
        <v>Y</v>
      </c>
      <c r="AC108" s="64"/>
      <c r="AE108" s="152"/>
      <c r="AH108" s="153"/>
      <c r="AI108" s="153"/>
      <c r="AJ108" s="153"/>
      <c r="AK108" s="154"/>
    </row>
    <row r="109" spans="1:37" x14ac:dyDescent="0.25">
      <c r="A109" s="142" t="s">
        <v>454</v>
      </c>
      <c r="B109" t="s">
        <v>575</v>
      </c>
      <c r="C109" t="s">
        <v>108</v>
      </c>
      <c r="D109" s="143">
        <f>IFERROR(VLOOKUP(B109,'Enrollment 26-27'!$B$5:$I$332,8,FALSE),0)</f>
        <v>7238.66</v>
      </c>
      <c r="E109" s="64">
        <f t="shared" si="18"/>
        <v>837642</v>
      </c>
      <c r="F109" s="144">
        <v>0</v>
      </c>
      <c r="G109" s="144">
        <v>0</v>
      </c>
      <c r="H109" s="64">
        <f t="shared" si="19"/>
        <v>837642</v>
      </c>
      <c r="I109" s="64">
        <f t="shared" si="20"/>
        <v>0</v>
      </c>
      <c r="J109" s="145">
        <f t="shared" si="21"/>
        <v>837642</v>
      </c>
      <c r="K109" s="146" t="str">
        <f t="shared" si="32"/>
        <v>Y</v>
      </c>
      <c r="L109" s="147">
        <f t="shared" si="22"/>
        <v>0</v>
      </c>
      <c r="M109" s="148">
        <f t="shared" si="23"/>
        <v>7238.66</v>
      </c>
      <c r="N109" s="64">
        <f t="shared" si="24"/>
        <v>7147</v>
      </c>
      <c r="O109" s="64">
        <f t="shared" si="25"/>
        <v>844789</v>
      </c>
      <c r="Q109" s="104">
        <f t="shared" si="26"/>
        <v>0</v>
      </c>
      <c r="R109" s="104" t="str">
        <f t="shared" si="27"/>
        <v>Not Applicable</v>
      </c>
      <c r="S109" s="149" t="s">
        <v>815</v>
      </c>
      <c r="T109" s="149">
        <f>IF(O109=0,0,IF(S109="N",0,VLOOKUP(B109,'Enrollment 25-26'!$B$8:$K$332,9,FALSE)))</f>
        <v>0</v>
      </c>
      <c r="U109" s="64">
        <f t="shared" si="28"/>
        <v>844789</v>
      </c>
      <c r="V109" s="128">
        <f t="shared" si="29"/>
        <v>116.70516366288788</v>
      </c>
      <c r="W109" s="150"/>
      <c r="X109" s="64">
        <f>IFERROR(VLOOKUP($B109,'Allocations 2025-26'!$B$9:$U$329,14,FALSE),0)</f>
        <v>839197</v>
      </c>
      <c r="Y109" s="99">
        <f t="shared" si="30"/>
        <v>5592</v>
      </c>
      <c r="Z109" s="132">
        <f t="shared" si="31"/>
        <v>6.6635128581250883E-3</v>
      </c>
      <c r="AA109" s="151" t="str">
        <f t="shared" si="33"/>
        <v>Y</v>
      </c>
      <c r="AC109" s="64"/>
      <c r="AE109" s="152"/>
      <c r="AH109" s="153"/>
      <c r="AI109" s="153"/>
      <c r="AJ109" s="153"/>
      <c r="AK109" s="154"/>
    </row>
    <row r="110" spans="1:37" x14ac:dyDescent="0.25">
      <c r="A110" s="142" t="s">
        <v>459</v>
      </c>
      <c r="B110" t="s">
        <v>445</v>
      </c>
      <c r="C110" t="s">
        <v>109</v>
      </c>
      <c r="D110" s="143">
        <f>IFERROR(VLOOKUP(B110,'Enrollment 26-27'!$B$5:$I$332,8,FALSE),0)</f>
        <v>107.33</v>
      </c>
      <c r="E110" s="64">
        <f t="shared" si="18"/>
        <v>12420</v>
      </c>
      <c r="F110" s="144">
        <v>0</v>
      </c>
      <c r="G110" s="144">
        <v>0</v>
      </c>
      <c r="H110" s="64">
        <f t="shared" si="19"/>
        <v>12420</v>
      </c>
      <c r="I110" s="64">
        <f t="shared" si="20"/>
        <v>0</v>
      </c>
      <c r="J110" s="145">
        <f t="shared" si="21"/>
        <v>12420</v>
      </c>
      <c r="K110" s="146" t="str">
        <f t="shared" si="32"/>
        <v>Y</v>
      </c>
      <c r="L110" s="147">
        <f t="shared" si="22"/>
        <v>0</v>
      </c>
      <c r="M110" s="148">
        <f t="shared" si="23"/>
        <v>107.33</v>
      </c>
      <c r="N110" s="64">
        <f t="shared" si="24"/>
        <v>106</v>
      </c>
      <c r="O110" s="64">
        <f t="shared" si="25"/>
        <v>12526</v>
      </c>
      <c r="Q110" s="104">
        <f t="shared" si="26"/>
        <v>0</v>
      </c>
      <c r="R110" s="104" t="str">
        <f t="shared" si="27"/>
        <v>Not Applicable</v>
      </c>
      <c r="S110" s="149" t="s">
        <v>815</v>
      </c>
      <c r="T110" s="149">
        <f>IF(O110=0,0,IF(S110="N",0,VLOOKUP(B110,'Enrollment 25-26'!$B$8:$K$332,9,FALSE)))</f>
        <v>0</v>
      </c>
      <c r="U110" s="64">
        <f t="shared" si="28"/>
        <v>12526</v>
      </c>
      <c r="V110" s="128">
        <f t="shared" si="29"/>
        <v>116.70548774806672</v>
      </c>
      <c r="W110" s="150"/>
      <c r="X110" s="64">
        <f>IFERROR(VLOOKUP($B110,'Allocations 2025-26'!$B$9:$U$329,14,FALSE),0)</f>
        <v>11323</v>
      </c>
      <c r="Y110" s="99">
        <f t="shared" si="30"/>
        <v>1203</v>
      </c>
      <c r="Z110" s="132">
        <f t="shared" si="31"/>
        <v>0.1062439282875563</v>
      </c>
      <c r="AA110" s="151" t="str">
        <f t="shared" si="33"/>
        <v>Y</v>
      </c>
      <c r="AC110" s="64"/>
      <c r="AE110" s="152"/>
      <c r="AH110" s="153"/>
      <c r="AI110" s="153"/>
      <c r="AJ110" s="153"/>
      <c r="AK110" s="154"/>
    </row>
    <row r="111" spans="1:37" x14ac:dyDescent="0.25">
      <c r="A111" s="142" t="s">
        <v>438</v>
      </c>
      <c r="B111" t="s">
        <v>576</v>
      </c>
      <c r="C111" t="s">
        <v>110</v>
      </c>
      <c r="D111" s="143">
        <f>IFERROR(VLOOKUP(B111,'Enrollment 26-27'!$B$5:$I$332,8,FALSE),0)</f>
        <v>18.84</v>
      </c>
      <c r="E111" s="64">
        <f t="shared" si="18"/>
        <v>2180</v>
      </c>
      <c r="F111" s="144">
        <v>0</v>
      </c>
      <c r="G111" s="144">
        <v>0</v>
      </c>
      <c r="H111" s="64">
        <f t="shared" si="19"/>
        <v>2180</v>
      </c>
      <c r="I111" s="64">
        <f t="shared" si="20"/>
        <v>0</v>
      </c>
      <c r="J111" s="145">
        <f t="shared" si="21"/>
        <v>2180</v>
      </c>
      <c r="K111" s="146" t="str">
        <f t="shared" si="32"/>
        <v>N</v>
      </c>
      <c r="L111" s="147">
        <f t="shared" si="22"/>
        <v>2180</v>
      </c>
      <c r="M111" s="148">
        <f t="shared" si="23"/>
        <v>0</v>
      </c>
      <c r="N111" s="64">
        <f t="shared" si="24"/>
        <v>0</v>
      </c>
      <c r="O111" s="64">
        <f t="shared" si="25"/>
        <v>0</v>
      </c>
      <c r="Q111" s="104">
        <f t="shared" si="26"/>
        <v>0</v>
      </c>
      <c r="R111" s="104" t="str">
        <f t="shared" si="27"/>
        <v>Not Applicable</v>
      </c>
      <c r="S111" s="149" t="s">
        <v>815</v>
      </c>
      <c r="T111" s="149">
        <f>IF(O111=0,0,IF(S111="N",0,VLOOKUP(B111,'Enrollment 25-26'!$B$8:$K$332,9,FALSE)))</f>
        <v>0</v>
      </c>
      <c r="U111" s="64">
        <f t="shared" si="28"/>
        <v>0</v>
      </c>
      <c r="V111" s="128">
        <f t="shared" si="29"/>
        <v>0</v>
      </c>
      <c r="W111" s="150"/>
      <c r="X111" s="64">
        <f>IFERROR(VLOOKUP($B111,'Allocations 2025-26'!$B$9:$U$329,14,FALSE),0)</f>
        <v>0</v>
      </c>
      <c r="Y111" s="99">
        <f t="shared" si="30"/>
        <v>0</v>
      </c>
      <c r="Z111" s="132">
        <f t="shared" si="31"/>
        <v>0</v>
      </c>
      <c r="AA111" s="151" t="str">
        <f t="shared" si="33"/>
        <v>N</v>
      </c>
      <c r="AC111" s="64"/>
      <c r="AE111" s="152"/>
      <c r="AH111" s="153"/>
      <c r="AI111" s="153"/>
      <c r="AJ111" s="153"/>
      <c r="AK111" s="154"/>
    </row>
    <row r="112" spans="1:37" x14ac:dyDescent="0.25">
      <c r="A112" s="142" t="s">
        <v>438</v>
      </c>
      <c r="B112" t="s">
        <v>577</v>
      </c>
      <c r="C112" t="s">
        <v>111</v>
      </c>
      <c r="D112" s="143">
        <f>IFERROR(VLOOKUP(B112,'Enrollment 26-27'!$B$5:$I$332,8,FALSE),0)</f>
        <v>123</v>
      </c>
      <c r="E112" s="64">
        <f t="shared" si="18"/>
        <v>14233</v>
      </c>
      <c r="F112" s="144">
        <v>0</v>
      </c>
      <c r="G112" s="144">
        <v>0</v>
      </c>
      <c r="H112" s="64">
        <f t="shared" si="19"/>
        <v>14233</v>
      </c>
      <c r="I112" s="64">
        <f t="shared" si="20"/>
        <v>0</v>
      </c>
      <c r="J112" s="145">
        <f t="shared" si="21"/>
        <v>14233</v>
      </c>
      <c r="K112" s="146" t="str">
        <f t="shared" si="32"/>
        <v>Y</v>
      </c>
      <c r="L112" s="147">
        <f t="shared" si="22"/>
        <v>0</v>
      </c>
      <c r="M112" s="148">
        <f t="shared" si="23"/>
        <v>123</v>
      </c>
      <c r="N112" s="64">
        <f t="shared" si="24"/>
        <v>121</v>
      </c>
      <c r="O112" s="64">
        <f t="shared" si="25"/>
        <v>14354</v>
      </c>
      <c r="Q112" s="104">
        <f t="shared" si="26"/>
        <v>0</v>
      </c>
      <c r="R112" s="104" t="str">
        <f t="shared" si="27"/>
        <v>Not Applicable</v>
      </c>
      <c r="S112" s="149" t="s">
        <v>815</v>
      </c>
      <c r="T112" s="149">
        <f>IF(O112=0,0,IF(S112="N",0,VLOOKUP(B112,'Enrollment 25-26'!$B$8:$K$332,9,FALSE)))</f>
        <v>0</v>
      </c>
      <c r="U112" s="64">
        <f t="shared" si="28"/>
        <v>14354</v>
      </c>
      <c r="V112" s="128">
        <f t="shared" si="29"/>
        <v>116.69918699186992</v>
      </c>
      <c r="W112" s="150"/>
      <c r="X112" s="64">
        <f>IFERROR(VLOOKUP($B112,'Allocations 2025-26'!$B$9:$U$329,14,FALSE),0)</f>
        <v>15812</v>
      </c>
      <c r="Y112" s="99">
        <f t="shared" si="30"/>
        <v>-1458</v>
      </c>
      <c r="Z112" s="132">
        <f t="shared" si="31"/>
        <v>-9.220844927902859E-2</v>
      </c>
      <c r="AA112" s="151" t="str">
        <f t="shared" si="33"/>
        <v>Y</v>
      </c>
      <c r="AC112" s="64"/>
      <c r="AE112" s="152"/>
      <c r="AH112" s="153"/>
      <c r="AI112" s="153"/>
      <c r="AJ112" s="153"/>
      <c r="AK112" s="154"/>
    </row>
    <row r="113" spans="1:37" x14ac:dyDescent="0.25">
      <c r="A113" s="142" t="s">
        <v>497</v>
      </c>
      <c r="B113" s="1" t="s">
        <v>483</v>
      </c>
      <c r="C113" t="s">
        <v>484</v>
      </c>
      <c r="D113" s="143">
        <f>IFERROR(VLOOKUP(B113,'Enrollment 26-27'!$B$5:$I$332,8,FALSE),0)</f>
        <v>29</v>
      </c>
      <c r="E113" s="64">
        <f t="shared" si="18"/>
        <v>3356</v>
      </c>
      <c r="F113" s="144">
        <v>0</v>
      </c>
      <c r="G113" s="144">
        <v>0</v>
      </c>
      <c r="H113" s="64">
        <f t="shared" si="19"/>
        <v>3356</v>
      </c>
      <c r="I113" s="64">
        <f t="shared" si="20"/>
        <v>0</v>
      </c>
      <c r="J113" s="145">
        <f t="shared" si="21"/>
        <v>3356</v>
      </c>
      <c r="K113" s="146" t="str">
        <f t="shared" si="32"/>
        <v>C</v>
      </c>
      <c r="L113" s="147">
        <f t="shared" si="22"/>
        <v>0</v>
      </c>
      <c r="M113" s="148">
        <f t="shared" si="23"/>
        <v>29</v>
      </c>
      <c r="N113" s="64">
        <f t="shared" si="24"/>
        <v>29</v>
      </c>
      <c r="O113" s="64">
        <f t="shared" si="25"/>
        <v>3385</v>
      </c>
      <c r="Q113" s="104">
        <f t="shared" si="26"/>
        <v>0</v>
      </c>
      <c r="R113" s="104" t="str">
        <f t="shared" si="27"/>
        <v>Not Applicable</v>
      </c>
      <c r="S113" s="149" t="s">
        <v>815</v>
      </c>
      <c r="T113" s="149">
        <f>IF(O113=0,0,IF(S113="N",0,VLOOKUP(B113,'Enrollment 25-26'!$B$8:$K$332,9,FALSE)))</f>
        <v>0</v>
      </c>
      <c r="U113" s="64">
        <f t="shared" si="28"/>
        <v>3385</v>
      </c>
      <c r="V113" s="128">
        <f t="shared" si="29"/>
        <v>116.72413793103448</v>
      </c>
      <c r="W113" s="150"/>
      <c r="X113" s="64">
        <f>IFERROR(VLOOKUP($B113,'Allocations 2025-26'!$B$9:$U$329,14,FALSE),0)</f>
        <v>2840</v>
      </c>
      <c r="Y113" s="99">
        <f t="shared" si="30"/>
        <v>545</v>
      </c>
      <c r="Z113" s="132">
        <f t="shared" si="31"/>
        <v>0.19190140845070422</v>
      </c>
      <c r="AA113" s="151" t="str">
        <f t="shared" si="33"/>
        <v>C</v>
      </c>
      <c r="AC113" s="64"/>
      <c r="AE113" s="152"/>
      <c r="AH113" s="153"/>
      <c r="AI113" s="153"/>
      <c r="AJ113" s="153"/>
      <c r="AK113" s="154"/>
    </row>
    <row r="114" spans="1:37" x14ac:dyDescent="0.25">
      <c r="A114" s="142" t="s">
        <v>497</v>
      </c>
      <c r="B114" t="s">
        <v>578</v>
      </c>
      <c r="C114" t="s">
        <v>579</v>
      </c>
      <c r="D114" s="143">
        <f>IFERROR(VLOOKUP(B114,'Enrollment 26-27'!$B$5:$I$332,8,FALSE),0)</f>
        <v>220.70425047438329</v>
      </c>
      <c r="E114" s="64">
        <f t="shared" si="18"/>
        <v>25539</v>
      </c>
      <c r="F114" s="144">
        <v>0</v>
      </c>
      <c r="G114" s="144">
        <v>0</v>
      </c>
      <c r="H114" s="64">
        <f t="shared" si="19"/>
        <v>25539</v>
      </c>
      <c r="I114" s="64">
        <f t="shared" si="20"/>
        <v>0</v>
      </c>
      <c r="J114" s="145">
        <f t="shared" si="21"/>
        <v>25539</v>
      </c>
      <c r="K114" s="146" t="str">
        <f t="shared" si="32"/>
        <v>C</v>
      </c>
      <c r="L114" s="147">
        <f t="shared" si="22"/>
        <v>0</v>
      </c>
      <c r="M114" s="148">
        <f t="shared" si="23"/>
        <v>220.70425047438329</v>
      </c>
      <c r="N114" s="64">
        <f t="shared" si="24"/>
        <v>218</v>
      </c>
      <c r="O114" s="64">
        <f t="shared" si="25"/>
        <v>25757</v>
      </c>
      <c r="Q114" s="104">
        <f t="shared" si="26"/>
        <v>0</v>
      </c>
      <c r="R114" s="104" t="str">
        <f t="shared" si="27"/>
        <v>Not Applicable</v>
      </c>
      <c r="S114" s="149" t="s">
        <v>815</v>
      </c>
      <c r="T114" s="149">
        <f>IF(O114=0,0,IF(S114="N",0,VLOOKUP(B114,'Enrollment 25-26'!$B$8:$K$332,9,FALSE)))</f>
        <v>0</v>
      </c>
      <c r="U114" s="64">
        <f t="shared" si="28"/>
        <v>25757</v>
      </c>
      <c r="V114" s="128">
        <f t="shared" si="29"/>
        <v>116.7036880560194</v>
      </c>
      <c r="W114" s="150"/>
      <c r="X114" s="64">
        <f>IFERROR(VLOOKUP($B114,'Allocations 2025-26'!$B$9:$U$329,14,FALSE),0)</f>
        <v>18936</v>
      </c>
      <c r="Y114" s="99">
        <f t="shared" si="30"/>
        <v>6821</v>
      </c>
      <c r="Z114" s="132">
        <f t="shared" si="31"/>
        <v>0.36021335023236162</v>
      </c>
      <c r="AA114" s="151" t="str">
        <f t="shared" si="33"/>
        <v>C</v>
      </c>
      <c r="AC114" s="64"/>
      <c r="AE114" s="152"/>
      <c r="AH114" s="153"/>
      <c r="AI114" s="153"/>
      <c r="AJ114" s="153"/>
      <c r="AK114" s="154"/>
    </row>
    <row r="115" spans="1:37" x14ac:dyDescent="0.25">
      <c r="A115" s="142" t="s">
        <v>497</v>
      </c>
      <c r="B115" t="s">
        <v>464</v>
      </c>
      <c r="C115" t="s">
        <v>113</v>
      </c>
      <c r="D115" s="143">
        <f>IFERROR(VLOOKUP(B115,'Enrollment 26-27'!$B$5:$I$332,8,FALSE),0)</f>
        <v>105.17</v>
      </c>
      <c r="E115" s="64">
        <f t="shared" si="18"/>
        <v>12170</v>
      </c>
      <c r="F115" s="144">
        <v>0</v>
      </c>
      <c r="G115" s="144">
        <v>0</v>
      </c>
      <c r="H115" s="64">
        <f t="shared" si="19"/>
        <v>12170</v>
      </c>
      <c r="I115" s="64">
        <f t="shared" si="20"/>
        <v>0</v>
      </c>
      <c r="J115" s="145">
        <f t="shared" si="21"/>
        <v>12170</v>
      </c>
      <c r="K115" s="146" t="str">
        <f t="shared" si="32"/>
        <v>C</v>
      </c>
      <c r="L115" s="147">
        <f t="shared" si="22"/>
        <v>0</v>
      </c>
      <c r="M115" s="148">
        <f t="shared" si="23"/>
        <v>105.17</v>
      </c>
      <c r="N115" s="64">
        <f t="shared" si="24"/>
        <v>104</v>
      </c>
      <c r="O115" s="64">
        <f t="shared" si="25"/>
        <v>12274</v>
      </c>
      <c r="Q115" s="104">
        <f t="shared" si="26"/>
        <v>0</v>
      </c>
      <c r="R115" s="104" t="str">
        <f t="shared" si="27"/>
        <v>Not Applicable</v>
      </c>
      <c r="S115" s="149" t="s">
        <v>815</v>
      </c>
      <c r="T115" s="149">
        <f>IF(O115=0,0,IF(S115="N",0,VLOOKUP(B115,'Enrollment 25-26'!$B$8:$K$332,9,FALSE)))</f>
        <v>0</v>
      </c>
      <c r="U115" s="64">
        <f t="shared" si="28"/>
        <v>12274</v>
      </c>
      <c r="V115" s="128">
        <f t="shared" si="29"/>
        <v>116.70628506228012</v>
      </c>
      <c r="W115" s="150"/>
      <c r="X115" s="64">
        <f>IFERROR(VLOOKUP($B115,'Allocations 2025-26'!$B$9:$U$329,14,FALSE),0)</f>
        <v>11928</v>
      </c>
      <c r="Y115" s="99">
        <f t="shared" si="30"/>
        <v>346</v>
      </c>
      <c r="Z115" s="132">
        <f t="shared" si="31"/>
        <v>2.9007377598926895E-2</v>
      </c>
      <c r="AA115" s="151" t="str">
        <f t="shared" si="33"/>
        <v>C</v>
      </c>
      <c r="AC115" s="64"/>
      <c r="AE115" s="152"/>
      <c r="AH115" s="153"/>
      <c r="AI115" s="153"/>
      <c r="AJ115" s="153"/>
      <c r="AK115" s="154"/>
    </row>
    <row r="116" spans="1:37" x14ac:dyDescent="0.25">
      <c r="A116" s="142" t="s">
        <v>443</v>
      </c>
      <c r="B116" t="s">
        <v>580</v>
      </c>
      <c r="C116" t="s">
        <v>114</v>
      </c>
      <c r="D116" s="143">
        <f>IFERROR(VLOOKUP(B116,'Enrollment 26-27'!$B$5:$I$332,8,FALSE),0)</f>
        <v>34</v>
      </c>
      <c r="E116" s="64">
        <f t="shared" si="18"/>
        <v>3934</v>
      </c>
      <c r="F116" s="144">
        <v>0</v>
      </c>
      <c r="G116" s="144">
        <v>0</v>
      </c>
      <c r="H116" s="64">
        <f t="shared" si="19"/>
        <v>3934</v>
      </c>
      <c r="I116" s="64">
        <f t="shared" si="20"/>
        <v>0</v>
      </c>
      <c r="J116" s="145">
        <f t="shared" si="21"/>
        <v>3934</v>
      </c>
      <c r="K116" s="146" t="str">
        <f t="shared" si="32"/>
        <v>N</v>
      </c>
      <c r="L116" s="147">
        <f t="shared" si="22"/>
        <v>3934</v>
      </c>
      <c r="M116" s="148">
        <f t="shared" si="23"/>
        <v>0</v>
      </c>
      <c r="N116" s="64">
        <f t="shared" si="24"/>
        <v>0</v>
      </c>
      <c r="O116" s="64">
        <f t="shared" si="25"/>
        <v>0</v>
      </c>
      <c r="Q116" s="104">
        <f t="shared" si="26"/>
        <v>0</v>
      </c>
      <c r="R116" s="104" t="str">
        <f t="shared" si="27"/>
        <v>Not Applicable</v>
      </c>
      <c r="S116" s="149" t="s">
        <v>815</v>
      </c>
      <c r="T116" s="149">
        <f>IF(O116=0,0,IF(S116="N",0,VLOOKUP(B116,'Enrollment 25-26'!$B$8:$K$332,9,FALSE)))</f>
        <v>0</v>
      </c>
      <c r="U116" s="64">
        <f t="shared" si="28"/>
        <v>0</v>
      </c>
      <c r="V116" s="128">
        <f t="shared" si="29"/>
        <v>0</v>
      </c>
      <c r="W116" s="150"/>
      <c r="X116" s="64">
        <f>IFERROR(VLOOKUP($B116,'Allocations 2025-26'!$B$9:$U$329,14,FALSE),0)</f>
        <v>0</v>
      </c>
      <c r="Y116" s="99">
        <f t="shared" si="30"/>
        <v>0</v>
      </c>
      <c r="Z116" s="132">
        <f t="shared" si="31"/>
        <v>0</v>
      </c>
      <c r="AA116" s="151" t="str">
        <f t="shared" si="33"/>
        <v>N</v>
      </c>
      <c r="AC116" s="64"/>
      <c r="AE116" s="152"/>
      <c r="AH116" s="153"/>
      <c r="AI116" s="153"/>
      <c r="AJ116" s="153"/>
      <c r="AK116" s="154"/>
    </row>
    <row r="117" spans="1:37" x14ac:dyDescent="0.25">
      <c r="A117" s="142" t="s">
        <v>446</v>
      </c>
      <c r="B117" t="s">
        <v>581</v>
      </c>
      <c r="C117" t="s">
        <v>115</v>
      </c>
      <c r="D117" s="143">
        <f>IFERROR(VLOOKUP(B117,'Enrollment 26-27'!$B$5:$I$332,8,FALSE),0)</f>
        <v>0</v>
      </c>
      <c r="E117" s="64">
        <f t="shared" si="18"/>
        <v>0</v>
      </c>
      <c r="F117" s="144">
        <v>0</v>
      </c>
      <c r="G117" s="144">
        <v>0</v>
      </c>
      <c r="H117" s="64">
        <f t="shared" si="19"/>
        <v>0</v>
      </c>
      <c r="I117" s="64">
        <f t="shared" si="20"/>
        <v>0</v>
      </c>
      <c r="J117" s="145">
        <f t="shared" si="21"/>
        <v>0</v>
      </c>
      <c r="K117" s="146" t="str">
        <f t="shared" si="32"/>
        <v>N</v>
      </c>
      <c r="L117" s="147">
        <f t="shared" si="22"/>
        <v>0</v>
      </c>
      <c r="M117" s="148">
        <f t="shared" si="23"/>
        <v>0</v>
      </c>
      <c r="N117" s="64">
        <f t="shared" si="24"/>
        <v>0</v>
      </c>
      <c r="O117" s="64">
        <f t="shared" si="25"/>
        <v>0</v>
      </c>
      <c r="Q117" s="104">
        <f t="shared" si="26"/>
        <v>0</v>
      </c>
      <c r="R117" s="104" t="str">
        <f t="shared" si="27"/>
        <v>Not Applicable</v>
      </c>
      <c r="S117" s="149" t="s">
        <v>815</v>
      </c>
      <c r="T117" s="149">
        <f>IF(O117=0,0,IF(S117="N",0,VLOOKUP(B117,'Enrollment 25-26'!$B$8:$K$332,9,FALSE)))</f>
        <v>0</v>
      </c>
      <c r="U117" s="64">
        <f t="shared" si="28"/>
        <v>0</v>
      </c>
      <c r="V117" s="128">
        <f t="shared" si="29"/>
        <v>0</v>
      </c>
      <c r="W117" s="150"/>
      <c r="X117" s="64">
        <f>IFERROR(VLOOKUP($B117,'Allocations 2025-26'!$B$9:$U$329,14,FALSE),0)</f>
        <v>0</v>
      </c>
      <c r="Y117" s="99">
        <f t="shared" si="30"/>
        <v>0</v>
      </c>
      <c r="Z117" s="132">
        <f t="shared" si="31"/>
        <v>0</v>
      </c>
      <c r="AA117" s="151" t="str">
        <f t="shared" si="33"/>
        <v>N</v>
      </c>
      <c r="AC117" s="64"/>
      <c r="AE117" s="152"/>
      <c r="AH117" s="153"/>
      <c r="AI117" s="153"/>
      <c r="AJ117" s="153"/>
      <c r="AK117" s="154"/>
    </row>
    <row r="118" spans="1:37" x14ac:dyDescent="0.25">
      <c r="A118" s="142" t="s">
        <v>497</v>
      </c>
      <c r="B118" s="160" t="s">
        <v>769</v>
      </c>
      <c r="C118" s="13" t="s">
        <v>770</v>
      </c>
      <c r="D118" s="143">
        <f>IFERROR(VLOOKUP(B118,'Enrollment 26-27'!$B$5:$I$332,8,FALSE),0)</f>
        <v>0</v>
      </c>
      <c r="E118" s="64">
        <f t="shared" si="18"/>
        <v>0</v>
      </c>
      <c r="F118" s="144">
        <v>0</v>
      </c>
      <c r="G118" s="144">
        <v>0</v>
      </c>
      <c r="H118" s="64">
        <f t="shared" si="19"/>
        <v>0</v>
      </c>
      <c r="I118" s="64">
        <f t="shared" si="20"/>
        <v>0</v>
      </c>
      <c r="J118" s="145">
        <f t="shared" si="21"/>
        <v>0</v>
      </c>
      <c r="K118" s="146" t="str">
        <f t="shared" si="32"/>
        <v>N</v>
      </c>
      <c r="L118" s="147">
        <f t="shared" si="22"/>
        <v>0</v>
      </c>
      <c r="M118" s="148">
        <f t="shared" si="23"/>
        <v>0</v>
      </c>
      <c r="N118" s="64">
        <f t="shared" si="24"/>
        <v>0</v>
      </c>
      <c r="O118" s="64">
        <f t="shared" si="25"/>
        <v>0</v>
      </c>
      <c r="Q118" s="104">
        <f t="shared" si="26"/>
        <v>0</v>
      </c>
      <c r="R118" s="104" t="str">
        <f t="shared" si="27"/>
        <v>Not Applicable</v>
      </c>
      <c r="S118" s="149" t="s">
        <v>815</v>
      </c>
      <c r="T118" s="149">
        <f>IF(O118=0,0,IF(S118="N",0,VLOOKUP(B118,'Enrollment 25-26'!$B$8:$K$332,9,FALSE)))</f>
        <v>0</v>
      </c>
      <c r="U118" s="64">
        <f t="shared" si="28"/>
        <v>0</v>
      </c>
      <c r="V118" s="128">
        <f t="shared" si="29"/>
        <v>0</v>
      </c>
      <c r="W118" s="150"/>
      <c r="X118" s="64">
        <f>IFERROR(VLOOKUP($B118,'Allocations 2025-26'!$B$9:$U$329,14,FALSE),0)</f>
        <v>0</v>
      </c>
      <c r="Y118" s="99">
        <f t="shared" si="30"/>
        <v>0</v>
      </c>
      <c r="Z118" s="132">
        <f t="shared" si="31"/>
        <v>0</v>
      </c>
      <c r="AA118" s="151" t="str">
        <f t="shared" si="33"/>
        <v>N</v>
      </c>
      <c r="AC118" s="64"/>
      <c r="AE118" s="152"/>
      <c r="AH118" s="153"/>
      <c r="AI118" s="153"/>
      <c r="AJ118" s="153"/>
      <c r="AK118" s="154"/>
    </row>
    <row r="119" spans="1:37" x14ac:dyDescent="0.25">
      <c r="A119" s="142" t="s">
        <v>454</v>
      </c>
      <c r="B119" t="s">
        <v>582</v>
      </c>
      <c r="C119" t="s">
        <v>116</v>
      </c>
      <c r="D119" s="143">
        <f>IFERROR(VLOOKUP(B119,'Enrollment 26-27'!$B$5:$I$332,8,FALSE),0)</f>
        <v>1300.8366666666668</v>
      </c>
      <c r="E119" s="64">
        <f t="shared" si="18"/>
        <v>150530</v>
      </c>
      <c r="F119" s="144">
        <v>0</v>
      </c>
      <c r="G119" s="144">
        <v>0</v>
      </c>
      <c r="H119" s="64">
        <f t="shared" si="19"/>
        <v>150530</v>
      </c>
      <c r="I119" s="64">
        <f t="shared" si="20"/>
        <v>0</v>
      </c>
      <c r="J119" s="145">
        <f t="shared" si="21"/>
        <v>150530</v>
      </c>
      <c r="K119" s="146" t="str">
        <f t="shared" si="32"/>
        <v>Y</v>
      </c>
      <c r="L119" s="147">
        <f t="shared" si="22"/>
        <v>0</v>
      </c>
      <c r="M119" s="148">
        <f t="shared" si="23"/>
        <v>1300.8366666666668</v>
      </c>
      <c r="N119" s="64">
        <f t="shared" si="24"/>
        <v>1284</v>
      </c>
      <c r="O119" s="64">
        <f t="shared" si="25"/>
        <v>151814</v>
      </c>
      <c r="Q119" s="104">
        <f t="shared" si="26"/>
        <v>0</v>
      </c>
      <c r="R119" s="104" t="str">
        <f t="shared" si="27"/>
        <v>Not Applicable</v>
      </c>
      <c r="S119" s="149" t="s">
        <v>815</v>
      </c>
      <c r="T119" s="149">
        <f>IF(O119=0,0,IF(S119="N",0,VLOOKUP(B119,'Enrollment 25-26'!$B$8:$K$332,9,FALSE)))</f>
        <v>0</v>
      </c>
      <c r="U119" s="64">
        <f t="shared" si="28"/>
        <v>151814</v>
      </c>
      <c r="V119" s="128">
        <f t="shared" si="29"/>
        <v>116.70488992981439</v>
      </c>
      <c r="W119" s="150"/>
      <c r="X119" s="64">
        <f>IFERROR(VLOOKUP($B119,'Allocations 2025-26'!$B$9:$U$329,14,FALSE),0)</f>
        <v>160799</v>
      </c>
      <c r="Y119" s="99">
        <f t="shared" si="30"/>
        <v>-8985</v>
      </c>
      <c r="Z119" s="132">
        <f t="shared" si="31"/>
        <v>-5.5877213166748547E-2</v>
      </c>
      <c r="AA119" s="151" t="str">
        <f t="shared" si="33"/>
        <v>Y</v>
      </c>
      <c r="AC119" s="64"/>
      <c r="AE119" s="152"/>
      <c r="AH119" s="153"/>
      <c r="AI119" s="153"/>
      <c r="AJ119" s="153"/>
      <c r="AK119" s="154"/>
    </row>
    <row r="120" spans="1:37" x14ac:dyDescent="0.25">
      <c r="A120" s="142" t="s">
        <v>451</v>
      </c>
      <c r="B120" t="s">
        <v>583</v>
      </c>
      <c r="C120" t="s">
        <v>117</v>
      </c>
      <c r="D120" s="143">
        <f>IFERROR(VLOOKUP(B120,'Enrollment 26-27'!$B$5:$I$332,8,FALSE),0)</f>
        <v>0</v>
      </c>
      <c r="E120" s="64">
        <f t="shared" si="18"/>
        <v>0</v>
      </c>
      <c r="F120" s="144">
        <v>0</v>
      </c>
      <c r="G120" s="144">
        <v>0</v>
      </c>
      <c r="H120" s="64">
        <f t="shared" si="19"/>
        <v>0</v>
      </c>
      <c r="I120" s="64">
        <f t="shared" si="20"/>
        <v>0</v>
      </c>
      <c r="J120" s="145">
        <f t="shared" si="21"/>
        <v>0</v>
      </c>
      <c r="K120" s="146" t="str">
        <f t="shared" si="32"/>
        <v>N</v>
      </c>
      <c r="L120" s="147">
        <f t="shared" si="22"/>
        <v>0</v>
      </c>
      <c r="M120" s="148">
        <f t="shared" si="23"/>
        <v>0</v>
      </c>
      <c r="N120" s="64">
        <f t="shared" si="24"/>
        <v>0</v>
      </c>
      <c r="O120" s="64">
        <f t="shared" si="25"/>
        <v>0</v>
      </c>
      <c r="Q120" s="104">
        <f t="shared" si="26"/>
        <v>0</v>
      </c>
      <c r="R120" s="104" t="str">
        <f t="shared" si="27"/>
        <v>Not Applicable</v>
      </c>
      <c r="S120" s="149" t="s">
        <v>815</v>
      </c>
      <c r="T120" s="149">
        <f>IF(O120=0,0,IF(S120="N",0,VLOOKUP(B120,'Enrollment 25-26'!$B$8:$K$332,9,FALSE)))</f>
        <v>0</v>
      </c>
      <c r="U120" s="64">
        <f t="shared" si="28"/>
        <v>0</v>
      </c>
      <c r="V120" s="128">
        <f t="shared" si="29"/>
        <v>0</v>
      </c>
      <c r="W120" s="150"/>
      <c r="X120" s="64">
        <f>IFERROR(VLOOKUP($B120,'Allocations 2025-26'!$B$9:$U$329,14,FALSE),0)</f>
        <v>0</v>
      </c>
      <c r="Y120" s="99">
        <f t="shared" si="30"/>
        <v>0</v>
      </c>
      <c r="Z120" s="132">
        <f t="shared" si="31"/>
        <v>0</v>
      </c>
      <c r="AA120" s="151" t="str">
        <f t="shared" si="33"/>
        <v>N</v>
      </c>
      <c r="AC120" s="64"/>
      <c r="AE120" s="152"/>
      <c r="AH120" s="153"/>
      <c r="AI120" s="153"/>
      <c r="AJ120" s="153"/>
      <c r="AK120" s="154"/>
    </row>
    <row r="121" spans="1:37" x14ac:dyDescent="0.25">
      <c r="A121" s="142" t="s">
        <v>459</v>
      </c>
      <c r="B121" t="s">
        <v>584</v>
      </c>
      <c r="C121" t="s">
        <v>118</v>
      </c>
      <c r="D121" s="143">
        <f>IFERROR(VLOOKUP(B121,'Enrollment 26-27'!$B$5:$I$332,8,FALSE),0)</f>
        <v>23.67</v>
      </c>
      <c r="E121" s="64">
        <f t="shared" si="18"/>
        <v>2739</v>
      </c>
      <c r="F121" s="144">
        <v>0</v>
      </c>
      <c r="G121" s="144">
        <v>0</v>
      </c>
      <c r="H121" s="64">
        <f t="shared" si="19"/>
        <v>2739</v>
      </c>
      <c r="I121" s="64">
        <f t="shared" si="20"/>
        <v>0</v>
      </c>
      <c r="J121" s="145">
        <f t="shared" si="21"/>
        <v>2739</v>
      </c>
      <c r="K121" s="146" t="str">
        <f t="shared" si="32"/>
        <v>N</v>
      </c>
      <c r="L121" s="147">
        <f t="shared" si="22"/>
        <v>2739</v>
      </c>
      <c r="M121" s="148">
        <f t="shared" si="23"/>
        <v>0</v>
      </c>
      <c r="N121" s="64">
        <f t="shared" si="24"/>
        <v>0</v>
      </c>
      <c r="O121" s="64">
        <f t="shared" si="25"/>
        <v>0</v>
      </c>
      <c r="Q121" s="104">
        <f t="shared" si="26"/>
        <v>0</v>
      </c>
      <c r="R121" s="104" t="str">
        <f t="shared" si="27"/>
        <v>Not Applicable</v>
      </c>
      <c r="S121" s="149" t="s">
        <v>815</v>
      </c>
      <c r="T121" s="149">
        <f>IF(O121=0,0,IF(S121="N",0,VLOOKUP(B121,'Enrollment 25-26'!$B$8:$K$332,9,FALSE)))</f>
        <v>0</v>
      </c>
      <c r="U121" s="64">
        <f t="shared" si="28"/>
        <v>0</v>
      </c>
      <c r="V121" s="128">
        <f t="shared" si="29"/>
        <v>0</v>
      </c>
      <c r="W121" s="150"/>
      <c r="X121" s="64">
        <f>IFERROR(VLOOKUP($B121,'Allocations 2025-26'!$B$9:$U$329,14,FALSE),0)</f>
        <v>0</v>
      </c>
      <c r="Y121" s="99">
        <f t="shared" si="30"/>
        <v>0</v>
      </c>
      <c r="Z121" s="132">
        <f t="shared" si="31"/>
        <v>0</v>
      </c>
      <c r="AA121" s="151" t="str">
        <f t="shared" si="33"/>
        <v>N</v>
      </c>
      <c r="AC121" s="64"/>
      <c r="AE121" s="152"/>
      <c r="AH121" s="153"/>
      <c r="AI121" s="153"/>
      <c r="AJ121" s="153"/>
      <c r="AK121" s="154"/>
    </row>
    <row r="122" spans="1:37" x14ac:dyDescent="0.25">
      <c r="A122" s="142" t="s">
        <v>443</v>
      </c>
      <c r="B122" t="s">
        <v>585</v>
      </c>
      <c r="C122" t="s">
        <v>119</v>
      </c>
      <c r="D122" s="143">
        <f>IFERROR(VLOOKUP(B122,'Enrollment 26-27'!$B$5:$I$332,8,FALSE),0)</f>
        <v>0</v>
      </c>
      <c r="E122" s="64">
        <f t="shared" si="18"/>
        <v>0</v>
      </c>
      <c r="F122" s="144">
        <v>0</v>
      </c>
      <c r="G122" s="144">
        <v>0</v>
      </c>
      <c r="H122" s="64">
        <f t="shared" si="19"/>
        <v>0</v>
      </c>
      <c r="I122" s="64">
        <f t="shared" si="20"/>
        <v>0</v>
      </c>
      <c r="J122" s="145">
        <f t="shared" si="21"/>
        <v>0</v>
      </c>
      <c r="K122" s="146" t="str">
        <f t="shared" si="32"/>
        <v>N</v>
      </c>
      <c r="L122" s="147">
        <f t="shared" si="22"/>
        <v>0</v>
      </c>
      <c r="M122" s="148">
        <f t="shared" si="23"/>
        <v>0</v>
      </c>
      <c r="N122" s="64">
        <f t="shared" si="24"/>
        <v>0</v>
      </c>
      <c r="O122" s="64">
        <f t="shared" si="25"/>
        <v>0</v>
      </c>
      <c r="Q122" s="104">
        <f t="shared" si="26"/>
        <v>0</v>
      </c>
      <c r="R122" s="104" t="str">
        <f t="shared" si="27"/>
        <v>Not Applicable</v>
      </c>
      <c r="S122" s="149" t="s">
        <v>815</v>
      </c>
      <c r="T122" s="149">
        <f>IF(O122=0,0,IF(S122="N",0,VLOOKUP(B122,'Enrollment 25-26'!$B$8:$K$332,9,FALSE)))</f>
        <v>0</v>
      </c>
      <c r="U122" s="64">
        <f t="shared" si="28"/>
        <v>0</v>
      </c>
      <c r="V122" s="128">
        <f t="shared" si="29"/>
        <v>0</v>
      </c>
      <c r="W122" s="150"/>
      <c r="X122" s="64">
        <f>IFERROR(VLOOKUP($B122,'Allocations 2025-26'!$B$9:$U$329,14,FALSE),0)</f>
        <v>0</v>
      </c>
      <c r="Y122" s="99">
        <f t="shared" si="30"/>
        <v>0</v>
      </c>
      <c r="Z122" s="132">
        <f t="shared" si="31"/>
        <v>0</v>
      </c>
      <c r="AA122" s="151" t="str">
        <f t="shared" si="33"/>
        <v>N</v>
      </c>
      <c r="AC122" s="64"/>
      <c r="AE122" s="152"/>
      <c r="AH122" s="153"/>
      <c r="AI122" s="153"/>
      <c r="AJ122" s="153"/>
      <c r="AK122" s="154"/>
    </row>
    <row r="123" spans="1:37" x14ac:dyDescent="0.25">
      <c r="A123" s="142" t="s">
        <v>459</v>
      </c>
      <c r="B123" t="s">
        <v>586</v>
      </c>
      <c r="C123" t="s">
        <v>120</v>
      </c>
      <c r="D123" s="143">
        <f>IFERROR(VLOOKUP(B123,'Enrollment 26-27'!$B$5:$I$332,8,FALSE),0)</f>
        <v>351.33000000000004</v>
      </c>
      <c r="E123" s="64">
        <f t="shared" si="18"/>
        <v>40655</v>
      </c>
      <c r="F123" s="144">
        <v>0</v>
      </c>
      <c r="G123" s="144">
        <v>0</v>
      </c>
      <c r="H123" s="64">
        <f t="shared" si="19"/>
        <v>40655</v>
      </c>
      <c r="I123" s="64">
        <f t="shared" si="20"/>
        <v>0</v>
      </c>
      <c r="J123" s="145">
        <f t="shared" si="21"/>
        <v>40655</v>
      </c>
      <c r="K123" s="146" t="str">
        <f t="shared" si="32"/>
        <v>Y</v>
      </c>
      <c r="L123" s="147">
        <f t="shared" si="22"/>
        <v>0</v>
      </c>
      <c r="M123" s="148">
        <f t="shared" si="23"/>
        <v>351.33000000000004</v>
      </c>
      <c r="N123" s="64">
        <f t="shared" si="24"/>
        <v>347</v>
      </c>
      <c r="O123" s="64">
        <f t="shared" si="25"/>
        <v>41002</v>
      </c>
      <c r="Q123" s="104">
        <f t="shared" si="26"/>
        <v>0</v>
      </c>
      <c r="R123" s="104" t="str">
        <f t="shared" si="27"/>
        <v>Not Applicable</v>
      </c>
      <c r="S123" s="149" t="s">
        <v>815</v>
      </c>
      <c r="T123" s="149">
        <f>IF(O123=0,0,IF(S123="N",0,VLOOKUP(B123,'Enrollment 25-26'!$B$8:$K$332,9,FALSE)))</f>
        <v>0</v>
      </c>
      <c r="U123" s="64">
        <f t="shared" si="28"/>
        <v>41002</v>
      </c>
      <c r="V123" s="128">
        <f t="shared" si="29"/>
        <v>116.70509207867246</v>
      </c>
      <c r="W123" s="150"/>
      <c r="X123" s="64">
        <f>IFERROR(VLOOKUP($B123,'Allocations 2025-26'!$B$9:$U$329,14,FALSE),0)</f>
        <v>40936</v>
      </c>
      <c r="Y123" s="99">
        <f t="shared" si="30"/>
        <v>66</v>
      </c>
      <c r="Z123" s="132">
        <f t="shared" si="31"/>
        <v>1.6122728161031856E-3</v>
      </c>
      <c r="AA123" s="151" t="str">
        <f t="shared" si="33"/>
        <v>Y</v>
      </c>
      <c r="AC123" s="64"/>
      <c r="AE123" s="152"/>
      <c r="AH123" s="153"/>
      <c r="AI123" s="153"/>
      <c r="AJ123" s="153"/>
      <c r="AK123" s="154"/>
    </row>
    <row r="124" spans="1:37" x14ac:dyDescent="0.25">
      <c r="A124" s="142" t="s">
        <v>451</v>
      </c>
      <c r="B124" t="s">
        <v>587</v>
      </c>
      <c r="C124" t="s">
        <v>121</v>
      </c>
      <c r="D124" s="143">
        <f>IFERROR(VLOOKUP(B124,'Enrollment 26-27'!$B$5:$I$332,8,FALSE),0)</f>
        <v>3436.5</v>
      </c>
      <c r="E124" s="64">
        <f t="shared" si="18"/>
        <v>397664</v>
      </c>
      <c r="F124" s="144">
        <v>0</v>
      </c>
      <c r="G124" s="144">
        <v>0</v>
      </c>
      <c r="H124" s="64">
        <f t="shared" si="19"/>
        <v>397664</v>
      </c>
      <c r="I124" s="64">
        <f t="shared" si="20"/>
        <v>0</v>
      </c>
      <c r="J124" s="145">
        <f t="shared" si="21"/>
        <v>397664</v>
      </c>
      <c r="K124" s="146" t="str">
        <f t="shared" si="32"/>
        <v>Y</v>
      </c>
      <c r="L124" s="147">
        <f t="shared" si="22"/>
        <v>0</v>
      </c>
      <c r="M124" s="148">
        <f t="shared" si="23"/>
        <v>3436.5</v>
      </c>
      <c r="N124" s="64">
        <f t="shared" si="24"/>
        <v>3393</v>
      </c>
      <c r="O124" s="64">
        <f t="shared" si="25"/>
        <v>401057</v>
      </c>
      <c r="Q124" s="104">
        <f t="shared" si="26"/>
        <v>0</v>
      </c>
      <c r="R124" s="104" t="str">
        <f t="shared" si="27"/>
        <v>Not Applicable</v>
      </c>
      <c r="S124" s="149" t="s">
        <v>815</v>
      </c>
      <c r="T124" s="149">
        <f>IF(O124=0,0,IF(S124="N",0,VLOOKUP(B124,'Enrollment 25-26'!$B$8:$K$332,9,FALSE)))</f>
        <v>0</v>
      </c>
      <c r="U124" s="64">
        <f t="shared" si="28"/>
        <v>401057</v>
      </c>
      <c r="V124" s="128">
        <f t="shared" si="29"/>
        <v>116.70507784082642</v>
      </c>
      <c r="W124" s="150"/>
      <c r="X124" s="64">
        <f>IFERROR(VLOOKUP($B124,'Allocations 2025-26'!$B$9:$U$329,14,FALSE),0)</f>
        <v>419110</v>
      </c>
      <c r="Y124" s="99">
        <f t="shared" si="30"/>
        <v>-18053</v>
      </c>
      <c r="Z124" s="132">
        <f t="shared" si="31"/>
        <v>-4.3074610484121111E-2</v>
      </c>
      <c r="AA124" s="151" t="str">
        <f t="shared" si="33"/>
        <v>Y</v>
      </c>
      <c r="AC124" s="64"/>
      <c r="AE124" s="152"/>
      <c r="AH124" s="153"/>
      <c r="AI124" s="153"/>
      <c r="AJ124" s="153"/>
      <c r="AK124" s="154"/>
    </row>
    <row r="125" spans="1:37" x14ac:dyDescent="0.25">
      <c r="A125" s="142" t="s">
        <v>454</v>
      </c>
      <c r="B125" t="s">
        <v>588</v>
      </c>
      <c r="C125" t="s">
        <v>122</v>
      </c>
      <c r="D125" s="143">
        <f>IFERROR(VLOOKUP(B125,'Enrollment 26-27'!$B$5:$I$332,8,FALSE),0)</f>
        <v>8042.16</v>
      </c>
      <c r="E125" s="64">
        <f t="shared" si="18"/>
        <v>930621</v>
      </c>
      <c r="F125" s="144">
        <v>0</v>
      </c>
      <c r="G125" s="144">
        <v>0</v>
      </c>
      <c r="H125" s="64">
        <f t="shared" si="19"/>
        <v>930621</v>
      </c>
      <c r="I125" s="64">
        <f t="shared" si="20"/>
        <v>0</v>
      </c>
      <c r="J125" s="145">
        <f t="shared" si="21"/>
        <v>930621</v>
      </c>
      <c r="K125" s="146" t="str">
        <f t="shared" si="32"/>
        <v>Y</v>
      </c>
      <c r="L125" s="147">
        <f t="shared" si="22"/>
        <v>0</v>
      </c>
      <c r="M125" s="148">
        <f t="shared" si="23"/>
        <v>8042.16</v>
      </c>
      <c r="N125" s="64">
        <f t="shared" si="24"/>
        <v>7940</v>
      </c>
      <c r="O125" s="64">
        <f t="shared" si="25"/>
        <v>938561</v>
      </c>
      <c r="Q125" s="104">
        <f t="shared" si="26"/>
        <v>0</v>
      </c>
      <c r="R125" s="104" t="str">
        <f t="shared" si="27"/>
        <v>Not Applicable</v>
      </c>
      <c r="S125" s="149" t="s">
        <v>815</v>
      </c>
      <c r="T125" s="149">
        <f>IF(O125=0,0,IF(S125="N",0,VLOOKUP(B125,'Enrollment 25-26'!$B$8:$K$332,9,FALSE)))</f>
        <v>0</v>
      </c>
      <c r="U125" s="64">
        <f t="shared" si="28"/>
        <v>938561</v>
      </c>
      <c r="V125" s="128">
        <f t="shared" si="29"/>
        <v>116.70508918002129</v>
      </c>
      <c r="W125" s="150"/>
      <c r="X125" s="64">
        <f>IFERROR(VLOOKUP($B125,'Allocations 2025-26'!$B$9:$U$329,14,FALSE),0)</f>
        <v>920368</v>
      </c>
      <c r="Y125" s="99">
        <f t="shared" si="30"/>
        <v>18193</v>
      </c>
      <c r="Z125" s="132">
        <f t="shared" si="31"/>
        <v>1.9767093162734905E-2</v>
      </c>
      <c r="AA125" s="151" t="str">
        <f t="shared" si="33"/>
        <v>Y</v>
      </c>
      <c r="AC125" s="64"/>
      <c r="AE125" s="152"/>
      <c r="AH125" s="153"/>
      <c r="AI125" s="153"/>
      <c r="AJ125" s="153"/>
      <c r="AK125" s="154"/>
    </row>
    <row r="126" spans="1:37" x14ac:dyDescent="0.25">
      <c r="A126" s="142" t="s">
        <v>443</v>
      </c>
      <c r="B126" t="s">
        <v>589</v>
      </c>
      <c r="C126" t="s">
        <v>123</v>
      </c>
      <c r="D126" s="143">
        <f>IFERROR(VLOOKUP(B126,'Enrollment 26-27'!$B$5:$I$332,8,FALSE),0)</f>
        <v>0</v>
      </c>
      <c r="E126" s="64">
        <f t="shared" si="18"/>
        <v>0</v>
      </c>
      <c r="F126" s="144">
        <v>0</v>
      </c>
      <c r="G126" s="144">
        <v>0</v>
      </c>
      <c r="H126" s="64">
        <f t="shared" si="19"/>
        <v>0</v>
      </c>
      <c r="I126" s="64">
        <f t="shared" si="20"/>
        <v>0</v>
      </c>
      <c r="J126" s="145">
        <f t="shared" si="21"/>
        <v>0</v>
      </c>
      <c r="K126" s="146" t="str">
        <f t="shared" si="32"/>
        <v>N</v>
      </c>
      <c r="L126" s="147">
        <f t="shared" si="22"/>
        <v>0</v>
      </c>
      <c r="M126" s="148">
        <f t="shared" si="23"/>
        <v>0</v>
      </c>
      <c r="N126" s="64">
        <f t="shared" si="24"/>
        <v>0</v>
      </c>
      <c r="O126" s="64">
        <f t="shared" si="25"/>
        <v>0</v>
      </c>
      <c r="Q126" s="104">
        <f t="shared" si="26"/>
        <v>0</v>
      </c>
      <c r="R126" s="104" t="str">
        <f t="shared" si="27"/>
        <v>Not Applicable</v>
      </c>
      <c r="S126" s="149" t="s">
        <v>815</v>
      </c>
      <c r="T126" s="149">
        <f>IF(O126=0,0,IF(S126="N",0,VLOOKUP(B126,'Enrollment 25-26'!$B$8:$K$332,9,FALSE)))</f>
        <v>0</v>
      </c>
      <c r="U126" s="64">
        <f t="shared" si="28"/>
        <v>0</v>
      </c>
      <c r="V126" s="128">
        <f t="shared" si="29"/>
        <v>0</v>
      </c>
      <c r="W126" s="150"/>
      <c r="X126" s="64">
        <f>IFERROR(VLOOKUP($B126,'Allocations 2025-26'!$B$9:$U$329,14,FALSE),0)</f>
        <v>0</v>
      </c>
      <c r="Y126" s="99">
        <f t="shared" si="30"/>
        <v>0</v>
      </c>
      <c r="Z126" s="132">
        <f t="shared" si="31"/>
        <v>0</v>
      </c>
      <c r="AA126" s="151" t="str">
        <f t="shared" si="33"/>
        <v>N</v>
      </c>
      <c r="AC126" s="64"/>
      <c r="AE126" s="152"/>
      <c r="AH126" s="153"/>
      <c r="AI126" s="153"/>
      <c r="AJ126" s="153"/>
      <c r="AK126" s="154"/>
    </row>
    <row r="127" spans="1:37" x14ac:dyDescent="0.25">
      <c r="A127" s="142" t="s">
        <v>451</v>
      </c>
      <c r="B127" t="s">
        <v>590</v>
      </c>
      <c r="C127" t="s">
        <v>124</v>
      </c>
      <c r="D127" s="143">
        <f>IFERROR(VLOOKUP(B127,'Enrollment 26-27'!$B$5:$I$332,8,FALSE),0)</f>
        <v>349.66</v>
      </c>
      <c r="E127" s="64">
        <f t="shared" si="18"/>
        <v>40462</v>
      </c>
      <c r="F127" s="144">
        <v>0</v>
      </c>
      <c r="G127" s="144">
        <v>0</v>
      </c>
      <c r="H127" s="64">
        <f t="shared" si="19"/>
        <v>40462</v>
      </c>
      <c r="I127" s="64">
        <f t="shared" si="20"/>
        <v>0</v>
      </c>
      <c r="J127" s="145">
        <f t="shared" si="21"/>
        <v>40462</v>
      </c>
      <c r="K127" s="146" t="str">
        <f t="shared" si="32"/>
        <v>Y</v>
      </c>
      <c r="L127" s="147">
        <f t="shared" si="22"/>
        <v>0</v>
      </c>
      <c r="M127" s="148">
        <f t="shared" si="23"/>
        <v>349.66</v>
      </c>
      <c r="N127" s="64">
        <f t="shared" si="24"/>
        <v>345</v>
      </c>
      <c r="O127" s="64">
        <f t="shared" si="25"/>
        <v>40807</v>
      </c>
      <c r="Q127" s="104">
        <f t="shared" si="26"/>
        <v>0</v>
      </c>
      <c r="R127" s="104" t="str">
        <f t="shared" si="27"/>
        <v>Not Applicable</v>
      </c>
      <c r="S127" s="149" t="s">
        <v>815</v>
      </c>
      <c r="T127" s="149">
        <f>IF(O127=0,0,IF(S127="N",0,VLOOKUP(B127,'Enrollment 25-26'!$B$8:$K$332,9,FALSE)))</f>
        <v>0</v>
      </c>
      <c r="U127" s="64">
        <f t="shared" si="28"/>
        <v>40807</v>
      </c>
      <c r="V127" s="128">
        <f t="shared" si="29"/>
        <v>116.70479894754904</v>
      </c>
      <c r="W127" s="150"/>
      <c r="X127" s="64">
        <f>IFERROR(VLOOKUP($B127,'Allocations 2025-26'!$B$9:$U$329,14,FALSE),0)</f>
        <v>40683</v>
      </c>
      <c r="Y127" s="99">
        <f t="shared" si="30"/>
        <v>124</v>
      </c>
      <c r="Z127" s="132">
        <f t="shared" si="31"/>
        <v>3.0479561487599242E-3</v>
      </c>
      <c r="AA127" s="151" t="str">
        <f t="shared" si="33"/>
        <v>Y</v>
      </c>
      <c r="AC127" s="64"/>
      <c r="AE127" s="152"/>
      <c r="AH127" s="153"/>
      <c r="AI127" s="153"/>
      <c r="AJ127" s="153"/>
      <c r="AK127" s="154"/>
    </row>
    <row r="128" spans="1:37" x14ac:dyDescent="0.25">
      <c r="A128" s="142" t="s">
        <v>471</v>
      </c>
      <c r="B128" t="s">
        <v>591</v>
      </c>
      <c r="C128" t="s">
        <v>125</v>
      </c>
      <c r="D128" s="143">
        <f>IFERROR(VLOOKUP(B128,'Enrollment 26-27'!$B$5:$I$332,8,FALSE),0)</f>
        <v>45.5</v>
      </c>
      <c r="E128" s="64">
        <f t="shared" si="18"/>
        <v>5265</v>
      </c>
      <c r="F128" s="144">
        <v>0</v>
      </c>
      <c r="G128" s="144">
        <v>0</v>
      </c>
      <c r="H128" s="64">
        <f t="shared" si="19"/>
        <v>5265</v>
      </c>
      <c r="I128" s="64">
        <f t="shared" si="20"/>
        <v>0</v>
      </c>
      <c r="J128" s="145">
        <f t="shared" si="21"/>
        <v>5265</v>
      </c>
      <c r="K128" s="146" t="str">
        <f t="shared" si="32"/>
        <v>N</v>
      </c>
      <c r="L128" s="147">
        <f t="shared" si="22"/>
        <v>5265</v>
      </c>
      <c r="M128" s="148">
        <f t="shared" si="23"/>
        <v>0</v>
      </c>
      <c r="N128" s="64">
        <f t="shared" si="24"/>
        <v>0</v>
      </c>
      <c r="O128" s="64">
        <f t="shared" si="25"/>
        <v>0</v>
      </c>
      <c r="Q128" s="104">
        <f t="shared" si="26"/>
        <v>0</v>
      </c>
      <c r="R128" s="104" t="str">
        <f t="shared" si="27"/>
        <v>Not Applicable</v>
      </c>
      <c r="S128" s="149" t="s">
        <v>815</v>
      </c>
      <c r="T128" s="149">
        <f>IF(O128=0,0,IF(S128="N",0,VLOOKUP(B128,'Enrollment 25-26'!$B$8:$K$332,9,FALSE)))</f>
        <v>0</v>
      </c>
      <c r="U128" s="64">
        <f t="shared" si="28"/>
        <v>0</v>
      </c>
      <c r="V128" s="128">
        <f t="shared" si="29"/>
        <v>0</v>
      </c>
      <c r="W128" s="150"/>
      <c r="X128" s="64">
        <f>IFERROR(VLOOKUP($B128,'Allocations 2025-26'!$B$9:$U$329,14,FALSE),0)</f>
        <v>0</v>
      </c>
      <c r="Y128" s="99">
        <f t="shared" si="30"/>
        <v>0</v>
      </c>
      <c r="Z128" s="132">
        <f t="shared" si="31"/>
        <v>0</v>
      </c>
      <c r="AA128" s="151" t="str">
        <f t="shared" si="33"/>
        <v>N</v>
      </c>
      <c r="AC128" s="64"/>
      <c r="AE128" s="152"/>
      <c r="AH128" s="153"/>
      <c r="AI128" s="153"/>
      <c r="AJ128" s="153"/>
      <c r="AK128" s="154"/>
    </row>
    <row r="129" spans="1:37" x14ac:dyDescent="0.25">
      <c r="A129" s="142" t="s">
        <v>459</v>
      </c>
      <c r="B129" t="s">
        <v>592</v>
      </c>
      <c r="C129" t="s">
        <v>126</v>
      </c>
      <c r="D129" s="143">
        <f>IFERROR(VLOOKUP(B129,'Enrollment 26-27'!$B$5:$I$332,8,FALSE),0)</f>
        <v>0</v>
      </c>
      <c r="E129" s="64">
        <f t="shared" si="18"/>
        <v>0</v>
      </c>
      <c r="F129" s="144">
        <v>0</v>
      </c>
      <c r="G129" s="144">
        <v>0</v>
      </c>
      <c r="H129" s="64">
        <f t="shared" si="19"/>
        <v>0</v>
      </c>
      <c r="I129" s="64">
        <f t="shared" si="20"/>
        <v>0</v>
      </c>
      <c r="J129" s="145">
        <f t="shared" si="21"/>
        <v>0</v>
      </c>
      <c r="K129" s="146" t="str">
        <f t="shared" si="32"/>
        <v>N</v>
      </c>
      <c r="L129" s="147">
        <f t="shared" si="22"/>
        <v>0</v>
      </c>
      <c r="M129" s="148">
        <f t="shared" si="23"/>
        <v>0</v>
      </c>
      <c r="N129" s="64">
        <f t="shared" si="24"/>
        <v>0</v>
      </c>
      <c r="O129" s="64">
        <f t="shared" si="25"/>
        <v>0</v>
      </c>
      <c r="Q129" s="104">
        <f t="shared" si="26"/>
        <v>0</v>
      </c>
      <c r="R129" s="104" t="str">
        <f t="shared" si="27"/>
        <v>Not Applicable</v>
      </c>
      <c r="S129" s="149" t="s">
        <v>815</v>
      </c>
      <c r="T129" s="149">
        <f>IF(O129=0,0,IF(S129="N",0,VLOOKUP(B129,'Enrollment 25-26'!$B$8:$K$332,9,FALSE)))</f>
        <v>0</v>
      </c>
      <c r="U129" s="64">
        <f t="shared" si="28"/>
        <v>0</v>
      </c>
      <c r="V129" s="128">
        <f t="shared" si="29"/>
        <v>0</v>
      </c>
      <c r="W129" s="150"/>
      <c r="X129" s="64">
        <f>IFERROR(VLOOKUP($B129,'Allocations 2025-26'!$B$9:$U$329,14,FALSE),0)</f>
        <v>0</v>
      </c>
      <c r="Y129" s="99">
        <f t="shared" si="30"/>
        <v>0</v>
      </c>
      <c r="Z129" s="132">
        <f t="shared" si="31"/>
        <v>0</v>
      </c>
      <c r="AA129" s="151" t="str">
        <f t="shared" si="33"/>
        <v>N</v>
      </c>
      <c r="AC129" s="64"/>
      <c r="AE129" s="152"/>
      <c r="AH129" s="153"/>
      <c r="AI129" s="153"/>
      <c r="AJ129" s="153"/>
      <c r="AK129" s="154"/>
    </row>
    <row r="130" spans="1:37" x14ac:dyDescent="0.25">
      <c r="A130" s="142" t="s">
        <v>446</v>
      </c>
      <c r="B130" t="s">
        <v>593</v>
      </c>
      <c r="C130" t="s">
        <v>127</v>
      </c>
      <c r="D130" s="143">
        <f>IFERROR(VLOOKUP(B130,'Enrollment 26-27'!$B$5:$I$332,8,FALSE),0)</f>
        <v>128.83333333333331</v>
      </c>
      <c r="E130" s="64">
        <f t="shared" si="18"/>
        <v>14908</v>
      </c>
      <c r="F130" s="144">
        <v>0</v>
      </c>
      <c r="G130" s="144">
        <v>0</v>
      </c>
      <c r="H130" s="64">
        <f t="shared" si="19"/>
        <v>14908</v>
      </c>
      <c r="I130" s="64">
        <f t="shared" si="20"/>
        <v>0</v>
      </c>
      <c r="J130" s="145">
        <f t="shared" si="21"/>
        <v>14908</v>
      </c>
      <c r="K130" s="146" t="str">
        <f t="shared" si="32"/>
        <v>Y</v>
      </c>
      <c r="L130" s="147">
        <f t="shared" si="22"/>
        <v>0</v>
      </c>
      <c r="M130" s="148">
        <f t="shared" si="23"/>
        <v>128.83333333333331</v>
      </c>
      <c r="N130" s="64">
        <f t="shared" si="24"/>
        <v>127</v>
      </c>
      <c r="O130" s="64">
        <f t="shared" si="25"/>
        <v>15035</v>
      </c>
      <c r="Q130" s="104">
        <f t="shared" si="26"/>
        <v>0</v>
      </c>
      <c r="R130" s="104" t="str">
        <f t="shared" si="27"/>
        <v>Not Applicable</v>
      </c>
      <c r="S130" s="149" t="s">
        <v>815</v>
      </c>
      <c r="T130" s="149">
        <f>IF(O130=0,0,IF(S130="N",0,VLOOKUP(B130,'Enrollment 25-26'!$B$8:$K$332,9,FALSE)))</f>
        <v>0</v>
      </c>
      <c r="U130" s="64">
        <f t="shared" si="28"/>
        <v>15035</v>
      </c>
      <c r="V130" s="128">
        <f t="shared" si="29"/>
        <v>116.70116429495474</v>
      </c>
      <c r="W130" s="150"/>
      <c r="X130" s="64">
        <f>IFERROR(VLOOKUP($B130,'Allocations 2025-26'!$B$9:$U$329,14,FALSE),0)</f>
        <v>16359</v>
      </c>
      <c r="Y130" s="99">
        <f t="shared" si="30"/>
        <v>-1324</v>
      </c>
      <c r="Z130" s="132">
        <f t="shared" si="31"/>
        <v>-8.0934042423131E-2</v>
      </c>
      <c r="AA130" s="151" t="str">
        <f t="shared" si="33"/>
        <v>Y</v>
      </c>
      <c r="AC130" s="64"/>
      <c r="AE130" s="152"/>
      <c r="AH130" s="153"/>
      <c r="AI130" s="153"/>
      <c r="AJ130" s="153"/>
      <c r="AK130" s="154"/>
    </row>
    <row r="131" spans="1:37" x14ac:dyDescent="0.25">
      <c r="A131" s="142" t="s">
        <v>459</v>
      </c>
      <c r="B131" t="s">
        <v>594</v>
      </c>
      <c r="C131" t="s">
        <v>128</v>
      </c>
      <c r="D131" s="143">
        <f>IFERROR(VLOOKUP(B131,'Enrollment 26-27'!$B$5:$I$332,8,FALSE),0)</f>
        <v>62.66</v>
      </c>
      <c r="E131" s="64">
        <f t="shared" si="18"/>
        <v>7251</v>
      </c>
      <c r="F131" s="144">
        <v>0</v>
      </c>
      <c r="G131" s="144">
        <v>0</v>
      </c>
      <c r="H131" s="64">
        <f t="shared" si="19"/>
        <v>7251</v>
      </c>
      <c r="I131" s="64">
        <f t="shared" si="20"/>
        <v>0</v>
      </c>
      <c r="J131" s="145">
        <f t="shared" si="21"/>
        <v>7251</v>
      </c>
      <c r="K131" s="146" t="str">
        <f t="shared" si="32"/>
        <v>C</v>
      </c>
      <c r="L131" s="147">
        <f t="shared" si="22"/>
        <v>0</v>
      </c>
      <c r="M131" s="148">
        <f t="shared" si="23"/>
        <v>62.66</v>
      </c>
      <c r="N131" s="64">
        <f t="shared" si="24"/>
        <v>62</v>
      </c>
      <c r="O131" s="64">
        <f t="shared" si="25"/>
        <v>7313</v>
      </c>
      <c r="Q131" s="104">
        <f t="shared" si="26"/>
        <v>0</v>
      </c>
      <c r="R131" s="104" t="str">
        <f t="shared" si="27"/>
        <v>Not Applicable</v>
      </c>
      <c r="S131" s="149" t="s">
        <v>815</v>
      </c>
      <c r="T131" s="149">
        <f>IF(O131=0,0,IF(S131="N",0,VLOOKUP(B131,'Enrollment 25-26'!$B$8:$K$332,9,FALSE)))</f>
        <v>0</v>
      </c>
      <c r="U131" s="64">
        <f t="shared" si="28"/>
        <v>7313</v>
      </c>
      <c r="V131" s="128">
        <f t="shared" si="29"/>
        <v>116.70922438557294</v>
      </c>
      <c r="W131" s="150"/>
      <c r="X131" s="64">
        <f>IFERROR(VLOOKUP($B131,'Allocations 2025-26'!$B$9:$U$329,14,FALSE),0)</f>
        <v>5935</v>
      </c>
      <c r="Y131" s="99">
        <f t="shared" si="30"/>
        <v>1378</v>
      </c>
      <c r="Z131" s="132">
        <f t="shared" si="31"/>
        <v>0.23218197135636057</v>
      </c>
      <c r="AA131" s="151" t="str">
        <f t="shared" si="33"/>
        <v>C</v>
      </c>
      <c r="AC131" s="64"/>
      <c r="AE131" s="152"/>
      <c r="AH131" s="153"/>
      <c r="AI131" s="153"/>
      <c r="AJ131" s="153"/>
      <c r="AK131" s="154"/>
    </row>
    <row r="132" spans="1:37" x14ac:dyDescent="0.25">
      <c r="A132" s="142" t="s">
        <v>443</v>
      </c>
      <c r="B132" t="s">
        <v>595</v>
      </c>
      <c r="C132" t="s">
        <v>129</v>
      </c>
      <c r="D132" s="143">
        <f>IFERROR(VLOOKUP(B132,'Enrollment 26-27'!$B$5:$I$332,8,FALSE),0)</f>
        <v>0</v>
      </c>
      <c r="E132" s="64">
        <f t="shared" si="18"/>
        <v>0</v>
      </c>
      <c r="F132" s="144">
        <v>0</v>
      </c>
      <c r="G132" s="144">
        <v>0</v>
      </c>
      <c r="H132" s="64">
        <f t="shared" si="19"/>
        <v>0</v>
      </c>
      <c r="I132" s="64">
        <f t="shared" si="20"/>
        <v>0</v>
      </c>
      <c r="J132" s="145">
        <f t="shared" si="21"/>
        <v>0</v>
      </c>
      <c r="K132" s="146" t="str">
        <f t="shared" si="32"/>
        <v>N</v>
      </c>
      <c r="L132" s="147">
        <f t="shared" si="22"/>
        <v>0</v>
      </c>
      <c r="M132" s="148">
        <f t="shared" si="23"/>
        <v>0</v>
      </c>
      <c r="N132" s="64">
        <f t="shared" si="24"/>
        <v>0</v>
      </c>
      <c r="O132" s="64">
        <f t="shared" si="25"/>
        <v>0</v>
      </c>
      <c r="Q132" s="104">
        <f t="shared" si="26"/>
        <v>0</v>
      </c>
      <c r="R132" s="104" t="str">
        <f t="shared" si="27"/>
        <v>Not Applicable</v>
      </c>
      <c r="S132" s="149" t="s">
        <v>815</v>
      </c>
      <c r="T132" s="149">
        <f>IF(O132=0,0,IF(S132="N",0,VLOOKUP(B132,'Enrollment 25-26'!$B$8:$K$332,9,FALSE)))</f>
        <v>0</v>
      </c>
      <c r="U132" s="64">
        <f t="shared" si="28"/>
        <v>0</v>
      </c>
      <c r="V132" s="128">
        <f t="shared" si="29"/>
        <v>0</v>
      </c>
      <c r="W132" s="150"/>
      <c r="X132" s="64">
        <f>IFERROR(VLOOKUP($B132,'Allocations 2025-26'!$B$9:$U$329,14,FALSE),0)</f>
        <v>0</v>
      </c>
      <c r="Y132" s="99">
        <f t="shared" si="30"/>
        <v>0</v>
      </c>
      <c r="Z132" s="132">
        <f t="shared" si="31"/>
        <v>0</v>
      </c>
      <c r="AA132" s="151" t="str">
        <f t="shared" si="33"/>
        <v>N</v>
      </c>
      <c r="AC132" s="64"/>
      <c r="AE132" s="152"/>
      <c r="AH132" s="153"/>
      <c r="AI132" s="153"/>
      <c r="AJ132" s="153"/>
      <c r="AK132" s="154"/>
    </row>
    <row r="133" spans="1:37" x14ac:dyDescent="0.25">
      <c r="A133" s="142" t="s">
        <v>481</v>
      </c>
      <c r="B133" t="s">
        <v>596</v>
      </c>
      <c r="C133" t="s">
        <v>130</v>
      </c>
      <c r="D133" s="143">
        <f>IFERROR(VLOOKUP(B133,'Enrollment 26-27'!$B$5:$I$332,8,FALSE),0)</f>
        <v>363.33000000000004</v>
      </c>
      <c r="E133" s="64">
        <f t="shared" si="18"/>
        <v>42044</v>
      </c>
      <c r="F133" s="144">
        <v>0</v>
      </c>
      <c r="G133" s="144">
        <v>0</v>
      </c>
      <c r="H133" s="64">
        <f t="shared" si="19"/>
        <v>42044</v>
      </c>
      <c r="I133" s="64">
        <f t="shared" si="20"/>
        <v>0</v>
      </c>
      <c r="J133" s="145">
        <f t="shared" si="21"/>
        <v>42044</v>
      </c>
      <c r="K133" s="146" t="str">
        <f t="shared" si="32"/>
        <v>Y</v>
      </c>
      <c r="L133" s="147">
        <f t="shared" si="22"/>
        <v>0</v>
      </c>
      <c r="M133" s="148">
        <f t="shared" si="23"/>
        <v>363.33000000000004</v>
      </c>
      <c r="N133" s="64">
        <f t="shared" si="24"/>
        <v>359</v>
      </c>
      <c r="O133" s="64">
        <f t="shared" si="25"/>
        <v>42403</v>
      </c>
      <c r="Q133" s="104">
        <f t="shared" si="26"/>
        <v>0</v>
      </c>
      <c r="R133" s="104" t="str">
        <f t="shared" si="27"/>
        <v>Not Applicable</v>
      </c>
      <c r="S133" s="149" t="s">
        <v>815</v>
      </c>
      <c r="T133" s="149">
        <f>IF(O133=0,0,IF(S133="N",0,VLOOKUP(B133,'Enrollment 25-26'!$B$8:$K$332,9,FALSE)))</f>
        <v>0</v>
      </c>
      <c r="U133" s="64">
        <f t="shared" si="28"/>
        <v>42403</v>
      </c>
      <c r="V133" s="128">
        <f t="shared" si="29"/>
        <v>116.70657528968154</v>
      </c>
      <c r="W133" s="150"/>
      <c r="X133" s="64">
        <f>IFERROR(VLOOKUP($B133,'Allocations 2025-26'!$B$9:$U$329,14,FALSE),0)</f>
        <v>43221</v>
      </c>
      <c r="Y133" s="99">
        <f t="shared" si="30"/>
        <v>-818</v>
      </c>
      <c r="Z133" s="132">
        <f t="shared" si="31"/>
        <v>-1.8925985053561925E-2</v>
      </c>
      <c r="AA133" s="151" t="str">
        <f t="shared" si="33"/>
        <v>Y</v>
      </c>
      <c r="AC133" s="64"/>
      <c r="AE133" s="152"/>
      <c r="AH133" s="153"/>
      <c r="AI133" s="153"/>
      <c r="AJ133" s="153"/>
      <c r="AK133" s="154"/>
    </row>
    <row r="134" spans="1:37" x14ac:dyDescent="0.25">
      <c r="A134" s="142" t="s">
        <v>446</v>
      </c>
      <c r="B134" t="s">
        <v>597</v>
      </c>
      <c r="C134" t="s">
        <v>131</v>
      </c>
      <c r="D134" s="143">
        <f>IFERROR(VLOOKUP(B134,'Enrollment 26-27'!$B$5:$I$332,8,FALSE),0)</f>
        <v>736.5</v>
      </c>
      <c r="E134" s="64">
        <f t="shared" si="18"/>
        <v>85226</v>
      </c>
      <c r="F134" s="144">
        <v>0</v>
      </c>
      <c r="G134" s="144">
        <v>0</v>
      </c>
      <c r="H134" s="64">
        <f t="shared" si="19"/>
        <v>85226</v>
      </c>
      <c r="I134" s="64">
        <f t="shared" si="20"/>
        <v>0</v>
      </c>
      <c r="J134" s="145">
        <f t="shared" si="21"/>
        <v>85226</v>
      </c>
      <c r="K134" s="146" t="str">
        <f t="shared" si="32"/>
        <v>Y</v>
      </c>
      <c r="L134" s="147">
        <f t="shared" si="22"/>
        <v>0</v>
      </c>
      <c r="M134" s="148">
        <f t="shared" si="23"/>
        <v>736.5</v>
      </c>
      <c r="N134" s="64">
        <f t="shared" si="24"/>
        <v>727</v>
      </c>
      <c r="O134" s="64">
        <f t="shared" si="25"/>
        <v>85953</v>
      </c>
      <c r="Q134" s="104">
        <f t="shared" si="26"/>
        <v>0</v>
      </c>
      <c r="R134" s="104" t="str">
        <f t="shared" si="27"/>
        <v>Not Applicable</v>
      </c>
      <c r="S134" s="149" t="s">
        <v>815</v>
      </c>
      <c r="T134" s="149">
        <f>IF(O134=0,0,IF(S134="N",0,VLOOKUP(B134,'Enrollment 25-26'!$B$8:$K$332,9,FALSE)))</f>
        <v>0</v>
      </c>
      <c r="U134" s="64">
        <f t="shared" si="28"/>
        <v>85953</v>
      </c>
      <c r="V134" s="128">
        <f t="shared" si="29"/>
        <v>116.70468431771894</v>
      </c>
      <c r="W134" s="150"/>
      <c r="X134" s="64">
        <f>IFERROR(VLOOKUP($B134,'Allocations 2025-26'!$B$9:$U$329,14,FALSE),0)</f>
        <v>88081</v>
      </c>
      <c r="Y134" s="99">
        <f t="shared" si="30"/>
        <v>-2128</v>
      </c>
      <c r="Z134" s="132">
        <f t="shared" si="31"/>
        <v>-2.4159580386235398E-2</v>
      </c>
      <c r="AA134" s="151" t="str">
        <f t="shared" si="33"/>
        <v>Y</v>
      </c>
      <c r="AC134" s="64"/>
      <c r="AE134" s="152"/>
      <c r="AH134" s="153"/>
      <c r="AI134" s="153"/>
      <c r="AJ134" s="153"/>
      <c r="AK134" s="154"/>
    </row>
    <row r="135" spans="1:37" x14ac:dyDescent="0.25">
      <c r="A135" s="142" t="s">
        <v>454</v>
      </c>
      <c r="B135" t="s">
        <v>598</v>
      </c>
      <c r="C135" t="s">
        <v>133</v>
      </c>
      <c r="D135" s="143">
        <f>IFERROR(VLOOKUP(B135,'Enrollment 26-27'!$B$5:$I$332,8,FALSE),0)</f>
        <v>3461.6633333333334</v>
      </c>
      <c r="E135" s="64">
        <f t="shared" si="18"/>
        <v>400576</v>
      </c>
      <c r="F135" s="144">
        <v>0</v>
      </c>
      <c r="G135" s="144">
        <v>0</v>
      </c>
      <c r="H135" s="64">
        <f t="shared" si="19"/>
        <v>400576</v>
      </c>
      <c r="I135" s="64">
        <f t="shared" si="20"/>
        <v>0</v>
      </c>
      <c r="J135" s="145">
        <f t="shared" si="21"/>
        <v>400576</v>
      </c>
      <c r="K135" s="146" t="str">
        <f t="shared" si="32"/>
        <v>Y</v>
      </c>
      <c r="L135" s="147">
        <f t="shared" si="22"/>
        <v>0</v>
      </c>
      <c r="M135" s="148">
        <f t="shared" si="23"/>
        <v>3461.6633333333334</v>
      </c>
      <c r="N135" s="64">
        <f t="shared" si="24"/>
        <v>3418</v>
      </c>
      <c r="O135" s="64">
        <f t="shared" si="25"/>
        <v>403994</v>
      </c>
      <c r="Q135" s="104">
        <f t="shared" si="26"/>
        <v>0</v>
      </c>
      <c r="R135" s="104" t="str">
        <f t="shared" si="27"/>
        <v>Not Applicable</v>
      </c>
      <c r="S135" s="149" t="s">
        <v>815</v>
      </c>
      <c r="T135" s="149">
        <f>IF(O135=0,0,IF(S135="N",0,VLOOKUP(B135,'Enrollment 25-26'!$B$8:$K$332,9,FALSE)))</f>
        <v>0</v>
      </c>
      <c r="U135" s="64">
        <f t="shared" si="28"/>
        <v>403994</v>
      </c>
      <c r="V135" s="128">
        <f t="shared" si="29"/>
        <v>116.70516774691164</v>
      </c>
      <c r="W135" s="150"/>
      <c r="X135" s="64">
        <f>IFERROR(VLOOKUP($B135,'Allocations 2025-26'!$B$9:$U$329,14,FALSE),0)</f>
        <v>432268</v>
      </c>
      <c r="Y135" s="99">
        <f t="shared" si="30"/>
        <v>-28274</v>
      </c>
      <c r="Z135" s="132">
        <f t="shared" si="31"/>
        <v>-6.5408496580824857E-2</v>
      </c>
      <c r="AA135" s="151" t="str">
        <f t="shared" si="33"/>
        <v>Y</v>
      </c>
      <c r="AC135" s="64"/>
      <c r="AE135" s="152"/>
      <c r="AH135" s="153"/>
      <c r="AI135" s="153"/>
      <c r="AJ135" s="153"/>
      <c r="AK135" s="154"/>
    </row>
    <row r="136" spans="1:37" x14ac:dyDescent="0.25">
      <c r="A136" s="142" t="s">
        <v>446</v>
      </c>
      <c r="B136" t="s">
        <v>599</v>
      </c>
      <c r="C136" t="s">
        <v>134</v>
      </c>
      <c r="D136" s="143">
        <f>IFERROR(VLOOKUP(B136,'Enrollment 26-27'!$B$5:$I$332,8,FALSE),0)</f>
        <v>323.66666666666669</v>
      </c>
      <c r="E136" s="64">
        <f t="shared" si="18"/>
        <v>37454</v>
      </c>
      <c r="F136" s="144">
        <v>0</v>
      </c>
      <c r="G136" s="144">
        <v>0</v>
      </c>
      <c r="H136" s="64">
        <f t="shared" si="19"/>
        <v>37454</v>
      </c>
      <c r="I136" s="64">
        <f t="shared" si="20"/>
        <v>0</v>
      </c>
      <c r="J136" s="145">
        <f t="shared" si="21"/>
        <v>37454</v>
      </c>
      <c r="K136" s="146" t="str">
        <f t="shared" si="32"/>
        <v>Y</v>
      </c>
      <c r="L136" s="147">
        <f t="shared" si="22"/>
        <v>0</v>
      </c>
      <c r="M136" s="148">
        <f t="shared" si="23"/>
        <v>323.66666666666669</v>
      </c>
      <c r="N136" s="64">
        <f t="shared" si="24"/>
        <v>320</v>
      </c>
      <c r="O136" s="64">
        <f t="shared" si="25"/>
        <v>37774</v>
      </c>
      <c r="Q136" s="104">
        <f t="shared" si="26"/>
        <v>0</v>
      </c>
      <c r="R136" s="104" t="str">
        <f t="shared" si="27"/>
        <v>Not Applicable</v>
      </c>
      <c r="S136" s="149" t="s">
        <v>815</v>
      </c>
      <c r="T136" s="149">
        <f>IF(O136=0,0,IF(S136="N",0,VLOOKUP(B136,'Enrollment 25-26'!$B$8:$K$332,9,FALSE)))</f>
        <v>0</v>
      </c>
      <c r="U136" s="64">
        <f t="shared" si="28"/>
        <v>37774</v>
      </c>
      <c r="V136" s="128">
        <f t="shared" si="29"/>
        <v>116.70648815653965</v>
      </c>
      <c r="W136" s="150"/>
      <c r="X136" s="64">
        <f>IFERROR(VLOOKUP($B136,'Allocations 2025-26'!$B$9:$U$329,14,FALSE),0)</f>
        <v>37325</v>
      </c>
      <c r="Y136" s="99">
        <f t="shared" si="30"/>
        <v>449</v>
      </c>
      <c r="Z136" s="132">
        <f t="shared" si="31"/>
        <v>1.202947086403215E-2</v>
      </c>
      <c r="AA136" s="151" t="str">
        <f t="shared" si="33"/>
        <v>Y</v>
      </c>
      <c r="AC136" s="64"/>
      <c r="AE136" s="152"/>
      <c r="AH136" s="153"/>
      <c r="AI136" s="153"/>
      <c r="AJ136" s="153"/>
      <c r="AK136" s="154"/>
    </row>
    <row r="137" spans="1:37" x14ac:dyDescent="0.25">
      <c r="A137" s="142" t="s">
        <v>443</v>
      </c>
      <c r="B137" t="s">
        <v>600</v>
      </c>
      <c r="C137" t="s">
        <v>135</v>
      </c>
      <c r="D137" s="143">
        <f>IFERROR(VLOOKUP(B137,'Enrollment 26-27'!$B$5:$I$332,8,FALSE),0)</f>
        <v>0</v>
      </c>
      <c r="E137" s="64">
        <f t="shared" ref="E137:E200" si="34">ROUND($D137/$D$7*$E$6,0)</f>
        <v>0</v>
      </c>
      <c r="F137" s="144">
        <v>0</v>
      </c>
      <c r="G137" s="144">
        <v>0</v>
      </c>
      <c r="H137" s="64">
        <f t="shared" ref="H137:H200" si="35">SUM(E137:G137)</f>
        <v>0</v>
      </c>
      <c r="I137" s="64">
        <f t="shared" ref="I137:I200" si="36">ROUND($D137/$D$7*$I$6,0)</f>
        <v>0</v>
      </c>
      <c r="J137" s="145">
        <f t="shared" ref="J137:J200" si="37">+H137+I137</f>
        <v>0</v>
      </c>
      <c r="K137" s="146" t="str">
        <f t="shared" si="32"/>
        <v>N</v>
      </c>
      <c r="L137" s="147">
        <f t="shared" ref="L137:L200" si="38">IF(OR(K137="N",K137="NR",AND(J137&lt;$L$6,K137&lt;&gt;"C")),J137,0)</f>
        <v>0</v>
      </c>
      <c r="M137" s="148">
        <f t="shared" ref="M137:M200" si="39">IF(L137=0,D137,0)</f>
        <v>0</v>
      </c>
      <c r="N137" s="64">
        <f t="shared" ref="N137:N200" si="40">ROUND(M137/$M$7*$L$3,0)</f>
        <v>0</v>
      </c>
      <c r="O137" s="64">
        <f t="shared" ref="O137:O200" si="41">J137-L137+N137</f>
        <v>0</v>
      </c>
      <c r="Q137" s="104">
        <f t="shared" ref="Q137:Q200" si="42">-ROUND(IF(P137&gt;0,O137*(0.9-P137),0),0)</f>
        <v>0</v>
      </c>
      <c r="R137" s="104" t="str">
        <f t="shared" ref="R137:R200" si="43">IF($R$7=0,"Not Applicable",T137*($R$7/$T$7))</f>
        <v>Not Applicable</v>
      </c>
      <c r="S137" s="149" t="s">
        <v>815</v>
      </c>
      <c r="T137" s="149">
        <f>IF(O137=0,0,IF(S137="N",0,VLOOKUP(B137,'Enrollment 25-26'!$B$8:$K$332,9,FALSE)))</f>
        <v>0</v>
      </c>
      <c r="U137" s="64">
        <f t="shared" ref="U137:U200" si="44">IF(ISNUMBER(R137),O137+R137,O137)</f>
        <v>0</v>
      </c>
      <c r="V137" s="128">
        <f t="shared" ref="V137:V200" si="45">IF(M137=0,0,O137/M137)</f>
        <v>0</v>
      </c>
      <c r="W137" s="150"/>
      <c r="X137" s="64">
        <f>IFERROR(VLOOKUP($B137,'Allocations 2025-26'!$B$9:$U$329,14,FALSE),0)</f>
        <v>0</v>
      </c>
      <c r="Y137" s="99">
        <f t="shared" ref="Y137:Y200" si="46">O137-X137</f>
        <v>0</v>
      </c>
      <c r="Z137" s="132">
        <f t="shared" ref="Z137:Z200" si="47">IFERROR(IF(X137&gt;0,Y137/X137,0),0)</f>
        <v>0</v>
      </c>
      <c r="AA137" s="151" t="str">
        <f t="shared" si="33"/>
        <v>N</v>
      </c>
      <c r="AC137" s="64"/>
      <c r="AE137" s="152"/>
      <c r="AH137" s="153"/>
      <c r="AI137" s="153"/>
      <c r="AJ137" s="153"/>
      <c r="AK137" s="154"/>
    </row>
    <row r="138" spans="1:37" x14ac:dyDescent="0.25">
      <c r="A138" s="142" t="s">
        <v>443</v>
      </c>
      <c r="B138" t="s">
        <v>601</v>
      </c>
      <c r="C138" t="s">
        <v>136</v>
      </c>
      <c r="D138" s="143">
        <f>IFERROR(VLOOKUP(B138,'Enrollment 26-27'!$B$5:$I$332,8,FALSE),0)</f>
        <v>4</v>
      </c>
      <c r="E138" s="64">
        <f t="shared" si="34"/>
        <v>463</v>
      </c>
      <c r="F138" s="144">
        <v>0</v>
      </c>
      <c r="G138" s="144">
        <v>0</v>
      </c>
      <c r="H138" s="64">
        <f t="shared" si="35"/>
        <v>463</v>
      </c>
      <c r="I138" s="64">
        <f t="shared" si="36"/>
        <v>0</v>
      </c>
      <c r="J138" s="145">
        <f t="shared" si="37"/>
        <v>463</v>
      </c>
      <c r="K138" s="146" t="str">
        <f t="shared" ref="K138:K201" si="48">IF(ISERROR(VLOOKUP(B138,$AC$9:$AC$50,1,0)),IF(J138&gt;10000,"Y","N"), "C")</f>
        <v>N</v>
      </c>
      <c r="L138" s="147">
        <f t="shared" si="38"/>
        <v>463</v>
      </c>
      <c r="M138" s="148">
        <f t="shared" si="39"/>
        <v>0</v>
      </c>
      <c r="N138" s="64">
        <f t="shared" si="40"/>
        <v>0</v>
      </c>
      <c r="O138" s="64">
        <f t="shared" si="41"/>
        <v>0</v>
      </c>
      <c r="Q138" s="104">
        <f t="shared" si="42"/>
        <v>0</v>
      </c>
      <c r="R138" s="104" t="str">
        <f t="shared" si="43"/>
        <v>Not Applicable</v>
      </c>
      <c r="S138" s="149" t="s">
        <v>815</v>
      </c>
      <c r="T138" s="149">
        <f>IF(O138=0,0,IF(S138="N",0,VLOOKUP(B138,'Enrollment 25-26'!$B$8:$K$332,9,FALSE)))</f>
        <v>0</v>
      </c>
      <c r="U138" s="64">
        <f t="shared" si="44"/>
        <v>0</v>
      </c>
      <c r="V138" s="128">
        <f t="shared" si="45"/>
        <v>0</v>
      </c>
      <c r="W138" s="150"/>
      <c r="X138" s="64">
        <f>IFERROR(VLOOKUP($B138,'Allocations 2025-26'!$B$9:$U$329,14,FALSE),0)</f>
        <v>0</v>
      </c>
      <c r="Y138" s="99">
        <f t="shared" si="46"/>
        <v>0</v>
      </c>
      <c r="Z138" s="132">
        <f t="shared" si="47"/>
        <v>0</v>
      </c>
      <c r="AA138" s="151" t="str">
        <f t="shared" ref="AA138:AA201" si="49">K138</f>
        <v>N</v>
      </c>
      <c r="AC138" s="64"/>
      <c r="AE138" s="152"/>
      <c r="AH138" s="153"/>
      <c r="AI138" s="153"/>
      <c r="AJ138" s="153"/>
      <c r="AK138" s="154"/>
    </row>
    <row r="139" spans="1:37" x14ac:dyDescent="0.25">
      <c r="A139" s="142" t="s">
        <v>443</v>
      </c>
      <c r="B139" t="s">
        <v>440</v>
      </c>
      <c r="C139" t="s">
        <v>137</v>
      </c>
      <c r="D139" s="143">
        <f>IFERROR(VLOOKUP(B139,'Enrollment 26-27'!$B$5:$I$332,8,FALSE),0)</f>
        <v>15.17</v>
      </c>
      <c r="E139" s="64">
        <f t="shared" si="34"/>
        <v>1755</v>
      </c>
      <c r="F139" s="144">
        <v>0</v>
      </c>
      <c r="G139" s="144">
        <v>0</v>
      </c>
      <c r="H139" s="64">
        <f t="shared" si="35"/>
        <v>1755</v>
      </c>
      <c r="I139" s="64">
        <f t="shared" si="36"/>
        <v>0</v>
      </c>
      <c r="J139" s="145">
        <f t="shared" si="37"/>
        <v>1755</v>
      </c>
      <c r="K139" s="146" t="str">
        <f t="shared" si="48"/>
        <v>C</v>
      </c>
      <c r="L139" s="147">
        <f t="shared" si="38"/>
        <v>0</v>
      </c>
      <c r="M139" s="148">
        <f t="shared" si="39"/>
        <v>15.17</v>
      </c>
      <c r="N139" s="64">
        <f t="shared" si="40"/>
        <v>15</v>
      </c>
      <c r="O139" s="64">
        <f t="shared" si="41"/>
        <v>1770</v>
      </c>
      <c r="Q139" s="104">
        <f t="shared" si="42"/>
        <v>0</v>
      </c>
      <c r="R139" s="104" t="str">
        <f t="shared" si="43"/>
        <v>Not Applicable</v>
      </c>
      <c r="S139" s="149" t="s">
        <v>815</v>
      </c>
      <c r="T139" s="149">
        <f>IF(O139=0,0,IF(S139="N",0,VLOOKUP(B139,'Enrollment 25-26'!$B$8:$K$332,9,FALSE)))</f>
        <v>0</v>
      </c>
      <c r="U139" s="64">
        <f t="shared" si="44"/>
        <v>1770</v>
      </c>
      <c r="V139" s="128">
        <f t="shared" si="45"/>
        <v>116.67765326301912</v>
      </c>
      <c r="W139" s="150"/>
      <c r="X139" s="64">
        <f>IFERROR(VLOOKUP($B139,'Allocations 2025-26'!$B$9:$U$329,14,FALSE),0)</f>
        <v>2694</v>
      </c>
      <c r="Y139" s="99">
        <f t="shared" si="46"/>
        <v>-924</v>
      </c>
      <c r="Z139" s="132">
        <f t="shared" si="47"/>
        <v>-0.34298440979955458</v>
      </c>
      <c r="AA139" s="151" t="str">
        <f t="shared" si="49"/>
        <v>C</v>
      </c>
      <c r="AC139" s="64"/>
      <c r="AE139" s="152"/>
      <c r="AH139" s="153"/>
      <c r="AI139" s="153"/>
      <c r="AJ139" s="153"/>
      <c r="AK139" s="154"/>
    </row>
    <row r="140" spans="1:37" x14ac:dyDescent="0.25">
      <c r="A140" s="142" t="s">
        <v>459</v>
      </c>
      <c r="B140" t="s">
        <v>602</v>
      </c>
      <c r="C140" t="s">
        <v>138</v>
      </c>
      <c r="D140" s="143">
        <f>IFERROR(VLOOKUP(B140,'Enrollment 26-27'!$B$5:$I$332,8,FALSE),0)</f>
        <v>555.33666666666659</v>
      </c>
      <c r="E140" s="64">
        <f t="shared" si="34"/>
        <v>64262</v>
      </c>
      <c r="F140" s="144">
        <v>0</v>
      </c>
      <c r="G140" s="144">
        <v>0</v>
      </c>
      <c r="H140" s="64">
        <f t="shared" si="35"/>
        <v>64262</v>
      </c>
      <c r="I140" s="64">
        <f t="shared" si="36"/>
        <v>0</v>
      </c>
      <c r="J140" s="145">
        <f t="shared" si="37"/>
        <v>64262</v>
      </c>
      <c r="K140" s="146" t="str">
        <f t="shared" si="48"/>
        <v>Y</v>
      </c>
      <c r="L140" s="147">
        <f t="shared" si="38"/>
        <v>0</v>
      </c>
      <c r="M140" s="148">
        <f t="shared" si="39"/>
        <v>555.33666666666659</v>
      </c>
      <c r="N140" s="64">
        <f t="shared" si="40"/>
        <v>548</v>
      </c>
      <c r="O140" s="64">
        <f t="shared" si="41"/>
        <v>64810</v>
      </c>
      <c r="Q140" s="104">
        <f t="shared" si="42"/>
        <v>0</v>
      </c>
      <c r="R140" s="104" t="str">
        <f t="shared" si="43"/>
        <v>Not Applicable</v>
      </c>
      <c r="S140" s="149" t="s">
        <v>815</v>
      </c>
      <c r="T140" s="149">
        <f>IF(O140=0,0,IF(S140="N",0,VLOOKUP(B140,'Enrollment 25-26'!$B$8:$K$332,9,FALSE)))</f>
        <v>0</v>
      </c>
      <c r="U140" s="64">
        <f t="shared" si="44"/>
        <v>64810</v>
      </c>
      <c r="V140" s="128">
        <f t="shared" si="45"/>
        <v>116.70398136865927</v>
      </c>
      <c r="W140" s="150"/>
      <c r="X140" s="64">
        <f>IFERROR(VLOOKUP($B140,'Allocations 2025-26'!$B$9:$U$329,14,FALSE),0)</f>
        <v>66335</v>
      </c>
      <c r="Y140" s="99">
        <f t="shared" si="46"/>
        <v>-1525</v>
      </c>
      <c r="Z140" s="132">
        <f t="shared" si="47"/>
        <v>-2.2989372126328483E-2</v>
      </c>
      <c r="AA140" s="151" t="str">
        <f t="shared" si="49"/>
        <v>Y</v>
      </c>
      <c r="AC140" s="64"/>
      <c r="AE140" s="152"/>
      <c r="AH140" s="153"/>
      <c r="AI140" s="153"/>
      <c r="AJ140" s="153"/>
      <c r="AK140" s="154"/>
    </row>
    <row r="141" spans="1:37" x14ac:dyDescent="0.25">
      <c r="A141" s="142" t="s">
        <v>443</v>
      </c>
      <c r="B141" t="s">
        <v>603</v>
      </c>
      <c r="C141" t="s">
        <v>139</v>
      </c>
      <c r="D141" s="143">
        <f>IFERROR(VLOOKUP(B141,'Enrollment 26-27'!$B$5:$I$332,8,FALSE),0)</f>
        <v>0</v>
      </c>
      <c r="E141" s="64">
        <f t="shared" si="34"/>
        <v>0</v>
      </c>
      <c r="F141" s="144">
        <v>0</v>
      </c>
      <c r="G141" s="144">
        <v>0</v>
      </c>
      <c r="H141" s="64">
        <f t="shared" si="35"/>
        <v>0</v>
      </c>
      <c r="I141" s="64">
        <f t="shared" si="36"/>
        <v>0</v>
      </c>
      <c r="J141" s="145">
        <f t="shared" si="37"/>
        <v>0</v>
      </c>
      <c r="K141" s="146" t="str">
        <f t="shared" si="48"/>
        <v>N</v>
      </c>
      <c r="L141" s="147">
        <f t="shared" si="38"/>
        <v>0</v>
      </c>
      <c r="M141" s="148">
        <f t="shared" si="39"/>
        <v>0</v>
      </c>
      <c r="N141" s="64">
        <f t="shared" si="40"/>
        <v>0</v>
      </c>
      <c r="O141" s="64">
        <f t="shared" si="41"/>
        <v>0</v>
      </c>
      <c r="Q141" s="104">
        <f t="shared" si="42"/>
        <v>0</v>
      </c>
      <c r="R141" s="104" t="str">
        <f t="shared" si="43"/>
        <v>Not Applicable</v>
      </c>
      <c r="S141" s="149" t="s">
        <v>815</v>
      </c>
      <c r="T141" s="149">
        <f>IF(O141=0,0,IF(S141="N",0,VLOOKUP(B141,'Enrollment 25-26'!$B$8:$K$332,9,FALSE)))</f>
        <v>0</v>
      </c>
      <c r="U141" s="64">
        <f t="shared" si="44"/>
        <v>0</v>
      </c>
      <c r="V141" s="128">
        <f t="shared" si="45"/>
        <v>0</v>
      </c>
      <c r="W141" s="150"/>
      <c r="X141" s="64">
        <f>IFERROR(VLOOKUP($B141,'Allocations 2025-26'!$B$9:$U$329,14,FALSE),0)</f>
        <v>0</v>
      </c>
      <c r="Y141" s="99">
        <f t="shared" si="46"/>
        <v>0</v>
      </c>
      <c r="Z141" s="132">
        <f t="shared" si="47"/>
        <v>0</v>
      </c>
      <c r="AA141" s="151" t="str">
        <f t="shared" si="49"/>
        <v>N</v>
      </c>
      <c r="AC141" s="64"/>
      <c r="AE141" s="152"/>
      <c r="AH141" s="153"/>
      <c r="AI141" s="153"/>
      <c r="AJ141" s="153"/>
      <c r="AK141" s="154"/>
    </row>
    <row r="142" spans="1:37" x14ac:dyDescent="0.25">
      <c r="A142" s="142" t="s">
        <v>446</v>
      </c>
      <c r="B142" t="s">
        <v>488</v>
      </c>
      <c r="C142" t="s">
        <v>140</v>
      </c>
      <c r="D142" s="143">
        <f>IFERROR(VLOOKUP(B142,'Enrollment 26-27'!$B$5:$I$332,8,FALSE),0)</f>
        <v>19.5</v>
      </c>
      <c r="E142" s="64">
        <f t="shared" si="34"/>
        <v>2256</v>
      </c>
      <c r="F142" s="144">
        <v>0</v>
      </c>
      <c r="G142" s="144">
        <v>0</v>
      </c>
      <c r="H142" s="64">
        <f t="shared" si="35"/>
        <v>2256</v>
      </c>
      <c r="I142" s="64">
        <f t="shared" si="36"/>
        <v>0</v>
      </c>
      <c r="J142" s="145">
        <f t="shared" si="37"/>
        <v>2256</v>
      </c>
      <c r="K142" s="146" t="str">
        <f t="shared" si="48"/>
        <v>C</v>
      </c>
      <c r="L142" s="147">
        <f t="shared" si="38"/>
        <v>0</v>
      </c>
      <c r="M142" s="148">
        <f t="shared" si="39"/>
        <v>19.5</v>
      </c>
      <c r="N142" s="64">
        <f t="shared" si="40"/>
        <v>19</v>
      </c>
      <c r="O142" s="64">
        <f t="shared" si="41"/>
        <v>2275</v>
      </c>
      <c r="Q142" s="104">
        <f t="shared" si="42"/>
        <v>0</v>
      </c>
      <c r="R142" s="104" t="str">
        <f t="shared" si="43"/>
        <v>Not Applicable</v>
      </c>
      <c r="S142" s="149" t="s">
        <v>815</v>
      </c>
      <c r="T142" s="149">
        <f>IF(O142=0,0,IF(S142="N",0,VLOOKUP(B142,'Enrollment 25-26'!$B$8:$K$332,9,FALSE)))</f>
        <v>0</v>
      </c>
      <c r="U142" s="64">
        <f t="shared" si="44"/>
        <v>2275</v>
      </c>
      <c r="V142" s="128">
        <f t="shared" si="45"/>
        <v>116.66666666666667</v>
      </c>
      <c r="W142" s="150"/>
      <c r="X142" s="64">
        <f>IFERROR(VLOOKUP($B142,'Allocations 2025-26'!$B$9:$U$329,14,FALSE),0)</f>
        <v>2676</v>
      </c>
      <c r="Y142" s="99">
        <f t="shared" si="46"/>
        <v>-401</v>
      </c>
      <c r="Z142" s="132">
        <f t="shared" si="47"/>
        <v>-0.14985052316890882</v>
      </c>
      <c r="AA142" s="151" t="str">
        <f t="shared" si="49"/>
        <v>C</v>
      </c>
      <c r="AC142" s="64"/>
      <c r="AE142" s="152"/>
      <c r="AH142" s="153"/>
      <c r="AI142" s="153"/>
      <c r="AJ142" s="153"/>
      <c r="AK142" s="154"/>
    </row>
    <row r="143" spans="1:37" x14ac:dyDescent="0.25">
      <c r="A143" s="142" t="s">
        <v>497</v>
      </c>
      <c r="B143" t="s">
        <v>604</v>
      </c>
      <c r="C143" t="s">
        <v>141</v>
      </c>
      <c r="D143" s="143">
        <f>IFERROR(VLOOKUP(B143,'Enrollment 26-27'!$B$5:$I$332,8,FALSE),0)</f>
        <v>3</v>
      </c>
      <c r="E143" s="64">
        <f t="shared" si="34"/>
        <v>347</v>
      </c>
      <c r="F143" s="144">
        <v>0</v>
      </c>
      <c r="G143" s="144">
        <v>0</v>
      </c>
      <c r="H143" s="64">
        <f t="shared" si="35"/>
        <v>347</v>
      </c>
      <c r="I143" s="64">
        <f t="shared" si="36"/>
        <v>0</v>
      </c>
      <c r="J143" s="145">
        <f t="shared" si="37"/>
        <v>347</v>
      </c>
      <c r="K143" s="146" t="str">
        <f t="shared" si="48"/>
        <v>N</v>
      </c>
      <c r="L143" s="147">
        <f t="shared" si="38"/>
        <v>347</v>
      </c>
      <c r="M143" s="148">
        <f t="shared" si="39"/>
        <v>0</v>
      </c>
      <c r="N143" s="64">
        <f t="shared" si="40"/>
        <v>0</v>
      </c>
      <c r="O143" s="64">
        <f t="shared" si="41"/>
        <v>0</v>
      </c>
      <c r="Q143" s="104">
        <f t="shared" si="42"/>
        <v>0</v>
      </c>
      <c r="R143" s="104" t="str">
        <f t="shared" si="43"/>
        <v>Not Applicable</v>
      </c>
      <c r="S143" s="149" t="s">
        <v>815</v>
      </c>
      <c r="T143" s="149">
        <f>IF(O143=0,0,IF(S143="N",0,VLOOKUP(B143,'Enrollment 25-26'!$B$8:$K$332,9,FALSE)))</f>
        <v>0</v>
      </c>
      <c r="U143" s="64">
        <f t="shared" si="44"/>
        <v>0</v>
      </c>
      <c r="V143" s="128">
        <f t="shared" si="45"/>
        <v>0</v>
      </c>
      <c r="W143" s="150"/>
      <c r="X143" s="64">
        <f>IFERROR(VLOOKUP($B143,'Allocations 2025-26'!$B$9:$U$329,14,FALSE),0)</f>
        <v>312</v>
      </c>
      <c r="Y143" s="99">
        <f t="shared" si="46"/>
        <v>-312</v>
      </c>
      <c r="Z143" s="132">
        <f t="shared" si="47"/>
        <v>-1</v>
      </c>
      <c r="AA143" s="151" t="str">
        <f t="shared" si="49"/>
        <v>N</v>
      </c>
      <c r="AC143" s="64"/>
      <c r="AE143" s="152"/>
      <c r="AH143" s="153"/>
      <c r="AI143" s="153"/>
      <c r="AJ143" s="153"/>
      <c r="AK143" s="154"/>
    </row>
    <row r="144" spans="1:37" x14ac:dyDescent="0.25">
      <c r="A144" s="142" t="s">
        <v>459</v>
      </c>
      <c r="B144" t="s">
        <v>605</v>
      </c>
      <c r="C144" t="s">
        <v>143</v>
      </c>
      <c r="D144" s="143">
        <f>IFERROR(VLOOKUP(B144,'Enrollment 26-27'!$B$5:$I$332,8,FALSE),0)</f>
        <v>13</v>
      </c>
      <c r="E144" s="64">
        <f t="shared" si="34"/>
        <v>1504</v>
      </c>
      <c r="F144" s="144">
        <v>0</v>
      </c>
      <c r="G144" s="144">
        <v>0</v>
      </c>
      <c r="H144" s="64">
        <f t="shared" si="35"/>
        <v>1504</v>
      </c>
      <c r="I144" s="64">
        <f t="shared" si="36"/>
        <v>0</v>
      </c>
      <c r="J144" s="145">
        <f t="shared" si="37"/>
        <v>1504</v>
      </c>
      <c r="K144" s="146" t="str">
        <f t="shared" si="48"/>
        <v>N</v>
      </c>
      <c r="L144" s="147">
        <f t="shared" si="38"/>
        <v>1504</v>
      </c>
      <c r="M144" s="148">
        <f t="shared" si="39"/>
        <v>0</v>
      </c>
      <c r="N144" s="64">
        <f t="shared" si="40"/>
        <v>0</v>
      </c>
      <c r="O144" s="64">
        <f t="shared" si="41"/>
        <v>0</v>
      </c>
      <c r="Q144" s="104">
        <f t="shared" si="42"/>
        <v>0</v>
      </c>
      <c r="R144" s="104" t="str">
        <f t="shared" si="43"/>
        <v>Not Applicable</v>
      </c>
      <c r="S144" s="149" t="s">
        <v>815</v>
      </c>
      <c r="T144" s="149">
        <f>IF(O144=0,0,IF(S144="N",0,VLOOKUP(B144,'Enrollment 25-26'!$B$8:$K$332,9,FALSE)))</f>
        <v>0</v>
      </c>
      <c r="U144" s="64">
        <f t="shared" si="44"/>
        <v>0</v>
      </c>
      <c r="V144" s="128">
        <f t="shared" si="45"/>
        <v>0</v>
      </c>
      <c r="W144" s="150"/>
      <c r="X144" s="64">
        <f>IFERROR(VLOOKUP($B144,'Allocations 2025-26'!$B$9:$U$329,14,FALSE),0)</f>
        <v>0</v>
      </c>
      <c r="Y144" s="99">
        <f t="shared" si="46"/>
        <v>0</v>
      </c>
      <c r="Z144" s="132">
        <f t="shared" si="47"/>
        <v>0</v>
      </c>
      <c r="AA144" s="151" t="str">
        <f t="shared" si="49"/>
        <v>N</v>
      </c>
      <c r="AE144" s="152"/>
      <c r="AH144" s="153"/>
      <c r="AI144" s="153"/>
      <c r="AJ144" s="153"/>
      <c r="AK144" s="154"/>
    </row>
    <row r="145" spans="1:37" x14ac:dyDescent="0.25">
      <c r="A145" s="142" t="s">
        <v>446</v>
      </c>
      <c r="B145" t="s">
        <v>606</v>
      </c>
      <c r="C145" t="s">
        <v>144</v>
      </c>
      <c r="D145" s="143">
        <f>IFERROR(VLOOKUP(B145,'Enrollment 26-27'!$B$5:$I$332,8,FALSE),0)</f>
        <v>406.67</v>
      </c>
      <c r="E145" s="64">
        <f t="shared" si="34"/>
        <v>47059</v>
      </c>
      <c r="F145" s="144">
        <v>0</v>
      </c>
      <c r="G145" s="144">
        <v>0</v>
      </c>
      <c r="H145" s="64">
        <f t="shared" si="35"/>
        <v>47059</v>
      </c>
      <c r="I145" s="64">
        <f t="shared" si="36"/>
        <v>0</v>
      </c>
      <c r="J145" s="145">
        <f t="shared" si="37"/>
        <v>47059</v>
      </c>
      <c r="K145" s="146" t="str">
        <f t="shared" si="48"/>
        <v>Y</v>
      </c>
      <c r="L145" s="147">
        <f t="shared" si="38"/>
        <v>0</v>
      </c>
      <c r="M145" s="148">
        <f t="shared" si="39"/>
        <v>406.67</v>
      </c>
      <c r="N145" s="64">
        <f t="shared" si="40"/>
        <v>402</v>
      </c>
      <c r="O145" s="64">
        <f t="shared" si="41"/>
        <v>47461</v>
      </c>
      <c r="Q145" s="104">
        <f t="shared" si="42"/>
        <v>0</v>
      </c>
      <c r="R145" s="104" t="str">
        <f t="shared" si="43"/>
        <v>Not Applicable</v>
      </c>
      <c r="S145" s="149" t="s">
        <v>815</v>
      </c>
      <c r="T145" s="149">
        <f>IF(O145=0,0,IF(S145="N",0,VLOOKUP(B145,'Enrollment 25-26'!$B$8:$K$332,9,FALSE)))</f>
        <v>0</v>
      </c>
      <c r="U145" s="64">
        <f t="shared" si="44"/>
        <v>47461</v>
      </c>
      <c r="V145" s="128">
        <f t="shared" si="45"/>
        <v>116.70642043917672</v>
      </c>
      <c r="W145" s="150"/>
      <c r="X145" s="64">
        <f>IFERROR(VLOOKUP($B145,'Allocations 2025-26'!$B$9:$U$329,14,FALSE),0)</f>
        <v>53704</v>
      </c>
      <c r="Y145" s="99">
        <f t="shared" si="46"/>
        <v>-6243</v>
      </c>
      <c r="Z145" s="132">
        <f t="shared" si="47"/>
        <v>-0.11624832414717712</v>
      </c>
      <c r="AA145" s="151" t="str">
        <f t="shared" si="49"/>
        <v>Y</v>
      </c>
      <c r="AC145" s="64"/>
      <c r="AE145" s="152"/>
      <c r="AH145" s="153"/>
      <c r="AI145" s="153"/>
      <c r="AJ145" s="153"/>
      <c r="AK145" s="154"/>
    </row>
    <row r="146" spans="1:37" x14ac:dyDescent="0.25">
      <c r="A146" s="142" t="s">
        <v>471</v>
      </c>
      <c r="B146" t="s">
        <v>607</v>
      </c>
      <c r="C146" t="s">
        <v>145</v>
      </c>
      <c r="D146" s="143">
        <f>IFERROR(VLOOKUP(B146,'Enrollment 26-27'!$B$5:$I$332,8,FALSE),0)</f>
        <v>284.83999999999997</v>
      </c>
      <c r="E146" s="64">
        <f t="shared" si="34"/>
        <v>32961</v>
      </c>
      <c r="F146" s="144">
        <v>0</v>
      </c>
      <c r="G146" s="144">
        <v>0</v>
      </c>
      <c r="H146" s="64">
        <f t="shared" si="35"/>
        <v>32961</v>
      </c>
      <c r="I146" s="64">
        <f t="shared" si="36"/>
        <v>0</v>
      </c>
      <c r="J146" s="145">
        <f t="shared" si="37"/>
        <v>32961</v>
      </c>
      <c r="K146" s="146" t="str">
        <f t="shared" si="48"/>
        <v>Y</v>
      </c>
      <c r="L146" s="147">
        <f t="shared" si="38"/>
        <v>0</v>
      </c>
      <c r="M146" s="148">
        <f t="shared" si="39"/>
        <v>284.83999999999997</v>
      </c>
      <c r="N146" s="64">
        <f t="shared" si="40"/>
        <v>281</v>
      </c>
      <c r="O146" s="64">
        <f t="shared" si="41"/>
        <v>33242</v>
      </c>
      <c r="Q146" s="104">
        <f t="shared" si="42"/>
        <v>0</v>
      </c>
      <c r="R146" s="104" t="str">
        <f t="shared" si="43"/>
        <v>Not Applicable</v>
      </c>
      <c r="S146" s="149" t="s">
        <v>815</v>
      </c>
      <c r="T146" s="149">
        <f>IF(O146=0,0,IF(S146="N",0,VLOOKUP(B146,'Enrollment 25-26'!$B$8:$K$332,9,FALSE)))</f>
        <v>0</v>
      </c>
      <c r="U146" s="64">
        <f t="shared" si="44"/>
        <v>33242</v>
      </c>
      <c r="V146" s="128">
        <f t="shared" si="45"/>
        <v>116.70411459064739</v>
      </c>
      <c r="W146" s="150"/>
      <c r="X146" s="64">
        <f>IFERROR(VLOOKUP($B146,'Allocations 2025-26'!$B$9:$U$329,14,FALSE),0)</f>
        <v>34651</v>
      </c>
      <c r="Y146" s="99">
        <f t="shared" si="46"/>
        <v>-1409</v>
      </c>
      <c r="Z146" s="132">
        <f t="shared" si="47"/>
        <v>-4.0662607139765085E-2</v>
      </c>
      <c r="AA146" s="151" t="str">
        <f t="shared" si="49"/>
        <v>Y</v>
      </c>
      <c r="AC146" s="64"/>
      <c r="AE146" s="152"/>
      <c r="AH146" s="153"/>
      <c r="AI146" s="153"/>
      <c r="AJ146" s="153"/>
      <c r="AK146" s="154"/>
    </row>
    <row r="147" spans="1:37" x14ac:dyDescent="0.25">
      <c r="A147" s="142" t="s">
        <v>481</v>
      </c>
      <c r="B147" t="s">
        <v>608</v>
      </c>
      <c r="C147" t="s">
        <v>146</v>
      </c>
      <c r="D147" s="143">
        <f>IFERROR(VLOOKUP(B147,'Enrollment 26-27'!$B$5:$I$332,8,FALSE),0)</f>
        <v>12.67</v>
      </c>
      <c r="E147" s="64">
        <f t="shared" si="34"/>
        <v>1466</v>
      </c>
      <c r="F147" s="144">
        <v>0</v>
      </c>
      <c r="G147" s="144">
        <v>0</v>
      </c>
      <c r="H147" s="64">
        <f t="shared" si="35"/>
        <v>1466</v>
      </c>
      <c r="I147" s="64">
        <f t="shared" si="36"/>
        <v>0</v>
      </c>
      <c r="J147" s="145">
        <f t="shared" si="37"/>
        <v>1466</v>
      </c>
      <c r="K147" s="146" t="str">
        <f t="shared" si="48"/>
        <v>N</v>
      </c>
      <c r="L147" s="147">
        <f t="shared" si="38"/>
        <v>1466</v>
      </c>
      <c r="M147" s="148">
        <f t="shared" si="39"/>
        <v>0</v>
      </c>
      <c r="N147" s="64">
        <f t="shared" si="40"/>
        <v>0</v>
      </c>
      <c r="O147" s="64">
        <f t="shared" si="41"/>
        <v>0</v>
      </c>
      <c r="Q147" s="104">
        <f t="shared" si="42"/>
        <v>0</v>
      </c>
      <c r="R147" s="104" t="str">
        <f t="shared" si="43"/>
        <v>Not Applicable</v>
      </c>
      <c r="S147" s="149" t="s">
        <v>815</v>
      </c>
      <c r="T147" s="149">
        <f>IF(O147=0,0,IF(S147="N",0,VLOOKUP(B147,'Enrollment 25-26'!$B$8:$K$332,9,FALSE)))</f>
        <v>0</v>
      </c>
      <c r="U147" s="64">
        <f t="shared" si="44"/>
        <v>0</v>
      </c>
      <c r="V147" s="128">
        <f t="shared" si="45"/>
        <v>0</v>
      </c>
      <c r="W147" s="150"/>
      <c r="X147" s="64">
        <f>IFERROR(VLOOKUP($B147,'Allocations 2025-26'!$B$9:$U$329,14,FALSE),0)</f>
        <v>0</v>
      </c>
      <c r="Y147" s="99">
        <f t="shared" si="46"/>
        <v>0</v>
      </c>
      <c r="Z147" s="132">
        <f t="shared" si="47"/>
        <v>0</v>
      </c>
      <c r="AA147" s="151" t="str">
        <f t="shared" si="49"/>
        <v>N</v>
      </c>
      <c r="AC147" s="64"/>
      <c r="AE147" s="152"/>
      <c r="AH147" s="153"/>
      <c r="AI147" s="153"/>
      <c r="AJ147" s="153"/>
      <c r="AK147" s="154"/>
    </row>
    <row r="148" spans="1:37" x14ac:dyDescent="0.25">
      <c r="A148" s="142" t="s">
        <v>481</v>
      </c>
      <c r="B148" t="s">
        <v>609</v>
      </c>
      <c r="C148" t="s">
        <v>147</v>
      </c>
      <c r="D148" s="143">
        <f>IFERROR(VLOOKUP(B148,'Enrollment 26-27'!$B$5:$I$332,8,FALSE),0)</f>
        <v>196.32999999999998</v>
      </c>
      <c r="E148" s="64">
        <f t="shared" si="34"/>
        <v>22719</v>
      </c>
      <c r="F148" s="144">
        <v>0</v>
      </c>
      <c r="G148" s="144">
        <v>0</v>
      </c>
      <c r="H148" s="64">
        <f t="shared" si="35"/>
        <v>22719</v>
      </c>
      <c r="I148" s="64">
        <f t="shared" si="36"/>
        <v>0</v>
      </c>
      <c r="J148" s="145">
        <f t="shared" si="37"/>
        <v>22719</v>
      </c>
      <c r="K148" s="146" t="str">
        <f t="shared" si="48"/>
        <v>Y</v>
      </c>
      <c r="L148" s="147">
        <f t="shared" si="38"/>
        <v>0</v>
      </c>
      <c r="M148" s="148">
        <f t="shared" si="39"/>
        <v>196.32999999999998</v>
      </c>
      <c r="N148" s="64">
        <f t="shared" si="40"/>
        <v>194</v>
      </c>
      <c r="O148" s="64">
        <f t="shared" si="41"/>
        <v>22913</v>
      </c>
      <c r="Q148" s="104">
        <f t="shared" si="42"/>
        <v>0</v>
      </c>
      <c r="R148" s="104" t="str">
        <f t="shared" si="43"/>
        <v>Not Applicable</v>
      </c>
      <c r="S148" s="149" t="s">
        <v>815</v>
      </c>
      <c r="T148" s="149">
        <f>IF(O148=0,0,IF(S148="N",0,VLOOKUP(B148,'Enrollment 25-26'!$B$8:$K$332,9,FALSE)))</f>
        <v>0</v>
      </c>
      <c r="U148" s="64">
        <f t="shared" si="44"/>
        <v>22913</v>
      </c>
      <c r="V148" s="128">
        <f t="shared" si="45"/>
        <v>116.70656547649367</v>
      </c>
      <c r="W148" s="150"/>
      <c r="X148" s="64">
        <f>IFERROR(VLOOKUP($B148,'Allocations 2025-26'!$B$9:$U$329,14,FALSE),0)</f>
        <v>27194</v>
      </c>
      <c r="Y148" s="99">
        <f t="shared" si="46"/>
        <v>-4281</v>
      </c>
      <c r="Z148" s="132">
        <f t="shared" si="47"/>
        <v>-0.1574244318599691</v>
      </c>
      <c r="AA148" s="151" t="str">
        <f t="shared" si="49"/>
        <v>Y</v>
      </c>
      <c r="AE148" s="152"/>
      <c r="AH148" s="153"/>
      <c r="AI148" s="153"/>
      <c r="AJ148" s="153"/>
      <c r="AK148" s="154"/>
    </row>
    <row r="149" spans="1:37" x14ac:dyDescent="0.25">
      <c r="A149" s="142" t="s">
        <v>438</v>
      </c>
      <c r="B149" t="s">
        <v>610</v>
      </c>
      <c r="C149" t="s">
        <v>148</v>
      </c>
      <c r="D149" s="143">
        <f>IFERROR(VLOOKUP(B149,'Enrollment 26-27'!$B$5:$I$332,8,FALSE),0)</f>
        <v>26.5</v>
      </c>
      <c r="E149" s="64">
        <f t="shared" si="34"/>
        <v>3067</v>
      </c>
      <c r="F149" s="144">
        <v>0</v>
      </c>
      <c r="G149" s="144">
        <v>0</v>
      </c>
      <c r="H149" s="64">
        <f t="shared" si="35"/>
        <v>3067</v>
      </c>
      <c r="I149" s="64">
        <f t="shared" si="36"/>
        <v>0</v>
      </c>
      <c r="J149" s="145">
        <f t="shared" si="37"/>
        <v>3067</v>
      </c>
      <c r="K149" s="146" t="str">
        <f t="shared" si="48"/>
        <v>N</v>
      </c>
      <c r="L149" s="147">
        <f t="shared" si="38"/>
        <v>3067</v>
      </c>
      <c r="M149" s="148">
        <f t="shared" si="39"/>
        <v>0</v>
      </c>
      <c r="N149" s="64">
        <f t="shared" si="40"/>
        <v>0</v>
      </c>
      <c r="O149" s="64">
        <f t="shared" si="41"/>
        <v>0</v>
      </c>
      <c r="Q149" s="104">
        <f t="shared" si="42"/>
        <v>0</v>
      </c>
      <c r="R149" s="104" t="str">
        <f t="shared" si="43"/>
        <v>Not Applicable</v>
      </c>
      <c r="S149" s="149" t="s">
        <v>815</v>
      </c>
      <c r="T149" s="149">
        <f>IF(O149=0,0,IF(S149="N",0,VLOOKUP(B149,'Enrollment 25-26'!$B$8:$K$332,9,FALSE)))</f>
        <v>0</v>
      </c>
      <c r="U149" s="64">
        <f t="shared" si="44"/>
        <v>0</v>
      </c>
      <c r="V149" s="128">
        <f t="shared" si="45"/>
        <v>0</v>
      </c>
      <c r="W149" s="150"/>
      <c r="X149" s="64">
        <f>IFERROR(VLOOKUP($B149,'Allocations 2025-26'!$B$9:$U$329,14,FALSE),0)</f>
        <v>0</v>
      </c>
      <c r="Y149" s="99">
        <f t="shared" si="46"/>
        <v>0</v>
      </c>
      <c r="Z149" s="132">
        <f t="shared" si="47"/>
        <v>0</v>
      </c>
      <c r="AA149" s="151" t="str">
        <f t="shared" si="49"/>
        <v>N</v>
      </c>
      <c r="AC149" s="64"/>
      <c r="AE149" s="152"/>
      <c r="AH149" s="153"/>
      <c r="AI149" s="153"/>
      <c r="AJ149" s="153"/>
      <c r="AK149" s="154"/>
    </row>
    <row r="150" spans="1:37" x14ac:dyDescent="0.25">
      <c r="A150" s="142" t="s">
        <v>443</v>
      </c>
      <c r="B150" t="s">
        <v>611</v>
      </c>
      <c r="C150" t="s">
        <v>149</v>
      </c>
      <c r="D150" s="143">
        <f>IFERROR(VLOOKUP(B150,'Enrollment 26-27'!$B$5:$I$332,8,FALSE),0)</f>
        <v>0</v>
      </c>
      <c r="E150" s="64">
        <f t="shared" si="34"/>
        <v>0</v>
      </c>
      <c r="F150" s="144">
        <v>0</v>
      </c>
      <c r="G150" s="144">
        <v>0</v>
      </c>
      <c r="H150" s="64">
        <f t="shared" si="35"/>
        <v>0</v>
      </c>
      <c r="I150" s="64">
        <f t="shared" si="36"/>
        <v>0</v>
      </c>
      <c r="J150" s="145">
        <f t="shared" si="37"/>
        <v>0</v>
      </c>
      <c r="K150" s="146" t="str">
        <f t="shared" si="48"/>
        <v>N</v>
      </c>
      <c r="L150" s="147">
        <f t="shared" si="38"/>
        <v>0</v>
      </c>
      <c r="M150" s="148">
        <f t="shared" si="39"/>
        <v>0</v>
      </c>
      <c r="N150" s="64">
        <f t="shared" si="40"/>
        <v>0</v>
      </c>
      <c r="O150" s="64">
        <f t="shared" si="41"/>
        <v>0</v>
      </c>
      <c r="Q150" s="104">
        <f t="shared" si="42"/>
        <v>0</v>
      </c>
      <c r="R150" s="104" t="str">
        <f t="shared" si="43"/>
        <v>Not Applicable</v>
      </c>
      <c r="S150" s="149" t="s">
        <v>815</v>
      </c>
      <c r="T150" s="149">
        <f>IF(O150=0,0,IF(S150="N",0,VLOOKUP(B150,'Enrollment 25-26'!$B$8:$K$332,9,FALSE)))</f>
        <v>0</v>
      </c>
      <c r="U150" s="64">
        <f t="shared" si="44"/>
        <v>0</v>
      </c>
      <c r="V150" s="128">
        <f t="shared" si="45"/>
        <v>0</v>
      </c>
      <c r="W150" s="150"/>
      <c r="X150" s="64">
        <f>IFERROR(VLOOKUP($B150,'Allocations 2025-26'!$B$9:$U$329,14,FALSE),0)</f>
        <v>0</v>
      </c>
      <c r="Y150" s="99">
        <f t="shared" si="46"/>
        <v>0</v>
      </c>
      <c r="Z150" s="132">
        <f t="shared" si="47"/>
        <v>0</v>
      </c>
      <c r="AA150" s="151" t="str">
        <f t="shared" si="49"/>
        <v>N</v>
      </c>
      <c r="AC150" s="64"/>
      <c r="AE150" s="152"/>
      <c r="AH150" s="153"/>
      <c r="AI150" s="153"/>
      <c r="AJ150" s="153"/>
      <c r="AK150" s="154"/>
    </row>
    <row r="151" spans="1:37" x14ac:dyDescent="0.25">
      <c r="A151" s="142" t="s">
        <v>446</v>
      </c>
      <c r="B151" t="s">
        <v>612</v>
      </c>
      <c r="C151" t="s">
        <v>150</v>
      </c>
      <c r="D151" s="143">
        <f>IFERROR(VLOOKUP(B151,'Enrollment 26-27'!$B$5:$I$332,8,FALSE),0)</f>
        <v>1574.5</v>
      </c>
      <c r="E151" s="64">
        <f t="shared" si="34"/>
        <v>182198</v>
      </c>
      <c r="F151" s="144">
        <v>0</v>
      </c>
      <c r="G151" s="144">
        <v>0</v>
      </c>
      <c r="H151" s="64">
        <f t="shared" si="35"/>
        <v>182198</v>
      </c>
      <c r="I151" s="64">
        <f t="shared" si="36"/>
        <v>0</v>
      </c>
      <c r="J151" s="145">
        <f t="shared" si="37"/>
        <v>182198</v>
      </c>
      <c r="K151" s="146" t="str">
        <f t="shared" si="48"/>
        <v>Y</v>
      </c>
      <c r="L151" s="147">
        <f t="shared" si="38"/>
        <v>0</v>
      </c>
      <c r="M151" s="148">
        <f t="shared" si="39"/>
        <v>1574.5</v>
      </c>
      <c r="N151" s="64">
        <f t="shared" si="40"/>
        <v>1555</v>
      </c>
      <c r="O151" s="64">
        <f t="shared" si="41"/>
        <v>183753</v>
      </c>
      <c r="Q151" s="104">
        <f t="shared" si="42"/>
        <v>0</v>
      </c>
      <c r="R151" s="104" t="str">
        <f t="shared" si="43"/>
        <v>Not Applicable</v>
      </c>
      <c r="S151" s="149" t="s">
        <v>815</v>
      </c>
      <c r="T151" s="149">
        <f>IF(O151=0,0,IF(S151="N",0,VLOOKUP(B151,'Enrollment 25-26'!$B$8:$K$332,9,FALSE)))</f>
        <v>0</v>
      </c>
      <c r="U151" s="64">
        <f t="shared" si="44"/>
        <v>183753</v>
      </c>
      <c r="V151" s="128">
        <f t="shared" si="45"/>
        <v>116.70562083201017</v>
      </c>
      <c r="W151" s="150"/>
      <c r="X151" s="64">
        <f>IFERROR(VLOOKUP($B151,'Allocations 2025-26'!$B$9:$U$329,14,FALSE),0)</f>
        <v>152270</v>
      </c>
      <c r="Y151" s="99">
        <f t="shared" si="46"/>
        <v>31483</v>
      </c>
      <c r="Z151" s="132">
        <f t="shared" si="47"/>
        <v>0.20675773297432193</v>
      </c>
      <c r="AA151" s="151" t="str">
        <f t="shared" si="49"/>
        <v>Y</v>
      </c>
      <c r="AC151" s="64"/>
      <c r="AE151" s="152"/>
      <c r="AH151" s="153"/>
      <c r="AI151" s="153"/>
      <c r="AJ151" s="153"/>
      <c r="AK151" s="154"/>
    </row>
    <row r="152" spans="1:37" x14ac:dyDescent="0.25">
      <c r="A152" s="142" t="s">
        <v>438</v>
      </c>
      <c r="B152" t="s">
        <v>613</v>
      </c>
      <c r="C152" t="s">
        <v>151</v>
      </c>
      <c r="D152" s="143">
        <f>IFERROR(VLOOKUP(B152,'Enrollment 26-27'!$B$5:$I$332,8,FALSE),0)</f>
        <v>1.83</v>
      </c>
      <c r="E152" s="64">
        <f t="shared" si="34"/>
        <v>212</v>
      </c>
      <c r="F152" s="144">
        <v>0</v>
      </c>
      <c r="G152" s="144">
        <v>0</v>
      </c>
      <c r="H152" s="64">
        <f t="shared" si="35"/>
        <v>212</v>
      </c>
      <c r="I152" s="64">
        <f t="shared" si="36"/>
        <v>0</v>
      </c>
      <c r="J152" s="145">
        <f t="shared" si="37"/>
        <v>212</v>
      </c>
      <c r="K152" s="146" t="str">
        <f t="shared" si="48"/>
        <v>N</v>
      </c>
      <c r="L152" s="147">
        <f t="shared" si="38"/>
        <v>212</v>
      </c>
      <c r="M152" s="148">
        <f t="shared" si="39"/>
        <v>0</v>
      </c>
      <c r="N152" s="64">
        <f t="shared" si="40"/>
        <v>0</v>
      </c>
      <c r="O152" s="64">
        <f t="shared" si="41"/>
        <v>0</v>
      </c>
      <c r="Q152" s="104">
        <f t="shared" si="42"/>
        <v>0</v>
      </c>
      <c r="R152" s="104" t="str">
        <f t="shared" si="43"/>
        <v>Not Applicable</v>
      </c>
      <c r="S152" s="149" t="s">
        <v>815</v>
      </c>
      <c r="T152" s="149">
        <f>IF(O152=0,0,IF(S152="N",0,VLOOKUP(B152,'Enrollment 25-26'!$B$8:$K$332,9,FALSE)))</f>
        <v>0</v>
      </c>
      <c r="U152" s="64">
        <f t="shared" si="44"/>
        <v>0</v>
      </c>
      <c r="V152" s="128">
        <f t="shared" si="45"/>
        <v>0</v>
      </c>
      <c r="W152" s="150"/>
      <c r="X152" s="64">
        <f>IFERROR(VLOOKUP($B152,'Allocations 2025-26'!$B$9:$U$329,14,FALSE),0)</f>
        <v>0</v>
      </c>
      <c r="Y152" s="99">
        <f t="shared" si="46"/>
        <v>0</v>
      </c>
      <c r="Z152" s="132">
        <f t="shared" si="47"/>
        <v>0</v>
      </c>
      <c r="AA152" s="151" t="str">
        <f t="shared" si="49"/>
        <v>N</v>
      </c>
      <c r="AC152" s="64"/>
      <c r="AE152" s="152"/>
      <c r="AH152" s="153"/>
      <c r="AI152" s="153"/>
      <c r="AJ152" s="153"/>
      <c r="AK152" s="154"/>
    </row>
    <row r="153" spans="1:37" x14ac:dyDescent="0.25">
      <c r="A153" s="142" t="s">
        <v>443</v>
      </c>
      <c r="B153" t="s">
        <v>614</v>
      </c>
      <c r="C153" t="s">
        <v>152</v>
      </c>
      <c r="D153" s="143">
        <f>IFERROR(VLOOKUP(B153,'Enrollment 26-27'!$B$5:$I$332,8,FALSE),0)</f>
        <v>466.16</v>
      </c>
      <c r="E153" s="64">
        <f t="shared" si="34"/>
        <v>53943</v>
      </c>
      <c r="F153" s="144">
        <v>0</v>
      </c>
      <c r="G153" s="144">
        <v>0</v>
      </c>
      <c r="H153" s="64">
        <f t="shared" si="35"/>
        <v>53943</v>
      </c>
      <c r="I153" s="64">
        <f t="shared" si="36"/>
        <v>0</v>
      </c>
      <c r="J153" s="145">
        <f t="shared" si="37"/>
        <v>53943</v>
      </c>
      <c r="K153" s="146" t="str">
        <f t="shared" si="48"/>
        <v>Y</v>
      </c>
      <c r="L153" s="147">
        <f t="shared" si="38"/>
        <v>0</v>
      </c>
      <c r="M153" s="148">
        <f t="shared" si="39"/>
        <v>466.16</v>
      </c>
      <c r="N153" s="64">
        <f t="shared" si="40"/>
        <v>460</v>
      </c>
      <c r="O153" s="64">
        <f t="shared" si="41"/>
        <v>54403</v>
      </c>
      <c r="Q153" s="104">
        <f t="shared" si="42"/>
        <v>0</v>
      </c>
      <c r="R153" s="104" t="str">
        <f t="shared" si="43"/>
        <v>Not Applicable</v>
      </c>
      <c r="S153" s="149" t="s">
        <v>815</v>
      </c>
      <c r="T153" s="149">
        <f>IF(O153=0,0,IF(S153="N",0,VLOOKUP(B153,'Enrollment 25-26'!$B$8:$K$332,9,FALSE)))</f>
        <v>0</v>
      </c>
      <c r="U153" s="64">
        <f t="shared" si="44"/>
        <v>54403</v>
      </c>
      <c r="V153" s="128">
        <f t="shared" si="45"/>
        <v>116.7045649562382</v>
      </c>
      <c r="W153" s="150"/>
      <c r="X153" s="64">
        <f>IFERROR(VLOOKUP($B153,'Allocations 2025-26'!$B$9:$U$329,14,FALSE),0)</f>
        <v>55286</v>
      </c>
      <c r="Y153" s="99">
        <f t="shared" si="46"/>
        <v>-883</v>
      </c>
      <c r="Z153" s="132">
        <f t="shared" si="47"/>
        <v>-1.5971493687371125E-2</v>
      </c>
      <c r="AA153" s="151" t="str">
        <f t="shared" si="49"/>
        <v>Y</v>
      </c>
      <c r="AC153" s="64"/>
      <c r="AE153" s="152"/>
      <c r="AH153" s="153"/>
      <c r="AI153" s="153"/>
      <c r="AJ153" s="153"/>
      <c r="AK153" s="154"/>
    </row>
    <row r="154" spans="1:37" x14ac:dyDescent="0.25">
      <c r="A154" s="142" t="s">
        <v>443</v>
      </c>
      <c r="B154" t="s">
        <v>615</v>
      </c>
      <c r="C154" t="s">
        <v>153</v>
      </c>
      <c r="D154" s="143">
        <f>IFERROR(VLOOKUP(B154,'Enrollment 26-27'!$B$5:$I$332,8,FALSE),0)</f>
        <v>29.840000000000003</v>
      </c>
      <c r="E154" s="64">
        <f t="shared" si="34"/>
        <v>3453</v>
      </c>
      <c r="F154" s="144">
        <v>0</v>
      </c>
      <c r="G154" s="144">
        <v>0</v>
      </c>
      <c r="H154" s="64">
        <f t="shared" si="35"/>
        <v>3453</v>
      </c>
      <c r="I154" s="64">
        <f t="shared" si="36"/>
        <v>0</v>
      </c>
      <c r="J154" s="145">
        <f t="shared" si="37"/>
        <v>3453</v>
      </c>
      <c r="K154" s="146" t="str">
        <f t="shared" si="48"/>
        <v>N</v>
      </c>
      <c r="L154" s="147">
        <f t="shared" si="38"/>
        <v>3453</v>
      </c>
      <c r="M154" s="148">
        <f t="shared" si="39"/>
        <v>0</v>
      </c>
      <c r="N154" s="64">
        <f t="shared" si="40"/>
        <v>0</v>
      </c>
      <c r="O154" s="64">
        <f t="shared" si="41"/>
        <v>0</v>
      </c>
      <c r="Q154" s="104">
        <f t="shared" si="42"/>
        <v>0</v>
      </c>
      <c r="R154" s="104" t="str">
        <f t="shared" si="43"/>
        <v>Not Applicable</v>
      </c>
      <c r="S154" s="149" t="s">
        <v>815</v>
      </c>
      <c r="T154" s="149">
        <f>IF(O154=0,0,IF(S154="N",0,VLOOKUP(B154,'Enrollment 25-26'!$B$8:$K$332,9,FALSE)))</f>
        <v>0</v>
      </c>
      <c r="U154" s="64">
        <f t="shared" si="44"/>
        <v>0</v>
      </c>
      <c r="V154" s="128">
        <f t="shared" si="45"/>
        <v>0</v>
      </c>
      <c r="W154" s="150"/>
      <c r="X154" s="64">
        <f>IFERROR(VLOOKUP($B154,'Allocations 2025-26'!$B$9:$U$329,14,FALSE),0)</f>
        <v>0</v>
      </c>
      <c r="Y154" s="99">
        <f t="shared" si="46"/>
        <v>0</v>
      </c>
      <c r="Z154" s="132">
        <f t="shared" si="47"/>
        <v>0</v>
      </c>
      <c r="AA154" s="151" t="str">
        <f t="shared" si="49"/>
        <v>N</v>
      </c>
      <c r="AC154" s="64"/>
      <c r="AE154" s="152"/>
      <c r="AH154" s="153"/>
      <c r="AI154" s="153"/>
      <c r="AJ154" s="153"/>
      <c r="AK154" s="154"/>
    </row>
    <row r="155" spans="1:37" x14ac:dyDescent="0.25">
      <c r="A155" s="142" t="s">
        <v>454</v>
      </c>
      <c r="B155" t="s">
        <v>616</v>
      </c>
      <c r="C155" t="s">
        <v>154</v>
      </c>
      <c r="D155" s="143">
        <f>IFERROR(VLOOKUP(B155,'Enrollment 26-27'!$B$5:$I$332,8,FALSE),0)</f>
        <v>146.5</v>
      </c>
      <c r="E155" s="64">
        <f t="shared" si="34"/>
        <v>16953</v>
      </c>
      <c r="F155" s="144">
        <v>0</v>
      </c>
      <c r="G155" s="144">
        <v>0</v>
      </c>
      <c r="H155" s="64">
        <f t="shared" si="35"/>
        <v>16953</v>
      </c>
      <c r="I155" s="64">
        <f t="shared" si="36"/>
        <v>0</v>
      </c>
      <c r="J155" s="145">
        <f t="shared" si="37"/>
        <v>16953</v>
      </c>
      <c r="K155" s="146" t="str">
        <f t="shared" si="48"/>
        <v>Y</v>
      </c>
      <c r="L155" s="147">
        <f t="shared" si="38"/>
        <v>0</v>
      </c>
      <c r="M155" s="148">
        <f t="shared" si="39"/>
        <v>146.5</v>
      </c>
      <c r="N155" s="64">
        <f t="shared" si="40"/>
        <v>145</v>
      </c>
      <c r="O155" s="64">
        <f t="shared" si="41"/>
        <v>17098</v>
      </c>
      <c r="Q155" s="104">
        <f t="shared" si="42"/>
        <v>0</v>
      </c>
      <c r="R155" s="104" t="str">
        <f t="shared" si="43"/>
        <v>Not Applicable</v>
      </c>
      <c r="S155" s="149" t="s">
        <v>815</v>
      </c>
      <c r="T155" s="149">
        <f>IF(O155=0,0,IF(S155="N",0,VLOOKUP(B155,'Enrollment 25-26'!$B$8:$K$332,9,FALSE)))</f>
        <v>0</v>
      </c>
      <c r="U155" s="64">
        <f t="shared" si="44"/>
        <v>17098</v>
      </c>
      <c r="V155" s="128">
        <f t="shared" si="45"/>
        <v>116.7098976109215</v>
      </c>
      <c r="W155" s="150"/>
      <c r="X155" s="64">
        <f>IFERROR(VLOOKUP($B155,'Allocations 2025-26'!$B$9:$U$329,14,FALSE),0)</f>
        <v>16730</v>
      </c>
      <c r="Y155" s="99">
        <f t="shared" si="46"/>
        <v>368</v>
      </c>
      <c r="Z155" s="132">
        <f t="shared" si="47"/>
        <v>2.199641362821279E-2</v>
      </c>
      <c r="AA155" s="151" t="str">
        <f t="shared" si="49"/>
        <v>Y</v>
      </c>
      <c r="AC155" s="64"/>
      <c r="AE155" s="152"/>
      <c r="AH155" s="153"/>
      <c r="AI155" s="153"/>
      <c r="AJ155" s="153"/>
      <c r="AK155" s="154"/>
    </row>
    <row r="156" spans="1:37" x14ac:dyDescent="0.25">
      <c r="A156" s="142" t="s">
        <v>446</v>
      </c>
      <c r="B156" t="s">
        <v>617</v>
      </c>
      <c r="C156" t="s">
        <v>155</v>
      </c>
      <c r="D156" s="143">
        <f>IFERROR(VLOOKUP(B156,'Enrollment 26-27'!$B$5:$I$332,8,FALSE),0)</f>
        <v>267.83999999999997</v>
      </c>
      <c r="E156" s="64">
        <f t="shared" si="34"/>
        <v>30994</v>
      </c>
      <c r="F156" s="144">
        <v>0</v>
      </c>
      <c r="G156" s="144">
        <v>0</v>
      </c>
      <c r="H156" s="64">
        <f t="shared" si="35"/>
        <v>30994</v>
      </c>
      <c r="I156" s="64">
        <f t="shared" si="36"/>
        <v>0</v>
      </c>
      <c r="J156" s="145">
        <f t="shared" si="37"/>
        <v>30994</v>
      </c>
      <c r="K156" s="146" t="str">
        <f t="shared" si="48"/>
        <v>Y</v>
      </c>
      <c r="L156" s="147">
        <f t="shared" si="38"/>
        <v>0</v>
      </c>
      <c r="M156" s="148">
        <f t="shared" si="39"/>
        <v>267.83999999999997</v>
      </c>
      <c r="N156" s="64">
        <f t="shared" si="40"/>
        <v>264</v>
      </c>
      <c r="O156" s="64">
        <f t="shared" si="41"/>
        <v>31258</v>
      </c>
      <c r="Q156" s="104">
        <f t="shared" si="42"/>
        <v>0</v>
      </c>
      <c r="R156" s="104" t="str">
        <f t="shared" si="43"/>
        <v>Not Applicable</v>
      </c>
      <c r="S156" s="149" t="s">
        <v>815</v>
      </c>
      <c r="T156" s="149">
        <f>IF(O156=0,0,IF(S156="N",0,VLOOKUP(B156,'Enrollment 25-26'!$B$8:$K$332,9,FALSE)))</f>
        <v>0</v>
      </c>
      <c r="U156" s="64">
        <f t="shared" si="44"/>
        <v>31258</v>
      </c>
      <c r="V156" s="128">
        <f t="shared" si="45"/>
        <v>116.70400238948628</v>
      </c>
      <c r="W156" s="150"/>
      <c r="X156" s="64">
        <f>IFERROR(VLOOKUP($B156,'Allocations 2025-26'!$B$9:$U$329,14,FALSE),0)</f>
        <v>33128</v>
      </c>
      <c r="Y156" s="99">
        <f t="shared" si="46"/>
        <v>-1870</v>
      </c>
      <c r="Z156" s="132">
        <f t="shared" si="47"/>
        <v>-5.6447717942525961E-2</v>
      </c>
      <c r="AA156" s="151" t="str">
        <f t="shared" si="49"/>
        <v>Y</v>
      </c>
      <c r="AC156" s="64"/>
      <c r="AE156" s="152"/>
      <c r="AH156" s="153"/>
      <c r="AI156" s="153"/>
      <c r="AJ156" s="153"/>
      <c r="AK156" s="154"/>
    </row>
    <row r="157" spans="1:37" x14ac:dyDescent="0.25">
      <c r="A157" s="142" t="s">
        <v>481</v>
      </c>
      <c r="B157" t="s">
        <v>618</v>
      </c>
      <c r="C157" t="s">
        <v>156</v>
      </c>
      <c r="D157" s="143">
        <f>IFERROR(VLOOKUP(B157,'Enrollment 26-27'!$B$5:$I$332,8,FALSE),0)</f>
        <v>22</v>
      </c>
      <c r="E157" s="64">
        <f t="shared" si="34"/>
        <v>2546</v>
      </c>
      <c r="F157" s="144">
        <v>0</v>
      </c>
      <c r="G157" s="144">
        <v>0</v>
      </c>
      <c r="H157" s="64">
        <f t="shared" si="35"/>
        <v>2546</v>
      </c>
      <c r="I157" s="64">
        <f t="shared" si="36"/>
        <v>0</v>
      </c>
      <c r="J157" s="145">
        <f t="shared" si="37"/>
        <v>2546</v>
      </c>
      <c r="K157" s="146" t="str">
        <f t="shared" si="48"/>
        <v>C</v>
      </c>
      <c r="L157" s="147">
        <f t="shared" si="38"/>
        <v>0</v>
      </c>
      <c r="M157" s="148">
        <f t="shared" si="39"/>
        <v>22</v>
      </c>
      <c r="N157" s="64">
        <f t="shared" si="40"/>
        <v>22</v>
      </c>
      <c r="O157" s="64">
        <f t="shared" si="41"/>
        <v>2568</v>
      </c>
      <c r="Q157" s="104">
        <f t="shared" si="42"/>
        <v>0</v>
      </c>
      <c r="R157" s="104" t="str">
        <f t="shared" si="43"/>
        <v>Not Applicable</v>
      </c>
      <c r="S157" s="149" t="s">
        <v>815</v>
      </c>
      <c r="T157" s="149">
        <f>IF(O157=0,0,IF(S157="N",0,VLOOKUP(B157,'Enrollment 25-26'!$B$8:$K$332,9,FALSE)))</f>
        <v>0</v>
      </c>
      <c r="U157" s="64">
        <f t="shared" si="44"/>
        <v>2568</v>
      </c>
      <c r="V157" s="128">
        <f t="shared" si="45"/>
        <v>116.72727272727273</v>
      </c>
      <c r="W157" s="150"/>
      <c r="X157" s="64">
        <f>IFERROR(VLOOKUP($B157,'Allocations 2025-26'!$B$9:$U$329,14,FALSE),0)</f>
        <v>3358</v>
      </c>
      <c r="Y157" s="99">
        <f t="shared" si="46"/>
        <v>-790</v>
      </c>
      <c r="Z157" s="132">
        <f t="shared" si="47"/>
        <v>-0.23525908278737342</v>
      </c>
      <c r="AA157" s="151" t="str">
        <f t="shared" si="49"/>
        <v>C</v>
      </c>
      <c r="AC157" s="64"/>
      <c r="AE157" s="152"/>
      <c r="AH157" s="153"/>
      <c r="AI157" s="153"/>
      <c r="AJ157" s="153"/>
      <c r="AK157" s="154"/>
    </row>
    <row r="158" spans="1:37" x14ac:dyDescent="0.25">
      <c r="A158" s="142" t="s">
        <v>459</v>
      </c>
      <c r="B158" t="s">
        <v>619</v>
      </c>
      <c r="C158" t="s">
        <v>157</v>
      </c>
      <c r="D158" s="143">
        <f>IFERROR(VLOOKUP(B158,'Enrollment 26-27'!$B$5:$I$332,8,FALSE),0)</f>
        <v>0</v>
      </c>
      <c r="E158" s="64">
        <f t="shared" si="34"/>
        <v>0</v>
      </c>
      <c r="F158" s="144">
        <v>0</v>
      </c>
      <c r="G158" s="144">
        <v>0</v>
      </c>
      <c r="H158" s="64">
        <f t="shared" si="35"/>
        <v>0</v>
      </c>
      <c r="I158" s="64">
        <f t="shared" si="36"/>
        <v>0</v>
      </c>
      <c r="J158" s="145">
        <f t="shared" si="37"/>
        <v>0</v>
      </c>
      <c r="K158" s="146" t="str">
        <f t="shared" si="48"/>
        <v>N</v>
      </c>
      <c r="L158" s="147">
        <f t="shared" si="38"/>
        <v>0</v>
      </c>
      <c r="M158" s="148">
        <f t="shared" si="39"/>
        <v>0</v>
      </c>
      <c r="N158" s="64">
        <f t="shared" si="40"/>
        <v>0</v>
      </c>
      <c r="O158" s="64">
        <f t="shared" si="41"/>
        <v>0</v>
      </c>
      <c r="Q158" s="104">
        <f t="shared" si="42"/>
        <v>0</v>
      </c>
      <c r="R158" s="104" t="str">
        <f t="shared" si="43"/>
        <v>Not Applicable</v>
      </c>
      <c r="S158" s="149" t="s">
        <v>815</v>
      </c>
      <c r="T158" s="149">
        <f>IF(O158=0,0,IF(S158="N",0,VLOOKUP(B158,'Enrollment 25-26'!$B$8:$K$332,9,FALSE)))</f>
        <v>0</v>
      </c>
      <c r="U158" s="64">
        <f t="shared" si="44"/>
        <v>0</v>
      </c>
      <c r="V158" s="128">
        <f t="shared" si="45"/>
        <v>0</v>
      </c>
      <c r="W158" s="150"/>
      <c r="X158" s="64">
        <f>IFERROR(VLOOKUP($B158,'Allocations 2025-26'!$B$9:$U$329,14,FALSE),0)</f>
        <v>0</v>
      </c>
      <c r="Y158" s="99">
        <f t="shared" si="46"/>
        <v>0</v>
      </c>
      <c r="Z158" s="132">
        <f t="shared" si="47"/>
        <v>0</v>
      </c>
      <c r="AA158" s="151" t="str">
        <f t="shared" si="49"/>
        <v>N</v>
      </c>
      <c r="AC158" s="64"/>
      <c r="AE158" s="152"/>
      <c r="AH158" s="153"/>
      <c r="AI158" s="153"/>
      <c r="AJ158" s="153"/>
      <c r="AK158" s="154"/>
    </row>
    <row r="159" spans="1:37" x14ac:dyDescent="0.25">
      <c r="A159" s="142" t="s">
        <v>446</v>
      </c>
      <c r="B159" t="s">
        <v>620</v>
      </c>
      <c r="C159" t="s">
        <v>158</v>
      </c>
      <c r="D159" s="143">
        <f>IFERROR(VLOOKUP(B159,'Enrollment 26-27'!$B$5:$I$332,8,FALSE),0)</f>
        <v>794.17000000000007</v>
      </c>
      <c r="E159" s="64">
        <f t="shared" si="34"/>
        <v>91900</v>
      </c>
      <c r="F159" s="144">
        <v>0</v>
      </c>
      <c r="G159" s="144">
        <v>0</v>
      </c>
      <c r="H159" s="64">
        <f t="shared" si="35"/>
        <v>91900</v>
      </c>
      <c r="I159" s="64">
        <f t="shared" si="36"/>
        <v>0</v>
      </c>
      <c r="J159" s="145">
        <f t="shared" si="37"/>
        <v>91900</v>
      </c>
      <c r="K159" s="146" t="str">
        <f t="shared" si="48"/>
        <v>Y</v>
      </c>
      <c r="L159" s="147">
        <f t="shared" si="38"/>
        <v>0</v>
      </c>
      <c r="M159" s="148">
        <f t="shared" si="39"/>
        <v>794.17000000000007</v>
      </c>
      <c r="N159" s="64">
        <f t="shared" si="40"/>
        <v>784</v>
      </c>
      <c r="O159" s="64">
        <f t="shared" si="41"/>
        <v>92684</v>
      </c>
      <c r="Q159" s="104">
        <f t="shared" si="42"/>
        <v>0</v>
      </c>
      <c r="R159" s="104" t="str">
        <f t="shared" si="43"/>
        <v>Not Applicable</v>
      </c>
      <c r="S159" s="149" t="s">
        <v>815</v>
      </c>
      <c r="T159" s="149">
        <f>IF(O159=0,0,IF(S159="N",0,VLOOKUP(B159,'Enrollment 25-26'!$B$8:$K$332,9,FALSE)))</f>
        <v>0</v>
      </c>
      <c r="U159" s="64">
        <f t="shared" si="44"/>
        <v>92684</v>
      </c>
      <c r="V159" s="128">
        <f t="shared" si="45"/>
        <v>116.70549126761271</v>
      </c>
      <c r="W159" s="150"/>
      <c r="X159" s="64">
        <f>IFERROR(VLOOKUP($B159,'Allocations 2025-26'!$B$9:$U$329,14,FALSE),0)</f>
        <v>98174</v>
      </c>
      <c r="Y159" s="99">
        <f t="shared" si="46"/>
        <v>-5490</v>
      </c>
      <c r="Z159" s="132">
        <f t="shared" si="47"/>
        <v>-5.5921119644712448E-2</v>
      </c>
      <c r="AA159" s="151" t="str">
        <f t="shared" si="49"/>
        <v>Y</v>
      </c>
      <c r="AC159" s="64"/>
      <c r="AE159" s="152"/>
      <c r="AH159" s="153"/>
      <c r="AI159" s="153"/>
      <c r="AJ159" s="153"/>
      <c r="AK159" s="154"/>
    </row>
    <row r="160" spans="1:37" x14ac:dyDescent="0.25">
      <c r="A160" s="142" t="s">
        <v>438</v>
      </c>
      <c r="B160" t="s">
        <v>621</v>
      </c>
      <c r="C160" t="s">
        <v>159</v>
      </c>
      <c r="D160" s="143">
        <f>IFERROR(VLOOKUP(B160,'Enrollment 26-27'!$B$5:$I$332,8,FALSE),0)</f>
        <v>38.17</v>
      </c>
      <c r="E160" s="64">
        <f t="shared" si="34"/>
        <v>4417</v>
      </c>
      <c r="F160" s="144">
        <v>0</v>
      </c>
      <c r="G160" s="144">
        <v>0</v>
      </c>
      <c r="H160" s="64">
        <f t="shared" si="35"/>
        <v>4417</v>
      </c>
      <c r="I160" s="64">
        <f t="shared" si="36"/>
        <v>0</v>
      </c>
      <c r="J160" s="145">
        <f t="shared" si="37"/>
        <v>4417</v>
      </c>
      <c r="K160" s="146" t="str">
        <f t="shared" si="48"/>
        <v>N</v>
      </c>
      <c r="L160" s="147">
        <f t="shared" si="38"/>
        <v>4417</v>
      </c>
      <c r="M160" s="148">
        <f t="shared" si="39"/>
        <v>0</v>
      </c>
      <c r="N160" s="64">
        <f t="shared" si="40"/>
        <v>0</v>
      </c>
      <c r="O160" s="64">
        <f t="shared" si="41"/>
        <v>0</v>
      </c>
      <c r="Q160" s="104">
        <f t="shared" si="42"/>
        <v>0</v>
      </c>
      <c r="R160" s="104" t="str">
        <f t="shared" si="43"/>
        <v>Not Applicable</v>
      </c>
      <c r="S160" s="149" t="s">
        <v>815</v>
      </c>
      <c r="T160" s="149">
        <f>IF(O160=0,0,IF(S160="N",0,VLOOKUP(B160,'Enrollment 25-26'!$B$8:$K$332,9,FALSE)))</f>
        <v>0</v>
      </c>
      <c r="U160" s="64">
        <f t="shared" si="44"/>
        <v>0</v>
      </c>
      <c r="V160" s="128">
        <f t="shared" si="45"/>
        <v>0</v>
      </c>
      <c r="W160" s="150"/>
      <c r="X160" s="64">
        <f>IFERROR(VLOOKUP($B160,'Allocations 2025-26'!$B$9:$U$329,14,FALSE),0)</f>
        <v>0</v>
      </c>
      <c r="Y160" s="99">
        <f t="shared" si="46"/>
        <v>0</v>
      </c>
      <c r="Z160" s="132">
        <f t="shared" si="47"/>
        <v>0</v>
      </c>
      <c r="AA160" s="151" t="str">
        <f t="shared" si="49"/>
        <v>N</v>
      </c>
      <c r="AC160" s="64"/>
      <c r="AE160" s="152"/>
      <c r="AH160" s="153"/>
      <c r="AI160" s="153"/>
      <c r="AJ160" s="153"/>
      <c r="AK160" s="154"/>
    </row>
    <row r="161" spans="1:37" x14ac:dyDescent="0.25">
      <c r="A161" s="142" t="s">
        <v>438</v>
      </c>
      <c r="B161" t="s">
        <v>622</v>
      </c>
      <c r="C161" t="s">
        <v>160</v>
      </c>
      <c r="D161" s="143">
        <f>IFERROR(VLOOKUP(B161,'Enrollment 26-27'!$B$5:$I$332,8,FALSE),0)</f>
        <v>0.33</v>
      </c>
      <c r="E161" s="64">
        <f t="shared" si="34"/>
        <v>38</v>
      </c>
      <c r="F161" s="144">
        <v>0</v>
      </c>
      <c r="G161" s="144">
        <v>0</v>
      </c>
      <c r="H161" s="64">
        <f t="shared" si="35"/>
        <v>38</v>
      </c>
      <c r="I161" s="64">
        <f t="shared" si="36"/>
        <v>0</v>
      </c>
      <c r="J161" s="145">
        <f t="shared" si="37"/>
        <v>38</v>
      </c>
      <c r="K161" s="146" t="str">
        <f t="shared" si="48"/>
        <v>N</v>
      </c>
      <c r="L161" s="147">
        <f t="shared" si="38"/>
        <v>38</v>
      </c>
      <c r="M161" s="148">
        <f t="shared" si="39"/>
        <v>0</v>
      </c>
      <c r="N161" s="64">
        <f t="shared" si="40"/>
        <v>0</v>
      </c>
      <c r="O161" s="64">
        <f t="shared" si="41"/>
        <v>0</v>
      </c>
      <c r="Q161" s="104">
        <f t="shared" si="42"/>
        <v>0</v>
      </c>
      <c r="R161" s="104" t="str">
        <f t="shared" si="43"/>
        <v>Not Applicable</v>
      </c>
      <c r="S161" s="149" t="s">
        <v>815</v>
      </c>
      <c r="T161" s="149">
        <f>IF(O161=0,0,IF(S161="N",0,VLOOKUP(B161,'Enrollment 25-26'!$B$8:$K$332,9,FALSE)))</f>
        <v>0</v>
      </c>
      <c r="U161" s="64">
        <f t="shared" si="44"/>
        <v>0</v>
      </c>
      <c r="V161" s="128">
        <f t="shared" si="45"/>
        <v>0</v>
      </c>
      <c r="W161" s="150"/>
      <c r="X161" s="64">
        <f>IFERROR(VLOOKUP($B161,'Allocations 2025-26'!$B$9:$U$329,14,FALSE),0)</f>
        <v>0</v>
      </c>
      <c r="Y161" s="99">
        <f t="shared" si="46"/>
        <v>0</v>
      </c>
      <c r="Z161" s="132">
        <f t="shared" si="47"/>
        <v>0</v>
      </c>
      <c r="AA161" s="151" t="str">
        <f t="shared" si="49"/>
        <v>N</v>
      </c>
      <c r="AC161" s="64"/>
      <c r="AE161" s="152"/>
      <c r="AH161" s="153"/>
      <c r="AI161" s="153"/>
      <c r="AJ161" s="153"/>
      <c r="AK161" s="154"/>
    </row>
    <row r="162" spans="1:37" x14ac:dyDescent="0.25">
      <c r="A162" s="142" t="s">
        <v>481</v>
      </c>
      <c r="B162" t="s">
        <v>623</v>
      </c>
      <c r="C162" t="s">
        <v>161</v>
      </c>
      <c r="D162" s="143">
        <f>IFERROR(VLOOKUP(B162,'Enrollment 26-27'!$B$5:$I$332,8,FALSE),0)</f>
        <v>1167.5</v>
      </c>
      <c r="E162" s="64">
        <f t="shared" si="34"/>
        <v>135101</v>
      </c>
      <c r="F162" s="144">
        <v>0</v>
      </c>
      <c r="G162" s="144">
        <v>0</v>
      </c>
      <c r="H162" s="64">
        <f t="shared" si="35"/>
        <v>135101</v>
      </c>
      <c r="I162" s="64">
        <f t="shared" si="36"/>
        <v>0</v>
      </c>
      <c r="J162" s="145">
        <f t="shared" si="37"/>
        <v>135101</v>
      </c>
      <c r="K162" s="146" t="str">
        <f t="shared" si="48"/>
        <v>Y</v>
      </c>
      <c r="L162" s="147">
        <f t="shared" si="38"/>
        <v>0</v>
      </c>
      <c r="M162" s="148">
        <f t="shared" si="39"/>
        <v>1167.5</v>
      </c>
      <c r="N162" s="64">
        <f t="shared" si="40"/>
        <v>1153</v>
      </c>
      <c r="O162" s="64">
        <f t="shared" si="41"/>
        <v>136254</v>
      </c>
      <c r="Q162" s="104">
        <f t="shared" si="42"/>
        <v>0</v>
      </c>
      <c r="R162" s="104" t="str">
        <f t="shared" si="43"/>
        <v>Not Applicable</v>
      </c>
      <c r="S162" s="149" t="s">
        <v>815</v>
      </c>
      <c r="T162" s="149">
        <f>IF(O162=0,0,IF(S162="N",0,VLOOKUP(B162,'Enrollment 25-26'!$B$8:$K$332,9,FALSE)))</f>
        <v>0</v>
      </c>
      <c r="U162" s="64">
        <f t="shared" si="44"/>
        <v>136254</v>
      </c>
      <c r="V162" s="128">
        <f t="shared" si="45"/>
        <v>116.70578158458244</v>
      </c>
      <c r="W162" s="150"/>
      <c r="X162" s="64">
        <f>IFERROR(VLOOKUP($B162,'Allocations 2025-26'!$B$9:$U$329,14,FALSE),0)</f>
        <v>147760</v>
      </c>
      <c r="Y162" s="99">
        <f t="shared" si="46"/>
        <v>-11506</v>
      </c>
      <c r="Z162" s="132">
        <f t="shared" si="47"/>
        <v>-7.7869518137520299E-2</v>
      </c>
      <c r="AA162" s="151" t="str">
        <f t="shared" si="49"/>
        <v>Y</v>
      </c>
      <c r="AC162" s="64"/>
      <c r="AE162" s="152"/>
      <c r="AH162" s="153"/>
      <c r="AI162" s="153"/>
      <c r="AJ162" s="153"/>
      <c r="AK162" s="154"/>
    </row>
    <row r="163" spans="1:37" x14ac:dyDescent="0.25">
      <c r="A163" s="142" t="s">
        <v>438</v>
      </c>
      <c r="B163" t="s">
        <v>468</v>
      </c>
      <c r="C163" t="s">
        <v>162</v>
      </c>
      <c r="D163" s="143">
        <f>IFERROR(VLOOKUP(B163,'Enrollment 26-27'!$B$5:$I$332,8,FALSE),0)</f>
        <v>67.17</v>
      </c>
      <c r="E163" s="64">
        <f t="shared" si="34"/>
        <v>7773</v>
      </c>
      <c r="F163" s="144">
        <v>0</v>
      </c>
      <c r="G163" s="144">
        <v>0</v>
      </c>
      <c r="H163" s="64">
        <f t="shared" si="35"/>
        <v>7773</v>
      </c>
      <c r="I163" s="64">
        <f t="shared" si="36"/>
        <v>0</v>
      </c>
      <c r="J163" s="145">
        <f t="shared" si="37"/>
        <v>7773</v>
      </c>
      <c r="K163" s="146" t="str">
        <f t="shared" si="48"/>
        <v>C</v>
      </c>
      <c r="L163" s="147">
        <f t="shared" si="38"/>
        <v>0</v>
      </c>
      <c r="M163" s="148">
        <f t="shared" si="39"/>
        <v>67.17</v>
      </c>
      <c r="N163" s="64">
        <f t="shared" si="40"/>
        <v>66</v>
      </c>
      <c r="O163" s="64">
        <f t="shared" si="41"/>
        <v>7839</v>
      </c>
      <c r="Q163" s="104">
        <f t="shared" si="42"/>
        <v>0</v>
      </c>
      <c r="R163" s="104" t="str">
        <f t="shared" si="43"/>
        <v>Not Applicable</v>
      </c>
      <c r="S163" s="149" t="s">
        <v>815</v>
      </c>
      <c r="T163" s="149">
        <f>IF(O163=0,0,IF(S163="N",0,VLOOKUP(B163,'Enrollment 25-26'!$B$8:$K$332,9,FALSE)))</f>
        <v>0</v>
      </c>
      <c r="U163" s="64">
        <f t="shared" si="44"/>
        <v>7839</v>
      </c>
      <c r="V163" s="128">
        <f t="shared" si="45"/>
        <v>116.70388566324252</v>
      </c>
      <c r="W163" s="150"/>
      <c r="X163" s="64">
        <f>IFERROR(VLOOKUP($B163,'Allocations 2025-26'!$B$9:$U$329,14,FALSE),0)</f>
        <v>7985</v>
      </c>
      <c r="Y163" s="99">
        <f t="shared" si="46"/>
        <v>-146</v>
      </c>
      <c r="Z163" s="132">
        <f t="shared" si="47"/>
        <v>-1.8284283030682531E-2</v>
      </c>
      <c r="AA163" s="151" t="str">
        <f t="shared" si="49"/>
        <v>C</v>
      </c>
      <c r="AC163" s="64"/>
      <c r="AE163" s="152"/>
      <c r="AH163" s="153"/>
      <c r="AI163" s="153"/>
      <c r="AJ163" s="153"/>
      <c r="AK163" s="154"/>
    </row>
    <row r="164" spans="1:37" x14ac:dyDescent="0.25">
      <c r="A164" s="142" t="s">
        <v>471</v>
      </c>
      <c r="B164" t="s">
        <v>624</v>
      </c>
      <c r="C164" t="s">
        <v>163</v>
      </c>
      <c r="D164" s="143">
        <f>IFERROR(VLOOKUP(B164,'Enrollment 26-27'!$B$5:$I$332,8,FALSE),0)</f>
        <v>342.17333333333335</v>
      </c>
      <c r="E164" s="64">
        <f t="shared" si="34"/>
        <v>39596</v>
      </c>
      <c r="F164" s="144">
        <v>0</v>
      </c>
      <c r="G164" s="144">
        <v>0</v>
      </c>
      <c r="H164" s="64">
        <f t="shared" si="35"/>
        <v>39596</v>
      </c>
      <c r="I164" s="64">
        <f t="shared" si="36"/>
        <v>0</v>
      </c>
      <c r="J164" s="145">
        <f t="shared" si="37"/>
        <v>39596</v>
      </c>
      <c r="K164" s="146" t="str">
        <f t="shared" si="48"/>
        <v>Y</v>
      </c>
      <c r="L164" s="147">
        <f t="shared" si="38"/>
        <v>0</v>
      </c>
      <c r="M164" s="148">
        <f t="shared" si="39"/>
        <v>342.17333333333335</v>
      </c>
      <c r="N164" s="64">
        <f t="shared" si="40"/>
        <v>338</v>
      </c>
      <c r="O164" s="64">
        <f t="shared" si="41"/>
        <v>39934</v>
      </c>
      <c r="Q164" s="104">
        <f t="shared" si="42"/>
        <v>0</v>
      </c>
      <c r="R164" s="104" t="str">
        <f t="shared" si="43"/>
        <v>Not Applicable</v>
      </c>
      <c r="S164" s="149" t="s">
        <v>815</v>
      </c>
      <c r="T164" s="149">
        <f>IF(O164=0,0,IF(S164="N",0,VLOOKUP(B164,'Enrollment 25-26'!$B$8:$K$332,9,FALSE)))</f>
        <v>0</v>
      </c>
      <c r="U164" s="64">
        <f t="shared" si="44"/>
        <v>39934</v>
      </c>
      <c r="V164" s="128">
        <f t="shared" si="45"/>
        <v>116.70693215913961</v>
      </c>
      <c r="W164" s="150"/>
      <c r="X164" s="64">
        <f>IFERROR(VLOOKUP($B164,'Allocations 2025-26'!$B$9:$U$329,14,FALSE),0)</f>
        <v>46773</v>
      </c>
      <c r="Y164" s="99">
        <f t="shared" si="46"/>
        <v>-6839</v>
      </c>
      <c r="Z164" s="132">
        <f t="shared" si="47"/>
        <v>-0.14621683449853548</v>
      </c>
      <c r="AA164" s="151" t="str">
        <f t="shared" si="49"/>
        <v>Y</v>
      </c>
      <c r="AC164" s="64"/>
      <c r="AE164" s="152"/>
      <c r="AH164" s="153"/>
      <c r="AI164" s="153"/>
      <c r="AJ164" s="153"/>
      <c r="AK164" s="154"/>
    </row>
    <row r="165" spans="1:37" x14ac:dyDescent="0.25">
      <c r="A165" s="142" t="s">
        <v>446</v>
      </c>
      <c r="B165" t="s">
        <v>625</v>
      </c>
      <c r="C165" t="s">
        <v>164</v>
      </c>
      <c r="D165" s="143">
        <f>IFERROR(VLOOKUP(B165,'Enrollment 26-27'!$B$5:$I$332,8,FALSE),0)</f>
        <v>118.50333333333333</v>
      </c>
      <c r="E165" s="64">
        <f t="shared" si="34"/>
        <v>13713</v>
      </c>
      <c r="F165" s="144">
        <v>0</v>
      </c>
      <c r="G165" s="144">
        <v>0</v>
      </c>
      <c r="H165" s="64">
        <f t="shared" si="35"/>
        <v>13713</v>
      </c>
      <c r="I165" s="64">
        <f t="shared" si="36"/>
        <v>0</v>
      </c>
      <c r="J165" s="145">
        <f t="shared" si="37"/>
        <v>13713</v>
      </c>
      <c r="K165" s="146" t="str">
        <f t="shared" si="48"/>
        <v>Y</v>
      </c>
      <c r="L165" s="147">
        <f t="shared" si="38"/>
        <v>0</v>
      </c>
      <c r="M165" s="148">
        <f t="shared" si="39"/>
        <v>118.50333333333333</v>
      </c>
      <c r="N165" s="64">
        <f t="shared" si="40"/>
        <v>117</v>
      </c>
      <c r="O165" s="64">
        <f t="shared" si="41"/>
        <v>13830</v>
      </c>
      <c r="Q165" s="104">
        <f t="shared" si="42"/>
        <v>0</v>
      </c>
      <c r="R165" s="104" t="str">
        <f t="shared" si="43"/>
        <v>Not Applicable</v>
      </c>
      <c r="S165" s="149" t="s">
        <v>815</v>
      </c>
      <c r="T165" s="149">
        <f>IF(O165=0,0,IF(S165="N",0,VLOOKUP(B165,'Enrollment 25-26'!$B$8:$K$332,9,FALSE)))</f>
        <v>0</v>
      </c>
      <c r="U165" s="64">
        <f t="shared" si="44"/>
        <v>13830</v>
      </c>
      <c r="V165" s="128">
        <f t="shared" si="45"/>
        <v>116.70557790216871</v>
      </c>
      <c r="W165" s="150"/>
      <c r="X165" s="64">
        <f>IFERROR(VLOOKUP($B165,'Allocations 2025-26'!$B$9:$U$329,14,FALSE),0)</f>
        <v>16164</v>
      </c>
      <c r="Y165" s="99">
        <f t="shared" si="46"/>
        <v>-2334</v>
      </c>
      <c r="Z165" s="132">
        <f t="shared" si="47"/>
        <v>-0.14439495174461767</v>
      </c>
      <c r="AA165" s="151" t="str">
        <f t="shared" si="49"/>
        <v>Y</v>
      </c>
      <c r="AC165" s="64"/>
      <c r="AE165" s="152"/>
      <c r="AH165" s="153"/>
      <c r="AI165" s="153"/>
      <c r="AJ165" s="153"/>
      <c r="AK165" s="154"/>
    </row>
    <row r="166" spans="1:37" x14ac:dyDescent="0.25">
      <c r="A166" s="142" t="s">
        <v>459</v>
      </c>
      <c r="B166" t="s">
        <v>626</v>
      </c>
      <c r="C166" t="s">
        <v>165</v>
      </c>
      <c r="D166" s="143">
        <f>IFERROR(VLOOKUP(B166,'Enrollment 26-27'!$B$5:$I$332,8,FALSE),0)</f>
        <v>0</v>
      </c>
      <c r="E166" s="64">
        <f t="shared" si="34"/>
        <v>0</v>
      </c>
      <c r="F166" s="144">
        <v>0</v>
      </c>
      <c r="G166" s="144">
        <v>0</v>
      </c>
      <c r="H166" s="64">
        <f t="shared" si="35"/>
        <v>0</v>
      </c>
      <c r="I166" s="64">
        <f t="shared" si="36"/>
        <v>0</v>
      </c>
      <c r="J166" s="145">
        <f t="shared" si="37"/>
        <v>0</v>
      </c>
      <c r="K166" s="146" t="str">
        <f t="shared" si="48"/>
        <v>N</v>
      </c>
      <c r="L166" s="147">
        <f t="shared" si="38"/>
        <v>0</v>
      </c>
      <c r="M166" s="148">
        <f t="shared" si="39"/>
        <v>0</v>
      </c>
      <c r="N166" s="64">
        <f t="shared" si="40"/>
        <v>0</v>
      </c>
      <c r="O166" s="64">
        <f t="shared" si="41"/>
        <v>0</v>
      </c>
      <c r="Q166" s="104">
        <f t="shared" si="42"/>
        <v>0</v>
      </c>
      <c r="R166" s="104" t="str">
        <f t="shared" si="43"/>
        <v>Not Applicable</v>
      </c>
      <c r="S166" s="149" t="s">
        <v>815</v>
      </c>
      <c r="T166" s="149">
        <f>IF(O166=0,0,IF(S166="N",0,VLOOKUP(B166,'Enrollment 25-26'!$B$8:$K$332,9,FALSE)))</f>
        <v>0</v>
      </c>
      <c r="U166" s="64">
        <f t="shared" si="44"/>
        <v>0</v>
      </c>
      <c r="V166" s="128">
        <f t="shared" si="45"/>
        <v>0</v>
      </c>
      <c r="W166" s="150"/>
      <c r="X166" s="64">
        <f>IFERROR(VLOOKUP($B166,'Allocations 2025-26'!$B$9:$U$329,14,FALSE),0)</f>
        <v>0</v>
      </c>
      <c r="Y166" s="99">
        <f t="shared" si="46"/>
        <v>0</v>
      </c>
      <c r="Z166" s="132">
        <f t="shared" si="47"/>
        <v>0</v>
      </c>
      <c r="AA166" s="151" t="str">
        <f t="shared" si="49"/>
        <v>N</v>
      </c>
      <c r="AC166" s="64"/>
      <c r="AE166" s="152"/>
      <c r="AH166" s="153"/>
      <c r="AI166" s="153"/>
      <c r="AJ166" s="153"/>
      <c r="AK166" s="154"/>
    </row>
    <row r="167" spans="1:37" x14ac:dyDescent="0.25">
      <c r="A167" s="142" t="s">
        <v>446</v>
      </c>
      <c r="B167" t="s">
        <v>627</v>
      </c>
      <c r="C167" t="s">
        <v>166</v>
      </c>
      <c r="D167" s="143">
        <f>IFERROR(VLOOKUP(B167,'Enrollment 26-27'!$B$5:$I$332,8,FALSE),0)</f>
        <v>1834.33</v>
      </c>
      <c r="E167" s="64">
        <f t="shared" si="34"/>
        <v>212265</v>
      </c>
      <c r="F167" s="144">
        <v>0</v>
      </c>
      <c r="G167" s="144">
        <v>0</v>
      </c>
      <c r="H167" s="64">
        <f t="shared" si="35"/>
        <v>212265</v>
      </c>
      <c r="I167" s="64">
        <f t="shared" si="36"/>
        <v>0</v>
      </c>
      <c r="J167" s="145">
        <f t="shared" si="37"/>
        <v>212265</v>
      </c>
      <c r="K167" s="146" t="str">
        <f t="shared" si="48"/>
        <v>C</v>
      </c>
      <c r="L167" s="147">
        <f t="shared" si="38"/>
        <v>0</v>
      </c>
      <c r="M167" s="148">
        <f t="shared" si="39"/>
        <v>1834.33</v>
      </c>
      <c r="N167" s="64">
        <f t="shared" si="40"/>
        <v>1811</v>
      </c>
      <c r="O167" s="64">
        <f t="shared" si="41"/>
        <v>214076</v>
      </c>
      <c r="Q167" s="104">
        <f t="shared" si="42"/>
        <v>0</v>
      </c>
      <c r="R167" s="104" t="str">
        <f t="shared" si="43"/>
        <v>Not Applicable</v>
      </c>
      <c r="S167" s="149" t="s">
        <v>815</v>
      </c>
      <c r="T167" s="149">
        <f>IF(O167=0,0,IF(S167="N",0,VLOOKUP(B167,'Enrollment 25-26'!$B$8:$K$332,9,FALSE)))</f>
        <v>0</v>
      </c>
      <c r="U167" s="64">
        <f t="shared" si="44"/>
        <v>214076</v>
      </c>
      <c r="V167" s="128">
        <f t="shared" si="45"/>
        <v>116.7052820375832</v>
      </c>
      <c r="W167" s="150"/>
      <c r="X167" s="64">
        <f>IFERROR(VLOOKUP($B167,'Allocations 2025-26'!$B$9:$U$329,14,FALSE),0)</f>
        <v>218974</v>
      </c>
      <c r="Y167" s="99">
        <f t="shared" si="46"/>
        <v>-4898</v>
      </c>
      <c r="Z167" s="132">
        <f t="shared" si="47"/>
        <v>-2.2367952359640869E-2</v>
      </c>
      <c r="AA167" s="151" t="str">
        <f t="shared" si="49"/>
        <v>C</v>
      </c>
      <c r="AC167" s="64"/>
      <c r="AE167" s="152"/>
      <c r="AH167" s="153"/>
      <c r="AI167" s="153"/>
      <c r="AJ167" s="153"/>
      <c r="AK167" s="154"/>
    </row>
    <row r="168" spans="1:37" x14ac:dyDescent="0.25">
      <c r="A168" s="142" t="s">
        <v>446</v>
      </c>
      <c r="B168" t="s">
        <v>628</v>
      </c>
      <c r="C168" t="s">
        <v>168</v>
      </c>
      <c r="D168" s="143">
        <f>IFERROR(VLOOKUP(B168,'Enrollment 26-27'!$B$5:$I$332,8,FALSE),0)</f>
        <v>4261.16</v>
      </c>
      <c r="E168" s="64">
        <f t="shared" si="34"/>
        <v>493092</v>
      </c>
      <c r="F168" s="144">
        <v>0</v>
      </c>
      <c r="G168" s="144">
        <v>0</v>
      </c>
      <c r="H168" s="64">
        <f t="shared" si="35"/>
        <v>493092</v>
      </c>
      <c r="I168" s="64">
        <f t="shared" si="36"/>
        <v>0</v>
      </c>
      <c r="J168" s="145">
        <f t="shared" si="37"/>
        <v>493092</v>
      </c>
      <c r="K168" s="146" t="str">
        <f t="shared" si="48"/>
        <v>Y</v>
      </c>
      <c r="L168" s="147">
        <f t="shared" si="38"/>
        <v>0</v>
      </c>
      <c r="M168" s="148">
        <f t="shared" si="39"/>
        <v>4261.16</v>
      </c>
      <c r="N168" s="64">
        <f t="shared" si="40"/>
        <v>4207</v>
      </c>
      <c r="O168" s="64">
        <f t="shared" si="41"/>
        <v>497299</v>
      </c>
      <c r="Q168" s="104">
        <f t="shared" si="42"/>
        <v>0</v>
      </c>
      <c r="R168" s="104" t="str">
        <f t="shared" si="43"/>
        <v>Not Applicable</v>
      </c>
      <c r="S168" s="149" t="s">
        <v>815</v>
      </c>
      <c r="T168" s="149">
        <f>IF(O168=0,0,IF(S168="N",0,VLOOKUP(B168,'Enrollment 25-26'!$B$8:$K$332,9,FALSE)))</f>
        <v>0</v>
      </c>
      <c r="U168" s="64">
        <f t="shared" si="44"/>
        <v>497299</v>
      </c>
      <c r="V168" s="128">
        <f t="shared" si="45"/>
        <v>116.70507561321331</v>
      </c>
      <c r="W168" s="150"/>
      <c r="X168" s="64">
        <f>IFERROR(VLOOKUP($B168,'Allocations 2025-26'!$B$9:$U$329,14,FALSE),0)</f>
        <v>500418</v>
      </c>
      <c r="Y168" s="99">
        <f t="shared" si="46"/>
        <v>-3119</v>
      </c>
      <c r="Z168" s="132">
        <f t="shared" si="47"/>
        <v>-6.2327893880715721E-3</v>
      </c>
      <c r="AA168" s="151" t="str">
        <f t="shared" si="49"/>
        <v>Y</v>
      </c>
      <c r="AC168" s="64"/>
      <c r="AE168" s="152"/>
      <c r="AH168" s="153"/>
      <c r="AI168" s="153"/>
      <c r="AJ168" s="153"/>
      <c r="AK168" s="154"/>
    </row>
    <row r="169" spans="1:37" x14ac:dyDescent="0.25">
      <c r="A169" s="142" t="s">
        <v>471</v>
      </c>
      <c r="B169" t="s">
        <v>629</v>
      </c>
      <c r="C169" t="s">
        <v>169</v>
      </c>
      <c r="D169" s="143">
        <f>IFERROR(VLOOKUP(B169,'Enrollment 26-27'!$B$5:$I$332,8,FALSE),0)</f>
        <v>75.993333333333325</v>
      </c>
      <c r="E169" s="64">
        <f t="shared" si="34"/>
        <v>8794</v>
      </c>
      <c r="F169" s="144">
        <v>0</v>
      </c>
      <c r="G169" s="144">
        <v>0</v>
      </c>
      <c r="H169" s="64">
        <f t="shared" si="35"/>
        <v>8794</v>
      </c>
      <c r="I169" s="64">
        <f t="shared" si="36"/>
        <v>0</v>
      </c>
      <c r="J169" s="145">
        <f t="shared" si="37"/>
        <v>8794</v>
      </c>
      <c r="K169" s="146" t="str">
        <f t="shared" si="48"/>
        <v>C</v>
      </c>
      <c r="L169" s="147">
        <f t="shared" si="38"/>
        <v>0</v>
      </c>
      <c r="M169" s="148">
        <f t="shared" si="39"/>
        <v>75.993333333333325</v>
      </c>
      <c r="N169" s="64">
        <f t="shared" si="40"/>
        <v>75</v>
      </c>
      <c r="O169" s="64">
        <f t="shared" si="41"/>
        <v>8869</v>
      </c>
      <c r="Q169" s="104">
        <f t="shared" si="42"/>
        <v>0</v>
      </c>
      <c r="R169" s="104" t="str">
        <f t="shared" si="43"/>
        <v>Not Applicable</v>
      </c>
      <c r="S169" s="149" t="s">
        <v>815</v>
      </c>
      <c r="T169" s="149">
        <f>IF(O169=0,0,IF(S169="N",0,VLOOKUP(B169,'Enrollment 25-26'!$B$8:$K$332,9,FALSE)))</f>
        <v>0</v>
      </c>
      <c r="U169" s="64">
        <f t="shared" si="44"/>
        <v>8869</v>
      </c>
      <c r="V169" s="128">
        <f t="shared" si="45"/>
        <v>116.70760593034478</v>
      </c>
      <c r="W169" s="150"/>
      <c r="X169" s="64">
        <f>IFERROR(VLOOKUP($B169,'Allocations 2025-26'!$B$9:$U$329,14,FALSE),0)</f>
        <v>9565</v>
      </c>
      <c r="Y169" s="99">
        <f t="shared" si="46"/>
        <v>-696</v>
      </c>
      <c r="Z169" s="132">
        <f t="shared" si="47"/>
        <v>-7.2765290120230003E-2</v>
      </c>
      <c r="AA169" s="151" t="str">
        <f t="shared" si="49"/>
        <v>C</v>
      </c>
      <c r="AC169" s="64"/>
      <c r="AE169" s="152"/>
      <c r="AH169" s="153"/>
      <c r="AI169" s="153"/>
      <c r="AJ169" s="153"/>
      <c r="AK169" s="154"/>
    </row>
    <row r="170" spans="1:37" x14ac:dyDescent="0.25">
      <c r="A170" s="142" t="s">
        <v>438</v>
      </c>
      <c r="B170" t="s">
        <v>630</v>
      </c>
      <c r="C170" t="s">
        <v>170</v>
      </c>
      <c r="D170" s="143">
        <f>IFERROR(VLOOKUP(B170,'Enrollment 26-27'!$B$5:$I$332,8,FALSE),0)</f>
        <v>25.67</v>
      </c>
      <c r="E170" s="64">
        <f t="shared" si="34"/>
        <v>2970</v>
      </c>
      <c r="F170" s="144">
        <v>0</v>
      </c>
      <c r="G170" s="144">
        <v>0</v>
      </c>
      <c r="H170" s="64">
        <f t="shared" si="35"/>
        <v>2970</v>
      </c>
      <c r="I170" s="64">
        <f t="shared" si="36"/>
        <v>0</v>
      </c>
      <c r="J170" s="145">
        <f t="shared" si="37"/>
        <v>2970</v>
      </c>
      <c r="K170" s="146" t="str">
        <f t="shared" si="48"/>
        <v>N</v>
      </c>
      <c r="L170" s="147">
        <f t="shared" si="38"/>
        <v>2970</v>
      </c>
      <c r="M170" s="148">
        <f t="shared" si="39"/>
        <v>0</v>
      </c>
      <c r="N170" s="64">
        <f t="shared" si="40"/>
        <v>0</v>
      </c>
      <c r="O170" s="64">
        <f t="shared" si="41"/>
        <v>0</v>
      </c>
      <c r="Q170" s="104">
        <f t="shared" si="42"/>
        <v>0</v>
      </c>
      <c r="R170" s="104" t="str">
        <f t="shared" si="43"/>
        <v>Not Applicable</v>
      </c>
      <c r="S170" s="149" t="s">
        <v>815</v>
      </c>
      <c r="T170" s="149">
        <f>IF(O170=0,0,IF(S170="N",0,VLOOKUP(B170,'Enrollment 25-26'!$B$8:$K$332,9,FALSE)))</f>
        <v>0</v>
      </c>
      <c r="U170" s="64">
        <f t="shared" si="44"/>
        <v>0</v>
      </c>
      <c r="V170" s="128">
        <f t="shared" si="45"/>
        <v>0</v>
      </c>
      <c r="W170" s="150"/>
      <c r="X170" s="64">
        <f>IFERROR(VLOOKUP($B170,'Allocations 2025-26'!$B$9:$U$329,14,FALSE),0)</f>
        <v>0</v>
      </c>
      <c r="Y170" s="99">
        <f t="shared" si="46"/>
        <v>0</v>
      </c>
      <c r="Z170" s="132">
        <f t="shared" si="47"/>
        <v>0</v>
      </c>
      <c r="AA170" s="151" t="str">
        <f t="shared" si="49"/>
        <v>N</v>
      </c>
      <c r="AC170" s="64"/>
      <c r="AE170" s="152"/>
      <c r="AH170" s="153"/>
      <c r="AI170" s="153"/>
      <c r="AJ170" s="153"/>
      <c r="AK170" s="154"/>
    </row>
    <row r="171" spans="1:37" x14ac:dyDescent="0.25">
      <c r="A171" s="142" t="s">
        <v>459</v>
      </c>
      <c r="B171" t="s">
        <v>477</v>
      </c>
      <c r="C171" t="s">
        <v>171</v>
      </c>
      <c r="D171" s="143">
        <f>IFERROR(VLOOKUP(B171,'Enrollment 26-27'!$B$5:$I$332,8,FALSE),0)</f>
        <v>12.34</v>
      </c>
      <c r="E171" s="64">
        <f t="shared" si="34"/>
        <v>1428</v>
      </c>
      <c r="F171" s="144">
        <v>0</v>
      </c>
      <c r="G171" s="144">
        <v>0</v>
      </c>
      <c r="H171" s="64">
        <f t="shared" si="35"/>
        <v>1428</v>
      </c>
      <c r="I171" s="64">
        <f t="shared" si="36"/>
        <v>0</v>
      </c>
      <c r="J171" s="145">
        <f t="shared" si="37"/>
        <v>1428</v>
      </c>
      <c r="K171" s="146" t="str">
        <f t="shared" si="48"/>
        <v>C</v>
      </c>
      <c r="L171" s="147">
        <f t="shared" si="38"/>
        <v>0</v>
      </c>
      <c r="M171" s="148">
        <f t="shared" si="39"/>
        <v>12.34</v>
      </c>
      <c r="N171" s="64">
        <f t="shared" si="40"/>
        <v>12</v>
      </c>
      <c r="O171" s="64">
        <f t="shared" si="41"/>
        <v>1440</v>
      </c>
      <c r="Q171" s="104">
        <f t="shared" si="42"/>
        <v>0</v>
      </c>
      <c r="R171" s="104" t="str">
        <f t="shared" si="43"/>
        <v>Not Applicable</v>
      </c>
      <c r="S171" s="149" t="s">
        <v>815</v>
      </c>
      <c r="T171" s="149">
        <f>IF(O171=0,0,IF(S171="N",0,VLOOKUP(B171,'Enrollment 25-26'!$B$8:$K$332,9,FALSE)))</f>
        <v>0</v>
      </c>
      <c r="U171" s="64">
        <f t="shared" si="44"/>
        <v>1440</v>
      </c>
      <c r="V171" s="128">
        <f t="shared" si="45"/>
        <v>116.6936790923825</v>
      </c>
      <c r="W171" s="150"/>
      <c r="X171" s="64">
        <f>IFERROR(VLOOKUP($B171,'Allocations 2025-26'!$B$9:$U$329,14,FALSE),0)</f>
        <v>1250</v>
      </c>
      <c r="Y171" s="99">
        <f t="shared" si="46"/>
        <v>190</v>
      </c>
      <c r="Z171" s="132">
        <f t="shared" si="47"/>
        <v>0.152</v>
      </c>
      <c r="AA171" s="151" t="str">
        <f t="shared" si="49"/>
        <v>C</v>
      </c>
      <c r="AC171" s="64"/>
      <c r="AE171" s="152"/>
      <c r="AH171" s="153"/>
      <c r="AI171" s="153"/>
      <c r="AJ171" s="153"/>
      <c r="AK171" s="154"/>
    </row>
    <row r="172" spans="1:37" x14ac:dyDescent="0.25">
      <c r="A172" s="142" t="s">
        <v>481</v>
      </c>
      <c r="B172" t="s">
        <v>631</v>
      </c>
      <c r="C172" t="s">
        <v>172</v>
      </c>
      <c r="D172" s="143">
        <f>IFERROR(VLOOKUP(B172,'Enrollment 26-27'!$B$5:$I$332,8,FALSE),0)</f>
        <v>14.833333333333334</v>
      </c>
      <c r="E172" s="64">
        <f t="shared" si="34"/>
        <v>1716</v>
      </c>
      <c r="F172" s="144">
        <v>0</v>
      </c>
      <c r="G172" s="144">
        <v>0</v>
      </c>
      <c r="H172" s="64">
        <f t="shared" si="35"/>
        <v>1716</v>
      </c>
      <c r="I172" s="64">
        <f t="shared" si="36"/>
        <v>0</v>
      </c>
      <c r="J172" s="145">
        <f t="shared" si="37"/>
        <v>1716</v>
      </c>
      <c r="K172" s="146" t="str">
        <f t="shared" si="48"/>
        <v>N</v>
      </c>
      <c r="L172" s="147">
        <f t="shared" si="38"/>
        <v>1716</v>
      </c>
      <c r="M172" s="148">
        <f t="shared" si="39"/>
        <v>0</v>
      </c>
      <c r="N172" s="64">
        <f t="shared" si="40"/>
        <v>0</v>
      </c>
      <c r="O172" s="64">
        <f t="shared" si="41"/>
        <v>0</v>
      </c>
      <c r="Q172" s="104">
        <f t="shared" si="42"/>
        <v>0</v>
      </c>
      <c r="R172" s="104" t="str">
        <f t="shared" si="43"/>
        <v>Not Applicable</v>
      </c>
      <c r="S172" s="149" t="s">
        <v>815</v>
      </c>
      <c r="T172" s="149">
        <f>IF(O172=0,0,IF(S172="N",0,VLOOKUP(B172,'Enrollment 25-26'!$B$8:$K$332,9,FALSE)))</f>
        <v>0</v>
      </c>
      <c r="U172" s="64">
        <f t="shared" si="44"/>
        <v>0</v>
      </c>
      <c r="V172" s="128">
        <f t="shared" si="45"/>
        <v>0</v>
      </c>
      <c r="W172" s="150"/>
      <c r="X172" s="64">
        <f>IFERROR(VLOOKUP($B172,'Allocations 2025-26'!$B$9:$U$329,14,FALSE),0)</f>
        <v>0</v>
      </c>
      <c r="Y172" s="99">
        <f t="shared" si="46"/>
        <v>0</v>
      </c>
      <c r="Z172" s="132">
        <f t="shared" si="47"/>
        <v>0</v>
      </c>
      <c r="AA172" s="151" t="str">
        <f t="shared" si="49"/>
        <v>N</v>
      </c>
      <c r="AC172" s="64"/>
      <c r="AE172" s="152"/>
      <c r="AH172" s="153"/>
      <c r="AI172" s="153"/>
      <c r="AJ172" s="153"/>
      <c r="AK172" s="154"/>
    </row>
    <row r="173" spans="1:37" x14ac:dyDescent="0.25">
      <c r="A173" s="142" t="s">
        <v>443</v>
      </c>
      <c r="B173" t="s">
        <v>632</v>
      </c>
      <c r="C173" t="s">
        <v>173</v>
      </c>
      <c r="D173" s="143">
        <f>IFERROR(VLOOKUP(B173,'Enrollment 26-27'!$B$5:$I$332,8,FALSE),0)</f>
        <v>0</v>
      </c>
      <c r="E173" s="64">
        <f t="shared" si="34"/>
        <v>0</v>
      </c>
      <c r="F173" s="144">
        <v>0</v>
      </c>
      <c r="G173" s="144">
        <v>0</v>
      </c>
      <c r="H173" s="64">
        <f t="shared" si="35"/>
        <v>0</v>
      </c>
      <c r="I173" s="64">
        <f t="shared" si="36"/>
        <v>0</v>
      </c>
      <c r="J173" s="145">
        <f t="shared" si="37"/>
        <v>0</v>
      </c>
      <c r="K173" s="146" t="str">
        <f t="shared" si="48"/>
        <v>N</v>
      </c>
      <c r="L173" s="147">
        <f t="shared" si="38"/>
        <v>0</v>
      </c>
      <c r="M173" s="148">
        <f t="shared" si="39"/>
        <v>0</v>
      </c>
      <c r="N173" s="64">
        <f t="shared" si="40"/>
        <v>0</v>
      </c>
      <c r="O173" s="64">
        <f t="shared" si="41"/>
        <v>0</v>
      </c>
      <c r="Q173" s="104">
        <f t="shared" si="42"/>
        <v>0</v>
      </c>
      <c r="R173" s="104" t="str">
        <f t="shared" si="43"/>
        <v>Not Applicable</v>
      </c>
      <c r="S173" s="149" t="s">
        <v>815</v>
      </c>
      <c r="T173" s="149">
        <f>IF(O173=0,0,IF(S173="N",0,VLOOKUP(B173,'Enrollment 25-26'!$B$8:$K$332,9,FALSE)))</f>
        <v>0</v>
      </c>
      <c r="U173" s="64">
        <f t="shared" si="44"/>
        <v>0</v>
      </c>
      <c r="V173" s="128">
        <f t="shared" si="45"/>
        <v>0</v>
      </c>
      <c r="W173" s="150"/>
      <c r="X173" s="64">
        <f>IFERROR(VLOOKUP($B173,'Allocations 2025-26'!$B$9:$U$329,14,FALSE),0)</f>
        <v>0</v>
      </c>
      <c r="Y173" s="99">
        <f t="shared" si="46"/>
        <v>0</v>
      </c>
      <c r="Z173" s="132">
        <f t="shared" si="47"/>
        <v>0</v>
      </c>
      <c r="AA173" s="151" t="str">
        <f t="shared" si="49"/>
        <v>N</v>
      </c>
      <c r="AC173" s="64"/>
      <c r="AE173" s="152"/>
      <c r="AH173" s="153"/>
      <c r="AI173" s="153"/>
      <c r="AJ173" s="153"/>
      <c r="AK173" s="154"/>
    </row>
    <row r="174" spans="1:37" x14ac:dyDescent="0.25">
      <c r="A174" s="142" t="s">
        <v>443</v>
      </c>
      <c r="B174" t="s">
        <v>633</v>
      </c>
      <c r="C174" t="s">
        <v>174</v>
      </c>
      <c r="D174" s="143">
        <f>IFERROR(VLOOKUP(B174,'Enrollment 26-27'!$B$5:$I$332,8,FALSE),0)</f>
        <v>10.5</v>
      </c>
      <c r="E174" s="64">
        <f t="shared" si="34"/>
        <v>1215</v>
      </c>
      <c r="F174" s="144">
        <v>0</v>
      </c>
      <c r="G174" s="144">
        <v>0</v>
      </c>
      <c r="H174" s="64">
        <f t="shared" si="35"/>
        <v>1215</v>
      </c>
      <c r="I174" s="64">
        <f t="shared" si="36"/>
        <v>0</v>
      </c>
      <c r="J174" s="145">
        <f t="shared" si="37"/>
        <v>1215</v>
      </c>
      <c r="K174" s="146" t="str">
        <f t="shared" si="48"/>
        <v>N</v>
      </c>
      <c r="L174" s="147">
        <f t="shared" si="38"/>
        <v>1215</v>
      </c>
      <c r="M174" s="148">
        <f t="shared" si="39"/>
        <v>0</v>
      </c>
      <c r="N174" s="64">
        <f t="shared" si="40"/>
        <v>0</v>
      </c>
      <c r="O174" s="64">
        <f t="shared" si="41"/>
        <v>0</v>
      </c>
      <c r="Q174" s="104">
        <f t="shared" si="42"/>
        <v>0</v>
      </c>
      <c r="R174" s="104" t="str">
        <f t="shared" si="43"/>
        <v>Not Applicable</v>
      </c>
      <c r="S174" s="149" t="s">
        <v>815</v>
      </c>
      <c r="T174" s="149">
        <f>IF(O174=0,0,IF(S174="N",0,VLOOKUP(B174,'Enrollment 25-26'!$B$8:$K$332,9,FALSE)))</f>
        <v>0</v>
      </c>
      <c r="U174" s="64">
        <f t="shared" si="44"/>
        <v>0</v>
      </c>
      <c r="V174" s="128">
        <f t="shared" si="45"/>
        <v>0</v>
      </c>
      <c r="W174" s="150"/>
      <c r="X174" s="64">
        <f>IFERROR(VLOOKUP($B174,'Allocations 2025-26'!$B$9:$U$329,14,FALSE),0)</f>
        <v>1542</v>
      </c>
      <c r="Y174" s="99">
        <f t="shared" si="46"/>
        <v>-1542</v>
      </c>
      <c r="Z174" s="132">
        <f t="shared" si="47"/>
        <v>-1</v>
      </c>
      <c r="AA174" s="151" t="str">
        <f t="shared" si="49"/>
        <v>N</v>
      </c>
      <c r="AC174" s="64"/>
      <c r="AE174" s="152"/>
      <c r="AH174" s="153"/>
      <c r="AI174" s="153"/>
      <c r="AJ174" s="153"/>
      <c r="AK174" s="154"/>
    </row>
    <row r="175" spans="1:37" x14ac:dyDescent="0.25">
      <c r="A175" s="142" t="s">
        <v>446</v>
      </c>
      <c r="B175" t="s">
        <v>634</v>
      </c>
      <c r="C175" t="s">
        <v>175</v>
      </c>
      <c r="D175" s="143">
        <f>IFERROR(VLOOKUP(B175,'Enrollment 26-27'!$B$5:$I$332,8,FALSE),0)</f>
        <v>337.00666666666666</v>
      </c>
      <c r="E175" s="64">
        <f t="shared" si="34"/>
        <v>38998</v>
      </c>
      <c r="F175" s="144">
        <v>0</v>
      </c>
      <c r="G175" s="144">
        <v>0</v>
      </c>
      <c r="H175" s="64">
        <f t="shared" si="35"/>
        <v>38998</v>
      </c>
      <c r="I175" s="64">
        <f t="shared" si="36"/>
        <v>0</v>
      </c>
      <c r="J175" s="145">
        <f t="shared" si="37"/>
        <v>38998</v>
      </c>
      <c r="K175" s="146" t="str">
        <f t="shared" si="48"/>
        <v>Y</v>
      </c>
      <c r="L175" s="147">
        <f t="shared" si="38"/>
        <v>0</v>
      </c>
      <c r="M175" s="148">
        <f t="shared" si="39"/>
        <v>337.00666666666666</v>
      </c>
      <c r="N175" s="64">
        <f t="shared" si="40"/>
        <v>333</v>
      </c>
      <c r="O175" s="64">
        <f t="shared" si="41"/>
        <v>39331</v>
      </c>
      <c r="Q175" s="104">
        <f t="shared" si="42"/>
        <v>0</v>
      </c>
      <c r="R175" s="104" t="str">
        <f t="shared" si="43"/>
        <v>Not Applicable</v>
      </c>
      <c r="S175" s="149" t="s">
        <v>815</v>
      </c>
      <c r="T175" s="149">
        <f>IF(O175=0,0,IF(S175="N",0,VLOOKUP(B175,'Enrollment 25-26'!$B$8:$K$332,9,FALSE)))</f>
        <v>0</v>
      </c>
      <c r="U175" s="64">
        <f t="shared" si="44"/>
        <v>39331</v>
      </c>
      <c r="V175" s="128">
        <f t="shared" si="45"/>
        <v>116.70689007141303</v>
      </c>
      <c r="W175" s="150"/>
      <c r="X175" s="64">
        <f>IFERROR(VLOOKUP($B175,'Allocations 2025-26'!$B$9:$U$329,14,FALSE),0)</f>
        <v>40214</v>
      </c>
      <c r="Y175" s="99">
        <f t="shared" si="46"/>
        <v>-883</v>
      </c>
      <c r="Z175" s="132">
        <f t="shared" si="47"/>
        <v>-2.1957527229323121E-2</v>
      </c>
      <c r="AA175" s="151" t="str">
        <f t="shared" si="49"/>
        <v>Y</v>
      </c>
      <c r="AC175" s="64"/>
      <c r="AE175" s="152"/>
      <c r="AH175" s="153"/>
      <c r="AI175" s="153"/>
      <c r="AJ175" s="153"/>
      <c r="AK175" s="154"/>
    </row>
    <row r="176" spans="1:37" x14ac:dyDescent="0.25">
      <c r="A176" s="142" t="s">
        <v>438</v>
      </c>
      <c r="B176" t="s">
        <v>635</v>
      </c>
      <c r="C176" t="s">
        <v>176</v>
      </c>
      <c r="D176" s="143">
        <f>IFERROR(VLOOKUP(B176,'Enrollment 26-27'!$B$5:$I$332,8,FALSE),0)</f>
        <v>19</v>
      </c>
      <c r="E176" s="64">
        <f t="shared" si="34"/>
        <v>2199</v>
      </c>
      <c r="F176" s="144">
        <v>0</v>
      </c>
      <c r="G176" s="144">
        <v>0</v>
      </c>
      <c r="H176" s="64">
        <f t="shared" si="35"/>
        <v>2199</v>
      </c>
      <c r="I176" s="64">
        <f t="shared" si="36"/>
        <v>0</v>
      </c>
      <c r="J176" s="145">
        <f t="shared" si="37"/>
        <v>2199</v>
      </c>
      <c r="K176" s="146" t="str">
        <f t="shared" si="48"/>
        <v>N</v>
      </c>
      <c r="L176" s="147">
        <f t="shared" si="38"/>
        <v>2199</v>
      </c>
      <c r="M176" s="148">
        <f t="shared" si="39"/>
        <v>0</v>
      </c>
      <c r="N176" s="64">
        <f t="shared" si="40"/>
        <v>0</v>
      </c>
      <c r="O176" s="64">
        <f t="shared" si="41"/>
        <v>0</v>
      </c>
      <c r="Q176" s="104">
        <f t="shared" si="42"/>
        <v>0</v>
      </c>
      <c r="R176" s="104" t="str">
        <f t="shared" si="43"/>
        <v>Not Applicable</v>
      </c>
      <c r="S176" s="149" t="s">
        <v>815</v>
      </c>
      <c r="T176" s="149">
        <f>IF(O176=0,0,IF(S176="N",0,VLOOKUP(B176,'Enrollment 25-26'!$B$8:$K$332,9,FALSE)))</f>
        <v>0</v>
      </c>
      <c r="U176" s="64">
        <f t="shared" si="44"/>
        <v>0</v>
      </c>
      <c r="V176" s="128">
        <f t="shared" si="45"/>
        <v>0</v>
      </c>
      <c r="W176" s="150"/>
      <c r="X176" s="64">
        <f>IFERROR(VLOOKUP($B176,'Allocations 2025-26'!$B$9:$U$329,14,FALSE),0)</f>
        <v>0</v>
      </c>
      <c r="Y176" s="99">
        <f t="shared" si="46"/>
        <v>0</v>
      </c>
      <c r="Z176" s="132">
        <f t="shared" si="47"/>
        <v>0</v>
      </c>
      <c r="AA176" s="151" t="str">
        <f t="shared" si="49"/>
        <v>N</v>
      </c>
      <c r="AC176" s="64"/>
      <c r="AE176" s="152"/>
      <c r="AH176" s="153"/>
      <c r="AI176" s="153"/>
      <c r="AJ176" s="153"/>
      <c r="AK176" s="154"/>
    </row>
    <row r="177" spans="1:37" x14ac:dyDescent="0.25">
      <c r="A177" s="142" t="s">
        <v>451</v>
      </c>
      <c r="B177" t="s">
        <v>636</v>
      </c>
      <c r="C177" t="s">
        <v>177</v>
      </c>
      <c r="D177" s="143">
        <f>IFERROR(VLOOKUP(B177,'Enrollment 26-27'!$B$5:$I$332,8,FALSE),0)</f>
        <v>723.32999999999993</v>
      </c>
      <c r="E177" s="64">
        <f t="shared" si="34"/>
        <v>83702</v>
      </c>
      <c r="F177" s="144">
        <v>0</v>
      </c>
      <c r="G177" s="144">
        <v>0</v>
      </c>
      <c r="H177" s="64">
        <f t="shared" si="35"/>
        <v>83702</v>
      </c>
      <c r="I177" s="64">
        <f t="shared" si="36"/>
        <v>0</v>
      </c>
      <c r="J177" s="145">
        <f t="shared" si="37"/>
        <v>83702</v>
      </c>
      <c r="K177" s="146" t="str">
        <f t="shared" si="48"/>
        <v>Y</v>
      </c>
      <c r="L177" s="147">
        <f t="shared" si="38"/>
        <v>0</v>
      </c>
      <c r="M177" s="148">
        <f t="shared" si="39"/>
        <v>723.32999999999993</v>
      </c>
      <c r="N177" s="64">
        <f t="shared" si="40"/>
        <v>714</v>
      </c>
      <c r="O177" s="64">
        <f t="shared" si="41"/>
        <v>84416</v>
      </c>
      <c r="Q177" s="104">
        <f t="shared" si="42"/>
        <v>0</v>
      </c>
      <c r="R177" s="104" t="str">
        <f t="shared" si="43"/>
        <v>Not Applicable</v>
      </c>
      <c r="S177" s="149" t="s">
        <v>815</v>
      </c>
      <c r="T177" s="149">
        <f>IF(O177=0,0,IF(S177="N",0,VLOOKUP(B177,'Enrollment 25-26'!$B$8:$K$332,9,FALSE)))</f>
        <v>0</v>
      </c>
      <c r="U177" s="64">
        <f t="shared" si="44"/>
        <v>84416</v>
      </c>
      <c r="V177" s="128">
        <f t="shared" si="45"/>
        <v>116.70468527504737</v>
      </c>
      <c r="W177" s="150"/>
      <c r="X177" s="64">
        <f>IFERROR(VLOOKUP($B177,'Allocations 2025-26'!$B$9:$U$329,14,FALSE),0)</f>
        <v>87476</v>
      </c>
      <c r="Y177" s="99">
        <f t="shared" si="46"/>
        <v>-3060</v>
      </c>
      <c r="Z177" s="132">
        <f t="shared" si="47"/>
        <v>-3.498102336640907E-2</v>
      </c>
      <c r="AA177" s="151" t="str">
        <f t="shared" si="49"/>
        <v>Y</v>
      </c>
      <c r="AC177" s="64"/>
      <c r="AE177" s="152"/>
      <c r="AH177" s="153"/>
      <c r="AI177" s="153"/>
      <c r="AJ177" s="153"/>
      <c r="AK177" s="154"/>
    </row>
    <row r="178" spans="1:37" x14ac:dyDescent="0.25">
      <c r="A178" s="142" t="s">
        <v>478</v>
      </c>
      <c r="B178" t="s">
        <v>637</v>
      </c>
      <c r="C178" t="s">
        <v>178</v>
      </c>
      <c r="D178" s="143">
        <f>IFERROR(VLOOKUP(B178,'Enrollment 26-27'!$B$5:$I$332,8,FALSE),0)</f>
        <v>341.67333333333329</v>
      </c>
      <c r="E178" s="64">
        <f t="shared" si="34"/>
        <v>39538</v>
      </c>
      <c r="F178" s="144">
        <v>0</v>
      </c>
      <c r="G178" s="144">
        <v>0</v>
      </c>
      <c r="H178" s="64">
        <f t="shared" si="35"/>
        <v>39538</v>
      </c>
      <c r="I178" s="64">
        <f t="shared" si="36"/>
        <v>0</v>
      </c>
      <c r="J178" s="145">
        <f t="shared" si="37"/>
        <v>39538</v>
      </c>
      <c r="K178" s="146" t="str">
        <f t="shared" si="48"/>
        <v>Y</v>
      </c>
      <c r="L178" s="147">
        <f t="shared" si="38"/>
        <v>0</v>
      </c>
      <c r="M178" s="148">
        <f t="shared" si="39"/>
        <v>341.67333333333329</v>
      </c>
      <c r="N178" s="64">
        <f t="shared" si="40"/>
        <v>337</v>
      </c>
      <c r="O178" s="64">
        <f t="shared" si="41"/>
        <v>39875</v>
      </c>
      <c r="Q178" s="104">
        <f t="shared" si="42"/>
        <v>0</v>
      </c>
      <c r="R178" s="104" t="str">
        <f t="shared" si="43"/>
        <v>Not Applicable</v>
      </c>
      <c r="S178" s="149" t="s">
        <v>815</v>
      </c>
      <c r="T178" s="149">
        <f>IF(O178=0,0,IF(S178="N",0,VLOOKUP(B178,'Enrollment 25-26'!$B$8:$K$332,9,FALSE)))</f>
        <v>0</v>
      </c>
      <c r="U178" s="64">
        <f t="shared" si="44"/>
        <v>39875</v>
      </c>
      <c r="V178" s="128">
        <f t="shared" si="45"/>
        <v>116.70503990166047</v>
      </c>
      <c r="W178" s="150"/>
      <c r="X178" s="64">
        <f>IFERROR(VLOOKUP($B178,'Allocations 2025-26'!$B$9:$U$329,14,FALSE),0)</f>
        <v>39121</v>
      </c>
      <c r="Y178" s="99">
        <f t="shared" si="46"/>
        <v>754</v>
      </c>
      <c r="Z178" s="132">
        <f t="shared" si="47"/>
        <v>1.9273535952557451E-2</v>
      </c>
      <c r="AA178" s="151" t="str">
        <f t="shared" si="49"/>
        <v>Y</v>
      </c>
      <c r="AC178" s="64"/>
      <c r="AE178" s="152"/>
      <c r="AH178" s="153"/>
      <c r="AI178" s="153"/>
      <c r="AJ178" s="153"/>
      <c r="AK178" s="154"/>
    </row>
    <row r="179" spans="1:37" x14ac:dyDescent="0.25">
      <c r="A179" s="142" t="s">
        <v>478</v>
      </c>
      <c r="B179" t="s">
        <v>638</v>
      </c>
      <c r="C179" t="s">
        <v>179</v>
      </c>
      <c r="D179" s="143">
        <f>IFERROR(VLOOKUP(B179,'Enrollment 26-27'!$B$5:$I$332,8,FALSE),0)</f>
        <v>394</v>
      </c>
      <c r="E179" s="64">
        <f t="shared" si="34"/>
        <v>45593</v>
      </c>
      <c r="F179" s="144">
        <v>0</v>
      </c>
      <c r="G179" s="144">
        <v>0</v>
      </c>
      <c r="H179" s="64">
        <f t="shared" si="35"/>
        <v>45593</v>
      </c>
      <c r="I179" s="64">
        <f t="shared" si="36"/>
        <v>0</v>
      </c>
      <c r="J179" s="145">
        <f t="shared" si="37"/>
        <v>45593</v>
      </c>
      <c r="K179" s="146" t="str">
        <f t="shared" si="48"/>
        <v>Y</v>
      </c>
      <c r="L179" s="147">
        <f t="shared" si="38"/>
        <v>0</v>
      </c>
      <c r="M179" s="148">
        <f t="shared" si="39"/>
        <v>394</v>
      </c>
      <c r="N179" s="64">
        <f t="shared" si="40"/>
        <v>389</v>
      </c>
      <c r="O179" s="64">
        <f t="shared" si="41"/>
        <v>45982</v>
      </c>
      <c r="Q179" s="104">
        <f t="shared" si="42"/>
        <v>0</v>
      </c>
      <c r="R179" s="104" t="str">
        <f t="shared" si="43"/>
        <v>Not Applicable</v>
      </c>
      <c r="S179" s="149" t="s">
        <v>815</v>
      </c>
      <c r="T179" s="149">
        <f>IF(O179=0,0,IF(S179="N",0,VLOOKUP(B179,'Enrollment 25-26'!$B$8:$K$332,9,FALSE)))</f>
        <v>0</v>
      </c>
      <c r="U179" s="64">
        <f t="shared" si="44"/>
        <v>45982</v>
      </c>
      <c r="V179" s="128">
        <f t="shared" si="45"/>
        <v>116.70558375634518</v>
      </c>
      <c r="W179" s="150"/>
      <c r="X179" s="64">
        <f>IFERROR(VLOOKUP($B179,'Allocations 2025-26'!$B$9:$U$329,14,FALSE),0)</f>
        <v>50014</v>
      </c>
      <c r="Y179" s="99">
        <f t="shared" si="46"/>
        <v>-4032</v>
      </c>
      <c r="Z179" s="132">
        <f t="shared" si="47"/>
        <v>-8.0617427120406288E-2</v>
      </c>
      <c r="AA179" s="151" t="str">
        <f t="shared" si="49"/>
        <v>Y</v>
      </c>
      <c r="AC179" s="64"/>
      <c r="AE179" s="152"/>
      <c r="AH179" s="153"/>
      <c r="AI179" s="153"/>
      <c r="AJ179" s="153"/>
      <c r="AK179" s="154"/>
    </row>
    <row r="180" spans="1:37" x14ac:dyDescent="0.25">
      <c r="A180" s="142" t="s">
        <v>438</v>
      </c>
      <c r="B180" t="s">
        <v>639</v>
      </c>
      <c r="C180" t="s">
        <v>180</v>
      </c>
      <c r="D180" s="143">
        <f>IFERROR(VLOOKUP(B180,'Enrollment 26-27'!$B$5:$I$332,8,FALSE),0)</f>
        <v>0</v>
      </c>
      <c r="E180" s="64">
        <f t="shared" si="34"/>
        <v>0</v>
      </c>
      <c r="F180" s="144">
        <v>0</v>
      </c>
      <c r="G180" s="144">
        <v>0</v>
      </c>
      <c r="H180" s="64">
        <f t="shared" si="35"/>
        <v>0</v>
      </c>
      <c r="I180" s="64">
        <f t="shared" si="36"/>
        <v>0</v>
      </c>
      <c r="J180" s="145">
        <f t="shared" si="37"/>
        <v>0</v>
      </c>
      <c r="K180" s="146" t="str">
        <f t="shared" si="48"/>
        <v>N</v>
      </c>
      <c r="L180" s="147">
        <f t="shared" si="38"/>
        <v>0</v>
      </c>
      <c r="M180" s="148">
        <f t="shared" si="39"/>
        <v>0</v>
      </c>
      <c r="N180" s="64">
        <f t="shared" si="40"/>
        <v>0</v>
      </c>
      <c r="O180" s="64">
        <f t="shared" si="41"/>
        <v>0</v>
      </c>
      <c r="Q180" s="104">
        <f t="shared" si="42"/>
        <v>0</v>
      </c>
      <c r="R180" s="104" t="str">
        <f t="shared" si="43"/>
        <v>Not Applicable</v>
      </c>
      <c r="S180" s="149" t="s">
        <v>815</v>
      </c>
      <c r="T180" s="149">
        <f>IF(O180=0,0,IF(S180="N",0,VLOOKUP(B180,'Enrollment 25-26'!$B$8:$K$332,9,FALSE)))</f>
        <v>0</v>
      </c>
      <c r="U180" s="64">
        <f t="shared" si="44"/>
        <v>0</v>
      </c>
      <c r="V180" s="128">
        <f t="shared" si="45"/>
        <v>0</v>
      </c>
      <c r="W180" s="150"/>
      <c r="X180" s="64">
        <f>IFERROR(VLOOKUP($B180,'Allocations 2025-26'!$B$9:$U$329,14,FALSE),0)</f>
        <v>0</v>
      </c>
      <c r="Y180" s="99">
        <f t="shared" si="46"/>
        <v>0</v>
      </c>
      <c r="Z180" s="132">
        <f t="shared" si="47"/>
        <v>0</v>
      </c>
      <c r="AA180" s="151" t="str">
        <f t="shared" si="49"/>
        <v>N</v>
      </c>
      <c r="AC180" s="64"/>
      <c r="AE180" s="152"/>
      <c r="AH180" s="153"/>
      <c r="AI180" s="153"/>
      <c r="AJ180" s="153"/>
      <c r="AK180" s="154"/>
    </row>
    <row r="181" spans="1:37" x14ac:dyDescent="0.25">
      <c r="A181" s="142" t="s">
        <v>438</v>
      </c>
      <c r="B181" t="s">
        <v>640</v>
      </c>
      <c r="C181" t="s">
        <v>181</v>
      </c>
      <c r="D181" s="143">
        <f>IFERROR(VLOOKUP(B181,'Enrollment 26-27'!$B$5:$I$332,8,FALSE),0)</f>
        <v>1058</v>
      </c>
      <c r="E181" s="64">
        <f t="shared" si="34"/>
        <v>122429</v>
      </c>
      <c r="F181" s="144">
        <v>0</v>
      </c>
      <c r="G181" s="144">
        <v>0</v>
      </c>
      <c r="H181" s="64">
        <f t="shared" si="35"/>
        <v>122429</v>
      </c>
      <c r="I181" s="64">
        <f t="shared" si="36"/>
        <v>0</v>
      </c>
      <c r="J181" s="145">
        <f t="shared" si="37"/>
        <v>122429</v>
      </c>
      <c r="K181" s="146" t="str">
        <f t="shared" si="48"/>
        <v>Y</v>
      </c>
      <c r="L181" s="147">
        <f t="shared" si="38"/>
        <v>0</v>
      </c>
      <c r="M181" s="148">
        <f t="shared" si="39"/>
        <v>1058</v>
      </c>
      <c r="N181" s="64">
        <f t="shared" si="40"/>
        <v>1045</v>
      </c>
      <c r="O181" s="64">
        <f t="shared" si="41"/>
        <v>123474</v>
      </c>
      <c r="Q181" s="104">
        <f t="shared" si="42"/>
        <v>0</v>
      </c>
      <c r="R181" s="104" t="str">
        <f t="shared" si="43"/>
        <v>Not Applicable</v>
      </c>
      <c r="S181" s="149" t="s">
        <v>815</v>
      </c>
      <c r="T181" s="149">
        <f>IF(O181=0,0,IF(S181="N",0,VLOOKUP(B181,'Enrollment 25-26'!$B$8:$K$332,9,FALSE)))</f>
        <v>0</v>
      </c>
      <c r="U181" s="64">
        <f t="shared" si="44"/>
        <v>123474</v>
      </c>
      <c r="V181" s="128">
        <f t="shared" si="45"/>
        <v>116.70510396975425</v>
      </c>
      <c r="W181" s="150"/>
      <c r="X181" s="64">
        <f>IFERROR(VLOOKUP($B181,'Allocations 2025-26'!$B$9:$U$329,14,FALSE),0)</f>
        <v>129644</v>
      </c>
      <c r="Y181" s="99">
        <f t="shared" si="46"/>
        <v>-6170</v>
      </c>
      <c r="Z181" s="132">
        <f t="shared" si="47"/>
        <v>-4.759186695874857E-2</v>
      </c>
      <c r="AA181" s="151" t="str">
        <f t="shared" si="49"/>
        <v>Y</v>
      </c>
      <c r="AC181" s="64"/>
      <c r="AE181" s="152"/>
      <c r="AH181" s="153"/>
      <c r="AI181" s="153"/>
      <c r="AJ181" s="153"/>
      <c r="AK181" s="154"/>
    </row>
    <row r="182" spans="1:37" x14ac:dyDescent="0.25">
      <c r="A182" s="142" t="s">
        <v>443</v>
      </c>
      <c r="B182" t="s">
        <v>641</v>
      </c>
      <c r="C182" t="s">
        <v>182</v>
      </c>
      <c r="D182" s="143">
        <f>IFERROR(VLOOKUP(B182,'Enrollment 26-27'!$B$5:$I$332,8,FALSE),0)</f>
        <v>0</v>
      </c>
      <c r="E182" s="64">
        <f t="shared" si="34"/>
        <v>0</v>
      </c>
      <c r="F182" s="144">
        <v>0</v>
      </c>
      <c r="G182" s="144">
        <v>0</v>
      </c>
      <c r="H182" s="64">
        <f t="shared" si="35"/>
        <v>0</v>
      </c>
      <c r="I182" s="64">
        <f t="shared" si="36"/>
        <v>0</v>
      </c>
      <c r="J182" s="145">
        <f t="shared" si="37"/>
        <v>0</v>
      </c>
      <c r="K182" s="146" t="str">
        <f t="shared" si="48"/>
        <v>N</v>
      </c>
      <c r="L182" s="147">
        <f t="shared" si="38"/>
        <v>0</v>
      </c>
      <c r="M182" s="148">
        <f t="shared" si="39"/>
        <v>0</v>
      </c>
      <c r="N182" s="64">
        <f t="shared" si="40"/>
        <v>0</v>
      </c>
      <c r="O182" s="64">
        <f t="shared" si="41"/>
        <v>0</v>
      </c>
      <c r="Q182" s="104">
        <f t="shared" si="42"/>
        <v>0</v>
      </c>
      <c r="R182" s="104" t="str">
        <f t="shared" si="43"/>
        <v>Not Applicable</v>
      </c>
      <c r="S182" s="149" t="s">
        <v>815</v>
      </c>
      <c r="T182" s="149">
        <f>IF(O182=0,0,IF(S182="N",0,VLOOKUP(B182,'Enrollment 25-26'!$B$8:$K$332,9,FALSE)))</f>
        <v>0</v>
      </c>
      <c r="U182" s="64">
        <f t="shared" si="44"/>
        <v>0</v>
      </c>
      <c r="V182" s="128">
        <f t="shared" si="45"/>
        <v>0</v>
      </c>
      <c r="W182" s="150"/>
      <c r="X182" s="64">
        <f>IFERROR(VLOOKUP($B182,'Allocations 2025-26'!$B$9:$U$329,14,FALSE),0)</f>
        <v>0</v>
      </c>
      <c r="Y182" s="99">
        <f t="shared" si="46"/>
        <v>0</v>
      </c>
      <c r="Z182" s="132">
        <f t="shared" si="47"/>
        <v>0</v>
      </c>
      <c r="AA182" s="151" t="str">
        <f t="shared" si="49"/>
        <v>N</v>
      </c>
      <c r="AC182" s="64"/>
      <c r="AE182" s="152"/>
      <c r="AH182" s="153"/>
      <c r="AI182" s="153"/>
      <c r="AJ182" s="153"/>
      <c r="AK182" s="154"/>
    </row>
    <row r="183" spans="1:37" x14ac:dyDescent="0.25">
      <c r="A183" s="142" t="s">
        <v>454</v>
      </c>
      <c r="B183" t="s">
        <v>642</v>
      </c>
      <c r="C183" t="s">
        <v>183</v>
      </c>
      <c r="D183" s="143">
        <f>IFERROR(VLOOKUP(B183,'Enrollment 26-27'!$B$5:$I$332,8,FALSE),0)</f>
        <v>2426.4966666666664</v>
      </c>
      <c r="E183" s="64">
        <f t="shared" si="34"/>
        <v>280789</v>
      </c>
      <c r="F183" s="144">
        <v>0</v>
      </c>
      <c r="G183" s="144">
        <v>0</v>
      </c>
      <c r="H183" s="64">
        <f t="shared" si="35"/>
        <v>280789</v>
      </c>
      <c r="I183" s="64">
        <f t="shared" si="36"/>
        <v>0</v>
      </c>
      <c r="J183" s="145">
        <f t="shared" si="37"/>
        <v>280789</v>
      </c>
      <c r="K183" s="146" t="str">
        <f t="shared" si="48"/>
        <v>Y</v>
      </c>
      <c r="L183" s="147">
        <f t="shared" si="38"/>
        <v>0</v>
      </c>
      <c r="M183" s="148">
        <f t="shared" si="39"/>
        <v>2426.4966666666664</v>
      </c>
      <c r="N183" s="64">
        <f t="shared" si="40"/>
        <v>2396</v>
      </c>
      <c r="O183" s="64">
        <f t="shared" si="41"/>
        <v>283185</v>
      </c>
      <c r="Q183" s="104">
        <f t="shared" si="42"/>
        <v>0</v>
      </c>
      <c r="R183" s="104" t="str">
        <f t="shared" si="43"/>
        <v>Not Applicable</v>
      </c>
      <c r="S183" s="149" t="s">
        <v>815</v>
      </c>
      <c r="T183" s="149">
        <f>IF(O183=0,0,IF(S183="N",0,VLOOKUP(B183,'Enrollment 25-26'!$B$8:$K$332,9,FALSE)))</f>
        <v>0</v>
      </c>
      <c r="U183" s="64">
        <f t="shared" si="44"/>
        <v>283185</v>
      </c>
      <c r="V183" s="128">
        <f t="shared" si="45"/>
        <v>116.70529116737575</v>
      </c>
      <c r="W183" s="150"/>
      <c r="X183" s="64">
        <f>IFERROR(VLOOKUP($B183,'Allocations 2025-26'!$B$9:$U$329,14,FALSE),0)</f>
        <v>287398</v>
      </c>
      <c r="Y183" s="99">
        <f t="shared" si="46"/>
        <v>-4213</v>
      </c>
      <c r="Z183" s="132">
        <f t="shared" si="47"/>
        <v>-1.4659113842128337E-2</v>
      </c>
      <c r="AA183" s="151" t="str">
        <f t="shared" si="49"/>
        <v>Y</v>
      </c>
      <c r="AC183" s="64"/>
      <c r="AE183" s="152"/>
      <c r="AH183" s="153"/>
      <c r="AI183" s="153"/>
      <c r="AJ183" s="153"/>
      <c r="AK183" s="154"/>
    </row>
    <row r="184" spans="1:37" x14ac:dyDescent="0.25">
      <c r="A184" s="142" t="s">
        <v>446</v>
      </c>
      <c r="B184" t="s">
        <v>643</v>
      </c>
      <c r="C184" t="s">
        <v>184</v>
      </c>
      <c r="D184" s="143">
        <f>IFERROR(VLOOKUP(B184,'Enrollment 26-27'!$B$5:$I$332,8,FALSE),0)</f>
        <v>284.33333333333331</v>
      </c>
      <c r="E184" s="64">
        <f t="shared" si="34"/>
        <v>32902</v>
      </c>
      <c r="F184" s="144">
        <v>0</v>
      </c>
      <c r="G184" s="144">
        <v>0</v>
      </c>
      <c r="H184" s="64">
        <f t="shared" si="35"/>
        <v>32902</v>
      </c>
      <c r="I184" s="64">
        <f t="shared" si="36"/>
        <v>0</v>
      </c>
      <c r="J184" s="145">
        <f t="shared" si="37"/>
        <v>32902</v>
      </c>
      <c r="K184" s="146" t="str">
        <f t="shared" si="48"/>
        <v>Y</v>
      </c>
      <c r="L184" s="147">
        <f t="shared" si="38"/>
        <v>0</v>
      </c>
      <c r="M184" s="148">
        <f t="shared" si="39"/>
        <v>284.33333333333331</v>
      </c>
      <c r="N184" s="64">
        <f t="shared" si="40"/>
        <v>281</v>
      </c>
      <c r="O184" s="64">
        <f t="shared" si="41"/>
        <v>33183</v>
      </c>
      <c r="Q184" s="104">
        <f t="shared" si="42"/>
        <v>0</v>
      </c>
      <c r="R184" s="104" t="str">
        <f t="shared" si="43"/>
        <v>Not Applicable</v>
      </c>
      <c r="S184" s="149" t="s">
        <v>815</v>
      </c>
      <c r="T184" s="149">
        <f>IF(O184=0,0,IF(S184="N",0,VLOOKUP(B184,'Enrollment 25-26'!$B$8:$K$332,9,FALSE)))</f>
        <v>0</v>
      </c>
      <c r="U184" s="64">
        <f t="shared" si="44"/>
        <v>33183</v>
      </c>
      <c r="V184" s="128">
        <f t="shared" si="45"/>
        <v>116.70457209847598</v>
      </c>
      <c r="W184" s="150"/>
      <c r="X184" s="64">
        <f>IFERROR(VLOOKUP($B184,'Allocations 2025-26'!$B$9:$U$329,14,FALSE),0)</f>
        <v>34026</v>
      </c>
      <c r="Y184" s="99">
        <f t="shared" si="46"/>
        <v>-843</v>
      </c>
      <c r="Z184" s="132">
        <f t="shared" si="47"/>
        <v>-2.4775171927349675E-2</v>
      </c>
      <c r="AA184" s="151" t="str">
        <f t="shared" si="49"/>
        <v>Y</v>
      </c>
      <c r="AC184" s="64"/>
      <c r="AE184" s="152"/>
      <c r="AH184" s="153"/>
      <c r="AI184" s="153"/>
      <c r="AJ184" s="153"/>
      <c r="AK184" s="154"/>
    </row>
    <row r="185" spans="1:37" x14ac:dyDescent="0.25">
      <c r="A185" s="142" t="s">
        <v>443</v>
      </c>
      <c r="B185" t="s">
        <v>644</v>
      </c>
      <c r="C185" t="s">
        <v>185</v>
      </c>
      <c r="D185" s="143">
        <f>IFERROR(VLOOKUP(B185,'Enrollment 26-27'!$B$5:$I$332,8,FALSE),0)</f>
        <v>0</v>
      </c>
      <c r="E185" s="64">
        <f t="shared" si="34"/>
        <v>0</v>
      </c>
      <c r="F185" s="144">
        <v>0</v>
      </c>
      <c r="G185" s="144">
        <v>0</v>
      </c>
      <c r="H185" s="64">
        <f t="shared" si="35"/>
        <v>0</v>
      </c>
      <c r="I185" s="64">
        <f t="shared" si="36"/>
        <v>0</v>
      </c>
      <c r="J185" s="145">
        <f t="shared" si="37"/>
        <v>0</v>
      </c>
      <c r="K185" s="146" t="str">
        <f t="shared" si="48"/>
        <v>N</v>
      </c>
      <c r="L185" s="147">
        <f t="shared" si="38"/>
        <v>0</v>
      </c>
      <c r="M185" s="148">
        <f t="shared" si="39"/>
        <v>0</v>
      </c>
      <c r="N185" s="64">
        <f t="shared" si="40"/>
        <v>0</v>
      </c>
      <c r="O185" s="64">
        <f t="shared" si="41"/>
        <v>0</v>
      </c>
      <c r="Q185" s="104">
        <f t="shared" si="42"/>
        <v>0</v>
      </c>
      <c r="R185" s="104" t="str">
        <f t="shared" si="43"/>
        <v>Not Applicable</v>
      </c>
      <c r="S185" s="149" t="s">
        <v>815</v>
      </c>
      <c r="T185" s="149">
        <f>IF(O185=0,0,IF(S185="N",0,VLOOKUP(B185,'Enrollment 25-26'!$B$8:$K$332,9,FALSE)))</f>
        <v>0</v>
      </c>
      <c r="U185" s="64">
        <f t="shared" si="44"/>
        <v>0</v>
      </c>
      <c r="V185" s="128">
        <f t="shared" si="45"/>
        <v>0</v>
      </c>
      <c r="W185" s="150"/>
      <c r="X185" s="64">
        <f>IFERROR(VLOOKUP($B185,'Allocations 2025-26'!$B$9:$U$329,14,FALSE),0)</f>
        <v>0</v>
      </c>
      <c r="Y185" s="99">
        <f t="shared" si="46"/>
        <v>0</v>
      </c>
      <c r="Z185" s="132">
        <f t="shared" si="47"/>
        <v>0</v>
      </c>
      <c r="AA185" s="151" t="str">
        <f t="shared" si="49"/>
        <v>N</v>
      </c>
      <c r="AC185" s="64"/>
      <c r="AE185" s="152"/>
      <c r="AH185" s="153"/>
      <c r="AI185" s="153"/>
      <c r="AJ185" s="153"/>
      <c r="AK185" s="154"/>
    </row>
    <row r="186" spans="1:37" x14ac:dyDescent="0.25">
      <c r="A186" s="142" t="s">
        <v>438</v>
      </c>
      <c r="B186" t="s">
        <v>458</v>
      </c>
      <c r="C186" t="s">
        <v>186</v>
      </c>
      <c r="D186" s="143">
        <f>IFERROR(VLOOKUP(B186,'Enrollment 26-27'!$B$5:$I$332,8,FALSE),0)</f>
        <v>5.67</v>
      </c>
      <c r="E186" s="64">
        <f t="shared" si="34"/>
        <v>656</v>
      </c>
      <c r="F186" s="144">
        <v>0</v>
      </c>
      <c r="G186" s="144">
        <v>0</v>
      </c>
      <c r="H186" s="64">
        <f t="shared" si="35"/>
        <v>656</v>
      </c>
      <c r="I186" s="64">
        <f t="shared" si="36"/>
        <v>0</v>
      </c>
      <c r="J186" s="145">
        <f t="shared" si="37"/>
        <v>656</v>
      </c>
      <c r="K186" s="146" t="str">
        <f t="shared" si="48"/>
        <v>N</v>
      </c>
      <c r="L186" s="147">
        <f t="shared" si="38"/>
        <v>656</v>
      </c>
      <c r="M186" s="148">
        <f t="shared" si="39"/>
        <v>0</v>
      </c>
      <c r="N186" s="64">
        <f t="shared" si="40"/>
        <v>0</v>
      </c>
      <c r="O186" s="64">
        <f t="shared" si="41"/>
        <v>0</v>
      </c>
      <c r="Q186" s="104">
        <f t="shared" si="42"/>
        <v>0</v>
      </c>
      <c r="R186" s="104" t="str">
        <f t="shared" si="43"/>
        <v>Not Applicable</v>
      </c>
      <c r="S186" s="149" t="s">
        <v>815</v>
      </c>
      <c r="T186" s="149">
        <f>IF(O186=0,0,IF(S186="N",0,VLOOKUP(B186,'Enrollment 25-26'!$B$8:$K$332,9,FALSE)))</f>
        <v>0</v>
      </c>
      <c r="U186" s="64">
        <f t="shared" si="44"/>
        <v>0</v>
      </c>
      <c r="V186" s="128">
        <f t="shared" si="45"/>
        <v>0</v>
      </c>
      <c r="W186" s="150"/>
      <c r="X186" s="64">
        <f>IFERROR(VLOOKUP($B186,'Allocations 2025-26'!$B$9:$U$329,14,FALSE),0)</f>
        <v>0</v>
      </c>
      <c r="Y186" s="99">
        <f t="shared" si="46"/>
        <v>0</v>
      </c>
      <c r="Z186" s="132">
        <f t="shared" si="47"/>
        <v>0</v>
      </c>
      <c r="AA186" s="151" t="str">
        <f t="shared" si="49"/>
        <v>N</v>
      </c>
      <c r="AC186" s="64"/>
      <c r="AE186" s="152"/>
      <c r="AH186" s="153"/>
      <c r="AI186" s="153"/>
      <c r="AJ186" s="153"/>
      <c r="AK186" s="154"/>
    </row>
    <row r="187" spans="1:37" x14ac:dyDescent="0.25">
      <c r="A187" s="142" t="s">
        <v>459</v>
      </c>
      <c r="B187" t="s">
        <v>473</v>
      </c>
      <c r="C187" t="s">
        <v>187</v>
      </c>
      <c r="D187" s="143">
        <f>IFERROR(VLOOKUP(B187,'Enrollment 26-27'!$B$5:$I$332,8,FALSE),0)</f>
        <v>54.5</v>
      </c>
      <c r="E187" s="64">
        <f t="shared" si="34"/>
        <v>6307</v>
      </c>
      <c r="F187" s="144">
        <v>0</v>
      </c>
      <c r="G187" s="144">
        <v>0</v>
      </c>
      <c r="H187" s="64">
        <f t="shared" si="35"/>
        <v>6307</v>
      </c>
      <c r="I187" s="64">
        <f t="shared" si="36"/>
        <v>0</v>
      </c>
      <c r="J187" s="145">
        <f t="shared" si="37"/>
        <v>6307</v>
      </c>
      <c r="K187" s="146" t="str">
        <f t="shared" si="48"/>
        <v>C</v>
      </c>
      <c r="L187" s="147">
        <f t="shared" si="38"/>
        <v>0</v>
      </c>
      <c r="M187" s="148">
        <f t="shared" si="39"/>
        <v>54.5</v>
      </c>
      <c r="N187" s="64">
        <f t="shared" si="40"/>
        <v>54</v>
      </c>
      <c r="O187" s="64">
        <f t="shared" si="41"/>
        <v>6361</v>
      </c>
      <c r="Q187" s="104">
        <f t="shared" si="42"/>
        <v>0</v>
      </c>
      <c r="R187" s="104" t="str">
        <f t="shared" si="43"/>
        <v>Not Applicable</v>
      </c>
      <c r="S187" s="149" t="s">
        <v>815</v>
      </c>
      <c r="T187" s="149">
        <f>IF(O187=0,0,IF(S187="N",0,VLOOKUP(B187,'Enrollment 25-26'!$B$8:$K$332,9,FALSE)))</f>
        <v>0</v>
      </c>
      <c r="U187" s="64">
        <f t="shared" si="44"/>
        <v>6361</v>
      </c>
      <c r="V187" s="128">
        <f t="shared" si="45"/>
        <v>116.71559633027523</v>
      </c>
      <c r="W187" s="150"/>
      <c r="X187" s="64">
        <f>IFERROR(VLOOKUP($B187,'Allocations 2025-26'!$B$9:$U$329,14,FALSE),0)</f>
        <v>6949</v>
      </c>
      <c r="Y187" s="99">
        <f t="shared" si="46"/>
        <v>-588</v>
      </c>
      <c r="Z187" s="132">
        <f t="shared" si="47"/>
        <v>-8.4616491581522527E-2</v>
      </c>
      <c r="AA187" s="151" t="str">
        <f t="shared" si="49"/>
        <v>C</v>
      </c>
      <c r="AC187" s="64"/>
      <c r="AE187" s="152"/>
      <c r="AH187" s="153"/>
      <c r="AI187" s="153"/>
      <c r="AJ187" s="153"/>
      <c r="AK187" s="154"/>
    </row>
    <row r="188" spans="1:37" x14ac:dyDescent="0.25">
      <c r="A188" s="142" t="s">
        <v>438</v>
      </c>
      <c r="B188" t="s">
        <v>456</v>
      </c>
      <c r="C188" t="s">
        <v>188</v>
      </c>
      <c r="D188" s="143">
        <f>IFERROR(VLOOKUP(B188,'Enrollment 26-27'!$B$5:$I$332,8,FALSE),0)</f>
        <v>65.67</v>
      </c>
      <c r="E188" s="64">
        <f t="shared" si="34"/>
        <v>7599</v>
      </c>
      <c r="F188" s="144">
        <v>0</v>
      </c>
      <c r="G188" s="144">
        <v>0</v>
      </c>
      <c r="H188" s="64">
        <f t="shared" si="35"/>
        <v>7599</v>
      </c>
      <c r="I188" s="64">
        <f t="shared" si="36"/>
        <v>0</v>
      </c>
      <c r="J188" s="145">
        <f t="shared" si="37"/>
        <v>7599</v>
      </c>
      <c r="K188" s="146" t="str">
        <f t="shared" si="48"/>
        <v>C</v>
      </c>
      <c r="L188" s="147">
        <f t="shared" si="38"/>
        <v>0</v>
      </c>
      <c r="M188" s="148">
        <f t="shared" si="39"/>
        <v>65.67</v>
      </c>
      <c r="N188" s="64">
        <f t="shared" si="40"/>
        <v>65</v>
      </c>
      <c r="O188" s="64">
        <f t="shared" si="41"/>
        <v>7664</v>
      </c>
      <c r="Q188" s="104">
        <f t="shared" si="42"/>
        <v>0</v>
      </c>
      <c r="R188" s="104" t="str">
        <f t="shared" si="43"/>
        <v>Not Applicable</v>
      </c>
      <c r="S188" s="149" t="s">
        <v>815</v>
      </c>
      <c r="T188" s="149">
        <f>IF(O188=0,0,IF(S188="N",0,VLOOKUP(B188,'Enrollment 25-26'!$B$8:$K$332,9,FALSE)))</f>
        <v>0</v>
      </c>
      <c r="U188" s="64">
        <f t="shared" si="44"/>
        <v>7664</v>
      </c>
      <c r="V188" s="128">
        <f t="shared" si="45"/>
        <v>116.70473580021319</v>
      </c>
      <c r="W188" s="150"/>
      <c r="X188" s="64">
        <f>IFERROR(VLOOKUP($B188,'Allocations 2025-26'!$B$9:$U$329,14,FALSE),0)</f>
        <v>9156</v>
      </c>
      <c r="Y188" s="99">
        <f t="shared" si="46"/>
        <v>-1492</v>
      </c>
      <c r="Z188" s="132">
        <f t="shared" si="47"/>
        <v>-0.16295325469637395</v>
      </c>
      <c r="AA188" s="151" t="str">
        <f t="shared" si="49"/>
        <v>C</v>
      </c>
      <c r="AC188" s="64"/>
      <c r="AE188" s="152"/>
      <c r="AH188" s="153"/>
      <c r="AI188" s="153"/>
      <c r="AJ188" s="153"/>
      <c r="AK188" s="154"/>
    </row>
    <row r="189" spans="1:37" x14ac:dyDescent="0.25">
      <c r="A189" s="142" t="s">
        <v>443</v>
      </c>
      <c r="B189" t="s">
        <v>645</v>
      </c>
      <c r="C189" t="s">
        <v>189</v>
      </c>
      <c r="D189" s="143">
        <f>IFERROR(VLOOKUP(B189,'Enrollment 26-27'!$B$5:$I$332,8,FALSE),0)</f>
        <v>0</v>
      </c>
      <c r="E189" s="64">
        <f t="shared" si="34"/>
        <v>0</v>
      </c>
      <c r="F189" s="144">
        <v>0</v>
      </c>
      <c r="G189" s="144">
        <v>0</v>
      </c>
      <c r="H189" s="64">
        <f t="shared" si="35"/>
        <v>0</v>
      </c>
      <c r="I189" s="64">
        <f t="shared" si="36"/>
        <v>0</v>
      </c>
      <c r="J189" s="145">
        <f t="shared" si="37"/>
        <v>0</v>
      </c>
      <c r="K189" s="146" t="str">
        <f t="shared" si="48"/>
        <v>N</v>
      </c>
      <c r="L189" s="147">
        <f t="shared" si="38"/>
        <v>0</v>
      </c>
      <c r="M189" s="148">
        <f t="shared" si="39"/>
        <v>0</v>
      </c>
      <c r="N189" s="64">
        <f t="shared" si="40"/>
        <v>0</v>
      </c>
      <c r="O189" s="64">
        <f t="shared" si="41"/>
        <v>0</v>
      </c>
      <c r="Q189" s="104">
        <f t="shared" si="42"/>
        <v>0</v>
      </c>
      <c r="R189" s="104" t="str">
        <f t="shared" si="43"/>
        <v>Not Applicable</v>
      </c>
      <c r="S189" s="149" t="s">
        <v>815</v>
      </c>
      <c r="T189" s="149">
        <f>IF(O189=0,0,IF(S189="N",0,VLOOKUP(B189,'Enrollment 25-26'!$B$8:$K$332,9,FALSE)))</f>
        <v>0</v>
      </c>
      <c r="U189" s="64">
        <f t="shared" si="44"/>
        <v>0</v>
      </c>
      <c r="V189" s="128">
        <f t="shared" si="45"/>
        <v>0</v>
      </c>
      <c r="W189" s="150"/>
      <c r="X189" s="64">
        <f>IFERROR(VLOOKUP($B189,'Allocations 2025-26'!$B$9:$U$329,14,FALSE),0)</f>
        <v>0</v>
      </c>
      <c r="Y189" s="99">
        <f t="shared" si="46"/>
        <v>0</v>
      </c>
      <c r="Z189" s="132">
        <f t="shared" si="47"/>
        <v>0</v>
      </c>
      <c r="AA189" s="151" t="str">
        <f t="shared" si="49"/>
        <v>N</v>
      </c>
      <c r="AC189" s="64"/>
      <c r="AE189" s="152"/>
      <c r="AH189" s="153"/>
      <c r="AI189" s="153"/>
      <c r="AJ189" s="153"/>
      <c r="AK189" s="154"/>
    </row>
    <row r="190" spans="1:37" x14ac:dyDescent="0.25">
      <c r="A190" s="142" t="s">
        <v>481</v>
      </c>
      <c r="B190" t="s">
        <v>646</v>
      </c>
      <c r="C190" t="s">
        <v>190</v>
      </c>
      <c r="D190" s="143">
        <f>IFERROR(VLOOKUP(B190,'Enrollment 26-27'!$B$5:$I$332,8,FALSE),0)</f>
        <v>93.16</v>
      </c>
      <c r="E190" s="64">
        <f t="shared" si="34"/>
        <v>10780</v>
      </c>
      <c r="F190" s="144">
        <v>0</v>
      </c>
      <c r="G190" s="144">
        <v>0</v>
      </c>
      <c r="H190" s="64">
        <f t="shared" si="35"/>
        <v>10780</v>
      </c>
      <c r="I190" s="64">
        <f t="shared" si="36"/>
        <v>0</v>
      </c>
      <c r="J190" s="145">
        <f t="shared" si="37"/>
        <v>10780</v>
      </c>
      <c r="K190" s="146" t="str">
        <f t="shared" si="48"/>
        <v>Y</v>
      </c>
      <c r="L190" s="147">
        <f t="shared" si="38"/>
        <v>0</v>
      </c>
      <c r="M190" s="148">
        <f t="shared" si="39"/>
        <v>93.16</v>
      </c>
      <c r="N190" s="64">
        <f t="shared" si="40"/>
        <v>92</v>
      </c>
      <c r="O190" s="64">
        <f t="shared" si="41"/>
        <v>10872</v>
      </c>
      <c r="Q190" s="104">
        <f t="shared" si="42"/>
        <v>0</v>
      </c>
      <c r="R190" s="104" t="str">
        <f t="shared" si="43"/>
        <v>Not Applicable</v>
      </c>
      <c r="S190" s="149" t="s">
        <v>815</v>
      </c>
      <c r="T190" s="149">
        <f>IF(O190=0,0,IF(S190="N",0,VLOOKUP(B190,'Enrollment 25-26'!$B$8:$K$332,9,FALSE)))</f>
        <v>0</v>
      </c>
      <c r="U190" s="64">
        <f t="shared" si="44"/>
        <v>10872</v>
      </c>
      <c r="V190" s="128">
        <f t="shared" si="45"/>
        <v>116.7024474023186</v>
      </c>
      <c r="W190" s="150"/>
      <c r="X190" s="64">
        <f>IFERROR(VLOOKUP($B190,'Allocations 2025-26'!$B$9:$U$329,14,FALSE),0)</f>
        <v>11655</v>
      </c>
      <c r="Y190" s="99">
        <f t="shared" si="46"/>
        <v>-783</v>
      </c>
      <c r="Z190" s="132">
        <f t="shared" si="47"/>
        <v>-6.7181467181467183E-2</v>
      </c>
      <c r="AA190" s="151" t="str">
        <f t="shared" si="49"/>
        <v>Y</v>
      </c>
      <c r="AC190" s="64"/>
      <c r="AE190" s="152"/>
      <c r="AH190" s="153"/>
      <c r="AI190" s="153"/>
      <c r="AJ190" s="153"/>
      <c r="AK190" s="154"/>
    </row>
    <row r="191" spans="1:37" x14ac:dyDescent="0.25">
      <c r="A191" s="142" t="s">
        <v>438</v>
      </c>
      <c r="B191" t="s">
        <v>647</v>
      </c>
      <c r="C191" t="s">
        <v>191</v>
      </c>
      <c r="D191" s="143">
        <f>IFERROR(VLOOKUP(B191,'Enrollment 26-27'!$B$5:$I$332,8,FALSE),0)</f>
        <v>378.32666666666671</v>
      </c>
      <c r="E191" s="64">
        <f t="shared" si="34"/>
        <v>43779</v>
      </c>
      <c r="F191" s="144">
        <v>0</v>
      </c>
      <c r="G191" s="144">
        <v>0</v>
      </c>
      <c r="H191" s="64">
        <f t="shared" si="35"/>
        <v>43779</v>
      </c>
      <c r="I191" s="64">
        <f t="shared" si="36"/>
        <v>0</v>
      </c>
      <c r="J191" s="145">
        <f t="shared" si="37"/>
        <v>43779</v>
      </c>
      <c r="K191" s="146" t="str">
        <f t="shared" si="48"/>
        <v>Y</v>
      </c>
      <c r="L191" s="147">
        <f t="shared" si="38"/>
        <v>0</v>
      </c>
      <c r="M191" s="148">
        <f t="shared" si="39"/>
        <v>378.32666666666671</v>
      </c>
      <c r="N191" s="64">
        <f t="shared" si="40"/>
        <v>374</v>
      </c>
      <c r="O191" s="64">
        <f t="shared" si="41"/>
        <v>44153</v>
      </c>
      <c r="Q191" s="104">
        <f t="shared" si="42"/>
        <v>0</v>
      </c>
      <c r="R191" s="104" t="str">
        <f t="shared" si="43"/>
        <v>Not Applicable</v>
      </c>
      <c r="S191" s="149" t="s">
        <v>815</v>
      </c>
      <c r="T191" s="149">
        <f>IF(O191=0,0,IF(S191="N",0,VLOOKUP(B191,'Enrollment 25-26'!$B$8:$K$332,9,FALSE)))</f>
        <v>0</v>
      </c>
      <c r="U191" s="64">
        <f t="shared" si="44"/>
        <v>44153</v>
      </c>
      <c r="V191" s="128">
        <f t="shared" si="45"/>
        <v>116.70602125147579</v>
      </c>
      <c r="W191" s="150"/>
      <c r="X191" s="64">
        <f>IFERROR(VLOOKUP($B191,'Allocations 2025-26'!$B$9:$U$329,14,FALSE),0)</f>
        <v>48843</v>
      </c>
      <c r="Y191" s="99">
        <f t="shared" si="46"/>
        <v>-4690</v>
      </c>
      <c r="Z191" s="132">
        <f t="shared" si="47"/>
        <v>-9.6021947873799723E-2</v>
      </c>
      <c r="AA191" s="151" t="str">
        <f t="shared" si="49"/>
        <v>Y</v>
      </c>
      <c r="AC191" s="64"/>
      <c r="AE191" s="152"/>
      <c r="AH191" s="153"/>
      <c r="AI191" s="153"/>
      <c r="AJ191" s="153"/>
      <c r="AK191" s="154"/>
    </row>
    <row r="192" spans="1:37" x14ac:dyDescent="0.25">
      <c r="A192" s="142" t="s">
        <v>481</v>
      </c>
      <c r="B192" t="s">
        <v>648</v>
      </c>
      <c r="C192" t="s">
        <v>192</v>
      </c>
      <c r="D192" s="143">
        <f>IFERROR(VLOOKUP(B192,'Enrollment 26-27'!$B$5:$I$332,8,FALSE),0)</f>
        <v>421</v>
      </c>
      <c r="E192" s="64">
        <f t="shared" si="34"/>
        <v>48717</v>
      </c>
      <c r="F192" s="144">
        <v>0</v>
      </c>
      <c r="G192" s="144">
        <v>0</v>
      </c>
      <c r="H192" s="64">
        <f t="shared" si="35"/>
        <v>48717</v>
      </c>
      <c r="I192" s="64">
        <f t="shared" si="36"/>
        <v>0</v>
      </c>
      <c r="J192" s="145">
        <f t="shared" si="37"/>
        <v>48717</v>
      </c>
      <c r="K192" s="146" t="str">
        <f t="shared" si="48"/>
        <v>Y</v>
      </c>
      <c r="L192" s="147">
        <f t="shared" si="38"/>
        <v>0</v>
      </c>
      <c r="M192" s="148">
        <f t="shared" si="39"/>
        <v>421</v>
      </c>
      <c r="N192" s="64">
        <f t="shared" si="40"/>
        <v>416</v>
      </c>
      <c r="O192" s="64">
        <f t="shared" si="41"/>
        <v>49133</v>
      </c>
      <c r="Q192" s="104">
        <f t="shared" si="42"/>
        <v>0</v>
      </c>
      <c r="R192" s="104" t="str">
        <f t="shared" si="43"/>
        <v>Not Applicable</v>
      </c>
      <c r="S192" s="149" t="s">
        <v>815</v>
      </c>
      <c r="T192" s="149">
        <f>IF(O192=0,0,IF(S192="N",0,VLOOKUP(B192,'Enrollment 25-26'!$B$8:$K$332,9,FALSE)))</f>
        <v>0</v>
      </c>
      <c r="U192" s="64">
        <f t="shared" si="44"/>
        <v>49133</v>
      </c>
      <c r="V192" s="128">
        <f t="shared" si="45"/>
        <v>116.70546318289786</v>
      </c>
      <c r="W192" s="150"/>
      <c r="X192" s="64">
        <f>IFERROR(VLOOKUP($B192,'Allocations 2025-26'!$B$9:$U$329,14,FALSE),0)</f>
        <v>41308</v>
      </c>
      <c r="Y192" s="99">
        <f t="shared" si="46"/>
        <v>7825</v>
      </c>
      <c r="Z192" s="132">
        <f t="shared" si="47"/>
        <v>0.18943061876634065</v>
      </c>
      <c r="AA192" s="151" t="str">
        <f t="shared" si="49"/>
        <v>Y</v>
      </c>
      <c r="AC192" s="64"/>
      <c r="AE192" s="152"/>
      <c r="AH192" s="153"/>
      <c r="AI192" s="153"/>
      <c r="AJ192" s="153"/>
      <c r="AK192" s="154"/>
    </row>
    <row r="193" spans="1:37" x14ac:dyDescent="0.25">
      <c r="A193" s="142" t="s">
        <v>438</v>
      </c>
      <c r="B193" t="s">
        <v>649</v>
      </c>
      <c r="C193" t="s">
        <v>193</v>
      </c>
      <c r="D193" s="143">
        <f>IFERROR(VLOOKUP(B193,'Enrollment 26-27'!$B$5:$I$332,8,FALSE),0)</f>
        <v>22.5</v>
      </c>
      <c r="E193" s="64">
        <f t="shared" si="34"/>
        <v>2604</v>
      </c>
      <c r="F193" s="144">
        <v>0</v>
      </c>
      <c r="G193" s="144">
        <v>0</v>
      </c>
      <c r="H193" s="64">
        <f t="shared" si="35"/>
        <v>2604</v>
      </c>
      <c r="I193" s="64">
        <f t="shared" si="36"/>
        <v>0</v>
      </c>
      <c r="J193" s="145">
        <f t="shared" si="37"/>
        <v>2604</v>
      </c>
      <c r="K193" s="146" t="str">
        <f t="shared" si="48"/>
        <v>N</v>
      </c>
      <c r="L193" s="147">
        <f t="shared" si="38"/>
        <v>2604</v>
      </c>
      <c r="M193" s="148">
        <f t="shared" si="39"/>
        <v>0</v>
      </c>
      <c r="N193" s="64">
        <f t="shared" si="40"/>
        <v>0</v>
      </c>
      <c r="O193" s="64">
        <f t="shared" si="41"/>
        <v>0</v>
      </c>
      <c r="Q193" s="104">
        <f t="shared" si="42"/>
        <v>0</v>
      </c>
      <c r="R193" s="104" t="str">
        <f t="shared" si="43"/>
        <v>Not Applicable</v>
      </c>
      <c r="S193" s="149" t="s">
        <v>815</v>
      </c>
      <c r="T193" s="149">
        <f>IF(O193=0,0,IF(S193="N",0,VLOOKUP(B193,'Enrollment 25-26'!$B$8:$K$332,9,FALSE)))</f>
        <v>0</v>
      </c>
      <c r="U193" s="64">
        <f t="shared" si="44"/>
        <v>0</v>
      </c>
      <c r="V193" s="128">
        <f t="shared" si="45"/>
        <v>0</v>
      </c>
      <c r="W193" s="150"/>
      <c r="X193" s="64">
        <f>IFERROR(VLOOKUP($B193,'Allocations 2025-26'!$B$9:$U$329,14,FALSE),0)</f>
        <v>0</v>
      </c>
      <c r="Y193" s="99">
        <f t="shared" si="46"/>
        <v>0</v>
      </c>
      <c r="Z193" s="132">
        <f t="shared" si="47"/>
        <v>0</v>
      </c>
      <c r="AA193" s="151" t="str">
        <f t="shared" si="49"/>
        <v>N</v>
      </c>
      <c r="AC193" s="64"/>
      <c r="AE193" s="152"/>
      <c r="AH193" s="153"/>
      <c r="AI193" s="153"/>
      <c r="AJ193" s="153"/>
      <c r="AK193" s="154"/>
    </row>
    <row r="194" spans="1:37" x14ac:dyDescent="0.25">
      <c r="A194" s="142" t="s">
        <v>443</v>
      </c>
      <c r="B194" t="s">
        <v>650</v>
      </c>
      <c r="C194" t="s">
        <v>194</v>
      </c>
      <c r="D194" s="143">
        <f>IFERROR(VLOOKUP(B194,'Enrollment 26-27'!$B$5:$I$332,8,FALSE),0)</f>
        <v>0</v>
      </c>
      <c r="E194" s="64">
        <f t="shared" si="34"/>
        <v>0</v>
      </c>
      <c r="F194" s="144">
        <v>0</v>
      </c>
      <c r="G194" s="144">
        <v>0</v>
      </c>
      <c r="H194" s="64">
        <f t="shared" si="35"/>
        <v>0</v>
      </c>
      <c r="I194" s="64">
        <f t="shared" si="36"/>
        <v>0</v>
      </c>
      <c r="J194" s="145">
        <f t="shared" si="37"/>
        <v>0</v>
      </c>
      <c r="K194" s="146" t="str">
        <f t="shared" si="48"/>
        <v>N</v>
      </c>
      <c r="L194" s="147">
        <f t="shared" si="38"/>
        <v>0</v>
      </c>
      <c r="M194" s="148">
        <f t="shared" si="39"/>
        <v>0</v>
      </c>
      <c r="N194" s="64">
        <f t="shared" si="40"/>
        <v>0</v>
      </c>
      <c r="O194" s="64">
        <f t="shared" si="41"/>
        <v>0</v>
      </c>
      <c r="Q194" s="104">
        <f t="shared" si="42"/>
        <v>0</v>
      </c>
      <c r="R194" s="104" t="str">
        <f t="shared" si="43"/>
        <v>Not Applicable</v>
      </c>
      <c r="S194" s="149" t="s">
        <v>815</v>
      </c>
      <c r="T194" s="149">
        <f>IF(O194=0,0,IF(S194="N",0,VLOOKUP(B194,'Enrollment 25-26'!$B$8:$K$332,9,FALSE)))</f>
        <v>0</v>
      </c>
      <c r="U194" s="64">
        <f t="shared" si="44"/>
        <v>0</v>
      </c>
      <c r="V194" s="128">
        <f t="shared" si="45"/>
        <v>0</v>
      </c>
      <c r="W194" s="150"/>
      <c r="X194" s="64">
        <f>IFERROR(VLOOKUP($B194,'Allocations 2025-26'!$B$9:$U$329,14,FALSE),0)</f>
        <v>0</v>
      </c>
      <c r="Y194" s="99">
        <f t="shared" si="46"/>
        <v>0</v>
      </c>
      <c r="Z194" s="132">
        <f t="shared" si="47"/>
        <v>0</v>
      </c>
      <c r="AA194" s="151" t="str">
        <f t="shared" si="49"/>
        <v>N</v>
      </c>
      <c r="AC194" s="64"/>
      <c r="AE194" s="152"/>
      <c r="AH194" s="153"/>
      <c r="AI194" s="153"/>
      <c r="AJ194" s="153"/>
      <c r="AK194" s="154"/>
    </row>
    <row r="195" spans="1:37" x14ac:dyDescent="0.25">
      <c r="A195" s="142" t="s">
        <v>446</v>
      </c>
      <c r="B195" t="s">
        <v>486</v>
      </c>
      <c r="C195" t="s">
        <v>195</v>
      </c>
      <c r="D195" s="143">
        <f>IFERROR(VLOOKUP(B195,'Enrollment 26-27'!$B$5:$I$332,8,FALSE),0)</f>
        <v>52.33</v>
      </c>
      <c r="E195" s="64">
        <f t="shared" si="34"/>
        <v>6056</v>
      </c>
      <c r="F195" s="144">
        <v>0</v>
      </c>
      <c r="G195" s="144">
        <v>0</v>
      </c>
      <c r="H195" s="64">
        <f t="shared" si="35"/>
        <v>6056</v>
      </c>
      <c r="I195" s="64">
        <f t="shared" si="36"/>
        <v>0</v>
      </c>
      <c r="J195" s="145">
        <f t="shared" si="37"/>
        <v>6056</v>
      </c>
      <c r="K195" s="146" t="str">
        <f t="shared" si="48"/>
        <v>C</v>
      </c>
      <c r="L195" s="147">
        <f t="shared" si="38"/>
        <v>0</v>
      </c>
      <c r="M195" s="148">
        <f t="shared" si="39"/>
        <v>52.33</v>
      </c>
      <c r="N195" s="64">
        <f t="shared" si="40"/>
        <v>52</v>
      </c>
      <c r="O195" s="64">
        <f t="shared" si="41"/>
        <v>6108</v>
      </c>
      <c r="Q195" s="104">
        <f t="shared" si="42"/>
        <v>0</v>
      </c>
      <c r="R195" s="104" t="str">
        <f t="shared" si="43"/>
        <v>Not Applicable</v>
      </c>
      <c r="S195" s="149" t="s">
        <v>815</v>
      </c>
      <c r="T195" s="149">
        <f>IF(O195=0,0,IF(S195="N",0,VLOOKUP(B195,'Enrollment 25-26'!$B$8:$K$332,9,FALSE)))</f>
        <v>0</v>
      </c>
      <c r="U195" s="64">
        <f t="shared" si="44"/>
        <v>6108</v>
      </c>
      <c r="V195" s="128">
        <f t="shared" si="45"/>
        <v>116.72081024269062</v>
      </c>
      <c r="W195" s="150"/>
      <c r="X195" s="64">
        <f>IFERROR(VLOOKUP($B195,'Allocations 2025-26'!$B$9:$U$329,14,FALSE),0)</f>
        <v>6462</v>
      </c>
      <c r="Y195" s="99">
        <f t="shared" si="46"/>
        <v>-354</v>
      </c>
      <c r="Z195" s="132">
        <f t="shared" si="47"/>
        <v>-5.4781801299907153E-2</v>
      </c>
      <c r="AA195" s="151" t="str">
        <f t="shared" si="49"/>
        <v>C</v>
      </c>
      <c r="AC195" s="64"/>
      <c r="AE195" s="152"/>
      <c r="AH195" s="153"/>
      <c r="AI195" s="153"/>
      <c r="AJ195" s="153"/>
      <c r="AK195" s="154"/>
    </row>
    <row r="196" spans="1:37" x14ac:dyDescent="0.25">
      <c r="A196" s="142" t="s">
        <v>443</v>
      </c>
      <c r="B196" t="s">
        <v>651</v>
      </c>
      <c r="C196" t="s">
        <v>196</v>
      </c>
      <c r="D196" s="143">
        <f>IFERROR(VLOOKUP(B196,'Enrollment 26-27'!$B$5:$I$332,8,FALSE),0)</f>
        <v>1.5</v>
      </c>
      <c r="E196" s="64">
        <f t="shared" si="34"/>
        <v>174</v>
      </c>
      <c r="F196" s="144">
        <v>0</v>
      </c>
      <c r="G196" s="144">
        <v>0</v>
      </c>
      <c r="H196" s="64">
        <f t="shared" si="35"/>
        <v>174</v>
      </c>
      <c r="I196" s="64">
        <f t="shared" si="36"/>
        <v>0</v>
      </c>
      <c r="J196" s="145">
        <f t="shared" si="37"/>
        <v>174</v>
      </c>
      <c r="K196" s="146" t="str">
        <f t="shared" si="48"/>
        <v>N</v>
      </c>
      <c r="L196" s="147">
        <f t="shared" si="38"/>
        <v>174</v>
      </c>
      <c r="M196" s="148">
        <f t="shared" si="39"/>
        <v>0</v>
      </c>
      <c r="N196" s="64">
        <f t="shared" si="40"/>
        <v>0</v>
      </c>
      <c r="O196" s="64">
        <f t="shared" si="41"/>
        <v>0</v>
      </c>
      <c r="Q196" s="104">
        <f t="shared" si="42"/>
        <v>0</v>
      </c>
      <c r="R196" s="104" t="str">
        <f t="shared" si="43"/>
        <v>Not Applicable</v>
      </c>
      <c r="S196" s="149" t="s">
        <v>815</v>
      </c>
      <c r="T196" s="149">
        <f>IF(O196=0,0,IF(S196="N",0,VLOOKUP(B196,'Enrollment 25-26'!$B$8:$K$332,9,FALSE)))</f>
        <v>0</v>
      </c>
      <c r="U196" s="64">
        <f t="shared" si="44"/>
        <v>0</v>
      </c>
      <c r="V196" s="128">
        <f t="shared" si="45"/>
        <v>0</v>
      </c>
      <c r="W196" s="150"/>
      <c r="X196" s="64">
        <f>IFERROR(VLOOKUP($B196,'Allocations 2025-26'!$B$9:$U$329,14,FALSE),0)</f>
        <v>0</v>
      </c>
      <c r="Y196" s="99">
        <f t="shared" si="46"/>
        <v>0</v>
      </c>
      <c r="Z196" s="132">
        <f t="shared" si="47"/>
        <v>0</v>
      </c>
      <c r="AA196" s="151" t="str">
        <f t="shared" si="49"/>
        <v>N</v>
      </c>
      <c r="AC196" s="64"/>
      <c r="AE196" s="152"/>
      <c r="AH196" s="153"/>
      <c r="AI196" s="153"/>
      <c r="AJ196" s="153"/>
      <c r="AK196" s="154"/>
    </row>
    <row r="197" spans="1:37" x14ac:dyDescent="0.25">
      <c r="A197" s="142" t="s">
        <v>443</v>
      </c>
      <c r="B197" t="s">
        <v>652</v>
      </c>
      <c r="C197" t="s">
        <v>197</v>
      </c>
      <c r="D197" s="143">
        <f>IFERROR(VLOOKUP(B197,'Enrollment 26-27'!$B$5:$I$332,8,FALSE),0)</f>
        <v>0</v>
      </c>
      <c r="E197" s="64">
        <f t="shared" si="34"/>
        <v>0</v>
      </c>
      <c r="F197" s="144">
        <v>0</v>
      </c>
      <c r="G197" s="144">
        <v>0</v>
      </c>
      <c r="H197" s="64">
        <f t="shared" si="35"/>
        <v>0</v>
      </c>
      <c r="I197" s="64">
        <f t="shared" si="36"/>
        <v>0</v>
      </c>
      <c r="J197" s="145">
        <f t="shared" si="37"/>
        <v>0</v>
      </c>
      <c r="K197" s="146" t="str">
        <f t="shared" si="48"/>
        <v>N</v>
      </c>
      <c r="L197" s="147">
        <f t="shared" si="38"/>
        <v>0</v>
      </c>
      <c r="M197" s="148">
        <f t="shared" si="39"/>
        <v>0</v>
      </c>
      <c r="N197" s="64">
        <f t="shared" si="40"/>
        <v>0</v>
      </c>
      <c r="O197" s="64">
        <f t="shared" si="41"/>
        <v>0</v>
      </c>
      <c r="Q197" s="104">
        <f t="shared" si="42"/>
        <v>0</v>
      </c>
      <c r="R197" s="104" t="str">
        <f t="shared" si="43"/>
        <v>Not Applicable</v>
      </c>
      <c r="S197" s="149" t="s">
        <v>815</v>
      </c>
      <c r="T197" s="149">
        <f>IF(O197=0,0,IF(S197="N",0,VLOOKUP(B197,'Enrollment 25-26'!$B$8:$K$332,9,FALSE)))</f>
        <v>0</v>
      </c>
      <c r="U197" s="64">
        <f t="shared" si="44"/>
        <v>0</v>
      </c>
      <c r="V197" s="128">
        <f t="shared" si="45"/>
        <v>0</v>
      </c>
      <c r="W197" s="150"/>
      <c r="X197" s="64">
        <f>IFERROR(VLOOKUP($B197,'Allocations 2025-26'!$B$9:$U$329,14,FALSE),0)</f>
        <v>0</v>
      </c>
      <c r="Y197" s="99">
        <f t="shared" si="46"/>
        <v>0</v>
      </c>
      <c r="Z197" s="132">
        <f t="shared" si="47"/>
        <v>0</v>
      </c>
      <c r="AA197" s="151" t="str">
        <f t="shared" si="49"/>
        <v>N</v>
      </c>
      <c r="AC197" s="64"/>
      <c r="AE197" s="152"/>
      <c r="AH197" s="153"/>
      <c r="AI197" s="153"/>
      <c r="AJ197" s="153"/>
      <c r="AK197" s="154"/>
    </row>
    <row r="198" spans="1:37" x14ac:dyDescent="0.25">
      <c r="A198" s="142" t="s">
        <v>481</v>
      </c>
      <c r="B198" t="s">
        <v>448</v>
      </c>
      <c r="C198" t="s">
        <v>198</v>
      </c>
      <c r="D198" s="143">
        <f>IFERROR(VLOOKUP(B198,'Enrollment 26-27'!$B$5:$I$332,8,FALSE),0)</f>
        <v>64.17</v>
      </c>
      <c r="E198" s="64">
        <f t="shared" si="34"/>
        <v>7426</v>
      </c>
      <c r="F198" s="144">
        <v>0</v>
      </c>
      <c r="G198" s="144">
        <v>0</v>
      </c>
      <c r="H198" s="64">
        <f t="shared" si="35"/>
        <v>7426</v>
      </c>
      <c r="I198" s="64">
        <f t="shared" si="36"/>
        <v>0</v>
      </c>
      <c r="J198" s="145">
        <f t="shared" si="37"/>
        <v>7426</v>
      </c>
      <c r="K198" s="146" t="str">
        <f t="shared" si="48"/>
        <v>C</v>
      </c>
      <c r="L198" s="147">
        <f t="shared" si="38"/>
        <v>0</v>
      </c>
      <c r="M198" s="148">
        <f t="shared" si="39"/>
        <v>64.17</v>
      </c>
      <c r="N198" s="64">
        <f t="shared" si="40"/>
        <v>63</v>
      </c>
      <c r="O198" s="64">
        <f t="shared" si="41"/>
        <v>7489</v>
      </c>
      <c r="Q198" s="104">
        <f t="shared" si="42"/>
        <v>0</v>
      </c>
      <c r="R198" s="104" t="str">
        <f t="shared" si="43"/>
        <v>Not Applicable</v>
      </c>
      <c r="S198" s="149" t="s">
        <v>815</v>
      </c>
      <c r="T198" s="149">
        <f>IF(O198=0,0,IF(S198="N",0,VLOOKUP(B198,'Enrollment 25-26'!$B$8:$K$332,9,FALSE)))</f>
        <v>0</v>
      </c>
      <c r="U198" s="64">
        <f t="shared" si="44"/>
        <v>7489</v>
      </c>
      <c r="V198" s="128">
        <f t="shared" si="45"/>
        <v>116.70562568178276</v>
      </c>
      <c r="W198" s="150"/>
      <c r="X198" s="64">
        <f>IFERROR(VLOOKUP($B198,'Allocations 2025-26'!$B$9:$U$329,14,FALSE),0)</f>
        <v>7184</v>
      </c>
      <c r="Y198" s="99">
        <f t="shared" si="46"/>
        <v>305</v>
      </c>
      <c r="Z198" s="132">
        <f t="shared" si="47"/>
        <v>4.2455456570155904E-2</v>
      </c>
      <c r="AA198" s="151" t="str">
        <f t="shared" si="49"/>
        <v>C</v>
      </c>
      <c r="AC198" s="64"/>
      <c r="AE198" s="152"/>
      <c r="AH198" s="153"/>
      <c r="AI198" s="153"/>
      <c r="AJ198" s="153"/>
      <c r="AK198" s="154"/>
    </row>
    <row r="199" spans="1:37" x14ac:dyDescent="0.25">
      <c r="A199" s="142" t="s">
        <v>481</v>
      </c>
      <c r="B199" t="s">
        <v>653</v>
      </c>
      <c r="C199" t="s">
        <v>199</v>
      </c>
      <c r="D199" s="143">
        <f>IFERROR(VLOOKUP(B199,'Enrollment 26-27'!$B$5:$I$332,8,FALSE),0)</f>
        <v>56.17</v>
      </c>
      <c r="E199" s="64">
        <f t="shared" si="34"/>
        <v>6500</v>
      </c>
      <c r="F199" s="144">
        <v>0</v>
      </c>
      <c r="G199" s="144">
        <v>0</v>
      </c>
      <c r="H199" s="64">
        <f t="shared" si="35"/>
        <v>6500</v>
      </c>
      <c r="I199" s="64">
        <f t="shared" si="36"/>
        <v>0</v>
      </c>
      <c r="J199" s="145">
        <f t="shared" si="37"/>
        <v>6500</v>
      </c>
      <c r="K199" s="146" t="str">
        <f t="shared" si="48"/>
        <v>N</v>
      </c>
      <c r="L199" s="147">
        <f t="shared" si="38"/>
        <v>6500</v>
      </c>
      <c r="M199" s="148">
        <f t="shared" si="39"/>
        <v>0</v>
      </c>
      <c r="N199" s="64">
        <f t="shared" si="40"/>
        <v>0</v>
      </c>
      <c r="O199" s="64">
        <f t="shared" si="41"/>
        <v>0</v>
      </c>
      <c r="Q199" s="104">
        <f t="shared" si="42"/>
        <v>0</v>
      </c>
      <c r="R199" s="104" t="str">
        <f t="shared" si="43"/>
        <v>Not Applicable</v>
      </c>
      <c r="S199" s="149" t="s">
        <v>815</v>
      </c>
      <c r="T199" s="149">
        <f>IF(O199=0,0,IF(S199="N",0,VLOOKUP(B199,'Enrollment 25-26'!$B$8:$K$332,9,FALSE)))</f>
        <v>0</v>
      </c>
      <c r="U199" s="64">
        <f t="shared" si="44"/>
        <v>0</v>
      </c>
      <c r="V199" s="128">
        <f t="shared" si="45"/>
        <v>0</v>
      </c>
      <c r="W199" s="150"/>
      <c r="X199" s="64">
        <f>IFERROR(VLOOKUP($B199,'Allocations 2025-26'!$B$9:$U$329,14,FALSE),0)</f>
        <v>0</v>
      </c>
      <c r="Y199" s="99">
        <f t="shared" si="46"/>
        <v>0</v>
      </c>
      <c r="Z199" s="132">
        <f t="shared" si="47"/>
        <v>0</v>
      </c>
      <c r="AA199" s="151" t="str">
        <f t="shared" si="49"/>
        <v>N</v>
      </c>
      <c r="AC199" s="64"/>
      <c r="AE199" s="152"/>
      <c r="AH199" s="153"/>
      <c r="AI199" s="153"/>
      <c r="AJ199" s="153"/>
      <c r="AK199" s="154"/>
    </row>
    <row r="200" spans="1:37" x14ac:dyDescent="0.25">
      <c r="A200" s="142" t="s">
        <v>454</v>
      </c>
      <c r="B200" t="s">
        <v>654</v>
      </c>
      <c r="C200" t="s">
        <v>200</v>
      </c>
      <c r="D200" s="143">
        <f>IFERROR(VLOOKUP(B200,'Enrollment 26-27'!$B$5:$I$332,8,FALSE),0)</f>
        <v>224</v>
      </c>
      <c r="E200" s="64">
        <f t="shared" si="34"/>
        <v>25921</v>
      </c>
      <c r="F200" s="144">
        <v>0</v>
      </c>
      <c r="G200" s="144">
        <v>0</v>
      </c>
      <c r="H200" s="64">
        <f t="shared" si="35"/>
        <v>25921</v>
      </c>
      <c r="I200" s="64">
        <f t="shared" si="36"/>
        <v>0</v>
      </c>
      <c r="J200" s="145">
        <f t="shared" si="37"/>
        <v>25921</v>
      </c>
      <c r="K200" s="146" t="str">
        <f t="shared" si="48"/>
        <v>Y</v>
      </c>
      <c r="L200" s="147">
        <f t="shared" si="38"/>
        <v>0</v>
      </c>
      <c r="M200" s="148">
        <f t="shared" si="39"/>
        <v>224</v>
      </c>
      <c r="N200" s="64">
        <f t="shared" si="40"/>
        <v>221</v>
      </c>
      <c r="O200" s="64">
        <f t="shared" si="41"/>
        <v>26142</v>
      </c>
      <c r="Q200" s="104">
        <f t="shared" si="42"/>
        <v>0</v>
      </c>
      <c r="R200" s="104" t="str">
        <f t="shared" si="43"/>
        <v>Not Applicable</v>
      </c>
      <c r="S200" s="149" t="s">
        <v>815</v>
      </c>
      <c r="T200" s="149">
        <f>IF(O200=0,0,IF(S200="N",0,VLOOKUP(B200,'Enrollment 25-26'!$B$8:$K$332,9,FALSE)))</f>
        <v>0</v>
      </c>
      <c r="U200" s="64">
        <f t="shared" si="44"/>
        <v>26142</v>
      </c>
      <c r="V200" s="128">
        <f t="shared" si="45"/>
        <v>116.70535714285714</v>
      </c>
      <c r="W200" s="150"/>
      <c r="X200" s="64">
        <f>IFERROR(VLOOKUP($B200,'Allocations 2025-26'!$B$9:$U$329,14,FALSE),0)</f>
        <v>24773</v>
      </c>
      <c r="Y200" s="99">
        <f t="shared" si="46"/>
        <v>1369</v>
      </c>
      <c r="Z200" s="132">
        <f t="shared" si="47"/>
        <v>5.5261776934565861E-2</v>
      </c>
      <c r="AA200" s="151" t="str">
        <f t="shared" si="49"/>
        <v>Y</v>
      </c>
      <c r="AC200" s="64"/>
      <c r="AE200" s="152"/>
      <c r="AH200" s="153"/>
      <c r="AI200" s="153"/>
      <c r="AJ200" s="153"/>
      <c r="AK200" s="154"/>
    </row>
    <row r="201" spans="1:37" x14ac:dyDescent="0.25">
      <c r="A201" s="142" t="s">
        <v>451</v>
      </c>
      <c r="B201" t="s">
        <v>655</v>
      </c>
      <c r="C201" t="s">
        <v>201</v>
      </c>
      <c r="D201" s="143">
        <f>IFERROR(VLOOKUP(B201,'Enrollment 26-27'!$B$5:$I$332,8,FALSE),0)</f>
        <v>1900.8400000000001</v>
      </c>
      <c r="E201" s="64">
        <f t="shared" ref="E201:E264" si="50">ROUND($D201/$D$7*$E$6,0)</f>
        <v>219961</v>
      </c>
      <c r="F201" s="144">
        <v>0</v>
      </c>
      <c r="G201" s="144">
        <v>0</v>
      </c>
      <c r="H201" s="64">
        <f t="shared" ref="H201:H244" si="51">SUM(E201:G201)</f>
        <v>219961</v>
      </c>
      <c r="I201" s="64">
        <f t="shared" ref="I201:I264" si="52">ROUND($D201/$D$7*$I$6,0)</f>
        <v>0</v>
      </c>
      <c r="J201" s="145">
        <f t="shared" ref="J201:J264" si="53">+H201+I201</f>
        <v>219961</v>
      </c>
      <c r="K201" s="146" t="str">
        <f t="shared" si="48"/>
        <v>Y</v>
      </c>
      <c r="L201" s="147">
        <f t="shared" ref="L201:L264" si="54">IF(OR(K201="N",K201="NR",AND(J201&lt;$L$6,K201&lt;&gt;"C")),J201,0)</f>
        <v>0</v>
      </c>
      <c r="M201" s="148">
        <f t="shared" ref="M201:M264" si="55">IF(L201=0,D201,0)</f>
        <v>1900.8400000000001</v>
      </c>
      <c r="N201" s="64">
        <f t="shared" ref="N201:N264" si="56">ROUND(M201/$M$7*$L$3,0)</f>
        <v>1877</v>
      </c>
      <c r="O201" s="64">
        <f t="shared" ref="O201:O244" si="57">J201-L201+N201</f>
        <v>221838</v>
      </c>
      <c r="Q201" s="104">
        <f t="shared" ref="Q201:Q264" si="58">-ROUND(IF(P201&gt;0,O201*(0.9-P201),0),0)</f>
        <v>0</v>
      </c>
      <c r="R201" s="104" t="str">
        <f t="shared" ref="R201:R264" si="59">IF($R$7=0,"Not Applicable",T201*($R$7/$T$7))</f>
        <v>Not Applicable</v>
      </c>
      <c r="S201" s="149" t="s">
        <v>815</v>
      </c>
      <c r="T201" s="149">
        <f>IF(O201=0,0,IF(S201="N",0,VLOOKUP(B201,'Enrollment 25-26'!$B$8:$K$332,9,FALSE)))</f>
        <v>0</v>
      </c>
      <c r="U201" s="64">
        <f t="shared" ref="U201:U264" si="60">IF(ISNUMBER(R201),O201+R201,O201)</f>
        <v>221838</v>
      </c>
      <c r="V201" s="128">
        <f t="shared" ref="V201:V264" si="61">IF(M201=0,0,O201/M201)</f>
        <v>116.70524610172345</v>
      </c>
      <c r="W201" s="150"/>
      <c r="X201" s="64">
        <f>IFERROR(VLOOKUP($B201,'Allocations 2025-26'!$B$9:$U$329,14,FALSE),0)</f>
        <v>233576</v>
      </c>
      <c r="Y201" s="99">
        <f t="shared" ref="Y201:Y264" si="62">O201-X201</f>
        <v>-11738</v>
      </c>
      <c r="Z201" s="132">
        <f t="shared" ref="Z201:Z264" si="63">IFERROR(IF(X201&gt;0,Y201/X201,0),0)</f>
        <v>-5.0253450696989416E-2</v>
      </c>
      <c r="AA201" s="151" t="str">
        <f t="shared" si="49"/>
        <v>Y</v>
      </c>
      <c r="AC201" s="64"/>
      <c r="AE201" s="152"/>
      <c r="AH201" s="153"/>
      <c r="AI201" s="153"/>
      <c r="AJ201" s="153"/>
      <c r="AK201" s="154"/>
    </row>
    <row r="202" spans="1:37" x14ac:dyDescent="0.25">
      <c r="A202" s="142" t="s">
        <v>481</v>
      </c>
      <c r="B202" t="s">
        <v>656</v>
      </c>
      <c r="C202" t="s">
        <v>202</v>
      </c>
      <c r="D202" s="143">
        <f>IFERROR(VLOOKUP(B202,'Enrollment 26-27'!$B$5:$I$332,8,FALSE),0)</f>
        <v>5.17</v>
      </c>
      <c r="E202" s="64">
        <f t="shared" si="50"/>
        <v>598</v>
      </c>
      <c r="F202" s="144">
        <v>0</v>
      </c>
      <c r="G202" s="144">
        <v>0</v>
      </c>
      <c r="H202" s="64">
        <f t="shared" si="51"/>
        <v>598</v>
      </c>
      <c r="I202" s="64">
        <f t="shared" si="52"/>
        <v>0</v>
      </c>
      <c r="J202" s="145">
        <f t="shared" si="53"/>
        <v>598</v>
      </c>
      <c r="K202" s="146" t="str">
        <f t="shared" ref="K202:K265" si="64">IF(ISERROR(VLOOKUP(B202,$AC$9:$AC$50,1,0)),IF(J202&gt;10000,"Y","N"), "C")</f>
        <v>C</v>
      </c>
      <c r="L202" s="147">
        <f t="shared" si="54"/>
        <v>0</v>
      </c>
      <c r="M202" s="148">
        <f t="shared" si="55"/>
        <v>5.17</v>
      </c>
      <c r="N202" s="64">
        <f t="shared" si="56"/>
        <v>5</v>
      </c>
      <c r="O202" s="64">
        <f t="shared" si="57"/>
        <v>603</v>
      </c>
      <c r="Q202" s="104">
        <f t="shared" si="58"/>
        <v>0</v>
      </c>
      <c r="R202" s="104" t="str">
        <f t="shared" si="59"/>
        <v>Not Applicable</v>
      </c>
      <c r="S202" s="149" t="s">
        <v>815</v>
      </c>
      <c r="T202" s="149">
        <f>IF(O202=0,0,IF(S202="N",0,VLOOKUP(B202,'Enrollment 25-26'!$B$8:$K$332,9,FALSE)))</f>
        <v>0</v>
      </c>
      <c r="U202" s="64">
        <f t="shared" si="60"/>
        <v>603</v>
      </c>
      <c r="V202" s="128">
        <f t="shared" si="61"/>
        <v>116.63442940038685</v>
      </c>
      <c r="W202" s="150"/>
      <c r="X202" s="64">
        <f>IFERROR(VLOOKUP($B202,'Allocations 2025-26'!$B$9:$U$329,14,FALSE),0)</f>
        <v>1054</v>
      </c>
      <c r="Y202" s="99">
        <f t="shared" si="62"/>
        <v>-451</v>
      </c>
      <c r="Z202" s="132">
        <f t="shared" si="63"/>
        <v>-0.42789373814041748</v>
      </c>
      <c r="AA202" s="151" t="str">
        <f t="shared" ref="AA202:AA265" si="65">K202</f>
        <v>C</v>
      </c>
      <c r="AC202" s="64"/>
      <c r="AE202" s="152"/>
      <c r="AH202" s="153"/>
      <c r="AI202" s="153"/>
      <c r="AJ202" s="153"/>
      <c r="AK202" s="154"/>
    </row>
    <row r="203" spans="1:37" x14ac:dyDescent="0.25">
      <c r="A203" s="142" t="s">
        <v>443</v>
      </c>
      <c r="B203" t="s">
        <v>657</v>
      </c>
      <c r="C203" t="s">
        <v>203</v>
      </c>
      <c r="D203" s="143">
        <f>IFERROR(VLOOKUP(B203,'Enrollment 26-27'!$B$5:$I$332,8,FALSE),0)</f>
        <v>0</v>
      </c>
      <c r="E203" s="64">
        <f t="shared" si="50"/>
        <v>0</v>
      </c>
      <c r="F203" s="144">
        <v>0</v>
      </c>
      <c r="G203" s="144">
        <v>0</v>
      </c>
      <c r="H203" s="64">
        <f t="shared" si="51"/>
        <v>0</v>
      </c>
      <c r="I203" s="64">
        <f t="shared" si="52"/>
        <v>0</v>
      </c>
      <c r="J203" s="145">
        <f t="shared" si="53"/>
        <v>0</v>
      </c>
      <c r="K203" s="146" t="str">
        <f t="shared" si="64"/>
        <v>N</v>
      </c>
      <c r="L203" s="147">
        <f t="shared" si="54"/>
        <v>0</v>
      </c>
      <c r="M203" s="148">
        <f t="shared" si="55"/>
        <v>0</v>
      </c>
      <c r="N203" s="64">
        <f t="shared" si="56"/>
        <v>0</v>
      </c>
      <c r="O203" s="64">
        <f t="shared" si="57"/>
        <v>0</v>
      </c>
      <c r="Q203" s="104">
        <f t="shared" si="58"/>
        <v>0</v>
      </c>
      <c r="R203" s="104" t="str">
        <f t="shared" si="59"/>
        <v>Not Applicable</v>
      </c>
      <c r="S203" s="149" t="s">
        <v>815</v>
      </c>
      <c r="T203" s="149">
        <f>IF(O203=0,0,IF(S203="N",0,VLOOKUP(B203,'Enrollment 25-26'!$B$8:$K$332,9,FALSE)))</f>
        <v>0</v>
      </c>
      <c r="U203" s="64">
        <f t="shared" si="60"/>
        <v>0</v>
      </c>
      <c r="V203" s="128">
        <f t="shared" si="61"/>
        <v>0</v>
      </c>
      <c r="W203" s="150"/>
      <c r="X203" s="64">
        <f>IFERROR(VLOOKUP($B203,'Allocations 2025-26'!$B$9:$U$329,14,FALSE),0)</f>
        <v>0</v>
      </c>
      <c r="Y203" s="99">
        <f t="shared" si="62"/>
        <v>0</v>
      </c>
      <c r="Z203" s="132">
        <f t="shared" si="63"/>
        <v>0</v>
      </c>
      <c r="AA203" s="151" t="str">
        <f t="shared" si="65"/>
        <v>N</v>
      </c>
      <c r="AC203" s="64"/>
      <c r="AE203" s="152"/>
      <c r="AH203" s="153"/>
      <c r="AI203" s="153"/>
      <c r="AJ203" s="153"/>
      <c r="AK203" s="154"/>
    </row>
    <row r="204" spans="1:37" x14ac:dyDescent="0.25">
      <c r="A204" s="142" t="s">
        <v>451</v>
      </c>
      <c r="B204" t="s">
        <v>658</v>
      </c>
      <c r="C204" t="s">
        <v>204</v>
      </c>
      <c r="D204" s="143">
        <f>IFERROR(VLOOKUP(B204,'Enrollment 26-27'!$B$5:$I$332,8,FALSE),0)</f>
        <v>6729</v>
      </c>
      <c r="E204" s="64">
        <f t="shared" si="50"/>
        <v>778665</v>
      </c>
      <c r="F204" s="144">
        <v>0</v>
      </c>
      <c r="G204" s="144">
        <v>0</v>
      </c>
      <c r="H204" s="64">
        <f t="shared" si="51"/>
        <v>778665</v>
      </c>
      <c r="I204" s="64">
        <f t="shared" si="52"/>
        <v>0</v>
      </c>
      <c r="J204" s="145">
        <f t="shared" si="53"/>
        <v>778665</v>
      </c>
      <c r="K204" s="146" t="str">
        <f t="shared" si="64"/>
        <v>Y</v>
      </c>
      <c r="L204" s="147">
        <f t="shared" si="54"/>
        <v>0</v>
      </c>
      <c r="M204" s="148">
        <f t="shared" si="55"/>
        <v>6729</v>
      </c>
      <c r="N204" s="64">
        <f t="shared" si="56"/>
        <v>6644</v>
      </c>
      <c r="O204" s="64">
        <f t="shared" si="57"/>
        <v>785309</v>
      </c>
      <c r="Q204" s="104">
        <f t="shared" si="58"/>
        <v>0</v>
      </c>
      <c r="R204" s="104" t="str">
        <f t="shared" si="59"/>
        <v>Not Applicable</v>
      </c>
      <c r="S204" s="149" t="s">
        <v>815</v>
      </c>
      <c r="T204" s="149">
        <f>IF(O204=0,0,IF(S204="N",0,VLOOKUP(B204,'Enrollment 25-26'!$B$8:$K$332,9,FALSE)))</f>
        <v>0</v>
      </c>
      <c r="U204" s="64">
        <f t="shared" si="60"/>
        <v>785309</v>
      </c>
      <c r="V204" s="128">
        <f t="shared" si="61"/>
        <v>116.70515678406896</v>
      </c>
      <c r="W204" s="150"/>
      <c r="X204" s="64">
        <f>IFERROR(VLOOKUP($B204,'Allocations 2025-26'!$B$9:$U$329,14,FALSE),0)</f>
        <v>820534</v>
      </c>
      <c r="Y204" s="99">
        <f t="shared" si="62"/>
        <v>-35225</v>
      </c>
      <c r="Z204" s="132">
        <f t="shared" si="63"/>
        <v>-4.2929360635878586E-2</v>
      </c>
      <c r="AA204" s="151" t="str">
        <f t="shared" si="65"/>
        <v>Y</v>
      </c>
      <c r="AC204" s="64"/>
      <c r="AE204" s="152"/>
      <c r="AH204" s="153"/>
      <c r="AI204" s="153"/>
      <c r="AJ204" s="153"/>
      <c r="AK204" s="154"/>
    </row>
    <row r="205" spans="1:37" x14ac:dyDescent="0.25">
      <c r="A205" s="142" t="s">
        <v>481</v>
      </c>
      <c r="B205" t="s">
        <v>659</v>
      </c>
      <c r="C205" t="s">
        <v>205</v>
      </c>
      <c r="D205" s="143">
        <f>IFERROR(VLOOKUP(B205,'Enrollment 26-27'!$B$5:$I$332,8,FALSE),0)</f>
        <v>47.84</v>
      </c>
      <c r="E205" s="64">
        <f t="shared" si="50"/>
        <v>5536</v>
      </c>
      <c r="F205" s="144">
        <v>0</v>
      </c>
      <c r="G205" s="144">
        <v>0</v>
      </c>
      <c r="H205" s="64">
        <f t="shared" si="51"/>
        <v>5536</v>
      </c>
      <c r="I205" s="64">
        <f t="shared" si="52"/>
        <v>0</v>
      </c>
      <c r="J205" s="145">
        <f t="shared" si="53"/>
        <v>5536</v>
      </c>
      <c r="K205" s="146" t="str">
        <f t="shared" si="64"/>
        <v>N</v>
      </c>
      <c r="L205" s="147">
        <f t="shared" si="54"/>
        <v>5536</v>
      </c>
      <c r="M205" s="148">
        <f t="shared" si="55"/>
        <v>0</v>
      </c>
      <c r="N205" s="64">
        <f t="shared" si="56"/>
        <v>0</v>
      </c>
      <c r="O205" s="64">
        <f t="shared" si="57"/>
        <v>0</v>
      </c>
      <c r="Q205" s="104">
        <f t="shared" si="58"/>
        <v>0</v>
      </c>
      <c r="R205" s="104" t="str">
        <f t="shared" si="59"/>
        <v>Not Applicable</v>
      </c>
      <c r="S205" s="149" t="s">
        <v>815</v>
      </c>
      <c r="T205" s="149">
        <f>IF(O205=0,0,IF(S205="N",0,VLOOKUP(B205,'Enrollment 25-26'!$B$8:$K$332,9,FALSE)))</f>
        <v>0</v>
      </c>
      <c r="U205" s="64">
        <f t="shared" si="60"/>
        <v>0</v>
      </c>
      <c r="V205" s="128">
        <f t="shared" si="61"/>
        <v>0</v>
      </c>
      <c r="W205" s="150"/>
      <c r="X205" s="64">
        <f>IFERROR(VLOOKUP($B205,'Allocations 2025-26'!$B$9:$U$329,14,FALSE),0)</f>
        <v>0</v>
      </c>
      <c r="Y205" s="99">
        <f t="shared" si="62"/>
        <v>0</v>
      </c>
      <c r="Z205" s="132">
        <f t="shared" si="63"/>
        <v>0</v>
      </c>
      <c r="AA205" s="151" t="str">
        <f t="shared" si="65"/>
        <v>N</v>
      </c>
      <c r="AC205" s="64"/>
      <c r="AE205" s="152"/>
      <c r="AH205" s="153"/>
      <c r="AI205" s="153"/>
      <c r="AJ205" s="153"/>
      <c r="AK205" s="154"/>
    </row>
    <row r="206" spans="1:37" x14ac:dyDescent="0.25">
      <c r="A206" s="142" t="s">
        <v>451</v>
      </c>
      <c r="B206" t="s">
        <v>442</v>
      </c>
      <c r="C206" t="s">
        <v>206</v>
      </c>
      <c r="D206" s="143">
        <f>IFERROR(VLOOKUP(B206,'Enrollment 26-27'!$B$5:$I$332,8,FALSE),0)</f>
        <v>20.67</v>
      </c>
      <c r="E206" s="64">
        <f t="shared" si="50"/>
        <v>2392</v>
      </c>
      <c r="F206" s="144">
        <v>0</v>
      </c>
      <c r="G206" s="144">
        <v>0</v>
      </c>
      <c r="H206" s="64">
        <f t="shared" si="51"/>
        <v>2392</v>
      </c>
      <c r="I206" s="64">
        <f t="shared" si="52"/>
        <v>0</v>
      </c>
      <c r="J206" s="145">
        <f t="shared" si="53"/>
        <v>2392</v>
      </c>
      <c r="K206" s="146" t="str">
        <f t="shared" si="64"/>
        <v>N</v>
      </c>
      <c r="L206" s="147">
        <f t="shared" si="54"/>
        <v>2392</v>
      </c>
      <c r="M206" s="148">
        <f t="shared" si="55"/>
        <v>0</v>
      </c>
      <c r="N206" s="64">
        <f t="shared" si="56"/>
        <v>0</v>
      </c>
      <c r="O206" s="64">
        <f t="shared" si="57"/>
        <v>0</v>
      </c>
      <c r="Q206" s="104">
        <f t="shared" si="58"/>
        <v>0</v>
      </c>
      <c r="R206" s="104" t="str">
        <f t="shared" si="59"/>
        <v>Not Applicable</v>
      </c>
      <c r="S206" s="149" t="s">
        <v>815</v>
      </c>
      <c r="T206" s="149">
        <f>IF(O206=0,0,IF(S206="N",0,VLOOKUP(B206,'Enrollment 25-26'!$B$8:$K$332,9,FALSE)))</f>
        <v>0</v>
      </c>
      <c r="U206" s="64">
        <f t="shared" si="60"/>
        <v>0</v>
      </c>
      <c r="V206" s="128">
        <f t="shared" si="61"/>
        <v>0</v>
      </c>
      <c r="W206" s="150"/>
      <c r="X206" s="64">
        <f>IFERROR(VLOOKUP($B206,'Allocations 2025-26'!$B$9:$U$329,14,FALSE),0)</f>
        <v>2928</v>
      </c>
      <c r="Y206" s="99">
        <f t="shared" si="62"/>
        <v>-2928</v>
      </c>
      <c r="Z206" s="132">
        <f t="shared" si="63"/>
        <v>-1</v>
      </c>
      <c r="AA206" s="151" t="str">
        <f t="shared" si="65"/>
        <v>N</v>
      </c>
      <c r="AC206" s="64"/>
      <c r="AE206" s="152"/>
      <c r="AH206" s="153"/>
      <c r="AI206" s="153"/>
      <c r="AJ206" s="153"/>
      <c r="AK206" s="154"/>
    </row>
    <row r="207" spans="1:37" x14ac:dyDescent="0.25">
      <c r="A207" s="142" t="s">
        <v>438</v>
      </c>
      <c r="B207" t="s">
        <v>660</v>
      </c>
      <c r="C207" t="s">
        <v>207</v>
      </c>
      <c r="D207" s="143">
        <f>IFERROR(VLOOKUP(B207,'Enrollment 26-27'!$B$5:$I$332,8,FALSE),0)</f>
        <v>0</v>
      </c>
      <c r="E207" s="64">
        <f t="shared" si="50"/>
        <v>0</v>
      </c>
      <c r="F207" s="144">
        <v>0</v>
      </c>
      <c r="G207" s="144">
        <v>0</v>
      </c>
      <c r="H207" s="64">
        <f t="shared" si="51"/>
        <v>0</v>
      </c>
      <c r="I207" s="64">
        <f t="shared" si="52"/>
        <v>0</v>
      </c>
      <c r="J207" s="145">
        <f t="shared" si="53"/>
        <v>0</v>
      </c>
      <c r="K207" s="146" t="str">
        <f t="shared" si="64"/>
        <v>N</v>
      </c>
      <c r="L207" s="147">
        <f t="shared" si="54"/>
        <v>0</v>
      </c>
      <c r="M207" s="148">
        <f t="shared" si="55"/>
        <v>0</v>
      </c>
      <c r="N207" s="64">
        <f t="shared" si="56"/>
        <v>0</v>
      </c>
      <c r="O207" s="64">
        <f t="shared" si="57"/>
        <v>0</v>
      </c>
      <c r="Q207" s="104">
        <f t="shared" si="58"/>
        <v>0</v>
      </c>
      <c r="R207" s="104" t="str">
        <f t="shared" si="59"/>
        <v>Not Applicable</v>
      </c>
      <c r="S207" s="149" t="s">
        <v>815</v>
      </c>
      <c r="T207" s="149">
        <f>IF(O207=0,0,IF(S207="N",0,VLOOKUP(B207,'Enrollment 25-26'!$B$8:$K$332,9,FALSE)))</f>
        <v>0</v>
      </c>
      <c r="U207" s="64">
        <f t="shared" si="60"/>
        <v>0</v>
      </c>
      <c r="V207" s="128">
        <f t="shared" si="61"/>
        <v>0</v>
      </c>
      <c r="W207" s="150"/>
      <c r="X207" s="64">
        <f>IFERROR(VLOOKUP($B207,'Allocations 2025-26'!$B$9:$U$329,14,FALSE),0)</f>
        <v>0</v>
      </c>
      <c r="Y207" s="99">
        <f t="shared" si="62"/>
        <v>0</v>
      </c>
      <c r="Z207" s="132">
        <f t="shared" si="63"/>
        <v>0</v>
      </c>
      <c r="AA207" s="151" t="str">
        <f t="shared" si="65"/>
        <v>N</v>
      </c>
      <c r="AC207" s="64"/>
      <c r="AE207" s="152"/>
      <c r="AH207" s="153"/>
      <c r="AI207" s="153"/>
      <c r="AJ207" s="153"/>
      <c r="AK207" s="154"/>
    </row>
    <row r="208" spans="1:37" x14ac:dyDescent="0.25">
      <c r="A208" s="142" t="s">
        <v>454</v>
      </c>
      <c r="B208" t="s">
        <v>661</v>
      </c>
      <c r="C208" t="s">
        <v>208</v>
      </c>
      <c r="D208" s="143">
        <f>IFERROR(VLOOKUP(B208,'Enrollment 26-27'!$B$5:$I$332,8,FALSE),0)</f>
        <v>235.83999999999997</v>
      </c>
      <c r="E208" s="64">
        <f t="shared" si="50"/>
        <v>27291</v>
      </c>
      <c r="F208" s="144">
        <v>0</v>
      </c>
      <c r="G208" s="144">
        <v>0</v>
      </c>
      <c r="H208" s="64">
        <f t="shared" si="51"/>
        <v>27291</v>
      </c>
      <c r="I208" s="64">
        <f t="shared" si="52"/>
        <v>0</v>
      </c>
      <c r="J208" s="145">
        <f t="shared" si="53"/>
        <v>27291</v>
      </c>
      <c r="K208" s="146" t="str">
        <f t="shared" si="64"/>
        <v>Y</v>
      </c>
      <c r="L208" s="147">
        <f t="shared" si="54"/>
        <v>0</v>
      </c>
      <c r="M208" s="148">
        <f t="shared" si="55"/>
        <v>235.83999999999997</v>
      </c>
      <c r="N208" s="64">
        <f t="shared" si="56"/>
        <v>233</v>
      </c>
      <c r="O208" s="64">
        <f t="shared" si="57"/>
        <v>27524</v>
      </c>
      <c r="Q208" s="104">
        <f t="shared" si="58"/>
        <v>0</v>
      </c>
      <c r="R208" s="104" t="str">
        <f t="shared" si="59"/>
        <v>Not Applicable</v>
      </c>
      <c r="S208" s="149" t="s">
        <v>815</v>
      </c>
      <c r="T208" s="149">
        <f>IF(O208=0,0,IF(S208="N",0,VLOOKUP(B208,'Enrollment 25-26'!$B$8:$K$332,9,FALSE)))</f>
        <v>0</v>
      </c>
      <c r="U208" s="64">
        <f t="shared" si="60"/>
        <v>27524</v>
      </c>
      <c r="V208" s="128">
        <f t="shared" si="61"/>
        <v>116.70624151967436</v>
      </c>
      <c r="W208" s="150"/>
      <c r="X208" s="64">
        <f>IFERROR(VLOOKUP($B208,'Allocations 2025-26'!$B$9:$U$329,14,FALSE),0)</f>
        <v>36038</v>
      </c>
      <c r="Y208" s="99">
        <f t="shared" si="62"/>
        <v>-8514</v>
      </c>
      <c r="Z208" s="132">
        <f t="shared" si="63"/>
        <v>-0.23625062434097341</v>
      </c>
      <c r="AA208" s="151" t="str">
        <f t="shared" si="65"/>
        <v>Y</v>
      </c>
      <c r="AC208" s="64"/>
      <c r="AE208" s="152"/>
      <c r="AH208" s="153"/>
      <c r="AI208" s="153"/>
      <c r="AJ208" s="153"/>
      <c r="AK208" s="154"/>
    </row>
    <row r="209" spans="1:37" x14ac:dyDescent="0.25">
      <c r="A209" s="142" t="s">
        <v>497</v>
      </c>
      <c r="B209" t="s">
        <v>662</v>
      </c>
      <c r="C209" t="s">
        <v>209</v>
      </c>
      <c r="D209" s="143">
        <f>IFERROR(VLOOKUP(B209,'Enrollment 26-27'!$B$5:$I$332,8,FALSE),0)</f>
        <v>42.66</v>
      </c>
      <c r="E209" s="64">
        <f t="shared" si="50"/>
        <v>4937</v>
      </c>
      <c r="F209" s="144">
        <v>0</v>
      </c>
      <c r="G209" s="144">
        <v>0</v>
      </c>
      <c r="H209" s="64">
        <f t="shared" si="51"/>
        <v>4937</v>
      </c>
      <c r="I209" s="64">
        <f t="shared" si="52"/>
        <v>0</v>
      </c>
      <c r="J209" s="145">
        <f t="shared" si="53"/>
        <v>4937</v>
      </c>
      <c r="K209" s="146" t="str">
        <f t="shared" si="64"/>
        <v>N</v>
      </c>
      <c r="L209" s="147">
        <f t="shared" si="54"/>
        <v>4937</v>
      </c>
      <c r="M209" s="148">
        <f t="shared" si="55"/>
        <v>0</v>
      </c>
      <c r="N209" s="64">
        <f t="shared" si="56"/>
        <v>0</v>
      </c>
      <c r="O209" s="64">
        <f t="shared" si="57"/>
        <v>0</v>
      </c>
      <c r="Q209" s="104">
        <f t="shared" si="58"/>
        <v>0</v>
      </c>
      <c r="R209" s="104" t="str">
        <f t="shared" si="59"/>
        <v>Not Applicable</v>
      </c>
      <c r="S209" s="149" t="s">
        <v>815</v>
      </c>
      <c r="T209" s="149">
        <f>IF(O209=0,0,IF(S209="N",0,VLOOKUP(B209,'Enrollment 25-26'!$B$8:$K$332,9,FALSE)))</f>
        <v>0</v>
      </c>
      <c r="U209" s="64">
        <f t="shared" si="60"/>
        <v>0</v>
      </c>
      <c r="V209" s="128">
        <f t="shared" si="61"/>
        <v>0</v>
      </c>
      <c r="W209" s="150"/>
      <c r="X209" s="64">
        <f>IFERROR(VLOOKUP($B209,'Allocations 2025-26'!$B$9:$U$329,14,FALSE),0)</f>
        <v>0</v>
      </c>
      <c r="Y209" s="99">
        <f t="shared" si="62"/>
        <v>0</v>
      </c>
      <c r="Z209" s="132">
        <f t="shared" si="63"/>
        <v>0</v>
      </c>
      <c r="AA209" s="151" t="str">
        <f t="shared" si="65"/>
        <v>N</v>
      </c>
      <c r="AC209" s="64"/>
      <c r="AE209" s="152"/>
      <c r="AH209" s="153"/>
      <c r="AI209" s="153"/>
      <c r="AJ209" s="153"/>
      <c r="AK209" s="154"/>
    </row>
    <row r="210" spans="1:37" x14ac:dyDescent="0.25">
      <c r="A210" s="142" t="s">
        <v>438</v>
      </c>
      <c r="B210" t="s">
        <v>663</v>
      </c>
      <c r="C210" t="s">
        <v>210</v>
      </c>
      <c r="D210" s="143">
        <f>IFERROR(VLOOKUP(B210,'Enrollment 26-27'!$B$5:$I$332,8,FALSE),0)</f>
        <v>60.84</v>
      </c>
      <c r="E210" s="64">
        <f t="shared" si="50"/>
        <v>7040</v>
      </c>
      <c r="F210" s="144">
        <v>0</v>
      </c>
      <c r="G210" s="144">
        <v>0</v>
      </c>
      <c r="H210" s="64">
        <f t="shared" si="51"/>
        <v>7040</v>
      </c>
      <c r="I210" s="64">
        <f t="shared" si="52"/>
        <v>0</v>
      </c>
      <c r="J210" s="145">
        <f t="shared" si="53"/>
        <v>7040</v>
      </c>
      <c r="K210" s="146" t="str">
        <f t="shared" si="64"/>
        <v>N</v>
      </c>
      <c r="L210" s="147">
        <f t="shared" si="54"/>
        <v>7040</v>
      </c>
      <c r="M210" s="148">
        <f t="shared" si="55"/>
        <v>0</v>
      </c>
      <c r="N210" s="64">
        <f t="shared" si="56"/>
        <v>0</v>
      </c>
      <c r="O210" s="64">
        <f t="shared" si="57"/>
        <v>0</v>
      </c>
      <c r="Q210" s="104">
        <f t="shared" si="58"/>
        <v>0</v>
      </c>
      <c r="R210" s="104" t="str">
        <f t="shared" si="59"/>
        <v>Not Applicable</v>
      </c>
      <c r="S210" s="149" t="s">
        <v>815</v>
      </c>
      <c r="T210" s="149">
        <f>IF(O210=0,0,IF(S210="N",0,VLOOKUP(B210,'Enrollment 25-26'!$B$8:$K$332,9,FALSE)))</f>
        <v>0</v>
      </c>
      <c r="U210" s="64">
        <f t="shared" si="60"/>
        <v>0</v>
      </c>
      <c r="V210" s="128">
        <f t="shared" si="61"/>
        <v>0</v>
      </c>
      <c r="W210" s="150"/>
      <c r="X210" s="64">
        <f>IFERROR(VLOOKUP($B210,'Allocations 2025-26'!$B$9:$U$329,14,FALSE),0)</f>
        <v>0</v>
      </c>
      <c r="Y210" s="99">
        <f t="shared" si="62"/>
        <v>0</v>
      </c>
      <c r="Z210" s="132">
        <f t="shared" si="63"/>
        <v>0</v>
      </c>
      <c r="AA210" s="151" t="str">
        <f t="shared" si="65"/>
        <v>N</v>
      </c>
      <c r="AC210" s="64"/>
      <c r="AE210" s="152"/>
      <c r="AH210" s="153"/>
      <c r="AI210" s="153"/>
      <c r="AJ210" s="153"/>
      <c r="AK210" s="154"/>
    </row>
    <row r="211" spans="1:37" x14ac:dyDescent="0.25">
      <c r="A211" s="142" t="s">
        <v>451</v>
      </c>
      <c r="B211" t="s">
        <v>450</v>
      </c>
      <c r="C211" t="s">
        <v>211</v>
      </c>
      <c r="D211" s="143">
        <f>IFERROR(VLOOKUP(B211,'Enrollment 26-27'!$B$5:$I$332,8,FALSE),0)</f>
        <v>1.33</v>
      </c>
      <c r="E211" s="64">
        <f t="shared" si="50"/>
        <v>154</v>
      </c>
      <c r="F211" s="144">
        <v>0</v>
      </c>
      <c r="G211" s="144">
        <v>0</v>
      </c>
      <c r="H211" s="64">
        <f t="shared" si="51"/>
        <v>154</v>
      </c>
      <c r="I211" s="64">
        <f t="shared" si="52"/>
        <v>0</v>
      </c>
      <c r="J211" s="145">
        <f t="shared" si="53"/>
        <v>154</v>
      </c>
      <c r="K211" s="146" t="str">
        <f t="shared" si="64"/>
        <v>N</v>
      </c>
      <c r="L211" s="147">
        <f t="shared" si="54"/>
        <v>154</v>
      </c>
      <c r="M211" s="148">
        <f t="shared" si="55"/>
        <v>0</v>
      </c>
      <c r="N211" s="64">
        <f t="shared" si="56"/>
        <v>0</v>
      </c>
      <c r="O211" s="64">
        <f t="shared" si="57"/>
        <v>0</v>
      </c>
      <c r="Q211" s="104">
        <f t="shared" si="58"/>
        <v>0</v>
      </c>
      <c r="R211" s="104" t="str">
        <f t="shared" si="59"/>
        <v>Not Applicable</v>
      </c>
      <c r="S211" s="149" t="s">
        <v>815</v>
      </c>
      <c r="T211" s="149">
        <f>IF(O211=0,0,IF(S211="N",0,VLOOKUP(B211,'Enrollment 25-26'!$B$8:$K$332,9,FALSE)))</f>
        <v>0</v>
      </c>
      <c r="U211" s="64">
        <f t="shared" si="60"/>
        <v>0</v>
      </c>
      <c r="V211" s="128">
        <f t="shared" si="61"/>
        <v>0</v>
      </c>
      <c r="W211" s="150"/>
      <c r="X211" s="64">
        <f>IFERROR(VLOOKUP($B211,'Allocations 2025-26'!$B$9:$U$329,14,FALSE),0)</f>
        <v>0</v>
      </c>
      <c r="Y211" s="99">
        <f t="shared" si="62"/>
        <v>0</v>
      </c>
      <c r="Z211" s="132">
        <f t="shared" si="63"/>
        <v>0</v>
      </c>
      <c r="AA211" s="151" t="str">
        <f t="shared" si="65"/>
        <v>N</v>
      </c>
      <c r="AC211" s="64"/>
      <c r="AE211" s="152"/>
      <c r="AH211" s="153"/>
      <c r="AI211" s="153"/>
      <c r="AJ211" s="153"/>
      <c r="AK211" s="154"/>
    </row>
    <row r="212" spans="1:37" x14ac:dyDescent="0.25">
      <c r="A212" s="142" t="s">
        <v>478</v>
      </c>
      <c r="B212" t="s">
        <v>664</v>
      </c>
      <c r="C212" t="s">
        <v>212</v>
      </c>
      <c r="D212" s="143">
        <f>IFERROR(VLOOKUP(B212,'Enrollment 26-27'!$B$5:$I$332,8,FALSE),0)</f>
        <v>54.34</v>
      </c>
      <c r="E212" s="64">
        <f t="shared" si="50"/>
        <v>6288</v>
      </c>
      <c r="F212" s="144">
        <v>0</v>
      </c>
      <c r="G212" s="144">
        <v>0</v>
      </c>
      <c r="H212" s="64">
        <f t="shared" si="51"/>
        <v>6288</v>
      </c>
      <c r="I212" s="64">
        <f t="shared" si="52"/>
        <v>0</v>
      </c>
      <c r="J212" s="145">
        <f t="shared" si="53"/>
        <v>6288</v>
      </c>
      <c r="K212" s="146" t="str">
        <f t="shared" si="64"/>
        <v>N</v>
      </c>
      <c r="L212" s="147">
        <f t="shared" si="54"/>
        <v>6288</v>
      </c>
      <c r="M212" s="148">
        <f t="shared" si="55"/>
        <v>0</v>
      </c>
      <c r="N212" s="64">
        <f t="shared" si="56"/>
        <v>0</v>
      </c>
      <c r="O212" s="64">
        <f t="shared" si="57"/>
        <v>0</v>
      </c>
      <c r="Q212" s="104">
        <f t="shared" si="58"/>
        <v>0</v>
      </c>
      <c r="R212" s="104" t="str">
        <f t="shared" si="59"/>
        <v>Not Applicable</v>
      </c>
      <c r="S212" s="149" t="s">
        <v>815</v>
      </c>
      <c r="T212" s="149">
        <f>IF(O212=0,0,IF(S212="N",0,VLOOKUP(B212,'Enrollment 25-26'!$B$8:$K$332,9,FALSE)))</f>
        <v>0</v>
      </c>
      <c r="U212" s="64">
        <f t="shared" si="60"/>
        <v>0</v>
      </c>
      <c r="V212" s="128">
        <f t="shared" si="61"/>
        <v>0</v>
      </c>
      <c r="W212" s="150"/>
      <c r="X212" s="64">
        <f>IFERROR(VLOOKUP($B212,'Allocations 2025-26'!$B$9:$U$329,14,FALSE),0)</f>
        <v>0</v>
      </c>
      <c r="Y212" s="99">
        <f t="shared" si="62"/>
        <v>0</v>
      </c>
      <c r="Z212" s="132">
        <f t="shared" si="63"/>
        <v>0</v>
      </c>
      <c r="AA212" s="151" t="str">
        <f t="shared" si="65"/>
        <v>N</v>
      </c>
      <c r="AC212" s="64"/>
      <c r="AE212" s="152"/>
      <c r="AH212" s="153"/>
      <c r="AI212" s="153"/>
      <c r="AJ212" s="153"/>
      <c r="AK212" s="154"/>
    </row>
    <row r="213" spans="1:37" x14ac:dyDescent="0.25">
      <c r="A213" s="142" t="s">
        <v>478</v>
      </c>
      <c r="B213" t="s">
        <v>665</v>
      </c>
      <c r="C213" t="s">
        <v>213</v>
      </c>
      <c r="D213" s="143">
        <f>IFERROR(VLOOKUP(B213,'Enrollment 26-27'!$B$5:$I$332,8,FALSE),0)</f>
        <v>37.5</v>
      </c>
      <c r="E213" s="64">
        <f t="shared" si="50"/>
        <v>4339</v>
      </c>
      <c r="F213" s="144">
        <v>0</v>
      </c>
      <c r="G213" s="144">
        <v>0</v>
      </c>
      <c r="H213" s="64">
        <f t="shared" si="51"/>
        <v>4339</v>
      </c>
      <c r="I213" s="64">
        <f t="shared" si="52"/>
        <v>0</v>
      </c>
      <c r="J213" s="145">
        <f t="shared" si="53"/>
        <v>4339</v>
      </c>
      <c r="K213" s="146" t="str">
        <f t="shared" si="64"/>
        <v>N</v>
      </c>
      <c r="L213" s="147">
        <f t="shared" si="54"/>
        <v>4339</v>
      </c>
      <c r="M213" s="148">
        <f t="shared" si="55"/>
        <v>0</v>
      </c>
      <c r="N213" s="64">
        <f t="shared" si="56"/>
        <v>0</v>
      </c>
      <c r="O213" s="64">
        <f t="shared" si="57"/>
        <v>0</v>
      </c>
      <c r="Q213" s="104">
        <f t="shared" si="58"/>
        <v>0</v>
      </c>
      <c r="R213" s="104" t="str">
        <f t="shared" si="59"/>
        <v>Not Applicable</v>
      </c>
      <c r="S213" s="149" t="s">
        <v>815</v>
      </c>
      <c r="T213" s="149">
        <f>IF(O213=0,0,IF(S213="N",0,VLOOKUP(B213,'Enrollment 25-26'!$B$8:$K$332,9,FALSE)))</f>
        <v>0</v>
      </c>
      <c r="U213" s="64">
        <f t="shared" si="60"/>
        <v>0</v>
      </c>
      <c r="V213" s="128">
        <f t="shared" si="61"/>
        <v>0</v>
      </c>
      <c r="W213" s="150"/>
      <c r="X213" s="64">
        <f>IFERROR(VLOOKUP($B213,'Allocations 2025-26'!$B$9:$U$329,14,FALSE),0)</f>
        <v>0</v>
      </c>
      <c r="Y213" s="99">
        <f t="shared" si="62"/>
        <v>0</v>
      </c>
      <c r="Z213" s="132">
        <f t="shared" si="63"/>
        <v>0</v>
      </c>
      <c r="AA213" s="151" t="str">
        <f t="shared" si="65"/>
        <v>N</v>
      </c>
      <c r="AC213" s="64"/>
      <c r="AE213" s="152"/>
      <c r="AH213" s="153"/>
      <c r="AI213" s="153"/>
      <c r="AJ213" s="153"/>
      <c r="AK213" s="154"/>
    </row>
    <row r="214" spans="1:37" x14ac:dyDescent="0.25">
      <c r="A214" s="142" t="s">
        <v>451</v>
      </c>
      <c r="B214" t="s">
        <v>666</v>
      </c>
      <c r="C214" t="s">
        <v>214</v>
      </c>
      <c r="D214" s="143">
        <f>IFERROR(VLOOKUP(B214,'Enrollment 26-27'!$B$5:$I$332,8,FALSE),0)</f>
        <v>89.33</v>
      </c>
      <c r="E214" s="64">
        <f t="shared" si="50"/>
        <v>10337</v>
      </c>
      <c r="F214" s="144">
        <v>0</v>
      </c>
      <c r="G214" s="144">
        <v>0</v>
      </c>
      <c r="H214" s="64">
        <f t="shared" si="51"/>
        <v>10337</v>
      </c>
      <c r="I214" s="64">
        <f t="shared" si="52"/>
        <v>0</v>
      </c>
      <c r="J214" s="145">
        <f t="shared" si="53"/>
        <v>10337</v>
      </c>
      <c r="K214" s="146" t="str">
        <f t="shared" si="64"/>
        <v>Y</v>
      </c>
      <c r="L214" s="147">
        <f t="shared" si="54"/>
        <v>0</v>
      </c>
      <c r="M214" s="148">
        <f t="shared" si="55"/>
        <v>89.33</v>
      </c>
      <c r="N214" s="64">
        <f t="shared" si="56"/>
        <v>88</v>
      </c>
      <c r="O214" s="64">
        <f t="shared" si="57"/>
        <v>10425</v>
      </c>
      <c r="Q214" s="104">
        <f t="shared" si="58"/>
        <v>0</v>
      </c>
      <c r="R214" s="104" t="str">
        <f t="shared" si="59"/>
        <v>Not Applicable</v>
      </c>
      <c r="S214" s="149" t="s">
        <v>815</v>
      </c>
      <c r="T214" s="149">
        <f>IF(O214=0,0,IF(S214="N",0,VLOOKUP(B214,'Enrollment 25-26'!$B$8:$K$332,9,FALSE)))</f>
        <v>0</v>
      </c>
      <c r="U214" s="64">
        <f t="shared" si="60"/>
        <v>10425</v>
      </c>
      <c r="V214" s="128">
        <f t="shared" si="61"/>
        <v>116.70211575058771</v>
      </c>
      <c r="W214" s="150"/>
      <c r="X214" s="64">
        <f>IFERROR(VLOOKUP($B214,'Allocations 2025-26'!$B$9:$U$329,14,FALSE),0)</f>
        <v>12298</v>
      </c>
      <c r="Y214" s="99">
        <f t="shared" si="62"/>
        <v>-1873</v>
      </c>
      <c r="Z214" s="132">
        <f t="shared" si="63"/>
        <v>-0.15230118718490812</v>
      </c>
      <c r="AA214" s="151" t="str">
        <f t="shared" si="65"/>
        <v>Y</v>
      </c>
      <c r="AC214" s="64"/>
      <c r="AE214" s="152"/>
      <c r="AH214" s="153"/>
      <c r="AI214" s="153"/>
      <c r="AJ214" s="153"/>
      <c r="AK214" s="154"/>
    </row>
    <row r="215" spans="1:37" x14ac:dyDescent="0.25">
      <c r="A215" s="142" t="s">
        <v>497</v>
      </c>
      <c r="B215" t="s">
        <v>667</v>
      </c>
      <c r="C215" t="s">
        <v>215</v>
      </c>
      <c r="D215" s="143">
        <f>IFERROR(VLOOKUP(B215,'Enrollment 26-27'!$B$5:$I$332,8,FALSE),0)</f>
        <v>0</v>
      </c>
      <c r="E215" s="64">
        <f t="shared" si="50"/>
        <v>0</v>
      </c>
      <c r="F215" s="144">
        <v>0</v>
      </c>
      <c r="G215" s="144">
        <v>0</v>
      </c>
      <c r="H215" s="64">
        <f t="shared" si="51"/>
        <v>0</v>
      </c>
      <c r="I215" s="64">
        <f t="shared" si="52"/>
        <v>0</v>
      </c>
      <c r="J215" s="145">
        <f t="shared" si="53"/>
        <v>0</v>
      </c>
      <c r="K215" s="146" t="str">
        <f t="shared" si="64"/>
        <v>N</v>
      </c>
      <c r="L215" s="147">
        <f t="shared" si="54"/>
        <v>0</v>
      </c>
      <c r="M215" s="148">
        <f t="shared" si="55"/>
        <v>0</v>
      </c>
      <c r="N215" s="64">
        <f t="shared" si="56"/>
        <v>0</v>
      </c>
      <c r="O215" s="64">
        <f t="shared" si="57"/>
        <v>0</v>
      </c>
      <c r="Q215" s="104">
        <f t="shared" si="58"/>
        <v>0</v>
      </c>
      <c r="R215" s="104" t="str">
        <f t="shared" si="59"/>
        <v>Not Applicable</v>
      </c>
      <c r="S215" s="149" t="s">
        <v>815</v>
      </c>
      <c r="T215" s="149">
        <f>IF(O215=0,0,IF(S215="N",0,VLOOKUP(B215,'Enrollment 25-26'!$B$8:$K$332,9,FALSE)))</f>
        <v>0</v>
      </c>
      <c r="U215" s="64">
        <f t="shared" si="60"/>
        <v>0</v>
      </c>
      <c r="V215" s="128">
        <f t="shared" si="61"/>
        <v>0</v>
      </c>
      <c r="W215" s="150"/>
      <c r="X215" s="64">
        <f>IFERROR(VLOOKUP($B215,'Allocations 2025-26'!$B$9:$U$329,14,FALSE),0)</f>
        <v>0</v>
      </c>
      <c r="Y215" s="99">
        <f t="shared" si="62"/>
        <v>0</v>
      </c>
      <c r="Z215" s="132">
        <f t="shared" si="63"/>
        <v>0</v>
      </c>
      <c r="AA215" s="151" t="str">
        <f t="shared" si="65"/>
        <v>N</v>
      </c>
      <c r="AC215" s="64"/>
      <c r="AE215" s="152"/>
      <c r="AH215" s="153"/>
      <c r="AI215" s="153"/>
      <c r="AJ215" s="153"/>
      <c r="AK215" s="154"/>
    </row>
    <row r="216" spans="1:37" x14ac:dyDescent="0.25">
      <c r="A216" s="142" t="s">
        <v>451</v>
      </c>
      <c r="B216" t="s">
        <v>668</v>
      </c>
      <c r="C216" t="s">
        <v>216</v>
      </c>
      <c r="D216" s="143">
        <f>IFERROR(VLOOKUP(B216,'Enrollment 26-27'!$B$5:$I$332,8,FALSE),0)</f>
        <v>695</v>
      </c>
      <c r="E216" s="64">
        <f t="shared" si="50"/>
        <v>80424</v>
      </c>
      <c r="F216" s="144">
        <v>0</v>
      </c>
      <c r="G216" s="144">
        <v>0</v>
      </c>
      <c r="H216" s="64">
        <f t="shared" si="51"/>
        <v>80424</v>
      </c>
      <c r="I216" s="64">
        <f t="shared" si="52"/>
        <v>0</v>
      </c>
      <c r="J216" s="145">
        <f t="shared" si="53"/>
        <v>80424</v>
      </c>
      <c r="K216" s="146" t="str">
        <f t="shared" si="64"/>
        <v>Y</v>
      </c>
      <c r="L216" s="147">
        <f t="shared" si="54"/>
        <v>0</v>
      </c>
      <c r="M216" s="148">
        <f t="shared" si="55"/>
        <v>695</v>
      </c>
      <c r="N216" s="64">
        <f t="shared" si="56"/>
        <v>686</v>
      </c>
      <c r="O216" s="64">
        <f t="shared" si="57"/>
        <v>81110</v>
      </c>
      <c r="Q216" s="104">
        <f t="shared" si="58"/>
        <v>0</v>
      </c>
      <c r="R216" s="104" t="str">
        <f t="shared" si="59"/>
        <v>Not Applicable</v>
      </c>
      <c r="S216" s="149" t="s">
        <v>815</v>
      </c>
      <c r="T216" s="149">
        <f>IF(O216=0,0,IF(S216="N",0,VLOOKUP(B216,'Enrollment 25-26'!$B$8:$K$332,9,FALSE)))</f>
        <v>0</v>
      </c>
      <c r="U216" s="64">
        <f t="shared" si="60"/>
        <v>81110</v>
      </c>
      <c r="V216" s="128">
        <f t="shared" si="61"/>
        <v>116.70503597122303</v>
      </c>
      <c r="W216" s="150"/>
      <c r="X216" s="64">
        <f>IFERROR(VLOOKUP($B216,'Allocations 2025-26'!$B$9:$U$329,14,FALSE),0)</f>
        <v>82342</v>
      </c>
      <c r="Y216" s="99">
        <f t="shared" si="62"/>
        <v>-1232</v>
      </c>
      <c r="Z216" s="132">
        <f t="shared" si="63"/>
        <v>-1.4961987806951495E-2</v>
      </c>
      <c r="AA216" s="151" t="str">
        <f t="shared" si="65"/>
        <v>Y</v>
      </c>
      <c r="AC216" s="64"/>
      <c r="AE216" s="152"/>
      <c r="AH216" s="153"/>
      <c r="AI216" s="153"/>
      <c r="AJ216" s="153"/>
      <c r="AK216" s="154"/>
    </row>
    <row r="217" spans="1:37" x14ac:dyDescent="0.25">
      <c r="A217" s="142" t="s">
        <v>443</v>
      </c>
      <c r="B217" t="s">
        <v>669</v>
      </c>
      <c r="C217" t="s">
        <v>217</v>
      </c>
      <c r="D217" s="143">
        <f>IFERROR(VLOOKUP(B217,'Enrollment 26-27'!$B$5:$I$332,8,FALSE),0)</f>
        <v>161.99333333333334</v>
      </c>
      <c r="E217" s="64">
        <f t="shared" si="50"/>
        <v>18746</v>
      </c>
      <c r="F217" s="144">
        <v>0</v>
      </c>
      <c r="G217" s="144">
        <v>0</v>
      </c>
      <c r="H217" s="64">
        <f t="shared" si="51"/>
        <v>18746</v>
      </c>
      <c r="I217" s="64">
        <f t="shared" si="52"/>
        <v>0</v>
      </c>
      <c r="J217" s="145">
        <f t="shared" si="53"/>
        <v>18746</v>
      </c>
      <c r="K217" s="146" t="str">
        <f t="shared" si="64"/>
        <v>Y</v>
      </c>
      <c r="L217" s="147">
        <f t="shared" si="54"/>
        <v>0</v>
      </c>
      <c r="M217" s="148">
        <f t="shared" si="55"/>
        <v>161.99333333333334</v>
      </c>
      <c r="N217" s="64">
        <f t="shared" si="56"/>
        <v>160</v>
      </c>
      <c r="O217" s="64">
        <f t="shared" si="57"/>
        <v>18906</v>
      </c>
      <c r="Q217" s="104">
        <f t="shared" si="58"/>
        <v>0</v>
      </c>
      <c r="R217" s="104" t="str">
        <f t="shared" si="59"/>
        <v>Not Applicable</v>
      </c>
      <c r="S217" s="149" t="s">
        <v>815</v>
      </c>
      <c r="T217" s="149">
        <f>IF(O217=0,0,IF(S217="N",0,VLOOKUP(B217,'Enrollment 25-26'!$B$8:$K$332,9,FALSE)))</f>
        <v>0</v>
      </c>
      <c r="U217" s="64">
        <f t="shared" si="60"/>
        <v>18906</v>
      </c>
      <c r="V217" s="128">
        <f t="shared" si="61"/>
        <v>116.70850652290217</v>
      </c>
      <c r="W217" s="150"/>
      <c r="X217" s="64">
        <f>IFERROR(VLOOKUP($B217,'Allocations 2025-26'!$B$9:$U$329,14,FALSE),0)</f>
        <v>19267</v>
      </c>
      <c r="Y217" s="99">
        <f t="shared" si="62"/>
        <v>-361</v>
      </c>
      <c r="Z217" s="132">
        <f t="shared" si="63"/>
        <v>-1.8736700057092437E-2</v>
      </c>
      <c r="AA217" s="151" t="str">
        <f t="shared" si="65"/>
        <v>Y</v>
      </c>
      <c r="AC217" s="64"/>
      <c r="AE217" s="152"/>
      <c r="AH217" s="153"/>
      <c r="AI217" s="153"/>
      <c r="AJ217" s="153"/>
      <c r="AK217" s="154"/>
    </row>
    <row r="218" spans="1:37" x14ac:dyDescent="0.25">
      <c r="A218" s="142" t="s">
        <v>497</v>
      </c>
      <c r="B218" t="s">
        <v>670</v>
      </c>
      <c r="C218" t="s">
        <v>671</v>
      </c>
      <c r="D218" s="143">
        <f>IFERROR(VLOOKUP(B218,'Enrollment 26-27'!$B$5:$I$332,8,FALSE),0)</f>
        <v>0</v>
      </c>
      <c r="E218" s="64">
        <f t="shared" si="50"/>
        <v>0</v>
      </c>
      <c r="F218" s="144">
        <v>0</v>
      </c>
      <c r="G218" s="144">
        <v>0</v>
      </c>
      <c r="H218" s="64">
        <f t="shared" si="51"/>
        <v>0</v>
      </c>
      <c r="I218" s="64">
        <f t="shared" si="52"/>
        <v>0</v>
      </c>
      <c r="J218" s="145">
        <f t="shared" si="53"/>
        <v>0</v>
      </c>
      <c r="K218" s="146" t="str">
        <f t="shared" si="64"/>
        <v>N</v>
      </c>
      <c r="L218" s="147">
        <f t="shared" si="54"/>
        <v>0</v>
      </c>
      <c r="M218" s="148">
        <f t="shared" si="55"/>
        <v>0</v>
      </c>
      <c r="N218" s="64">
        <f t="shared" si="56"/>
        <v>0</v>
      </c>
      <c r="O218" s="64">
        <f t="shared" si="57"/>
        <v>0</v>
      </c>
      <c r="Q218" s="104">
        <f t="shared" si="58"/>
        <v>0</v>
      </c>
      <c r="R218" s="104" t="str">
        <f t="shared" si="59"/>
        <v>Not Applicable</v>
      </c>
      <c r="S218" s="149" t="s">
        <v>815</v>
      </c>
      <c r="T218" s="149">
        <f>IF(O218=0,0,IF(S218="N",0,VLOOKUP(B218,'Enrollment 25-26'!$B$8:$K$332,9,FALSE)))</f>
        <v>0</v>
      </c>
      <c r="U218" s="64">
        <f t="shared" si="60"/>
        <v>0</v>
      </c>
      <c r="V218" s="128">
        <f t="shared" si="61"/>
        <v>0</v>
      </c>
      <c r="W218" s="150"/>
      <c r="X218" s="64">
        <f>IFERROR(VLOOKUP($B218,'Allocations 2025-26'!$B$9:$U$329,14,FALSE),0)</f>
        <v>0</v>
      </c>
      <c r="Y218" s="99">
        <f t="shared" si="62"/>
        <v>0</v>
      </c>
      <c r="Z218" s="132">
        <f t="shared" si="63"/>
        <v>0</v>
      </c>
      <c r="AA218" s="151" t="str">
        <f t="shared" si="65"/>
        <v>N</v>
      </c>
      <c r="AC218" s="64"/>
      <c r="AE218" s="152"/>
      <c r="AH218" s="153"/>
      <c r="AI218" s="153"/>
      <c r="AJ218" s="153"/>
      <c r="AK218" s="154"/>
    </row>
    <row r="219" spans="1:37" x14ac:dyDescent="0.25">
      <c r="A219" s="142" t="s">
        <v>454</v>
      </c>
      <c r="B219" t="s">
        <v>672</v>
      </c>
      <c r="C219" t="s">
        <v>218</v>
      </c>
      <c r="D219" s="143">
        <f>IFERROR(VLOOKUP(B219,'Enrollment 26-27'!$B$5:$I$332,8,FALSE),0)</f>
        <v>2390.33</v>
      </c>
      <c r="E219" s="64">
        <f t="shared" si="50"/>
        <v>276604</v>
      </c>
      <c r="F219" s="144">
        <v>0</v>
      </c>
      <c r="G219" s="144">
        <v>0</v>
      </c>
      <c r="H219" s="64">
        <f t="shared" si="51"/>
        <v>276604</v>
      </c>
      <c r="I219" s="64">
        <f t="shared" si="52"/>
        <v>0</v>
      </c>
      <c r="J219" s="145">
        <f t="shared" si="53"/>
        <v>276604</v>
      </c>
      <c r="K219" s="146" t="str">
        <f t="shared" si="64"/>
        <v>Y</v>
      </c>
      <c r="L219" s="147">
        <f t="shared" si="54"/>
        <v>0</v>
      </c>
      <c r="M219" s="148">
        <f t="shared" si="55"/>
        <v>2390.33</v>
      </c>
      <c r="N219" s="64">
        <f t="shared" si="56"/>
        <v>2360</v>
      </c>
      <c r="O219" s="64">
        <f t="shared" si="57"/>
        <v>278964</v>
      </c>
      <c r="Q219" s="104">
        <f t="shared" si="58"/>
        <v>0</v>
      </c>
      <c r="R219" s="104" t="str">
        <f t="shared" si="59"/>
        <v>Not Applicable</v>
      </c>
      <c r="S219" s="149" t="s">
        <v>815</v>
      </c>
      <c r="T219" s="149">
        <f>IF(O219=0,0,IF(S219="N",0,VLOOKUP(B219,'Enrollment 25-26'!$B$8:$K$332,9,FALSE)))</f>
        <v>0</v>
      </c>
      <c r="U219" s="64">
        <f t="shared" si="60"/>
        <v>278964</v>
      </c>
      <c r="V219" s="128">
        <f t="shared" si="61"/>
        <v>116.70522480159643</v>
      </c>
      <c r="W219" s="150"/>
      <c r="X219" s="64">
        <f>IFERROR(VLOOKUP($B219,'Allocations 2025-26'!$B$9:$U$329,14,FALSE),0)</f>
        <v>284821</v>
      </c>
      <c r="Y219" s="99">
        <f t="shared" si="62"/>
        <v>-5857</v>
      </c>
      <c r="Z219" s="132">
        <f t="shared" si="63"/>
        <v>-2.0563792697869891E-2</v>
      </c>
      <c r="AA219" s="151" t="str">
        <f t="shared" si="65"/>
        <v>Y</v>
      </c>
      <c r="AC219" s="64"/>
      <c r="AE219" s="152"/>
      <c r="AH219" s="153"/>
      <c r="AI219" s="153"/>
      <c r="AJ219" s="153"/>
      <c r="AK219" s="154"/>
    </row>
    <row r="220" spans="1:37" x14ac:dyDescent="0.25">
      <c r="A220" s="142" t="s">
        <v>478</v>
      </c>
      <c r="B220" t="s">
        <v>673</v>
      </c>
      <c r="C220" t="s">
        <v>219</v>
      </c>
      <c r="D220" s="143">
        <f>IFERROR(VLOOKUP(B220,'Enrollment 26-27'!$B$5:$I$332,8,FALSE),0)</f>
        <v>0</v>
      </c>
      <c r="E220" s="64">
        <f t="shared" si="50"/>
        <v>0</v>
      </c>
      <c r="F220" s="144">
        <v>0</v>
      </c>
      <c r="G220" s="144">
        <v>0</v>
      </c>
      <c r="H220" s="64">
        <f t="shared" si="51"/>
        <v>0</v>
      </c>
      <c r="I220" s="64">
        <f t="shared" si="52"/>
        <v>0</v>
      </c>
      <c r="J220" s="145">
        <f t="shared" si="53"/>
        <v>0</v>
      </c>
      <c r="K220" s="146" t="str">
        <f t="shared" si="64"/>
        <v>N</v>
      </c>
      <c r="L220" s="147">
        <f t="shared" si="54"/>
        <v>0</v>
      </c>
      <c r="M220" s="148">
        <f t="shared" si="55"/>
        <v>0</v>
      </c>
      <c r="N220" s="64">
        <f t="shared" si="56"/>
        <v>0</v>
      </c>
      <c r="O220" s="64">
        <f t="shared" si="57"/>
        <v>0</v>
      </c>
      <c r="Q220" s="104">
        <f t="shared" si="58"/>
        <v>0</v>
      </c>
      <c r="R220" s="104" t="str">
        <f t="shared" si="59"/>
        <v>Not Applicable</v>
      </c>
      <c r="S220" s="149" t="s">
        <v>815</v>
      </c>
      <c r="T220" s="149">
        <f>IF(O220=0,0,IF(S220="N",0,VLOOKUP(B220,'Enrollment 25-26'!$B$8:$K$332,9,FALSE)))</f>
        <v>0</v>
      </c>
      <c r="U220" s="64">
        <f t="shared" si="60"/>
        <v>0</v>
      </c>
      <c r="V220" s="128">
        <f t="shared" si="61"/>
        <v>0</v>
      </c>
      <c r="W220" s="150"/>
      <c r="X220" s="64">
        <f>IFERROR(VLOOKUP($B220,'Allocations 2025-26'!$B$9:$U$329,14,FALSE),0)</f>
        <v>0</v>
      </c>
      <c r="Y220" s="99">
        <f t="shared" si="62"/>
        <v>0</v>
      </c>
      <c r="Z220" s="132">
        <f t="shared" si="63"/>
        <v>0</v>
      </c>
      <c r="AA220" s="151" t="str">
        <f t="shared" si="65"/>
        <v>N</v>
      </c>
      <c r="AC220" s="64"/>
      <c r="AE220" s="152"/>
      <c r="AH220" s="153"/>
      <c r="AI220" s="153"/>
      <c r="AJ220" s="153"/>
      <c r="AK220" s="154"/>
    </row>
    <row r="221" spans="1:37" x14ac:dyDescent="0.25">
      <c r="A221" s="142" t="s">
        <v>478</v>
      </c>
      <c r="B221" t="s">
        <v>674</v>
      </c>
      <c r="C221" t="s">
        <v>220</v>
      </c>
      <c r="D221" s="143">
        <f>IFERROR(VLOOKUP(B221,'Enrollment 26-27'!$B$5:$I$332,8,FALSE),0)</f>
        <v>0</v>
      </c>
      <c r="E221" s="64">
        <f t="shared" si="50"/>
        <v>0</v>
      </c>
      <c r="F221" s="144">
        <v>0</v>
      </c>
      <c r="G221" s="144">
        <v>0</v>
      </c>
      <c r="H221" s="64">
        <f t="shared" si="51"/>
        <v>0</v>
      </c>
      <c r="I221" s="64">
        <f t="shared" si="52"/>
        <v>0</v>
      </c>
      <c r="J221" s="145">
        <f t="shared" si="53"/>
        <v>0</v>
      </c>
      <c r="K221" s="146" t="str">
        <f t="shared" si="64"/>
        <v>N</v>
      </c>
      <c r="L221" s="147">
        <f t="shared" si="54"/>
        <v>0</v>
      </c>
      <c r="M221" s="148">
        <f t="shared" si="55"/>
        <v>0</v>
      </c>
      <c r="N221" s="64">
        <f t="shared" si="56"/>
        <v>0</v>
      </c>
      <c r="O221" s="64">
        <f t="shared" si="57"/>
        <v>0</v>
      </c>
      <c r="Q221" s="104">
        <f t="shared" si="58"/>
        <v>0</v>
      </c>
      <c r="R221" s="104" t="str">
        <f t="shared" si="59"/>
        <v>Not Applicable</v>
      </c>
      <c r="S221" s="149" t="s">
        <v>815</v>
      </c>
      <c r="T221" s="149">
        <f>IF(O221=0,0,IF(S221="N",0,VLOOKUP(B221,'Enrollment 25-26'!$B$8:$K$332,9,FALSE)))</f>
        <v>0</v>
      </c>
      <c r="U221" s="64">
        <f t="shared" si="60"/>
        <v>0</v>
      </c>
      <c r="V221" s="128">
        <f t="shared" si="61"/>
        <v>0</v>
      </c>
      <c r="W221" s="150"/>
      <c r="X221" s="64">
        <f>IFERROR(VLOOKUP($B221,'Allocations 2025-26'!$B$9:$U$329,14,FALSE),0)</f>
        <v>0</v>
      </c>
      <c r="Y221" s="99">
        <f t="shared" si="62"/>
        <v>0</v>
      </c>
      <c r="Z221" s="132">
        <f t="shared" si="63"/>
        <v>0</v>
      </c>
      <c r="AA221" s="151" t="str">
        <f t="shared" si="65"/>
        <v>N</v>
      </c>
      <c r="AC221" s="64"/>
      <c r="AE221" s="152"/>
      <c r="AH221" s="153"/>
      <c r="AI221" s="153"/>
      <c r="AJ221" s="153"/>
      <c r="AK221" s="154"/>
    </row>
    <row r="222" spans="1:37" x14ac:dyDescent="0.25">
      <c r="A222" s="142" t="s">
        <v>478</v>
      </c>
      <c r="B222" t="s">
        <v>675</v>
      </c>
      <c r="C222" t="s">
        <v>222</v>
      </c>
      <c r="D222" s="143">
        <f>IFERROR(VLOOKUP(B222,'Enrollment 26-27'!$B$5:$I$332,8,FALSE),0)</f>
        <v>413.49666666666673</v>
      </c>
      <c r="E222" s="64">
        <f t="shared" si="50"/>
        <v>47849</v>
      </c>
      <c r="F222" s="144">
        <v>0</v>
      </c>
      <c r="G222" s="144">
        <v>0</v>
      </c>
      <c r="H222" s="64">
        <f t="shared" si="51"/>
        <v>47849</v>
      </c>
      <c r="I222" s="64">
        <f t="shared" si="52"/>
        <v>0</v>
      </c>
      <c r="J222" s="145">
        <f t="shared" si="53"/>
        <v>47849</v>
      </c>
      <c r="K222" s="146" t="str">
        <f t="shared" si="64"/>
        <v>Y</v>
      </c>
      <c r="L222" s="147">
        <f t="shared" si="54"/>
        <v>0</v>
      </c>
      <c r="M222" s="148">
        <f t="shared" si="55"/>
        <v>413.49666666666673</v>
      </c>
      <c r="N222" s="64">
        <f t="shared" si="56"/>
        <v>408</v>
      </c>
      <c r="O222" s="64">
        <f t="shared" si="57"/>
        <v>48257</v>
      </c>
      <c r="Q222" s="104">
        <f t="shared" si="58"/>
        <v>0</v>
      </c>
      <c r="R222" s="104" t="str">
        <f t="shared" si="59"/>
        <v>Not Applicable</v>
      </c>
      <c r="S222" s="149" t="s">
        <v>815</v>
      </c>
      <c r="T222" s="149">
        <f>IF(O222=0,0,IF(S222="N",0,VLOOKUP(B222,'Enrollment 25-26'!$B$8:$K$332,9,FALSE)))</f>
        <v>0</v>
      </c>
      <c r="U222" s="64">
        <f t="shared" si="60"/>
        <v>48257</v>
      </c>
      <c r="V222" s="128">
        <f t="shared" si="61"/>
        <v>116.70468927601188</v>
      </c>
      <c r="W222" s="150"/>
      <c r="X222" s="64">
        <f>IFERROR(VLOOKUP($B222,'Allocations 2025-26'!$B$9:$U$329,14,FALSE),0)</f>
        <v>51205</v>
      </c>
      <c r="Y222" s="99">
        <f t="shared" si="62"/>
        <v>-2948</v>
      </c>
      <c r="Z222" s="132">
        <f t="shared" si="63"/>
        <v>-5.7572502685284639E-2</v>
      </c>
      <c r="AA222" s="151" t="str">
        <f t="shared" si="65"/>
        <v>Y</v>
      </c>
      <c r="AC222" s="64"/>
      <c r="AE222" s="152"/>
      <c r="AH222" s="153"/>
      <c r="AI222" s="153"/>
      <c r="AJ222" s="153"/>
      <c r="AK222" s="154"/>
    </row>
    <row r="223" spans="1:37" x14ac:dyDescent="0.25">
      <c r="A223" s="142" t="s">
        <v>438</v>
      </c>
      <c r="B223" t="s">
        <v>453</v>
      </c>
      <c r="C223" t="s">
        <v>223</v>
      </c>
      <c r="D223" s="143">
        <f>IFERROR(VLOOKUP(B223,'Enrollment 26-27'!$B$5:$I$332,8,FALSE),0)</f>
        <v>55.33</v>
      </c>
      <c r="E223" s="64">
        <f t="shared" si="50"/>
        <v>6403</v>
      </c>
      <c r="F223" s="144">
        <v>0</v>
      </c>
      <c r="G223" s="144">
        <v>0</v>
      </c>
      <c r="H223" s="64">
        <f t="shared" si="51"/>
        <v>6403</v>
      </c>
      <c r="I223" s="64">
        <f t="shared" si="52"/>
        <v>0</v>
      </c>
      <c r="J223" s="145">
        <f t="shared" si="53"/>
        <v>6403</v>
      </c>
      <c r="K223" s="146" t="str">
        <f t="shared" si="64"/>
        <v>C</v>
      </c>
      <c r="L223" s="147">
        <f t="shared" si="54"/>
        <v>0</v>
      </c>
      <c r="M223" s="148">
        <f t="shared" si="55"/>
        <v>55.33</v>
      </c>
      <c r="N223" s="64">
        <f t="shared" si="56"/>
        <v>55</v>
      </c>
      <c r="O223" s="64">
        <f t="shared" si="57"/>
        <v>6458</v>
      </c>
      <c r="Q223" s="104">
        <f t="shared" si="58"/>
        <v>0</v>
      </c>
      <c r="R223" s="104" t="str">
        <f t="shared" si="59"/>
        <v>Not Applicable</v>
      </c>
      <c r="S223" s="149" t="s">
        <v>815</v>
      </c>
      <c r="T223" s="149">
        <f>IF(O223=0,0,IF(S223="N",0,VLOOKUP(B223,'Enrollment 25-26'!$B$8:$K$332,9,FALSE)))</f>
        <v>0</v>
      </c>
      <c r="U223" s="64">
        <f t="shared" si="60"/>
        <v>6458</v>
      </c>
      <c r="V223" s="128">
        <f t="shared" si="61"/>
        <v>116.71787457075727</v>
      </c>
      <c r="W223" s="150"/>
      <c r="X223" s="64">
        <f>IFERROR(VLOOKUP($B223,'Allocations 2025-26'!$B$9:$U$329,14,FALSE),0)</f>
        <v>7321</v>
      </c>
      <c r="Y223" s="99">
        <f t="shared" si="62"/>
        <v>-863</v>
      </c>
      <c r="Z223" s="132">
        <f t="shared" si="63"/>
        <v>-0.11788007102854801</v>
      </c>
      <c r="AA223" s="151" t="str">
        <f t="shared" si="65"/>
        <v>C</v>
      </c>
      <c r="AC223" s="64"/>
      <c r="AE223" s="152"/>
      <c r="AH223" s="153"/>
      <c r="AI223" s="153"/>
      <c r="AJ223" s="153"/>
      <c r="AK223" s="154"/>
    </row>
    <row r="224" spans="1:37" x14ac:dyDescent="0.25">
      <c r="A224" s="142" t="s">
        <v>481</v>
      </c>
      <c r="B224" t="s">
        <v>676</v>
      </c>
      <c r="C224" t="s">
        <v>224</v>
      </c>
      <c r="D224" s="143">
        <f>IFERROR(VLOOKUP(B224,'Enrollment 26-27'!$B$5:$I$332,8,FALSE),0)</f>
        <v>1326.17</v>
      </c>
      <c r="E224" s="64">
        <f t="shared" si="50"/>
        <v>153461</v>
      </c>
      <c r="F224" s="144">
        <v>0</v>
      </c>
      <c r="G224" s="144">
        <v>0</v>
      </c>
      <c r="H224" s="64">
        <f t="shared" si="51"/>
        <v>153461</v>
      </c>
      <c r="I224" s="64">
        <f t="shared" si="52"/>
        <v>0</v>
      </c>
      <c r="J224" s="145">
        <f t="shared" si="53"/>
        <v>153461</v>
      </c>
      <c r="K224" s="146" t="str">
        <f t="shared" si="64"/>
        <v>Y</v>
      </c>
      <c r="L224" s="147">
        <f t="shared" si="54"/>
        <v>0</v>
      </c>
      <c r="M224" s="148">
        <f t="shared" si="55"/>
        <v>1326.17</v>
      </c>
      <c r="N224" s="64">
        <f t="shared" si="56"/>
        <v>1309</v>
      </c>
      <c r="O224" s="64">
        <f t="shared" si="57"/>
        <v>154770</v>
      </c>
      <c r="Q224" s="104">
        <f t="shared" si="58"/>
        <v>0</v>
      </c>
      <c r="R224" s="104" t="str">
        <f t="shared" si="59"/>
        <v>Not Applicable</v>
      </c>
      <c r="S224" s="149" t="s">
        <v>815</v>
      </c>
      <c r="T224" s="149">
        <f>IF(O224=0,0,IF(S224="N",0,VLOOKUP(B224,'Enrollment 25-26'!$B$8:$K$332,9,FALSE)))</f>
        <v>0</v>
      </c>
      <c r="U224" s="64">
        <f t="shared" si="60"/>
        <v>154770</v>
      </c>
      <c r="V224" s="128">
        <f t="shared" si="61"/>
        <v>116.70449489884403</v>
      </c>
      <c r="W224" s="150"/>
      <c r="X224" s="64">
        <f>IFERROR(VLOOKUP($B224,'Allocations 2025-26'!$B$9:$U$329,14,FALSE),0)</f>
        <v>154143</v>
      </c>
      <c r="Y224" s="99">
        <f t="shared" si="62"/>
        <v>627</v>
      </c>
      <c r="Z224" s="132">
        <f t="shared" si="63"/>
        <v>4.0676514664953973E-3</v>
      </c>
      <c r="AA224" s="151" t="str">
        <f t="shared" si="65"/>
        <v>Y</v>
      </c>
      <c r="AC224" s="64"/>
      <c r="AE224" s="152"/>
      <c r="AH224" s="153"/>
      <c r="AI224" s="153"/>
      <c r="AJ224" s="153"/>
      <c r="AK224" s="154"/>
    </row>
    <row r="225" spans="1:37" x14ac:dyDescent="0.25">
      <c r="A225" s="142" t="s">
        <v>438</v>
      </c>
      <c r="B225" t="s">
        <v>677</v>
      </c>
      <c r="C225" t="s">
        <v>225</v>
      </c>
      <c r="D225" s="143">
        <f>IFERROR(VLOOKUP(B225,'Enrollment 26-27'!$B$5:$I$332,8,FALSE),0)</f>
        <v>14.83</v>
      </c>
      <c r="E225" s="64">
        <f t="shared" si="50"/>
        <v>1716</v>
      </c>
      <c r="F225" s="144">
        <v>0</v>
      </c>
      <c r="G225" s="144">
        <v>0</v>
      </c>
      <c r="H225" s="64">
        <f t="shared" si="51"/>
        <v>1716</v>
      </c>
      <c r="I225" s="64">
        <f t="shared" si="52"/>
        <v>0</v>
      </c>
      <c r="J225" s="145">
        <f t="shared" si="53"/>
        <v>1716</v>
      </c>
      <c r="K225" s="146" t="str">
        <f t="shared" si="64"/>
        <v>N</v>
      </c>
      <c r="L225" s="147">
        <f t="shared" si="54"/>
        <v>1716</v>
      </c>
      <c r="M225" s="148">
        <f t="shared" si="55"/>
        <v>0</v>
      </c>
      <c r="N225" s="64">
        <f t="shared" si="56"/>
        <v>0</v>
      </c>
      <c r="O225" s="64">
        <f t="shared" si="57"/>
        <v>0</v>
      </c>
      <c r="Q225" s="104">
        <f t="shared" si="58"/>
        <v>0</v>
      </c>
      <c r="R225" s="104" t="str">
        <f t="shared" si="59"/>
        <v>Not Applicable</v>
      </c>
      <c r="S225" s="149" t="s">
        <v>815</v>
      </c>
      <c r="T225" s="149">
        <f>IF(O225=0,0,IF(S225="N",0,VLOOKUP(B225,'Enrollment 25-26'!$B$8:$K$332,9,FALSE)))</f>
        <v>0</v>
      </c>
      <c r="U225" s="64">
        <f t="shared" si="60"/>
        <v>0</v>
      </c>
      <c r="V225" s="128">
        <f t="shared" si="61"/>
        <v>0</v>
      </c>
      <c r="W225" s="150"/>
      <c r="X225" s="64">
        <f>IFERROR(VLOOKUP($B225,'Allocations 2025-26'!$B$9:$U$329,14,FALSE),0)</f>
        <v>0</v>
      </c>
      <c r="Y225" s="99">
        <f t="shared" si="62"/>
        <v>0</v>
      </c>
      <c r="Z225" s="132">
        <f t="shared" si="63"/>
        <v>0</v>
      </c>
      <c r="AA225" s="151" t="str">
        <f t="shared" si="65"/>
        <v>N</v>
      </c>
      <c r="AC225" s="64"/>
      <c r="AE225" s="152"/>
      <c r="AH225" s="153"/>
      <c r="AI225" s="153"/>
      <c r="AJ225" s="153"/>
      <c r="AK225" s="154"/>
    </row>
    <row r="226" spans="1:37" x14ac:dyDescent="0.25">
      <c r="A226" s="142" t="s">
        <v>497</v>
      </c>
      <c r="B226" t="s">
        <v>678</v>
      </c>
      <c r="C226" t="s">
        <v>226</v>
      </c>
      <c r="D226" s="143">
        <f>IFERROR(VLOOKUP(B226,'Enrollment 26-27'!$B$5:$I$332,8,FALSE),0)</f>
        <v>109.5</v>
      </c>
      <c r="E226" s="64">
        <f t="shared" si="50"/>
        <v>12671</v>
      </c>
      <c r="F226" s="144">
        <v>0</v>
      </c>
      <c r="G226" s="144">
        <v>0</v>
      </c>
      <c r="H226" s="64">
        <f t="shared" si="51"/>
        <v>12671</v>
      </c>
      <c r="I226" s="64">
        <f t="shared" si="52"/>
        <v>0</v>
      </c>
      <c r="J226" s="145">
        <f t="shared" si="53"/>
        <v>12671</v>
      </c>
      <c r="K226" s="146" t="str">
        <f t="shared" si="64"/>
        <v>Y</v>
      </c>
      <c r="L226" s="147">
        <f t="shared" si="54"/>
        <v>0</v>
      </c>
      <c r="M226" s="148">
        <f t="shared" si="55"/>
        <v>109.5</v>
      </c>
      <c r="N226" s="64">
        <f t="shared" si="56"/>
        <v>108</v>
      </c>
      <c r="O226" s="64">
        <f t="shared" si="57"/>
        <v>12779</v>
      </c>
      <c r="Q226" s="104">
        <f t="shared" si="58"/>
        <v>0</v>
      </c>
      <c r="R226" s="104" t="str">
        <f t="shared" si="59"/>
        <v>Not Applicable</v>
      </c>
      <c r="S226" s="149" t="s">
        <v>815</v>
      </c>
      <c r="T226" s="149">
        <f>IF(O226=0,0,IF(S226="N",0,VLOOKUP(B226,'Enrollment 25-26'!$B$8:$K$332,9,FALSE)))</f>
        <v>0</v>
      </c>
      <c r="U226" s="64">
        <f t="shared" si="60"/>
        <v>12779</v>
      </c>
      <c r="V226" s="128">
        <f t="shared" si="61"/>
        <v>116.70319634703196</v>
      </c>
      <c r="W226" s="150"/>
      <c r="X226" s="64">
        <f>IFERROR(VLOOKUP($B226,'Allocations 2025-26'!$B$9:$U$329,14,FALSE),0)</f>
        <v>15130</v>
      </c>
      <c r="Y226" s="99">
        <f t="shared" si="62"/>
        <v>-2351</v>
      </c>
      <c r="Z226" s="132">
        <f t="shared" si="63"/>
        <v>-0.15538664904163912</v>
      </c>
      <c r="AA226" s="151" t="str">
        <f t="shared" si="65"/>
        <v>Y</v>
      </c>
      <c r="AC226" s="64"/>
      <c r="AE226" s="152"/>
      <c r="AH226" s="153"/>
      <c r="AI226" s="153"/>
      <c r="AJ226" s="153"/>
      <c r="AK226" s="154"/>
    </row>
    <row r="227" spans="1:37" x14ac:dyDescent="0.25">
      <c r="A227" s="142" t="s">
        <v>497</v>
      </c>
      <c r="B227" t="s">
        <v>461</v>
      </c>
      <c r="C227" t="s">
        <v>462</v>
      </c>
      <c r="D227" s="143">
        <f>IFERROR(VLOOKUP(B227,'Enrollment 26-27'!$B$5:$I$332,8,FALSE),0)</f>
        <v>7.0270270270270272</v>
      </c>
      <c r="E227" s="64">
        <f t="shared" si="50"/>
        <v>813</v>
      </c>
      <c r="F227" s="144">
        <v>0</v>
      </c>
      <c r="G227" s="144">
        <v>0</v>
      </c>
      <c r="H227" s="64">
        <f t="shared" si="51"/>
        <v>813</v>
      </c>
      <c r="I227" s="64">
        <f t="shared" si="52"/>
        <v>0</v>
      </c>
      <c r="J227" s="145">
        <f t="shared" si="53"/>
        <v>813</v>
      </c>
      <c r="K227" s="146" t="str">
        <f t="shared" si="64"/>
        <v>C</v>
      </c>
      <c r="L227" s="147">
        <f t="shared" si="54"/>
        <v>0</v>
      </c>
      <c r="M227" s="148">
        <f t="shared" si="55"/>
        <v>7.0270270270270272</v>
      </c>
      <c r="N227" s="64">
        <f t="shared" si="56"/>
        <v>7</v>
      </c>
      <c r="O227" s="64">
        <f t="shared" si="57"/>
        <v>820</v>
      </c>
      <c r="Q227" s="104">
        <f t="shared" si="58"/>
        <v>0</v>
      </c>
      <c r="R227" s="104" t="str">
        <f t="shared" si="59"/>
        <v>Not Applicable</v>
      </c>
      <c r="S227" s="149" t="s">
        <v>815</v>
      </c>
      <c r="T227" s="149">
        <f>IF(O227=0,0,IF(S227="N",0,VLOOKUP(B227,'Enrollment 25-26'!$B$8:$K$332,9,FALSE)))</f>
        <v>0</v>
      </c>
      <c r="U227" s="64">
        <f t="shared" si="60"/>
        <v>820</v>
      </c>
      <c r="V227" s="128">
        <f t="shared" si="61"/>
        <v>116.69230769230769</v>
      </c>
      <c r="W227" s="150"/>
      <c r="X227" s="64">
        <f>IFERROR(VLOOKUP($B227,'Allocations 2025-26'!$B$9:$U$329,14,FALSE),0)</f>
        <v>2011</v>
      </c>
      <c r="Y227" s="99">
        <f t="shared" si="62"/>
        <v>-1191</v>
      </c>
      <c r="Z227" s="132">
        <f t="shared" si="63"/>
        <v>-0.59224266534062653</v>
      </c>
      <c r="AA227" s="151" t="str">
        <f t="shared" si="65"/>
        <v>C</v>
      </c>
      <c r="AC227" s="64"/>
      <c r="AE227" s="152"/>
      <c r="AH227" s="153"/>
      <c r="AI227" s="153"/>
      <c r="AJ227" s="153"/>
      <c r="AK227" s="154"/>
    </row>
    <row r="228" spans="1:37" x14ac:dyDescent="0.25">
      <c r="A228" s="142" t="s">
        <v>438</v>
      </c>
      <c r="B228" t="s">
        <v>475</v>
      </c>
      <c r="C228" t="s">
        <v>227</v>
      </c>
      <c r="D228" s="143">
        <f>IFERROR(VLOOKUP(B228,'Enrollment 26-27'!$B$5:$I$332,8,FALSE),0)</f>
        <v>56.17</v>
      </c>
      <c r="E228" s="64">
        <f t="shared" si="50"/>
        <v>6500</v>
      </c>
      <c r="F228" s="144">
        <v>0</v>
      </c>
      <c r="G228" s="144">
        <v>0</v>
      </c>
      <c r="H228" s="64">
        <f t="shared" si="51"/>
        <v>6500</v>
      </c>
      <c r="I228" s="64">
        <f t="shared" si="52"/>
        <v>0</v>
      </c>
      <c r="J228" s="145">
        <f t="shared" si="53"/>
        <v>6500</v>
      </c>
      <c r="K228" s="146" t="str">
        <f t="shared" si="64"/>
        <v>C</v>
      </c>
      <c r="L228" s="147">
        <f t="shared" si="54"/>
        <v>0</v>
      </c>
      <c r="M228" s="148">
        <f t="shared" si="55"/>
        <v>56.17</v>
      </c>
      <c r="N228" s="64">
        <f t="shared" si="56"/>
        <v>55</v>
      </c>
      <c r="O228" s="64">
        <f t="shared" si="57"/>
        <v>6555</v>
      </c>
      <c r="Q228" s="104">
        <f t="shared" si="58"/>
        <v>0</v>
      </c>
      <c r="R228" s="104" t="str">
        <f t="shared" si="59"/>
        <v>Not Applicable</v>
      </c>
      <c r="S228" s="149" t="s">
        <v>815</v>
      </c>
      <c r="T228" s="149">
        <f>IF(O228=0,0,IF(S228="N",0,VLOOKUP(B228,'Enrollment 25-26'!$B$8:$K$332,9,FALSE)))</f>
        <v>0</v>
      </c>
      <c r="U228" s="64">
        <f t="shared" si="60"/>
        <v>6555</v>
      </c>
      <c r="V228" s="128">
        <f t="shared" si="61"/>
        <v>116.69930567918817</v>
      </c>
      <c r="W228" s="150"/>
      <c r="X228" s="64">
        <f>IFERROR(VLOOKUP($B228,'Allocations 2025-26'!$B$9:$U$329,14,FALSE),0)</f>
        <v>7222</v>
      </c>
      <c r="Y228" s="99">
        <f t="shared" si="62"/>
        <v>-667</v>
      </c>
      <c r="Z228" s="132">
        <f t="shared" si="63"/>
        <v>-9.2356687898089165E-2</v>
      </c>
      <c r="AA228" s="151" t="str">
        <f t="shared" si="65"/>
        <v>C</v>
      </c>
      <c r="AC228" s="64"/>
      <c r="AE228" s="152"/>
      <c r="AH228" s="153"/>
      <c r="AI228" s="153"/>
      <c r="AJ228" s="153"/>
      <c r="AK228" s="154"/>
    </row>
    <row r="229" spans="1:37" x14ac:dyDescent="0.25">
      <c r="A229" s="142" t="s">
        <v>443</v>
      </c>
      <c r="B229" t="s">
        <v>679</v>
      </c>
      <c r="C229" t="s">
        <v>228</v>
      </c>
      <c r="D229" s="143">
        <f>IFERROR(VLOOKUP(B229,'Enrollment 26-27'!$B$5:$I$332,8,FALSE),0)</f>
        <v>14</v>
      </c>
      <c r="E229" s="64">
        <f t="shared" si="50"/>
        <v>1620</v>
      </c>
      <c r="F229" s="144">
        <v>0</v>
      </c>
      <c r="G229" s="144">
        <v>0</v>
      </c>
      <c r="H229" s="64">
        <f t="shared" si="51"/>
        <v>1620</v>
      </c>
      <c r="I229" s="64">
        <f t="shared" si="52"/>
        <v>0</v>
      </c>
      <c r="J229" s="145">
        <f t="shared" si="53"/>
        <v>1620</v>
      </c>
      <c r="K229" s="146" t="str">
        <f t="shared" si="64"/>
        <v>N</v>
      </c>
      <c r="L229" s="147">
        <f t="shared" si="54"/>
        <v>1620</v>
      </c>
      <c r="M229" s="148">
        <f t="shared" si="55"/>
        <v>0</v>
      </c>
      <c r="N229" s="64">
        <f t="shared" si="56"/>
        <v>0</v>
      </c>
      <c r="O229" s="64">
        <f t="shared" si="57"/>
        <v>0</v>
      </c>
      <c r="Q229" s="104">
        <f t="shared" si="58"/>
        <v>0</v>
      </c>
      <c r="R229" s="104" t="str">
        <f t="shared" si="59"/>
        <v>Not Applicable</v>
      </c>
      <c r="S229" s="149" t="s">
        <v>815</v>
      </c>
      <c r="T229" s="149">
        <f>IF(O229=0,0,IF(S229="N",0,VLOOKUP(B229,'Enrollment 25-26'!$B$8:$K$332,9,FALSE)))</f>
        <v>0</v>
      </c>
      <c r="U229" s="64">
        <f t="shared" si="60"/>
        <v>0</v>
      </c>
      <c r="V229" s="128">
        <f t="shared" si="61"/>
        <v>0</v>
      </c>
      <c r="W229" s="150"/>
      <c r="X229" s="64">
        <f>IFERROR(VLOOKUP($B229,'Allocations 2025-26'!$B$9:$U$329,14,FALSE),0)</f>
        <v>0</v>
      </c>
      <c r="Y229" s="99">
        <f t="shared" si="62"/>
        <v>0</v>
      </c>
      <c r="Z229" s="132">
        <f t="shared" si="63"/>
        <v>0</v>
      </c>
      <c r="AA229" s="151" t="str">
        <f t="shared" si="65"/>
        <v>N</v>
      </c>
      <c r="AC229" s="64"/>
      <c r="AE229" s="152"/>
      <c r="AH229" s="153"/>
      <c r="AI229" s="153"/>
      <c r="AJ229" s="153"/>
      <c r="AK229" s="154"/>
    </row>
    <row r="230" spans="1:37" x14ac:dyDescent="0.25">
      <c r="A230" s="142" t="s">
        <v>454</v>
      </c>
      <c r="B230" t="s">
        <v>680</v>
      </c>
      <c r="C230" t="s">
        <v>229</v>
      </c>
      <c r="D230" s="143">
        <f>IFERROR(VLOOKUP(B230,'Enrollment 26-27'!$B$5:$I$332,8,FALSE),0)</f>
        <v>3686.3333333333335</v>
      </c>
      <c r="E230" s="64">
        <f t="shared" si="50"/>
        <v>426574</v>
      </c>
      <c r="F230" s="144">
        <v>0</v>
      </c>
      <c r="G230" s="144">
        <v>0</v>
      </c>
      <c r="H230" s="64">
        <f t="shared" si="51"/>
        <v>426574</v>
      </c>
      <c r="I230" s="64">
        <f t="shared" si="52"/>
        <v>0</v>
      </c>
      <c r="J230" s="145">
        <f t="shared" si="53"/>
        <v>426574</v>
      </c>
      <c r="K230" s="146" t="str">
        <f t="shared" si="64"/>
        <v>Y</v>
      </c>
      <c r="L230" s="147">
        <f t="shared" si="54"/>
        <v>0</v>
      </c>
      <c r="M230" s="148">
        <f t="shared" si="55"/>
        <v>3686.3333333333335</v>
      </c>
      <c r="N230" s="64">
        <f t="shared" si="56"/>
        <v>3640</v>
      </c>
      <c r="O230" s="64">
        <f t="shared" si="57"/>
        <v>430214</v>
      </c>
      <c r="Q230" s="104">
        <f t="shared" si="58"/>
        <v>0</v>
      </c>
      <c r="R230" s="104" t="str">
        <f t="shared" si="59"/>
        <v>Not Applicable</v>
      </c>
      <c r="S230" s="149" t="s">
        <v>815</v>
      </c>
      <c r="T230" s="149">
        <f>IF(O230=0,0,IF(S230="N",0,VLOOKUP(B230,'Enrollment 25-26'!$B$8:$K$332,9,FALSE)))</f>
        <v>0</v>
      </c>
      <c r="U230" s="64">
        <f t="shared" si="60"/>
        <v>430214</v>
      </c>
      <c r="V230" s="128">
        <f t="shared" si="61"/>
        <v>116.705127045845</v>
      </c>
      <c r="W230" s="150"/>
      <c r="X230" s="64">
        <f>IFERROR(VLOOKUP($B230,'Allocations 2025-26'!$B$9:$U$329,14,FALSE),0)</f>
        <v>433322</v>
      </c>
      <c r="Y230" s="99">
        <f t="shared" si="62"/>
        <v>-3108</v>
      </c>
      <c r="Z230" s="132">
        <f t="shared" si="63"/>
        <v>-7.1724952806458018E-3</v>
      </c>
      <c r="AA230" s="151" t="str">
        <f t="shared" si="65"/>
        <v>Y</v>
      </c>
      <c r="AC230" s="64"/>
      <c r="AE230" s="152"/>
      <c r="AH230" s="153"/>
      <c r="AI230" s="153"/>
      <c r="AJ230" s="153"/>
      <c r="AK230" s="154"/>
    </row>
    <row r="231" spans="1:37" s="155" customFormat="1" x14ac:dyDescent="0.25">
      <c r="A231" s="142" t="s">
        <v>443</v>
      </c>
      <c r="B231" s="13" t="s">
        <v>681</v>
      </c>
      <c r="C231" t="s">
        <v>231</v>
      </c>
      <c r="D231" s="143">
        <f>IFERROR(VLOOKUP(B231,'Enrollment 26-27'!$B$5:$I$332,8,FALSE),0)</f>
        <v>0</v>
      </c>
      <c r="E231" s="64">
        <f t="shared" si="50"/>
        <v>0</v>
      </c>
      <c r="F231" s="144">
        <v>0</v>
      </c>
      <c r="G231" s="144">
        <v>0</v>
      </c>
      <c r="H231" s="64">
        <f t="shared" si="51"/>
        <v>0</v>
      </c>
      <c r="I231" s="64">
        <f t="shared" si="52"/>
        <v>0</v>
      </c>
      <c r="J231" s="145">
        <f t="shared" si="53"/>
        <v>0</v>
      </c>
      <c r="K231" s="146" t="str">
        <f t="shared" si="64"/>
        <v>N</v>
      </c>
      <c r="L231" s="147">
        <f t="shared" si="54"/>
        <v>0</v>
      </c>
      <c r="M231" s="148">
        <f t="shared" si="55"/>
        <v>0</v>
      </c>
      <c r="N231" s="64">
        <f t="shared" si="56"/>
        <v>0</v>
      </c>
      <c r="O231" s="64">
        <f t="shared" si="57"/>
        <v>0</v>
      </c>
      <c r="P231" s="104"/>
      <c r="Q231" s="104">
        <f t="shared" si="58"/>
        <v>0</v>
      </c>
      <c r="R231" s="104" t="str">
        <f t="shared" si="59"/>
        <v>Not Applicable</v>
      </c>
      <c r="S231" s="149" t="s">
        <v>815</v>
      </c>
      <c r="T231" s="149">
        <f>IF(O231=0,0,IF(S231="N",0,VLOOKUP(B231,'Enrollment 25-26'!$B$8:$K$332,9,FALSE)))</f>
        <v>0</v>
      </c>
      <c r="U231" s="64">
        <f t="shared" si="60"/>
        <v>0</v>
      </c>
      <c r="V231" s="128">
        <f t="shared" si="61"/>
        <v>0</v>
      </c>
      <c r="W231" s="150"/>
      <c r="X231" s="64">
        <f>IFERROR(VLOOKUP($B231,'Allocations 2025-26'!$B$9:$U$329,14,FALSE),0)</f>
        <v>0</v>
      </c>
      <c r="Y231" s="99">
        <f t="shared" si="62"/>
        <v>0</v>
      </c>
      <c r="Z231" s="132">
        <f t="shared" si="63"/>
        <v>0</v>
      </c>
      <c r="AA231" s="151" t="str">
        <f t="shared" si="65"/>
        <v>N</v>
      </c>
      <c r="AB231" s="184"/>
      <c r="AC231" s="64"/>
      <c r="AD231"/>
      <c r="AE231" s="152"/>
      <c r="AH231" s="156"/>
      <c r="AI231" s="156"/>
      <c r="AJ231" s="156"/>
      <c r="AK231" s="157"/>
    </row>
    <row r="232" spans="1:37" x14ac:dyDescent="0.25">
      <c r="A232" s="142" t="s">
        <v>451</v>
      </c>
      <c r="B232" t="s">
        <v>682</v>
      </c>
      <c r="C232" t="s">
        <v>232</v>
      </c>
      <c r="D232" s="143">
        <f>IFERROR(VLOOKUP(B232,'Enrollment 26-27'!$B$5:$I$332,8,FALSE),0)</f>
        <v>941.99333333333334</v>
      </c>
      <c r="E232" s="64">
        <f t="shared" si="50"/>
        <v>109005</v>
      </c>
      <c r="F232" s="144">
        <v>0</v>
      </c>
      <c r="G232" s="144">
        <v>0</v>
      </c>
      <c r="H232" s="64">
        <f t="shared" si="51"/>
        <v>109005</v>
      </c>
      <c r="I232" s="64">
        <f t="shared" si="52"/>
        <v>0</v>
      </c>
      <c r="J232" s="145">
        <f t="shared" si="53"/>
        <v>109005</v>
      </c>
      <c r="K232" s="146" t="str">
        <f t="shared" si="64"/>
        <v>Y</v>
      </c>
      <c r="L232" s="147">
        <f t="shared" si="54"/>
        <v>0</v>
      </c>
      <c r="M232" s="148">
        <f t="shared" si="55"/>
        <v>941.99333333333334</v>
      </c>
      <c r="N232" s="64">
        <f t="shared" si="56"/>
        <v>930</v>
      </c>
      <c r="O232" s="64">
        <f t="shared" si="57"/>
        <v>109935</v>
      </c>
      <c r="Q232" s="104">
        <f t="shared" si="58"/>
        <v>0</v>
      </c>
      <c r="R232" s="104" t="str">
        <f t="shared" si="59"/>
        <v>Not Applicable</v>
      </c>
      <c r="S232" s="149" t="s">
        <v>815</v>
      </c>
      <c r="T232" s="149">
        <f>IF(O232=0,0,IF(S232="N",0,VLOOKUP(B232,'Enrollment 25-26'!$B$8:$K$332,9,FALSE)))</f>
        <v>0</v>
      </c>
      <c r="U232" s="64">
        <f t="shared" si="60"/>
        <v>109935</v>
      </c>
      <c r="V232" s="128">
        <f t="shared" si="61"/>
        <v>116.70464759127807</v>
      </c>
      <c r="W232" s="150"/>
      <c r="X232" s="64">
        <f>IFERROR(VLOOKUP($B232,'Allocations 2025-26'!$B$9:$U$329,14,FALSE),0)</f>
        <v>110239</v>
      </c>
      <c r="Y232" s="99">
        <f t="shared" si="62"/>
        <v>-304</v>
      </c>
      <c r="Z232" s="132">
        <f t="shared" si="63"/>
        <v>-2.7576447536715679E-3</v>
      </c>
      <c r="AA232" s="151" t="str">
        <f t="shared" si="65"/>
        <v>Y</v>
      </c>
      <c r="AC232" s="64"/>
      <c r="AE232" s="152"/>
      <c r="AH232" s="153"/>
      <c r="AI232" s="153"/>
      <c r="AJ232" s="153"/>
      <c r="AK232" s="154"/>
    </row>
    <row r="233" spans="1:37" x14ac:dyDescent="0.25">
      <c r="A233" s="142" t="s">
        <v>459</v>
      </c>
      <c r="B233" t="s">
        <v>683</v>
      </c>
      <c r="C233" t="s">
        <v>233</v>
      </c>
      <c r="D233" s="143">
        <f>IFERROR(VLOOKUP(B233,'Enrollment 26-27'!$B$5:$I$332,8,FALSE),0)</f>
        <v>222.32999999999998</v>
      </c>
      <c r="E233" s="64">
        <f t="shared" si="50"/>
        <v>25728</v>
      </c>
      <c r="F233" s="144">
        <v>0</v>
      </c>
      <c r="G233" s="144">
        <v>0</v>
      </c>
      <c r="H233" s="64">
        <f t="shared" si="51"/>
        <v>25728</v>
      </c>
      <c r="I233" s="64">
        <f t="shared" si="52"/>
        <v>0</v>
      </c>
      <c r="J233" s="145">
        <f t="shared" si="53"/>
        <v>25728</v>
      </c>
      <c r="K233" s="146" t="str">
        <f t="shared" si="64"/>
        <v>Y</v>
      </c>
      <c r="L233" s="147">
        <f t="shared" si="54"/>
        <v>0</v>
      </c>
      <c r="M233" s="148">
        <f t="shared" si="55"/>
        <v>222.32999999999998</v>
      </c>
      <c r="N233" s="64">
        <f t="shared" si="56"/>
        <v>220</v>
      </c>
      <c r="O233" s="64">
        <f t="shared" si="57"/>
        <v>25948</v>
      </c>
      <c r="Q233" s="104">
        <f t="shared" si="58"/>
        <v>0</v>
      </c>
      <c r="R233" s="104" t="str">
        <f t="shared" si="59"/>
        <v>Not Applicable</v>
      </c>
      <c r="S233" s="149" t="s">
        <v>815</v>
      </c>
      <c r="T233" s="149">
        <f>IF(O233=0,0,IF(S233="N",0,VLOOKUP(B233,'Enrollment 25-26'!$B$8:$K$332,9,FALSE)))</f>
        <v>0</v>
      </c>
      <c r="U233" s="64">
        <f t="shared" si="60"/>
        <v>25948</v>
      </c>
      <c r="V233" s="128">
        <f t="shared" si="61"/>
        <v>116.70939594296767</v>
      </c>
      <c r="W233" s="150"/>
      <c r="X233" s="64">
        <f>IFERROR(VLOOKUP($B233,'Allocations 2025-26'!$B$9:$U$329,14,FALSE),0)</f>
        <v>27116</v>
      </c>
      <c r="Y233" s="99">
        <f t="shared" si="62"/>
        <v>-1168</v>
      </c>
      <c r="Z233" s="132">
        <f t="shared" si="63"/>
        <v>-4.3074199734474114E-2</v>
      </c>
      <c r="AA233" s="151" t="str">
        <f t="shared" si="65"/>
        <v>Y</v>
      </c>
      <c r="AC233" s="64"/>
      <c r="AE233" s="152"/>
      <c r="AH233" s="153"/>
      <c r="AI233" s="153"/>
      <c r="AJ233" s="153"/>
      <c r="AK233" s="154"/>
    </row>
    <row r="234" spans="1:37" x14ac:dyDescent="0.25">
      <c r="A234" s="142" t="s">
        <v>443</v>
      </c>
      <c r="B234" t="s">
        <v>684</v>
      </c>
      <c r="C234" t="s">
        <v>234</v>
      </c>
      <c r="D234" s="143">
        <f>IFERROR(VLOOKUP(B234,'Enrollment 26-27'!$B$5:$I$332,8,FALSE),0)</f>
        <v>2</v>
      </c>
      <c r="E234" s="64">
        <f t="shared" si="50"/>
        <v>231</v>
      </c>
      <c r="F234" s="144">
        <v>0</v>
      </c>
      <c r="G234" s="144">
        <v>0</v>
      </c>
      <c r="H234" s="64">
        <f t="shared" si="51"/>
        <v>231</v>
      </c>
      <c r="I234" s="64">
        <f t="shared" si="52"/>
        <v>0</v>
      </c>
      <c r="J234" s="145">
        <f t="shared" si="53"/>
        <v>231</v>
      </c>
      <c r="K234" s="146" t="str">
        <f t="shared" si="64"/>
        <v>N</v>
      </c>
      <c r="L234" s="147">
        <f t="shared" si="54"/>
        <v>231</v>
      </c>
      <c r="M234" s="148">
        <f t="shared" si="55"/>
        <v>0</v>
      </c>
      <c r="N234" s="64">
        <f t="shared" si="56"/>
        <v>0</v>
      </c>
      <c r="O234" s="64">
        <f t="shared" si="57"/>
        <v>0</v>
      </c>
      <c r="Q234" s="104">
        <f t="shared" si="58"/>
        <v>0</v>
      </c>
      <c r="R234" s="104" t="str">
        <f t="shared" si="59"/>
        <v>Not Applicable</v>
      </c>
      <c r="S234" s="149" t="s">
        <v>815</v>
      </c>
      <c r="T234" s="149">
        <f>IF(O234=0,0,IF(S234="N",0,VLOOKUP(B234,'Enrollment 25-26'!$B$8:$K$332,9,FALSE)))</f>
        <v>0</v>
      </c>
      <c r="U234" s="64">
        <f t="shared" si="60"/>
        <v>0</v>
      </c>
      <c r="V234" s="128">
        <f t="shared" si="61"/>
        <v>0</v>
      </c>
      <c r="W234" s="150"/>
      <c r="X234" s="64">
        <f>IFERROR(VLOOKUP($B234,'Allocations 2025-26'!$B$9:$U$329,14,FALSE),0)</f>
        <v>0</v>
      </c>
      <c r="Y234" s="99">
        <f t="shared" si="62"/>
        <v>0</v>
      </c>
      <c r="Z234" s="132">
        <f t="shared" si="63"/>
        <v>0</v>
      </c>
      <c r="AA234" s="151" t="str">
        <f t="shared" si="65"/>
        <v>N</v>
      </c>
      <c r="AC234" s="64"/>
      <c r="AE234" s="152"/>
      <c r="AH234" s="153"/>
      <c r="AI234" s="153"/>
      <c r="AJ234" s="153"/>
      <c r="AK234" s="154"/>
    </row>
    <row r="235" spans="1:37" x14ac:dyDescent="0.25">
      <c r="A235" s="142" t="s">
        <v>443</v>
      </c>
      <c r="B235" t="s">
        <v>685</v>
      </c>
      <c r="C235" t="s">
        <v>235</v>
      </c>
      <c r="D235" s="143">
        <f>IFERROR(VLOOKUP(B235,'Enrollment 26-27'!$B$5:$I$332,8,FALSE),0)</f>
        <v>14.34</v>
      </c>
      <c r="E235" s="64">
        <f t="shared" si="50"/>
        <v>1659</v>
      </c>
      <c r="F235" s="144">
        <v>0</v>
      </c>
      <c r="G235" s="144">
        <v>0</v>
      </c>
      <c r="H235" s="64">
        <f t="shared" si="51"/>
        <v>1659</v>
      </c>
      <c r="I235" s="64">
        <f t="shared" si="52"/>
        <v>0</v>
      </c>
      <c r="J235" s="145">
        <f t="shared" si="53"/>
        <v>1659</v>
      </c>
      <c r="K235" s="146" t="str">
        <f t="shared" si="64"/>
        <v>N</v>
      </c>
      <c r="L235" s="147">
        <f t="shared" si="54"/>
        <v>1659</v>
      </c>
      <c r="M235" s="148">
        <f t="shared" si="55"/>
        <v>0</v>
      </c>
      <c r="N235" s="64">
        <f t="shared" si="56"/>
        <v>0</v>
      </c>
      <c r="O235" s="64">
        <f t="shared" si="57"/>
        <v>0</v>
      </c>
      <c r="Q235" s="104">
        <f t="shared" si="58"/>
        <v>0</v>
      </c>
      <c r="R235" s="104" t="str">
        <f t="shared" si="59"/>
        <v>Not Applicable</v>
      </c>
      <c r="S235" s="149" t="s">
        <v>815</v>
      </c>
      <c r="T235" s="149">
        <f>IF(O235=0,0,IF(S235="N",0,VLOOKUP(B235,'Enrollment 25-26'!$B$8:$K$332,9,FALSE)))</f>
        <v>0</v>
      </c>
      <c r="U235" s="64">
        <f t="shared" si="60"/>
        <v>0</v>
      </c>
      <c r="V235" s="128">
        <f t="shared" si="61"/>
        <v>0</v>
      </c>
      <c r="W235" s="150"/>
      <c r="X235" s="64">
        <f>IFERROR(VLOOKUP($B235,'Allocations 2025-26'!$B$9:$U$329,14,FALSE),0)</f>
        <v>0</v>
      </c>
      <c r="Y235" s="99">
        <f t="shared" si="62"/>
        <v>0</v>
      </c>
      <c r="Z235" s="132">
        <f t="shared" si="63"/>
        <v>0</v>
      </c>
      <c r="AA235" s="151" t="str">
        <f t="shared" si="65"/>
        <v>N</v>
      </c>
      <c r="AC235" s="64"/>
      <c r="AE235" s="152"/>
      <c r="AH235" s="153"/>
      <c r="AI235" s="153"/>
      <c r="AJ235" s="153"/>
      <c r="AK235" s="154"/>
    </row>
    <row r="236" spans="1:37" x14ac:dyDescent="0.25">
      <c r="A236" s="142" t="s">
        <v>454</v>
      </c>
      <c r="B236" t="s">
        <v>686</v>
      </c>
      <c r="C236" t="s">
        <v>236</v>
      </c>
      <c r="D236" s="143">
        <f>IFERROR(VLOOKUP(B236,'Enrollment 26-27'!$B$5:$I$332,8,FALSE),0)</f>
        <v>237.83</v>
      </c>
      <c r="E236" s="64">
        <f t="shared" si="50"/>
        <v>27521</v>
      </c>
      <c r="F236" s="144">
        <v>0</v>
      </c>
      <c r="G236" s="144">
        <v>0</v>
      </c>
      <c r="H236" s="64">
        <f t="shared" si="51"/>
        <v>27521</v>
      </c>
      <c r="I236" s="64">
        <f t="shared" si="52"/>
        <v>0</v>
      </c>
      <c r="J236" s="145">
        <f t="shared" si="53"/>
        <v>27521</v>
      </c>
      <c r="K236" s="146" t="str">
        <f t="shared" si="64"/>
        <v>Y</v>
      </c>
      <c r="L236" s="147">
        <f t="shared" si="54"/>
        <v>0</v>
      </c>
      <c r="M236" s="148">
        <f t="shared" si="55"/>
        <v>237.83</v>
      </c>
      <c r="N236" s="64">
        <f t="shared" si="56"/>
        <v>235</v>
      </c>
      <c r="O236" s="64">
        <f t="shared" si="57"/>
        <v>27756</v>
      </c>
      <c r="Q236" s="104">
        <f t="shared" si="58"/>
        <v>0</v>
      </c>
      <c r="R236" s="104" t="str">
        <f t="shared" si="59"/>
        <v>Not Applicable</v>
      </c>
      <c r="S236" s="149" t="s">
        <v>815</v>
      </c>
      <c r="T236" s="149">
        <f>IF(O236=0,0,IF(S236="N",0,VLOOKUP(B236,'Enrollment 25-26'!$B$8:$K$332,9,FALSE)))</f>
        <v>0</v>
      </c>
      <c r="U236" s="64">
        <f t="shared" si="60"/>
        <v>27756</v>
      </c>
      <c r="V236" s="128">
        <f t="shared" si="61"/>
        <v>116.70520960349829</v>
      </c>
      <c r="W236" s="150"/>
      <c r="X236" s="64">
        <f>IFERROR(VLOOKUP($B236,'Allocations 2025-26'!$B$9:$U$329,14,FALSE),0)</f>
        <v>25183</v>
      </c>
      <c r="Y236" s="99">
        <f t="shared" si="62"/>
        <v>2573</v>
      </c>
      <c r="Z236" s="132">
        <f t="shared" si="63"/>
        <v>0.10217210022634317</v>
      </c>
      <c r="AA236" s="151" t="str">
        <f t="shared" si="65"/>
        <v>Y</v>
      </c>
      <c r="AC236" s="64"/>
      <c r="AE236" s="152"/>
      <c r="AH236" s="153"/>
      <c r="AI236" s="153"/>
      <c r="AJ236" s="153"/>
      <c r="AK236" s="154"/>
    </row>
    <row r="237" spans="1:37" x14ac:dyDescent="0.25">
      <c r="A237" s="142" t="s">
        <v>438</v>
      </c>
      <c r="B237" t="s">
        <v>687</v>
      </c>
      <c r="C237" t="s">
        <v>237</v>
      </c>
      <c r="D237" s="143">
        <f>IFERROR(VLOOKUP(B237,'Enrollment 26-27'!$B$5:$I$332,8,FALSE),0)</f>
        <v>270.83000000000004</v>
      </c>
      <c r="E237" s="64">
        <f t="shared" si="50"/>
        <v>31340</v>
      </c>
      <c r="F237" s="144">
        <v>0</v>
      </c>
      <c r="G237" s="144">
        <v>0</v>
      </c>
      <c r="H237" s="64">
        <f t="shared" si="51"/>
        <v>31340</v>
      </c>
      <c r="I237" s="64">
        <f t="shared" si="52"/>
        <v>0</v>
      </c>
      <c r="J237" s="145">
        <f t="shared" si="53"/>
        <v>31340</v>
      </c>
      <c r="K237" s="146" t="str">
        <f t="shared" si="64"/>
        <v>Y</v>
      </c>
      <c r="L237" s="147">
        <f t="shared" si="54"/>
        <v>0</v>
      </c>
      <c r="M237" s="148">
        <f t="shared" si="55"/>
        <v>270.83000000000004</v>
      </c>
      <c r="N237" s="64">
        <f t="shared" si="56"/>
        <v>267</v>
      </c>
      <c r="O237" s="64">
        <f t="shared" si="57"/>
        <v>31607</v>
      </c>
      <c r="Q237" s="104">
        <f t="shared" si="58"/>
        <v>0</v>
      </c>
      <c r="R237" s="104" t="str">
        <f t="shared" si="59"/>
        <v>Not Applicable</v>
      </c>
      <c r="S237" s="149" t="s">
        <v>815</v>
      </c>
      <c r="T237" s="149">
        <f>IF(O237=0,0,IF(S237="N",0,VLOOKUP(B237,'Enrollment 25-26'!$B$8:$K$332,9,FALSE)))</f>
        <v>0</v>
      </c>
      <c r="U237" s="64">
        <f t="shared" si="60"/>
        <v>31607</v>
      </c>
      <c r="V237" s="128">
        <f t="shared" si="61"/>
        <v>116.70420559022263</v>
      </c>
      <c r="W237" s="150"/>
      <c r="X237" s="64">
        <f>IFERROR(VLOOKUP($B237,'Allocations 2025-26'!$B$9:$U$329,14,FALSE),0)</f>
        <v>32367</v>
      </c>
      <c r="Y237" s="99">
        <f t="shared" si="62"/>
        <v>-760</v>
      </c>
      <c r="Z237" s="132">
        <f t="shared" si="63"/>
        <v>-2.3480705656996323E-2</v>
      </c>
      <c r="AA237" s="151" t="str">
        <f t="shared" si="65"/>
        <v>Y</v>
      </c>
      <c r="AC237" s="64"/>
      <c r="AE237" s="152"/>
      <c r="AH237" s="153"/>
      <c r="AI237" s="153"/>
      <c r="AJ237" s="153"/>
      <c r="AK237" s="154"/>
    </row>
    <row r="238" spans="1:37" x14ac:dyDescent="0.25">
      <c r="A238" s="142" t="s">
        <v>459</v>
      </c>
      <c r="B238" t="s">
        <v>688</v>
      </c>
      <c r="C238" t="s">
        <v>238</v>
      </c>
      <c r="D238" s="143">
        <f>IFERROR(VLOOKUP(B238,'Enrollment 26-27'!$B$5:$I$332,8,FALSE),0)</f>
        <v>12</v>
      </c>
      <c r="E238" s="64">
        <f t="shared" si="50"/>
        <v>1389</v>
      </c>
      <c r="F238" s="144">
        <v>0</v>
      </c>
      <c r="G238" s="144">
        <v>0</v>
      </c>
      <c r="H238" s="64">
        <f t="shared" si="51"/>
        <v>1389</v>
      </c>
      <c r="I238" s="64">
        <f t="shared" si="52"/>
        <v>0</v>
      </c>
      <c r="J238" s="145">
        <f t="shared" si="53"/>
        <v>1389</v>
      </c>
      <c r="K238" s="146" t="str">
        <f t="shared" si="64"/>
        <v>N</v>
      </c>
      <c r="L238" s="147">
        <f t="shared" si="54"/>
        <v>1389</v>
      </c>
      <c r="M238" s="148">
        <f t="shared" si="55"/>
        <v>0</v>
      </c>
      <c r="N238" s="64">
        <f t="shared" si="56"/>
        <v>0</v>
      </c>
      <c r="O238" s="64">
        <f t="shared" si="57"/>
        <v>0</v>
      </c>
      <c r="Q238" s="104">
        <f t="shared" si="58"/>
        <v>0</v>
      </c>
      <c r="R238" s="104" t="str">
        <f t="shared" si="59"/>
        <v>Not Applicable</v>
      </c>
      <c r="S238" s="149" t="s">
        <v>815</v>
      </c>
      <c r="T238" s="149">
        <f>IF(O238=0,0,IF(S238="N",0,VLOOKUP(B238,'Enrollment 25-26'!$B$8:$K$332,9,FALSE)))</f>
        <v>0</v>
      </c>
      <c r="U238" s="64">
        <f t="shared" si="60"/>
        <v>0</v>
      </c>
      <c r="V238" s="128">
        <f t="shared" si="61"/>
        <v>0</v>
      </c>
      <c r="W238" s="150"/>
      <c r="X238" s="64">
        <f>IFERROR(VLOOKUP($B238,'Allocations 2025-26'!$B$9:$U$329,14,FALSE),0)</f>
        <v>0</v>
      </c>
      <c r="Y238" s="99">
        <f t="shared" si="62"/>
        <v>0</v>
      </c>
      <c r="Z238" s="132">
        <f t="shared" si="63"/>
        <v>0</v>
      </c>
      <c r="AA238" s="151" t="str">
        <f t="shared" si="65"/>
        <v>N</v>
      </c>
      <c r="AC238" s="64"/>
      <c r="AE238" s="152"/>
      <c r="AH238" s="153"/>
      <c r="AI238" s="153"/>
      <c r="AJ238" s="153"/>
      <c r="AK238" s="154"/>
    </row>
    <row r="239" spans="1:37" x14ac:dyDescent="0.25">
      <c r="A239" s="142" t="s">
        <v>443</v>
      </c>
      <c r="B239" t="s">
        <v>689</v>
      </c>
      <c r="C239" t="s">
        <v>239</v>
      </c>
      <c r="D239" s="143">
        <f>IFERROR(VLOOKUP(B239,'Enrollment 26-27'!$B$5:$I$332,8,FALSE),0)</f>
        <v>0</v>
      </c>
      <c r="E239" s="64">
        <f t="shared" si="50"/>
        <v>0</v>
      </c>
      <c r="F239" s="144">
        <v>0</v>
      </c>
      <c r="G239" s="144">
        <v>0</v>
      </c>
      <c r="H239" s="64">
        <f t="shared" si="51"/>
        <v>0</v>
      </c>
      <c r="I239" s="64">
        <f t="shared" si="52"/>
        <v>0</v>
      </c>
      <c r="J239" s="145">
        <f t="shared" si="53"/>
        <v>0</v>
      </c>
      <c r="K239" s="146" t="str">
        <f t="shared" si="64"/>
        <v>N</v>
      </c>
      <c r="L239" s="147">
        <f t="shared" si="54"/>
        <v>0</v>
      </c>
      <c r="M239" s="148">
        <f t="shared" si="55"/>
        <v>0</v>
      </c>
      <c r="N239" s="64">
        <f t="shared" si="56"/>
        <v>0</v>
      </c>
      <c r="O239" s="64">
        <f t="shared" si="57"/>
        <v>0</v>
      </c>
      <c r="Q239" s="104">
        <f t="shared" si="58"/>
        <v>0</v>
      </c>
      <c r="R239" s="104" t="str">
        <f t="shared" si="59"/>
        <v>Not Applicable</v>
      </c>
      <c r="S239" s="149" t="s">
        <v>815</v>
      </c>
      <c r="T239" s="149">
        <f>IF(O239=0,0,IF(S239="N",0,VLOOKUP(B239,'Enrollment 25-26'!$B$8:$K$332,9,FALSE)))</f>
        <v>0</v>
      </c>
      <c r="U239" s="64">
        <f t="shared" si="60"/>
        <v>0</v>
      </c>
      <c r="V239" s="128">
        <f t="shared" si="61"/>
        <v>0</v>
      </c>
      <c r="W239" s="150"/>
      <c r="X239" s="64">
        <f>IFERROR(VLOOKUP($B239,'Allocations 2025-26'!$B$9:$U$329,14,FALSE),0)</f>
        <v>0</v>
      </c>
      <c r="Y239" s="99">
        <f t="shared" si="62"/>
        <v>0</v>
      </c>
      <c r="Z239" s="132">
        <f t="shared" si="63"/>
        <v>0</v>
      </c>
      <c r="AA239" s="151" t="str">
        <f t="shared" si="65"/>
        <v>N</v>
      </c>
      <c r="AC239" s="64"/>
      <c r="AE239" s="152"/>
      <c r="AH239" s="153"/>
      <c r="AI239" s="153"/>
      <c r="AJ239" s="153"/>
      <c r="AK239" s="154"/>
    </row>
    <row r="240" spans="1:37" x14ac:dyDescent="0.25">
      <c r="A240" s="142" t="s">
        <v>471</v>
      </c>
      <c r="B240" t="s">
        <v>690</v>
      </c>
      <c r="C240" t="s">
        <v>240</v>
      </c>
      <c r="D240" s="143">
        <f>IFERROR(VLOOKUP(B240,'Enrollment 26-27'!$B$5:$I$332,8,FALSE),0)</f>
        <v>736.5</v>
      </c>
      <c r="E240" s="64">
        <f t="shared" si="50"/>
        <v>85226</v>
      </c>
      <c r="F240" s="144">
        <v>0</v>
      </c>
      <c r="G240" s="144">
        <v>0</v>
      </c>
      <c r="H240" s="64">
        <f t="shared" si="51"/>
        <v>85226</v>
      </c>
      <c r="I240" s="64">
        <f t="shared" si="52"/>
        <v>0</v>
      </c>
      <c r="J240" s="145">
        <f t="shared" si="53"/>
        <v>85226</v>
      </c>
      <c r="K240" s="146" t="str">
        <f t="shared" si="64"/>
        <v>Y</v>
      </c>
      <c r="L240" s="147">
        <f t="shared" si="54"/>
        <v>0</v>
      </c>
      <c r="M240" s="148">
        <f t="shared" si="55"/>
        <v>736.5</v>
      </c>
      <c r="N240" s="64">
        <f t="shared" si="56"/>
        <v>727</v>
      </c>
      <c r="O240" s="64">
        <f t="shared" si="57"/>
        <v>85953</v>
      </c>
      <c r="Q240" s="104">
        <f t="shared" si="58"/>
        <v>0</v>
      </c>
      <c r="R240" s="104" t="str">
        <f t="shared" si="59"/>
        <v>Not Applicable</v>
      </c>
      <c r="S240" s="149" t="s">
        <v>815</v>
      </c>
      <c r="T240" s="149">
        <f>IF(O240=0,0,IF(S240="N",0,VLOOKUP(B240,'Enrollment 25-26'!$B$8:$K$332,9,FALSE)))</f>
        <v>0</v>
      </c>
      <c r="U240" s="64">
        <f t="shared" si="60"/>
        <v>85953</v>
      </c>
      <c r="V240" s="128">
        <f t="shared" si="61"/>
        <v>116.70468431771894</v>
      </c>
      <c r="W240" s="150"/>
      <c r="X240" s="64">
        <f>IFERROR(VLOOKUP($B240,'Allocations 2025-26'!$B$9:$U$329,14,FALSE),0)</f>
        <v>89273</v>
      </c>
      <c r="Y240" s="99">
        <f t="shared" si="62"/>
        <v>-3320</v>
      </c>
      <c r="Z240" s="132">
        <f t="shared" si="63"/>
        <v>-3.7189295755715612E-2</v>
      </c>
      <c r="AA240" s="151" t="str">
        <f t="shared" si="65"/>
        <v>Y</v>
      </c>
      <c r="AC240" s="64"/>
      <c r="AE240" s="152"/>
      <c r="AH240" s="153"/>
      <c r="AI240" s="153"/>
      <c r="AJ240" s="153"/>
      <c r="AK240" s="154"/>
    </row>
    <row r="241" spans="1:37" x14ac:dyDescent="0.25">
      <c r="A241" s="142" t="s">
        <v>446</v>
      </c>
      <c r="B241" t="s">
        <v>490</v>
      </c>
      <c r="C241" t="s">
        <v>241</v>
      </c>
      <c r="D241" s="143">
        <f>IFERROR(VLOOKUP(B241,'Enrollment 26-27'!$B$5:$I$332,8,FALSE),0)</f>
        <v>71</v>
      </c>
      <c r="E241" s="64">
        <f t="shared" si="50"/>
        <v>8216</v>
      </c>
      <c r="F241" s="144">
        <v>0</v>
      </c>
      <c r="G241" s="144">
        <v>0</v>
      </c>
      <c r="H241" s="64">
        <f t="shared" si="51"/>
        <v>8216</v>
      </c>
      <c r="I241" s="64">
        <f t="shared" si="52"/>
        <v>0</v>
      </c>
      <c r="J241" s="145">
        <f t="shared" si="53"/>
        <v>8216</v>
      </c>
      <c r="K241" s="146" t="str">
        <f t="shared" si="64"/>
        <v>C</v>
      </c>
      <c r="L241" s="147">
        <f t="shared" si="54"/>
        <v>0</v>
      </c>
      <c r="M241" s="148">
        <f t="shared" si="55"/>
        <v>71</v>
      </c>
      <c r="N241" s="64">
        <f t="shared" si="56"/>
        <v>70</v>
      </c>
      <c r="O241" s="64">
        <f t="shared" si="57"/>
        <v>8286</v>
      </c>
      <c r="Q241" s="104">
        <f t="shared" si="58"/>
        <v>0</v>
      </c>
      <c r="R241" s="104" t="str">
        <f t="shared" si="59"/>
        <v>Not Applicable</v>
      </c>
      <c r="S241" s="149" t="s">
        <v>815</v>
      </c>
      <c r="T241" s="149">
        <f>IF(O241=0,0,IF(S241="N",0,VLOOKUP(B241,'Enrollment 25-26'!$B$8:$K$332,9,FALSE)))</f>
        <v>0</v>
      </c>
      <c r="U241" s="64">
        <f t="shared" si="60"/>
        <v>8286</v>
      </c>
      <c r="V241" s="128">
        <f t="shared" si="61"/>
        <v>116.70422535211267</v>
      </c>
      <c r="W241" s="150"/>
      <c r="X241" s="64">
        <f>IFERROR(VLOOKUP($B241,'Allocations 2025-26'!$B$9:$U$329,14,FALSE),0)</f>
        <v>8336</v>
      </c>
      <c r="Y241" s="99">
        <f t="shared" si="62"/>
        <v>-50</v>
      </c>
      <c r="Z241" s="132">
        <f t="shared" si="63"/>
        <v>-5.9980806142034548E-3</v>
      </c>
      <c r="AA241" s="151" t="str">
        <f t="shared" si="65"/>
        <v>C</v>
      </c>
      <c r="AC241" s="64"/>
      <c r="AE241" s="152"/>
      <c r="AH241" s="153"/>
      <c r="AI241" s="153"/>
      <c r="AJ241" s="153"/>
      <c r="AK241" s="154"/>
    </row>
    <row r="242" spans="1:37" x14ac:dyDescent="0.25">
      <c r="A242" s="142" t="s">
        <v>438</v>
      </c>
      <c r="B242" t="s">
        <v>691</v>
      </c>
      <c r="C242" t="s">
        <v>242</v>
      </c>
      <c r="D242" s="143">
        <f>IFERROR(VLOOKUP(B242,'Enrollment 26-27'!$B$5:$I$332,8,FALSE),0)</f>
        <v>0</v>
      </c>
      <c r="E242" s="64">
        <f t="shared" si="50"/>
        <v>0</v>
      </c>
      <c r="F242" s="144">
        <v>0</v>
      </c>
      <c r="G242" s="144">
        <v>0</v>
      </c>
      <c r="H242" s="64">
        <f t="shared" si="51"/>
        <v>0</v>
      </c>
      <c r="I242" s="64">
        <f t="shared" si="52"/>
        <v>0</v>
      </c>
      <c r="J242" s="145">
        <f t="shared" si="53"/>
        <v>0</v>
      </c>
      <c r="K242" s="146" t="str">
        <f t="shared" si="64"/>
        <v>N</v>
      </c>
      <c r="L242" s="147">
        <f t="shared" si="54"/>
        <v>0</v>
      </c>
      <c r="M242" s="148">
        <f t="shared" si="55"/>
        <v>0</v>
      </c>
      <c r="N242" s="64">
        <f t="shared" si="56"/>
        <v>0</v>
      </c>
      <c r="O242" s="64">
        <f t="shared" si="57"/>
        <v>0</v>
      </c>
      <c r="Q242" s="104">
        <f t="shared" si="58"/>
        <v>0</v>
      </c>
      <c r="R242" s="104" t="str">
        <f t="shared" si="59"/>
        <v>Not Applicable</v>
      </c>
      <c r="S242" s="149" t="s">
        <v>815</v>
      </c>
      <c r="T242" s="149">
        <f>IF(O242=0,0,IF(S242="N",0,VLOOKUP(B242,'Enrollment 25-26'!$B$8:$K$332,9,FALSE)))</f>
        <v>0</v>
      </c>
      <c r="U242" s="64">
        <f t="shared" si="60"/>
        <v>0</v>
      </c>
      <c r="V242" s="128">
        <f t="shared" si="61"/>
        <v>0</v>
      </c>
      <c r="W242" s="150"/>
      <c r="X242" s="64">
        <f>IFERROR(VLOOKUP($B242,'Allocations 2025-26'!$B$9:$U$329,14,FALSE),0)</f>
        <v>0</v>
      </c>
      <c r="Y242" s="99">
        <f t="shared" si="62"/>
        <v>0</v>
      </c>
      <c r="Z242" s="132">
        <f t="shared" si="63"/>
        <v>0</v>
      </c>
      <c r="AA242" s="151" t="str">
        <f t="shared" si="65"/>
        <v>N</v>
      </c>
      <c r="AC242" s="64"/>
      <c r="AE242" s="152"/>
      <c r="AH242" s="153"/>
      <c r="AI242" s="153"/>
      <c r="AJ242" s="153"/>
      <c r="AK242" s="154"/>
    </row>
    <row r="243" spans="1:37" x14ac:dyDescent="0.25">
      <c r="A243" s="142" t="s">
        <v>497</v>
      </c>
      <c r="B243" t="s">
        <v>692</v>
      </c>
      <c r="C243" t="s">
        <v>693</v>
      </c>
      <c r="D243" s="143">
        <f>IFERROR(VLOOKUP(B243,'Enrollment 26-27'!$B$5:$I$332,8,FALSE),0)</f>
        <v>0</v>
      </c>
      <c r="E243" s="64">
        <f t="shared" si="50"/>
        <v>0</v>
      </c>
      <c r="F243" s="144">
        <v>0</v>
      </c>
      <c r="G243" s="144">
        <v>0</v>
      </c>
      <c r="H243" s="64">
        <f t="shared" si="51"/>
        <v>0</v>
      </c>
      <c r="I243" s="64">
        <f t="shared" si="52"/>
        <v>0</v>
      </c>
      <c r="J243" s="145">
        <f t="shared" si="53"/>
        <v>0</v>
      </c>
      <c r="K243" s="146" t="str">
        <f t="shared" si="64"/>
        <v>N</v>
      </c>
      <c r="L243" s="147">
        <f t="shared" si="54"/>
        <v>0</v>
      </c>
      <c r="M243" s="148">
        <f t="shared" si="55"/>
        <v>0</v>
      </c>
      <c r="N243" s="64">
        <f t="shared" si="56"/>
        <v>0</v>
      </c>
      <c r="O243" s="64">
        <f t="shared" si="57"/>
        <v>0</v>
      </c>
      <c r="Q243" s="104">
        <f t="shared" si="58"/>
        <v>0</v>
      </c>
      <c r="R243" s="104" t="str">
        <f t="shared" si="59"/>
        <v>Not Applicable</v>
      </c>
      <c r="S243" s="149" t="s">
        <v>815</v>
      </c>
      <c r="T243" s="149">
        <f>IF(O243=0,0,IF(S243="N",0,VLOOKUP(B243,'Enrollment 25-26'!$B$8:$K$332,9,FALSE)))</f>
        <v>0</v>
      </c>
      <c r="U243" s="64">
        <f t="shared" si="60"/>
        <v>0</v>
      </c>
      <c r="V243" s="128">
        <f t="shared" si="61"/>
        <v>0</v>
      </c>
      <c r="W243" s="150"/>
      <c r="X243" s="64">
        <f>IFERROR(VLOOKUP($B243,'Allocations 2025-26'!$B$9:$U$329,14,FALSE),0)</f>
        <v>0</v>
      </c>
      <c r="Y243" s="99">
        <f t="shared" si="62"/>
        <v>0</v>
      </c>
      <c r="Z243" s="132">
        <f t="shared" si="63"/>
        <v>0</v>
      </c>
      <c r="AA243" s="151" t="str">
        <f t="shared" si="65"/>
        <v>N</v>
      </c>
      <c r="AC243" s="64"/>
      <c r="AE243" s="152"/>
      <c r="AH243" s="153"/>
      <c r="AI243" s="153"/>
      <c r="AJ243" s="153"/>
      <c r="AK243" s="154"/>
    </row>
    <row r="244" spans="1:37" x14ac:dyDescent="0.25">
      <c r="A244" s="142" t="s">
        <v>497</v>
      </c>
      <c r="B244" t="s">
        <v>694</v>
      </c>
      <c r="C244" t="s">
        <v>695</v>
      </c>
      <c r="D244" s="143">
        <f>IFERROR(VLOOKUP(B244,'Enrollment 26-27'!$B$5:$I$332,8,FALSE),0)</f>
        <v>0</v>
      </c>
      <c r="E244" s="64">
        <f t="shared" si="50"/>
        <v>0</v>
      </c>
      <c r="F244" s="144">
        <v>0</v>
      </c>
      <c r="G244" s="144">
        <v>0</v>
      </c>
      <c r="H244" s="64">
        <f t="shared" si="51"/>
        <v>0</v>
      </c>
      <c r="I244" s="64">
        <f t="shared" si="52"/>
        <v>0</v>
      </c>
      <c r="J244" s="145">
        <f t="shared" si="53"/>
        <v>0</v>
      </c>
      <c r="K244" s="146" t="str">
        <f t="shared" si="64"/>
        <v>N</v>
      </c>
      <c r="L244" s="147">
        <f t="shared" si="54"/>
        <v>0</v>
      </c>
      <c r="M244" s="148">
        <f t="shared" si="55"/>
        <v>0</v>
      </c>
      <c r="N244" s="64">
        <f t="shared" si="56"/>
        <v>0</v>
      </c>
      <c r="O244" s="64">
        <f t="shared" si="57"/>
        <v>0</v>
      </c>
      <c r="Q244" s="104">
        <f t="shared" si="58"/>
        <v>0</v>
      </c>
      <c r="R244" s="104" t="str">
        <f t="shared" si="59"/>
        <v>Not Applicable</v>
      </c>
      <c r="S244" s="149" t="s">
        <v>815</v>
      </c>
      <c r="T244" s="149">
        <f>IF(O244=0,0,IF(S244="N",0,VLOOKUP(B244,'Enrollment 25-26'!$B$8:$K$332,9,FALSE)))</f>
        <v>0</v>
      </c>
      <c r="U244" s="64">
        <f t="shared" si="60"/>
        <v>0</v>
      </c>
      <c r="V244" s="128">
        <f t="shared" si="61"/>
        <v>0</v>
      </c>
      <c r="W244" s="150"/>
      <c r="X244" s="64">
        <f>IFERROR(VLOOKUP($B244,'Allocations 2025-26'!$B$9:$U$329,14,FALSE),0)</f>
        <v>0</v>
      </c>
      <c r="Y244" s="99">
        <f t="shared" si="62"/>
        <v>0</v>
      </c>
      <c r="Z244" s="132">
        <f t="shared" si="63"/>
        <v>0</v>
      </c>
      <c r="AA244" s="151" t="str">
        <f t="shared" si="65"/>
        <v>N</v>
      </c>
      <c r="AC244" s="64"/>
      <c r="AE244" s="152"/>
      <c r="AH244" s="153"/>
      <c r="AI244" s="153"/>
      <c r="AJ244" s="153"/>
      <c r="AK244" s="154"/>
    </row>
    <row r="245" spans="1:37" x14ac:dyDescent="0.25">
      <c r="A245" s="142" t="s">
        <v>454</v>
      </c>
      <c r="B245" t="s">
        <v>696</v>
      </c>
      <c r="C245" t="s">
        <v>243</v>
      </c>
      <c r="D245" s="143">
        <f>IFERROR(VLOOKUP(B245,'Enrollment 26-27'!$B$5:$I$332,8,FALSE),0)</f>
        <v>7530.0033333333331</v>
      </c>
      <c r="E245" s="64">
        <f t="shared" si="50"/>
        <v>871356</v>
      </c>
      <c r="F245" s="144">
        <v>0</v>
      </c>
      <c r="G245" s="144">
        <v>0</v>
      </c>
      <c r="H245" s="158">
        <f>SUM(E245:G245)</f>
        <v>871356</v>
      </c>
      <c r="I245" s="64">
        <f t="shared" si="52"/>
        <v>0</v>
      </c>
      <c r="J245" s="145">
        <f t="shared" si="53"/>
        <v>871356</v>
      </c>
      <c r="K245" s="146" t="str">
        <f t="shared" si="64"/>
        <v>Y</v>
      </c>
      <c r="L245" s="147">
        <f t="shared" si="54"/>
        <v>0</v>
      </c>
      <c r="M245" s="148">
        <f t="shared" si="55"/>
        <v>7530.0033333333331</v>
      </c>
      <c r="N245" s="64">
        <f t="shared" si="56"/>
        <v>7435</v>
      </c>
      <c r="O245" s="158">
        <f>J245-L245+N245</f>
        <v>878791</v>
      </c>
      <c r="Q245" s="104">
        <f t="shared" si="58"/>
        <v>0</v>
      </c>
      <c r="R245" s="104" t="str">
        <f t="shared" si="59"/>
        <v>Not Applicable</v>
      </c>
      <c r="S245" s="149" t="s">
        <v>815</v>
      </c>
      <c r="T245" s="149">
        <f>IF(O245=0,0,IF(S245="N",0,VLOOKUP(B245,'Enrollment 25-26'!$B$8:$K$332,9,FALSE)))</f>
        <v>0</v>
      </c>
      <c r="U245" s="64">
        <f t="shared" si="60"/>
        <v>878791</v>
      </c>
      <c r="V245" s="128">
        <f t="shared" si="61"/>
        <v>116.70526042263815</v>
      </c>
      <c r="W245" s="150"/>
      <c r="X245" s="64">
        <f>IFERROR(VLOOKUP($B245,'Allocations 2025-26'!$B$9:$U$329,14,FALSE),0)</f>
        <v>886113</v>
      </c>
      <c r="Y245" s="99">
        <f t="shared" si="62"/>
        <v>-7322</v>
      </c>
      <c r="Z245" s="132">
        <f t="shared" si="63"/>
        <v>-8.2630544862788372E-3</v>
      </c>
      <c r="AA245" s="151" t="str">
        <f t="shared" si="65"/>
        <v>Y</v>
      </c>
      <c r="AC245" s="64"/>
      <c r="AE245" s="152"/>
      <c r="AH245" s="153"/>
      <c r="AI245" s="153"/>
      <c r="AJ245" s="153"/>
      <c r="AK245" s="154"/>
    </row>
    <row r="246" spans="1:37" x14ac:dyDescent="0.25">
      <c r="A246" s="142" t="s">
        <v>446</v>
      </c>
      <c r="B246" t="s">
        <v>697</v>
      </c>
      <c r="C246" t="s">
        <v>244</v>
      </c>
      <c r="D246" s="143">
        <f>IFERROR(VLOOKUP(B246,'Enrollment 26-27'!$B$5:$I$332,8,FALSE),0)</f>
        <v>460.83666666666664</v>
      </c>
      <c r="E246" s="64">
        <f t="shared" si="50"/>
        <v>53327</v>
      </c>
      <c r="F246" s="144">
        <v>0</v>
      </c>
      <c r="G246" s="144">
        <v>0</v>
      </c>
      <c r="H246" s="64">
        <f>SUM(E246:G246)</f>
        <v>53327</v>
      </c>
      <c r="I246" s="64">
        <f t="shared" si="52"/>
        <v>0</v>
      </c>
      <c r="J246" s="145">
        <f t="shared" si="53"/>
        <v>53327</v>
      </c>
      <c r="K246" s="146" t="str">
        <f t="shared" si="64"/>
        <v>Y</v>
      </c>
      <c r="L246" s="147">
        <f t="shared" si="54"/>
        <v>0</v>
      </c>
      <c r="M246" s="148">
        <f t="shared" si="55"/>
        <v>460.83666666666664</v>
      </c>
      <c r="N246" s="64">
        <f t="shared" si="56"/>
        <v>455</v>
      </c>
      <c r="O246" s="64">
        <f t="shared" ref="O246:O309" si="66">J246-L246+N246</f>
        <v>53782</v>
      </c>
      <c r="Q246" s="104">
        <f t="shared" si="58"/>
        <v>0</v>
      </c>
      <c r="R246" s="104" t="str">
        <f t="shared" si="59"/>
        <v>Not Applicable</v>
      </c>
      <c r="S246" s="149" t="s">
        <v>815</v>
      </c>
      <c r="T246" s="149">
        <f>IF(O246=0,0,IF(S246="N",0,VLOOKUP(B246,'Enrollment 25-26'!$B$8:$K$332,9,FALSE)))</f>
        <v>0</v>
      </c>
      <c r="U246" s="64">
        <f t="shared" si="60"/>
        <v>53782</v>
      </c>
      <c r="V246" s="128">
        <f t="shared" si="61"/>
        <v>116.70512329024746</v>
      </c>
      <c r="W246" s="150"/>
      <c r="X246" s="64">
        <f>IFERROR(VLOOKUP($B246,'Allocations 2025-26'!$B$9:$U$329,14,FALSE),0)</f>
        <v>52261</v>
      </c>
      <c r="Y246" s="99">
        <f t="shared" si="62"/>
        <v>1521</v>
      </c>
      <c r="Z246" s="132">
        <f t="shared" si="63"/>
        <v>2.9103920705688756E-2</v>
      </c>
      <c r="AA246" s="151" t="str">
        <f t="shared" si="65"/>
        <v>Y</v>
      </c>
      <c r="AC246" s="64"/>
      <c r="AE246" s="152"/>
      <c r="AH246" s="153"/>
      <c r="AI246" s="153"/>
      <c r="AJ246" s="153"/>
      <c r="AK246" s="154"/>
    </row>
    <row r="247" spans="1:37" x14ac:dyDescent="0.25">
      <c r="A247" s="142" t="s">
        <v>471</v>
      </c>
      <c r="B247" t="s">
        <v>698</v>
      </c>
      <c r="C247" t="s">
        <v>245</v>
      </c>
      <c r="D247" s="143">
        <f>IFERROR(VLOOKUP(B247,'Enrollment 26-27'!$B$5:$I$332,8,FALSE),0)</f>
        <v>425.34000000000003</v>
      </c>
      <c r="E247" s="64">
        <f t="shared" si="50"/>
        <v>49219</v>
      </c>
      <c r="F247" s="144">
        <v>0</v>
      </c>
      <c r="G247" s="144">
        <v>0</v>
      </c>
      <c r="H247" s="64">
        <f t="shared" ref="H247:H310" si="67">SUM(E247:G247)</f>
        <v>49219</v>
      </c>
      <c r="I247" s="64">
        <f t="shared" si="52"/>
        <v>0</v>
      </c>
      <c r="J247" s="145">
        <f t="shared" si="53"/>
        <v>49219</v>
      </c>
      <c r="K247" s="146" t="str">
        <f t="shared" si="64"/>
        <v>Y</v>
      </c>
      <c r="L247" s="147">
        <f t="shared" si="54"/>
        <v>0</v>
      </c>
      <c r="M247" s="148">
        <f t="shared" si="55"/>
        <v>425.34000000000003</v>
      </c>
      <c r="N247" s="64">
        <f t="shared" si="56"/>
        <v>420</v>
      </c>
      <c r="O247" s="64">
        <f t="shared" si="66"/>
        <v>49639</v>
      </c>
      <c r="Q247" s="104">
        <f t="shared" si="58"/>
        <v>0</v>
      </c>
      <c r="R247" s="104" t="str">
        <f t="shared" si="59"/>
        <v>Not Applicable</v>
      </c>
      <c r="S247" s="149" t="s">
        <v>815</v>
      </c>
      <c r="T247" s="149">
        <f>IF(O247=0,0,IF(S247="N",0,VLOOKUP(B247,'Enrollment 25-26'!$B$8:$K$332,9,FALSE)))</f>
        <v>0</v>
      </c>
      <c r="U247" s="64">
        <f t="shared" si="60"/>
        <v>49639</v>
      </c>
      <c r="V247" s="128">
        <f t="shared" si="61"/>
        <v>116.70428363191799</v>
      </c>
      <c r="W247" s="150"/>
      <c r="X247" s="64">
        <f>IFERROR(VLOOKUP($B247,'Allocations 2025-26'!$B$9:$U$329,14,FALSE),0)</f>
        <v>53684</v>
      </c>
      <c r="Y247" s="99">
        <f t="shared" si="62"/>
        <v>-4045</v>
      </c>
      <c r="Z247" s="132">
        <f t="shared" si="63"/>
        <v>-7.534833469935176E-2</v>
      </c>
      <c r="AA247" s="151" t="str">
        <f t="shared" si="65"/>
        <v>Y</v>
      </c>
      <c r="AC247" s="64"/>
      <c r="AE247" s="152"/>
      <c r="AH247" s="153"/>
      <c r="AI247" s="153"/>
      <c r="AJ247" s="153"/>
      <c r="AK247" s="154"/>
    </row>
    <row r="248" spans="1:37" x14ac:dyDescent="0.25">
      <c r="A248" s="142" t="s">
        <v>443</v>
      </c>
      <c r="B248" t="s">
        <v>699</v>
      </c>
      <c r="C248" t="s">
        <v>246</v>
      </c>
      <c r="D248" s="143">
        <f>IFERROR(VLOOKUP(B248,'Enrollment 26-27'!$B$5:$I$332,8,FALSE),0)</f>
        <v>0</v>
      </c>
      <c r="E248" s="64">
        <f t="shared" si="50"/>
        <v>0</v>
      </c>
      <c r="F248" s="144">
        <v>0</v>
      </c>
      <c r="G248" s="144">
        <v>0</v>
      </c>
      <c r="H248" s="64">
        <f t="shared" si="67"/>
        <v>0</v>
      </c>
      <c r="I248" s="64">
        <f t="shared" si="52"/>
        <v>0</v>
      </c>
      <c r="J248" s="145">
        <f t="shared" si="53"/>
        <v>0</v>
      </c>
      <c r="K248" s="146" t="str">
        <f t="shared" si="64"/>
        <v>N</v>
      </c>
      <c r="L248" s="147">
        <f t="shared" si="54"/>
        <v>0</v>
      </c>
      <c r="M248" s="148">
        <f t="shared" si="55"/>
        <v>0</v>
      </c>
      <c r="N248" s="64">
        <f t="shared" si="56"/>
        <v>0</v>
      </c>
      <c r="O248" s="64">
        <f t="shared" si="66"/>
        <v>0</v>
      </c>
      <c r="Q248" s="104">
        <f t="shared" si="58"/>
        <v>0</v>
      </c>
      <c r="R248" s="104" t="str">
        <f t="shared" si="59"/>
        <v>Not Applicable</v>
      </c>
      <c r="S248" s="149" t="s">
        <v>815</v>
      </c>
      <c r="T248" s="149">
        <f>IF(O248=0,0,IF(S248="N",0,VLOOKUP(B248,'Enrollment 25-26'!$B$8:$K$332,9,FALSE)))</f>
        <v>0</v>
      </c>
      <c r="U248" s="64">
        <f t="shared" si="60"/>
        <v>0</v>
      </c>
      <c r="V248" s="128">
        <f t="shared" si="61"/>
        <v>0</v>
      </c>
      <c r="W248" s="150"/>
      <c r="X248" s="64">
        <f>IFERROR(VLOOKUP($B248,'Allocations 2025-26'!$B$9:$U$329,14,FALSE),0)</f>
        <v>0</v>
      </c>
      <c r="Y248" s="99">
        <f t="shared" si="62"/>
        <v>0</v>
      </c>
      <c r="Z248" s="132">
        <f t="shared" si="63"/>
        <v>0</v>
      </c>
      <c r="AA248" s="151" t="str">
        <f t="shared" si="65"/>
        <v>N</v>
      </c>
      <c r="AC248" s="64"/>
      <c r="AE248" s="152"/>
      <c r="AH248" s="153"/>
      <c r="AI248" s="153"/>
      <c r="AJ248" s="153"/>
      <c r="AK248" s="154"/>
    </row>
    <row r="249" spans="1:37" x14ac:dyDescent="0.25">
      <c r="A249" s="142" t="s">
        <v>478</v>
      </c>
      <c r="B249" t="s">
        <v>700</v>
      </c>
      <c r="C249" t="s">
        <v>247</v>
      </c>
      <c r="D249" s="143">
        <f>IFERROR(VLOOKUP(B249,'Enrollment 26-27'!$B$5:$I$332,8,FALSE),0)</f>
        <v>49.5</v>
      </c>
      <c r="E249" s="64">
        <f t="shared" si="50"/>
        <v>5728</v>
      </c>
      <c r="F249" s="144">
        <v>0</v>
      </c>
      <c r="G249" s="144">
        <v>0</v>
      </c>
      <c r="H249" s="64">
        <f t="shared" si="67"/>
        <v>5728</v>
      </c>
      <c r="I249" s="64">
        <f t="shared" si="52"/>
        <v>0</v>
      </c>
      <c r="J249" s="145">
        <f t="shared" si="53"/>
        <v>5728</v>
      </c>
      <c r="K249" s="146" t="str">
        <f t="shared" si="64"/>
        <v>N</v>
      </c>
      <c r="L249" s="147">
        <f t="shared" si="54"/>
        <v>5728</v>
      </c>
      <c r="M249" s="148">
        <f t="shared" si="55"/>
        <v>0</v>
      </c>
      <c r="N249" s="64">
        <f t="shared" si="56"/>
        <v>0</v>
      </c>
      <c r="O249" s="64">
        <f t="shared" si="66"/>
        <v>0</v>
      </c>
      <c r="Q249" s="104">
        <f t="shared" si="58"/>
        <v>0</v>
      </c>
      <c r="R249" s="104" t="str">
        <f t="shared" si="59"/>
        <v>Not Applicable</v>
      </c>
      <c r="S249" s="149" t="s">
        <v>815</v>
      </c>
      <c r="T249" s="149">
        <f>IF(O249=0,0,IF(S249="N",0,VLOOKUP(B249,'Enrollment 25-26'!$B$8:$K$332,9,FALSE)))</f>
        <v>0</v>
      </c>
      <c r="U249" s="64">
        <f t="shared" si="60"/>
        <v>0</v>
      </c>
      <c r="V249" s="128">
        <f t="shared" si="61"/>
        <v>0</v>
      </c>
      <c r="W249" s="150"/>
      <c r="X249" s="64">
        <f>IFERROR(VLOOKUP($B249,'Allocations 2025-26'!$B$9:$U$329,14,FALSE),0)</f>
        <v>0</v>
      </c>
      <c r="Y249" s="99">
        <f t="shared" si="62"/>
        <v>0</v>
      </c>
      <c r="Z249" s="132">
        <f t="shared" si="63"/>
        <v>0</v>
      </c>
      <c r="AA249" s="151" t="str">
        <f t="shared" si="65"/>
        <v>N</v>
      </c>
      <c r="AC249" s="64"/>
      <c r="AE249" s="152"/>
      <c r="AH249" s="153"/>
      <c r="AI249" s="153"/>
      <c r="AJ249" s="153"/>
      <c r="AK249" s="154"/>
    </row>
    <row r="250" spans="1:37" x14ac:dyDescent="0.25">
      <c r="A250" s="142" t="s">
        <v>446</v>
      </c>
      <c r="B250" t="s">
        <v>701</v>
      </c>
      <c r="C250" t="s">
        <v>248</v>
      </c>
      <c r="D250" s="143">
        <f>IFERROR(VLOOKUP(B250,'Enrollment 26-27'!$B$5:$I$332,8,FALSE),0)</f>
        <v>0</v>
      </c>
      <c r="E250" s="64">
        <f t="shared" si="50"/>
        <v>0</v>
      </c>
      <c r="F250" s="144">
        <v>0</v>
      </c>
      <c r="G250" s="144">
        <v>0</v>
      </c>
      <c r="H250" s="64">
        <f t="shared" si="67"/>
        <v>0</v>
      </c>
      <c r="I250" s="64">
        <f t="shared" si="52"/>
        <v>0</v>
      </c>
      <c r="J250" s="145">
        <f t="shared" si="53"/>
        <v>0</v>
      </c>
      <c r="K250" s="146" t="str">
        <f t="shared" si="64"/>
        <v>N</v>
      </c>
      <c r="L250" s="147">
        <f t="shared" si="54"/>
        <v>0</v>
      </c>
      <c r="M250" s="148">
        <f t="shared" si="55"/>
        <v>0</v>
      </c>
      <c r="N250" s="64">
        <f t="shared" si="56"/>
        <v>0</v>
      </c>
      <c r="O250" s="64">
        <f t="shared" si="66"/>
        <v>0</v>
      </c>
      <c r="Q250" s="104">
        <f t="shared" si="58"/>
        <v>0</v>
      </c>
      <c r="R250" s="104" t="str">
        <f t="shared" si="59"/>
        <v>Not Applicable</v>
      </c>
      <c r="S250" s="149" t="s">
        <v>815</v>
      </c>
      <c r="T250" s="149">
        <f>IF(O250=0,0,IF(S250="N",0,VLOOKUP(B250,'Enrollment 25-26'!$B$8:$K$332,9,FALSE)))</f>
        <v>0</v>
      </c>
      <c r="U250" s="64">
        <f t="shared" si="60"/>
        <v>0</v>
      </c>
      <c r="V250" s="128">
        <f t="shared" si="61"/>
        <v>0</v>
      </c>
      <c r="W250" s="150"/>
      <c r="X250" s="64">
        <f>IFERROR(VLOOKUP($B250,'Allocations 2025-26'!$B$9:$U$329,14,FALSE),0)</f>
        <v>0</v>
      </c>
      <c r="Y250" s="99">
        <f t="shared" si="62"/>
        <v>0</v>
      </c>
      <c r="Z250" s="132">
        <f t="shared" si="63"/>
        <v>0</v>
      </c>
      <c r="AA250" s="151" t="str">
        <f t="shared" si="65"/>
        <v>N</v>
      </c>
      <c r="AC250" s="64"/>
      <c r="AE250" s="152"/>
      <c r="AH250" s="153"/>
      <c r="AI250" s="153"/>
      <c r="AJ250" s="153"/>
      <c r="AK250" s="154"/>
    </row>
    <row r="251" spans="1:37" x14ac:dyDescent="0.25">
      <c r="A251" s="142" t="s">
        <v>438</v>
      </c>
      <c r="B251" t="s">
        <v>702</v>
      </c>
      <c r="C251" t="s">
        <v>249</v>
      </c>
      <c r="D251" s="143">
        <f>IFERROR(VLOOKUP(B251,'Enrollment 26-27'!$B$5:$I$332,8,FALSE),0)</f>
        <v>1174.5033333333333</v>
      </c>
      <c r="E251" s="64">
        <f t="shared" si="50"/>
        <v>135911</v>
      </c>
      <c r="F251" s="144">
        <v>0</v>
      </c>
      <c r="G251" s="144">
        <v>0</v>
      </c>
      <c r="H251" s="64">
        <f t="shared" si="67"/>
        <v>135911</v>
      </c>
      <c r="I251" s="64">
        <f t="shared" si="52"/>
        <v>0</v>
      </c>
      <c r="J251" s="145">
        <f t="shared" si="53"/>
        <v>135911</v>
      </c>
      <c r="K251" s="146" t="str">
        <f t="shared" si="64"/>
        <v>Y</v>
      </c>
      <c r="L251" s="147">
        <f t="shared" si="54"/>
        <v>0</v>
      </c>
      <c r="M251" s="148">
        <f t="shared" si="55"/>
        <v>1174.5033333333333</v>
      </c>
      <c r="N251" s="64">
        <f t="shared" si="56"/>
        <v>1160</v>
      </c>
      <c r="O251" s="64">
        <f t="shared" si="66"/>
        <v>137071</v>
      </c>
      <c r="Q251" s="104">
        <f t="shared" si="58"/>
        <v>0</v>
      </c>
      <c r="R251" s="104" t="str">
        <f t="shared" si="59"/>
        <v>Not Applicable</v>
      </c>
      <c r="S251" s="149" t="s">
        <v>815</v>
      </c>
      <c r="T251" s="149">
        <f>IF(O251=0,0,IF(S251="N",0,VLOOKUP(B251,'Enrollment 25-26'!$B$8:$K$332,9,FALSE)))</f>
        <v>0</v>
      </c>
      <c r="U251" s="64">
        <f t="shared" si="60"/>
        <v>137071</v>
      </c>
      <c r="V251" s="128">
        <f t="shared" si="61"/>
        <v>116.70550104867021</v>
      </c>
      <c r="W251" s="150"/>
      <c r="X251" s="64">
        <f>IFERROR(VLOOKUP($B251,'Allocations 2025-26'!$B$9:$U$329,14,FALSE),0)</f>
        <v>136203</v>
      </c>
      <c r="Y251" s="99">
        <f t="shared" si="62"/>
        <v>868</v>
      </c>
      <c r="Z251" s="132">
        <f t="shared" si="63"/>
        <v>6.3728405394888514E-3</v>
      </c>
      <c r="AA251" s="151" t="str">
        <f t="shared" si="65"/>
        <v>Y</v>
      </c>
      <c r="AC251" s="64"/>
      <c r="AE251" s="152"/>
      <c r="AH251" s="153"/>
      <c r="AI251" s="153"/>
      <c r="AJ251" s="153"/>
      <c r="AK251" s="154"/>
    </row>
    <row r="252" spans="1:37" x14ac:dyDescent="0.25">
      <c r="A252" s="142" t="s">
        <v>454</v>
      </c>
      <c r="B252" t="s">
        <v>703</v>
      </c>
      <c r="C252" t="s">
        <v>250</v>
      </c>
      <c r="D252" s="143">
        <f>IFERROR(VLOOKUP(B252,'Enrollment 26-27'!$B$5:$I$332,8,FALSE),0)</f>
        <v>1101.8366666666668</v>
      </c>
      <c r="E252" s="64">
        <f t="shared" si="50"/>
        <v>127502</v>
      </c>
      <c r="F252" s="144">
        <v>0</v>
      </c>
      <c r="G252" s="144">
        <v>0</v>
      </c>
      <c r="H252" s="64">
        <f t="shared" si="67"/>
        <v>127502</v>
      </c>
      <c r="I252" s="64">
        <f t="shared" si="52"/>
        <v>0</v>
      </c>
      <c r="J252" s="145">
        <f t="shared" si="53"/>
        <v>127502</v>
      </c>
      <c r="K252" s="146" t="str">
        <f t="shared" si="64"/>
        <v>Y</v>
      </c>
      <c r="L252" s="147">
        <f t="shared" si="54"/>
        <v>0</v>
      </c>
      <c r="M252" s="148">
        <f t="shared" si="55"/>
        <v>1101.8366666666668</v>
      </c>
      <c r="N252" s="64">
        <f t="shared" si="56"/>
        <v>1088</v>
      </c>
      <c r="O252" s="64">
        <f t="shared" si="66"/>
        <v>128590</v>
      </c>
      <c r="Q252" s="104">
        <f t="shared" si="58"/>
        <v>0</v>
      </c>
      <c r="R252" s="104" t="str">
        <f t="shared" si="59"/>
        <v>Not Applicable</v>
      </c>
      <c r="S252" s="149" t="s">
        <v>815</v>
      </c>
      <c r="T252" s="149">
        <f>IF(O252=0,0,IF(S252="N",0,VLOOKUP(B252,'Enrollment 25-26'!$B$8:$K$332,9,FALSE)))</f>
        <v>0</v>
      </c>
      <c r="U252" s="64">
        <f t="shared" si="60"/>
        <v>128590</v>
      </c>
      <c r="V252" s="128">
        <f t="shared" si="61"/>
        <v>116.70513778509215</v>
      </c>
      <c r="W252" s="150"/>
      <c r="X252" s="64">
        <f>IFERROR(VLOOKUP($B252,'Allocations 2025-26'!$B$9:$U$329,14,FALSE),0)</f>
        <v>135382</v>
      </c>
      <c r="Y252" s="99">
        <f t="shared" si="62"/>
        <v>-6792</v>
      </c>
      <c r="Z252" s="132">
        <f t="shared" si="63"/>
        <v>-5.01691509949624E-2</v>
      </c>
      <c r="AA252" s="151" t="str">
        <f t="shared" si="65"/>
        <v>Y</v>
      </c>
      <c r="AC252" s="64"/>
      <c r="AE252" s="152"/>
      <c r="AH252" s="153"/>
      <c r="AI252" s="153"/>
      <c r="AJ252" s="153"/>
      <c r="AK252" s="154"/>
    </row>
    <row r="253" spans="1:37" x14ac:dyDescent="0.25">
      <c r="A253" s="142" t="s">
        <v>459</v>
      </c>
      <c r="B253" t="s">
        <v>704</v>
      </c>
      <c r="C253" t="s">
        <v>251</v>
      </c>
      <c r="D253" s="143">
        <f>IFERROR(VLOOKUP(B253,'Enrollment 26-27'!$B$5:$I$332,8,FALSE),0)</f>
        <v>1</v>
      </c>
      <c r="E253" s="64">
        <f t="shared" si="50"/>
        <v>116</v>
      </c>
      <c r="F253" s="144">
        <v>0</v>
      </c>
      <c r="G253" s="144">
        <v>0</v>
      </c>
      <c r="H253" s="64">
        <f t="shared" si="67"/>
        <v>116</v>
      </c>
      <c r="I253" s="64">
        <f t="shared" si="52"/>
        <v>0</v>
      </c>
      <c r="J253" s="145">
        <f t="shared" si="53"/>
        <v>116</v>
      </c>
      <c r="K253" s="146" t="str">
        <f t="shared" si="64"/>
        <v>N</v>
      </c>
      <c r="L253" s="147">
        <f t="shared" si="54"/>
        <v>116</v>
      </c>
      <c r="M253" s="148">
        <f t="shared" si="55"/>
        <v>0</v>
      </c>
      <c r="N253" s="64">
        <f t="shared" si="56"/>
        <v>0</v>
      </c>
      <c r="O253" s="64">
        <f t="shared" si="66"/>
        <v>0</v>
      </c>
      <c r="Q253" s="104">
        <f t="shared" si="58"/>
        <v>0</v>
      </c>
      <c r="R253" s="104" t="str">
        <f t="shared" si="59"/>
        <v>Not Applicable</v>
      </c>
      <c r="S253" s="149" t="s">
        <v>815</v>
      </c>
      <c r="T253" s="149">
        <f>IF(O253=0,0,IF(S253="N",0,VLOOKUP(B253,'Enrollment 25-26'!$B$8:$K$332,9,FALSE)))</f>
        <v>0</v>
      </c>
      <c r="U253" s="64">
        <f t="shared" si="60"/>
        <v>0</v>
      </c>
      <c r="V253" s="128">
        <f t="shared" si="61"/>
        <v>0</v>
      </c>
      <c r="W253" s="150"/>
      <c r="X253" s="64">
        <f>IFERROR(VLOOKUP($B253,'Allocations 2025-26'!$B$9:$U$329,14,FALSE),0)</f>
        <v>0</v>
      </c>
      <c r="Y253" s="99">
        <f t="shared" si="62"/>
        <v>0</v>
      </c>
      <c r="Z253" s="132">
        <f t="shared" si="63"/>
        <v>0</v>
      </c>
      <c r="AA253" s="151" t="str">
        <f t="shared" si="65"/>
        <v>N</v>
      </c>
      <c r="AC253" s="64"/>
      <c r="AE253" s="152"/>
      <c r="AH253" s="153"/>
      <c r="AI253" s="153"/>
      <c r="AJ253" s="153"/>
      <c r="AK253" s="154"/>
    </row>
    <row r="254" spans="1:37" x14ac:dyDescent="0.25">
      <c r="A254" s="142" t="s">
        <v>454</v>
      </c>
      <c r="B254" t="s">
        <v>705</v>
      </c>
      <c r="C254" t="s">
        <v>252</v>
      </c>
      <c r="D254" s="143">
        <f>IFERROR(VLOOKUP(B254,'Enrollment 26-27'!$B$5:$I$332,8,FALSE),0)</f>
        <v>0</v>
      </c>
      <c r="E254" s="64">
        <f t="shared" si="50"/>
        <v>0</v>
      </c>
      <c r="F254" s="144">
        <v>0</v>
      </c>
      <c r="G254" s="144">
        <v>0</v>
      </c>
      <c r="H254" s="64">
        <f t="shared" si="67"/>
        <v>0</v>
      </c>
      <c r="I254" s="64">
        <f t="shared" si="52"/>
        <v>0</v>
      </c>
      <c r="J254" s="145">
        <f t="shared" si="53"/>
        <v>0</v>
      </c>
      <c r="K254" s="146" t="str">
        <f t="shared" si="64"/>
        <v>N</v>
      </c>
      <c r="L254" s="147">
        <f t="shared" si="54"/>
        <v>0</v>
      </c>
      <c r="M254" s="148">
        <f t="shared" si="55"/>
        <v>0</v>
      </c>
      <c r="N254" s="64">
        <f t="shared" si="56"/>
        <v>0</v>
      </c>
      <c r="O254" s="64">
        <f t="shared" si="66"/>
        <v>0</v>
      </c>
      <c r="Q254" s="104">
        <f t="shared" si="58"/>
        <v>0</v>
      </c>
      <c r="R254" s="104" t="str">
        <f t="shared" si="59"/>
        <v>Not Applicable</v>
      </c>
      <c r="S254" s="149" t="s">
        <v>815</v>
      </c>
      <c r="T254" s="149">
        <f>IF(O254=0,0,IF(S254="N",0,VLOOKUP(B254,'Enrollment 25-26'!$B$8:$K$332,9,FALSE)))</f>
        <v>0</v>
      </c>
      <c r="U254" s="64">
        <f t="shared" si="60"/>
        <v>0</v>
      </c>
      <c r="V254" s="128">
        <f t="shared" si="61"/>
        <v>0</v>
      </c>
      <c r="W254" s="150"/>
      <c r="X254" s="64">
        <f>IFERROR(VLOOKUP($B254,'Allocations 2025-26'!$B$9:$U$329,14,FALSE),0)</f>
        <v>0</v>
      </c>
      <c r="Y254" s="99">
        <f t="shared" si="62"/>
        <v>0</v>
      </c>
      <c r="Z254" s="132">
        <f t="shared" si="63"/>
        <v>0</v>
      </c>
      <c r="AA254" s="151" t="str">
        <f t="shared" si="65"/>
        <v>N</v>
      </c>
      <c r="AC254" s="64"/>
      <c r="AE254" s="152"/>
      <c r="AH254" s="153"/>
      <c r="AI254" s="153"/>
      <c r="AJ254" s="153"/>
      <c r="AK254" s="154"/>
    </row>
    <row r="255" spans="1:37" x14ac:dyDescent="0.25">
      <c r="A255" s="142" t="s">
        <v>446</v>
      </c>
      <c r="B255" t="s">
        <v>706</v>
      </c>
      <c r="C255" t="s">
        <v>253</v>
      </c>
      <c r="D255" s="143">
        <f>IFERROR(VLOOKUP(B255,'Enrollment 26-27'!$B$5:$I$332,8,FALSE),0)</f>
        <v>658.1633333333333</v>
      </c>
      <c r="E255" s="64">
        <f t="shared" si="50"/>
        <v>76161</v>
      </c>
      <c r="F255" s="144">
        <v>0</v>
      </c>
      <c r="G255" s="144">
        <v>0</v>
      </c>
      <c r="H255" s="64">
        <f t="shared" si="67"/>
        <v>76161</v>
      </c>
      <c r="I255" s="64">
        <f t="shared" si="52"/>
        <v>0</v>
      </c>
      <c r="J255" s="145">
        <f t="shared" si="53"/>
        <v>76161</v>
      </c>
      <c r="K255" s="146" t="str">
        <f t="shared" si="64"/>
        <v>Y</v>
      </c>
      <c r="L255" s="147">
        <f t="shared" si="54"/>
        <v>0</v>
      </c>
      <c r="M255" s="148">
        <f t="shared" si="55"/>
        <v>658.1633333333333</v>
      </c>
      <c r="N255" s="64">
        <f t="shared" si="56"/>
        <v>650</v>
      </c>
      <c r="O255" s="64">
        <f t="shared" si="66"/>
        <v>76811</v>
      </c>
      <c r="Q255" s="104">
        <f t="shared" si="58"/>
        <v>0</v>
      </c>
      <c r="R255" s="104" t="str">
        <f t="shared" si="59"/>
        <v>Not Applicable</v>
      </c>
      <c r="S255" s="149" t="s">
        <v>815</v>
      </c>
      <c r="T255" s="149">
        <f>IF(O255=0,0,IF(S255="N",0,VLOOKUP(B255,'Enrollment 25-26'!$B$8:$K$332,9,FALSE)))</f>
        <v>0</v>
      </c>
      <c r="U255" s="64">
        <f t="shared" si="60"/>
        <v>76811</v>
      </c>
      <c r="V255" s="128">
        <f t="shared" si="61"/>
        <v>116.70507320877797</v>
      </c>
      <c r="W255" s="150"/>
      <c r="X255" s="64">
        <f>IFERROR(VLOOKUP($B255,'Allocations 2025-26'!$B$9:$U$329,14,FALSE),0)</f>
        <v>72055</v>
      </c>
      <c r="Y255" s="99">
        <f t="shared" si="62"/>
        <v>4756</v>
      </c>
      <c r="Z255" s="132">
        <f t="shared" si="63"/>
        <v>6.600513496634515E-2</v>
      </c>
      <c r="AA255" s="151" t="str">
        <f t="shared" si="65"/>
        <v>Y</v>
      </c>
      <c r="AC255" s="64"/>
      <c r="AE255" s="152"/>
      <c r="AH255" s="153"/>
      <c r="AI255" s="153"/>
      <c r="AJ255" s="153"/>
      <c r="AK255" s="154"/>
    </row>
    <row r="256" spans="1:37" x14ac:dyDescent="0.25">
      <c r="A256" s="142" t="s">
        <v>454</v>
      </c>
      <c r="B256" t="s">
        <v>707</v>
      </c>
      <c r="C256" t="s">
        <v>254</v>
      </c>
      <c r="D256" s="143">
        <f>IFERROR(VLOOKUP(B256,'Enrollment 26-27'!$B$5:$I$332,8,FALSE),0)</f>
        <v>257.33666666666664</v>
      </c>
      <c r="E256" s="64">
        <f t="shared" si="50"/>
        <v>29778</v>
      </c>
      <c r="F256" s="144">
        <v>0</v>
      </c>
      <c r="G256" s="144">
        <v>0</v>
      </c>
      <c r="H256" s="64">
        <f t="shared" si="67"/>
        <v>29778</v>
      </c>
      <c r="I256" s="64">
        <f t="shared" si="52"/>
        <v>0</v>
      </c>
      <c r="J256" s="145">
        <f t="shared" si="53"/>
        <v>29778</v>
      </c>
      <c r="K256" s="146" t="str">
        <f t="shared" si="64"/>
        <v>Y</v>
      </c>
      <c r="L256" s="147">
        <f t="shared" si="54"/>
        <v>0</v>
      </c>
      <c r="M256" s="148">
        <f t="shared" si="55"/>
        <v>257.33666666666664</v>
      </c>
      <c r="N256" s="64">
        <f t="shared" si="56"/>
        <v>254</v>
      </c>
      <c r="O256" s="64">
        <f t="shared" si="66"/>
        <v>30032</v>
      </c>
      <c r="Q256" s="104">
        <f t="shared" si="58"/>
        <v>0</v>
      </c>
      <c r="R256" s="104" t="str">
        <f t="shared" si="59"/>
        <v>Not Applicable</v>
      </c>
      <c r="S256" s="149" t="s">
        <v>815</v>
      </c>
      <c r="T256" s="149">
        <f>IF(O256=0,0,IF(S256="N",0,VLOOKUP(B256,'Enrollment 25-26'!$B$8:$K$332,9,FALSE)))</f>
        <v>0</v>
      </c>
      <c r="U256" s="64">
        <f t="shared" si="60"/>
        <v>30032</v>
      </c>
      <c r="V256" s="128">
        <f t="shared" si="61"/>
        <v>116.70315151358145</v>
      </c>
      <c r="W256" s="150"/>
      <c r="X256" s="64">
        <f>IFERROR(VLOOKUP($B256,'Allocations 2025-26'!$B$9:$U$329,14,FALSE),0)</f>
        <v>33772</v>
      </c>
      <c r="Y256" s="99">
        <f t="shared" si="62"/>
        <v>-3740</v>
      </c>
      <c r="Z256" s="132">
        <f t="shared" si="63"/>
        <v>-0.11074262702830748</v>
      </c>
      <c r="AA256" s="151" t="str">
        <f t="shared" si="65"/>
        <v>Y</v>
      </c>
      <c r="AC256" s="64"/>
      <c r="AE256" s="152"/>
      <c r="AH256" s="153"/>
      <c r="AI256" s="153"/>
      <c r="AJ256" s="153"/>
      <c r="AK256" s="154"/>
    </row>
    <row r="257" spans="1:37" x14ac:dyDescent="0.25">
      <c r="A257" s="142" t="s">
        <v>481</v>
      </c>
      <c r="B257" t="s">
        <v>708</v>
      </c>
      <c r="C257" t="s">
        <v>255</v>
      </c>
      <c r="D257" s="143">
        <f>IFERROR(VLOOKUP(B257,'Enrollment 26-27'!$B$5:$I$332,8,FALSE),0)</f>
        <v>144.84</v>
      </c>
      <c r="E257" s="64">
        <f t="shared" si="50"/>
        <v>16761</v>
      </c>
      <c r="F257" s="144">
        <v>0</v>
      </c>
      <c r="G257" s="144">
        <v>0</v>
      </c>
      <c r="H257" s="64">
        <f t="shared" si="67"/>
        <v>16761</v>
      </c>
      <c r="I257" s="64">
        <f t="shared" si="52"/>
        <v>0</v>
      </c>
      <c r="J257" s="145">
        <f t="shared" si="53"/>
        <v>16761</v>
      </c>
      <c r="K257" s="146" t="str">
        <f t="shared" si="64"/>
        <v>Y</v>
      </c>
      <c r="L257" s="147">
        <f t="shared" si="54"/>
        <v>0</v>
      </c>
      <c r="M257" s="148">
        <f t="shared" si="55"/>
        <v>144.84</v>
      </c>
      <c r="N257" s="64">
        <f t="shared" si="56"/>
        <v>143</v>
      </c>
      <c r="O257" s="64">
        <f t="shared" si="66"/>
        <v>16904</v>
      </c>
      <c r="Q257" s="104">
        <f t="shared" si="58"/>
        <v>0</v>
      </c>
      <c r="R257" s="104" t="str">
        <f t="shared" si="59"/>
        <v>Not Applicable</v>
      </c>
      <c r="S257" s="149" t="s">
        <v>815</v>
      </c>
      <c r="T257" s="149">
        <f>IF(O257=0,0,IF(S257="N",0,VLOOKUP(B257,'Enrollment 25-26'!$B$8:$K$332,9,FALSE)))</f>
        <v>0</v>
      </c>
      <c r="U257" s="64">
        <f t="shared" si="60"/>
        <v>16904</v>
      </c>
      <c r="V257" s="128">
        <f t="shared" si="61"/>
        <v>116.70809168737918</v>
      </c>
      <c r="W257" s="150"/>
      <c r="X257" s="64">
        <f>IFERROR(VLOOKUP($B257,'Allocations 2025-26'!$B$9:$U$329,14,FALSE),0)</f>
        <v>17784</v>
      </c>
      <c r="Y257" s="99">
        <f t="shared" si="62"/>
        <v>-880</v>
      </c>
      <c r="Z257" s="132">
        <f t="shared" si="63"/>
        <v>-4.9482681061628432E-2</v>
      </c>
      <c r="AA257" s="151" t="str">
        <f t="shared" si="65"/>
        <v>Y</v>
      </c>
      <c r="AC257" s="64"/>
      <c r="AE257" s="152"/>
      <c r="AH257" s="153"/>
      <c r="AI257" s="153"/>
      <c r="AJ257" s="153"/>
      <c r="AK257" s="154"/>
    </row>
    <row r="258" spans="1:37" x14ac:dyDescent="0.25">
      <c r="A258" s="142" t="s">
        <v>438</v>
      </c>
      <c r="B258" t="s">
        <v>709</v>
      </c>
      <c r="C258" t="s">
        <v>256</v>
      </c>
      <c r="D258" s="143">
        <f>IFERROR(VLOOKUP(B258,'Enrollment 26-27'!$B$5:$I$332,8,FALSE),0)</f>
        <v>200.67000000000002</v>
      </c>
      <c r="E258" s="64">
        <f t="shared" si="50"/>
        <v>23221</v>
      </c>
      <c r="F258" s="144">
        <v>0</v>
      </c>
      <c r="G258" s="144">
        <v>0</v>
      </c>
      <c r="H258" s="64">
        <f t="shared" si="67"/>
        <v>23221</v>
      </c>
      <c r="I258" s="64">
        <f t="shared" si="52"/>
        <v>0</v>
      </c>
      <c r="J258" s="145">
        <f t="shared" si="53"/>
        <v>23221</v>
      </c>
      <c r="K258" s="146" t="str">
        <f t="shared" si="64"/>
        <v>Y</v>
      </c>
      <c r="L258" s="147">
        <f t="shared" si="54"/>
        <v>0</v>
      </c>
      <c r="M258" s="148">
        <f t="shared" si="55"/>
        <v>200.67000000000002</v>
      </c>
      <c r="N258" s="64">
        <f t="shared" si="56"/>
        <v>198</v>
      </c>
      <c r="O258" s="64">
        <f t="shared" si="66"/>
        <v>23419</v>
      </c>
      <c r="Q258" s="104">
        <f t="shared" si="58"/>
        <v>0</v>
      </c>
      <c r="R258" s="104" t="str">
        <f t="shared" si="59"/>
        <v>Not Applicable</v>
      </c>
      <c r="S258" s="149" t="s">
        <v>815</v>
      </c>
      <c r="T258" s="149">
        <f>IF(O258=0,0,IF(S258="N",0,VLOOKUP(B258,'Enrollment 25-26'!$B$8:$K$332,9,FALSE)))</f>
        <v>0</v>
      </c>
      <c r="U258" s="64">
        <f t="shared" si="60"/>
        <v>23419</v>
      </c>
      <c r="V258" s="128">
        <f t="shared" si="61"/>
        <v>116.70404146110529</v>
      </c>
      <c r="W258" s="150"/>
      <c r="X258" s="64">
        <f>IFERROR(VLOOKUP($B258,'Allocations 2025-26'!$B$9:$U$329,14,FALSE),0)</f>
        <v>13510</v>
      </c>
      <c r="Y258" s="99">
        <f t="shared" si="62"/>
        <v>9909</v>
      </c>
      <c r="Z258" s="132">
        <f t="shared" si="63"/>
        <v>0.73345669874167285</v>
      </c>
      <c r="AA258" s="151" t="str">
        <f t="shared" si="65"/>
        <v>Y</v>
      </c>
      <c r="AC258" s="64"/>
      <c r="AE258" s="152"/>
      <c r="AH258" s="153"/>
      <c r="AI258" s="153"/>
      <c r="AJ258" s="153"/>
      <c r="AK258" s="154"/>
    </row>
    <row r="259" spans="1:37" x14ac:dyDescent="0.25">
      <c r="A259" s="142" t="s">
        <v>478</v>
      </c>
      <c r="B259" t="s">
        <v>710</v>
      </c>
      <c r="C259" t="s">
        <v>257</v>
      </c>
      <c r="D259" s="143">
        <f>IFERROR(VLOOKUP(B259,'Enrollment 26-27'!$B$5:$I$332,8,FALSE),0)</f>
        <v>297.5</v>
      </c>
      <c r="E259" s="64">
        <f t="shared" si="50"/>
        <v>34426</v>
      </c>
      <c r="F259" s="144">
        <v>0</v>
      </c>
      <c r="G259" s="144">
        <v>0</v>
      </c>
      <c r="H259" s="64">
        <f t="shared" si="67"/>
        <v>34426</v>
      </c>
      <c r="I259" s="64">
        <f t="shared" si="52"/>
        <v>0</v>
      </c>
      <c r="J259" s="145">
        <f t="shared" si="53"/>
        <v>34426</v>
      </c>
      <c r="K259" s="146" t="str">
        <f t="shared" si="64"/>
        <v>Y</v>
      </c>
      <c r="L259" s="147">
        <f t="shared" si="54"/>
        <v>0</v>
      </c>
      <c r="M259" s="148">
        <f t="shared" si="55"/>
        <v>297.5</v>
      </c>
      <c r="N259" s="64">
        <f t="shared" si="56"/>
        <v>294</v>
      </c>
      <c r="O259" s="64">
        <f t="shared" si="66"/>
        <v>34720</v>
      </c>
      <c r="Q259" s="104">
        <f t="shared" si="58"/>
        <v>0</v>
      </c>
      <c r="R259" s="104" t="str">
        <f t="shared" si="59"/>
        <v>Not Applicable</v>
      </c>
      <c r="S259" s="149" t="s">
        <v>815</v>
      </c>
      <c r="T259" s="149">
        <f>IF(O259=0,0,IF(S259="N",0,VLOOKUP(B259,'Enrollment 25-26'!$B$8:$K$332,9,FALSE)))</f>
        <v>0</v>
      </c>
      <c r="U259" s="64">
        <f t="shared" si="60"/>
        <v>34720</v>
      </c>
      <c r="V259" s="128">
        <f t="shared" si="61"/>
        <v>116.70588235294117</v>
      </c>
      <c r="W259" s="150"/>
      <c r="X259" s="64">
        <f>IFERROR(VLOOKUP($B259,'Allocations 2025-26'!$B$9:$U$329,14,FALSE),0)</f>
        <v>33598</v>
      </c>
      <c r="Y259" s="99">
        <f t="shared" si="62"/>
        <v>1122</v>
      </c>
      <c r="Z259" s="132">
        <f t="shared" si="63"/>
        <v>3.3394844931245907E-2</v>
      </c>
      <c r="AA259" s="151" t="str">
        <f t="shared" si="65"/>
        <v>Y</v>
      </c>
      <c r="AC259" s="64"/>
      <c r="AE259" s="152"/>
      <c r="AH259" s="153"/>
      <c r="AI259" s="153"/>
      <c r="AJ259" s="153"/>
      <c r="AK259" s="154"/>
    </row>
    <row r="260" spans="1:37" x14ac:dyDescent="0.25">
      <c r="A260" s="142" t="s">
        <v>446</v>
      </c>
      <c r="B260" t="s">
        <v>711</v>
      </c>
      <c r="C260" t="s">
        <v>258</v>
      </c>
      <c r="D260" s="143">
        <f>IFERROR(VLOOKUP(B260,'Enrollment 26-27'!$B$5:$I$332,8,FALSE),0)</f>
        <v>11.5</v>
      </c>
      <c r="E260" s="64">
        <f t="shared" si="50"/>
        <v>1331</v>
      </c>
      <c r="F260" s="144">
        <v>0</v>
      </c>
      <c r="G260" s="144">
        <v>0</v>
      </c>
      <c r="H260" s="64">
        <f t="shared" si="67"/>
        <v>1331</v>
      </c>
      <c r="I260" s="64">
        <f t="shared" si="52"/>
        <v>0</v>
      </c>
      <c r="J260" s="145">
        <f t="shared" si="53"/>
        <v>1331</v>
      </c>
      <c r="K260" s="146" t="str">
        <f t="shared" si="64"/>
        <v>N</v>
      </c>
      <c r="L260" s="147">
        <f t="shared" si="54"/>
        <v>1331</v>
      </c>
      <c r="M260" s="148">
        <f t="shared" si="55"/>
        <v>0</v>
      </c>
      <c r="N260" s="64">
        <f t="shared" si="56"/>
        <v>0</v>
      </c>
      <c r="O260" s="64">
        <f t="shared" si="66"/>
        <v>0</v>
      </c>
      <c r="Q260" s="104">
        <f t="shared" si="58"/>
        <v>0</v>
      </c>
      <c r="R260" s="104" t="str">
        <f t="shared" si="59"/>
        <v>Not Applicable</v>
      </c>
      <c r="S260" s="149" t="s">
        <v>815</v>
      </c>
      <c r="T260" s="149">
        <f>IF(O260=0,0,IF(S260="N",0,VLOOKUP(B260,'Enrollment 25-26'!$B$8:$K$332,9,FALSE)))</f>
        <v>0</v>
      </c>
      <c r="U260" s="64">
        <f t="shared" si="60"/>
        <v>0</v>
      </c>
      <c r="V260" s="128">
        <f t="shared" si="61"/>
        <v>0</v>
      </c>
      <c r="W260" s="150"/>
      <c r="X260" s="64">
        <f>IFERROR(VLOOKUP($B260,'Allocations 2025-26'!$B$9:$U$329,14,FALSE),0)</f>
        <v>0</v>
      </c>
      <c r="Y260" s="99">
        <f t="shared" si="62"/>
        <v>0</v>
      </c>
      <c r="Z260" s="132">
        <f t="shared" si="63"/>
        <v>0</v>
      </c>
      <c r="AA260" s="151" t="str">
        <f t="shared" si="65"/>
        <v>N</v>
      </c>
      <c r="AC260" s="64"/>
      <c r="AE260" s="152"/>
      <c r="AH260" s="153"/>
      <c r="AI260" s="153"/>
      <c r="AJ260" s="153"/>
      <c r="AK260" s="154"/>
    </row>
    <row r="261" spans="1:37" x14ac:dyDescent="0.25">
      <c r="A261" s="142" t="s">
        <v>438</v>
      </c>
      <c r="B261" t="s">
        <v>712</v>
      </c>
      <c r="C261" t="s">
        <v>259</v>
      </c>
      <c r="D261" s="143">
        <f>IFERROR(VLOOKUP(B261,'Enrollment 26-27'!$B$5:$I$332,8,FALSE),0)</f>
        <v>15.67</v>
      </c>
      <c r="E261" s="64">
        <f t="shared" si="50"/>
        <v>1813</v>
      </c>
      <c r="F261" s="144">
        <v>0</v>
      </c>
      <c r="G261" s="144">
        <v>0</v>
      </c>
      <c r="H261" s="64">
        <f t="shared" si="67"/>
        <v>1813</v>
      </c>
      <c r="I261" s="64">
        <f t="shared" si="52"/>
        <v>0</v>
      </c>
      <c r="J261" s="145">
        <f t="shared" si="53"/>
        <v>1813</v>
      </c>
      <c r="K261" s="146" t="str">
        <f t="shared" si="64"/>
        <v>N</v>
      </c>
      <c r="L261" s="147">
        <f t="shared" si="54"/>
        <v>1813</v>
      </c>
      <c r="M261" s="148">
        <f t="shared" si="55"/>
        <v>0</v>
      </c>
      <c r="N261" s="64">
        <f t="shared" si="56"/>
        <v>0</v>
      </c>
      <c r="O261" s="64">
        <f t="shared" si="66"/>
        <v>0</v>
      </c>
      <c r="Q261" s="104">
        <f t="shared" si="58"/>
        <v>0</v>
      </c>
      <c r="R261" s="104" t="str">
        <f t="shared" si="59"/>
        <v>Not Applicable</v>
      </c>
      <c r="S261" s="149" t="s">
        <v>815</v>
      </c>
      <c r="T261" s="149">
        <f>IF(O261=0,0,IF(S261="N",0,VLOOKUP(B261,'Enrollment 25-26'!$B$8:$K$332,9,FALSE)))</f>
        <v>0</v>
      </c>
      <c r="U261" s="64">
        <f t="shared" si="60"/>
        <v>0</v>
      </c>
      <c r="V261" s="128">
        <f t="shared" si="61"/>
        <v>0</v>
      </c>
      <c r="W261" s="150"/>
      <c r="X261" s="64">
        <f>IFERROR(VLOOKUP($B261,'Allocations 2025-26'!$B$9:$U$329,14,FALSE),0)</f>
        <v>0</v>
      </c>
      <c r="Y261" s="99">
        <f t="shared" si="62"/>
        <v>0</v>
      </c>
      <c r="Z261" s="132">
        <f t="shared" si="63"/>
        <v>0</v>
      </c>
      <c r="AA261" s="151" t="str">
        <f t="shared" si="65"/>
        <v>N</v>
      </c>
      <c r="AC261" s="64"/>
      <c r="AE261" s="152"/>
      <c r="AH261" s="153"/>
      <c r="AI261" s="153"/>
      <c r="AJ261" s="153"/>
      <c r="AK261" s="154"/>
    </row>
    <row r="262" spans="1:37" x14ac:dyDescent="0.25">
      <c r="A262" s="142" t="s">
        <v>443</v>
      </c>
      <c r="B262" t="s">
        <v>713</v>
      </c>
      <c r="C262" t="s">
        <v>260</v>
      </c>
      <c r="D262" s="143">
        <f>IFERROR(VLOOKUP(B262,'Enrollment 26-27'!$B$5:$I$332,8,FALSE),0)</f>
        <v>2981.9966666666664</v>
      </c>
      <c r="E262" s="64">
        <f t="shared" si="50"/>
        <v>345070</v>
      </c>
      <c r="F262" s="144">
        <v>0</v>
      </c>
      <c r="G262" s="144">
        <v>0</v>
      </c>
      <c r="H262" s="64">
        <f t="shared" si="67"/>
        <v>345070</v>
      </c>
      <c r="I262" s="64">
        <f t="shared" si="52"/>
        <v>0</v>
      </c>
      <c r="J262" s="145">
        <f t="shared" si="53"/>
        <v>345070</v>
      </c>
      <c r="K262" s="146" t="str">
        <f t="shared" si="64"/>
        <v>Y</v>
      </c>
      <c r="L262" s="147">
        <f t="shared" si="54"/>
        <v>0</v>
      </c>
      <c r="M262" s="148">
        <f t="shared" si="55"/>
        <v>2981.9966666666664</v>
      </c>
      <c r="N262" s="64">
        <f t="shared" si="56"/>
        <v>2944</v>
      </c>
      <c r="O262" s="64">
        <f t="shared" si="66"/>
        <v>348014</v>
      </c>
      <c r="Q262" s="104">
        <f t="shared" si="58"/>
        <v>0</v>
      </c>
      <c r="R262" s="104" t="str">
        <f t="shared" si="59"/>
        <v>Not Applicable</v>
      </c>
      <c r="S262" s="149" t="s">
        <v>815</v>
      </c>
      <c r="T262" s="149">
        <f>IF(O262=0,0,IF(S262="N",0,VLOOKUP(B262,'Enrollment 25-26'!$B$8:$K$332,9,FALSE)))</f>
        <v>0</v>
      </c>
      <c r="U262" s="64">
        <f t="shared" si="60"/>
        <v>348014</v>
      </c>
      <c r="V262" s="128">
        <f t="shared" si="61"/>
        <v>116.70502649790578</v>
      </c>
      <c r="W262" s="150"/>
      <c r="X262" s="64">
        <f>IFERROR(VLOOKUP($B262,'Allocations 2025-26'!$B$9:$U$329,14,FALSE),0)</f>
        <v>345651</v>
      </c>
      <c r="Y262" s="99">
        <f t="shared" si="62"/>
        <v>2363</v>
      </c>
      <c r="Z262" s="132">
        <f t="shared" si="63"/>
        <v>6.8363754191366434E-3</v>
      </c>
      <c r="AA262" s="151" t="str">
        <f t="shared" si="65"/>
        <v>Y</v>
      </c>
      <c r="AC262" s="64"/>
      <c r="AE262" s="152"/>
      <c r="AH262" s="153"/>
      <c r="AI262" s="153"/>
      <c r="AJ262" s="153"/>
      <c r="AK262" s="154"/>
    </row>
    <row r="263" spans="1:37" x14ac:dyDescent="0.25">
      <c r="A263" s="142" t="s">
        <v>497</v>
      </c>
      <c r="B263" t="s">
        <v>714</v>
      </c>
      <c r="C263" t="s">
        <v>261</v>
      </c>
      <c r="D263" s="143">
        <f>IFERROR(VLOOKUP(B263,'Enrollment 26-27'!$B$5:$I$332,8,FALSE),0)</f>
        <v>69</v>
      </c>
      <c r="E263" s="64">
        <f t="shared" si="50"/>
        <v>7985</v>
      </c>
      <c r="F263" s="144">
        <v>0</v>
      </c>
      <c r="G263" s="144">
        <v>0</v>
      </c>
      <c r="H263" s="64">
        <f t="shared" si="67"/>
        <v>7985</v>
      </c>
      <c r="I263" s="64">
        <f t="shared" si="52"/>
        <v>0</v>
      </c>
      <c r="J263" s="145">
        <f t="shared" si="53"/>
        <v>7985</v>
      </c>
      <c r="K263" s="146" t="str">
        <f t="shared" si="64"/>
        <v>C</v>
      </c>
      <c r="L263" s="147">
        <f t="shared" si="54"/>
        <v>0</v>
      </c>
      <c r="M263" s="148">
        <f t="shared" si="55"/>
        <v>69</v>
      </c>
      <c r="N263" s="64">
        <f t="shared" si="56"/>
        <v>68</v>
      </c>
      <c r="O263" s="64">
        <f t="shared" si="66"/>
        <v>8053</v>
      </c>
      <c r="Q263" s="104">
        <f t="shared" si="58"/>
        <v>0</v>
      </c>
      <c r="R263" s="104" t="str">
        <f t="shared" si="59"/>
        <v>Not Applicable</v>
      </c>
      <c r="S263" s="149" t="s">
        <v>815</v>
      </c>
      <c r="T263" s="149">
        <f>IF(O263=0,0,IF(S263="N",0,VLOOKUP(B263,'Enrollment 25-26'!$B$8:$K$332,9,FALSE)))</f>
        <v>0</v>
      </c>
      <c r="U263" s="64">
        <f t="shared" si="60"/>
        <v>8053</v>
      </c>
      <c r="V263" s="128">
        <f t="shared" si="61"/>
        <v>116.71014492753623</v>
      </c>
      <c r="W263" s="150"/>
      <c r="X263" s="64">
        <f>IFERROR(VLOOKUP($B263,'Allocations 2025-26'!$B$9:$U$329,14,FALSE),0)</f>
        <v>7028</v>
      </c>
      <c r="Y263" s="99">
        <f t="shared" si="62"/>
        <v>1025</v>
      </c>
      <c r="Z263" s="132">
        <f t="shared" si="63"/>
        <v>0.14584519066590779</v>
      </c>
      <c r="AA263" s="151" t="str">
        <f t="shared" si="65"/>
        <v>C</v>
      </c>
      <c r="AC263" s="64"/>
      <c r="AE263" s="152"/>
      <c r="AH263" s="153"/>
      <c r="AI263" s="153"/>
      <c r="AJ263" s="153"/>
      <c r="AK263" s="154"/>
    </row>
    <row r="264" spans="1:37" x14ac:dyDescent="0.25">
      <c r="A264" s="142" t="s">
        <v>443</v>
      </c>
      <c r="B264" t="s">
        <v>715</v>
      </c>
      <c r="C264" t="s">
        <v>262</v>
      </c>
      <c r="D264" s="143">
        <f>IFERROR(VLOOKUP(B264,'Enrollment 26-27'!$B$5:$I$332,8,FALSE),0)</f>
        <v>0</v>
      </c>
      <c r="E264" s="64">
        <f t="shared" si="50"/>
        <v>0</v>
      </c>
      <c r="F264" s="144">
        <v>0</v>
      </c>
      <c r="G264" s="144">
        <v>0</v>
      </c>
      <c r="H264" s="64">
        <f t="shared" si="67"/>
        <v>0</v>
      </c>
      <c r="I264" s="64">
        <f t="shared" si="52"/>
        <v>0</v>
      </c>
      <c r="J264" s="145">
        <f t="shared" si="53"/>
        <v>0</v>
      </c>
      <c r="K264" s="146" t="str">
        <f t="shared" si="64"/>
        <v>N</v>
      </c>
      <c r="L264" s="147">
        <f t="shared" si="54"/>
        <v>0</v>
      </c>
      <c r="M264" s="148">
        <f t="shared" si="55"/>
        <v>0</v>
      </c>
      <c r="N264" s="64">
        <f t="shared" si="56"/>
        <v>0</v>
      </c>
      <c r="O264" s="64">
        <f t="shared" si="66"/>
        <v>0</v>
      </c>
      <c r="Q264" s="104">
        <f t="shared" si="58"/>
        <v>0</v>
      </c>
      <c r="R264" s="104" t="str">
        <f t="shared" si="59"/>
        <v>Not Applicable</v>
      </c>
      <c r="S264" s="149" t="s">
        <v>815</v>
      </c>
      <c r="T264" s="149">
        <f>IF(O264=0,0,IF(S264="N",0,VLOOKUP(B264,'Enrollment 25-26'!$B$8:$K$332,9,FALSE)))</f>
        <v>0</v>
      </c>
      <c r="U264" s="64">
        <f t="shared" si="60"/>
        <v>0</v>
      </c>
      <c r="V264" s="128">
        <f t="shared" si="61"/>
        <v>0</v>
      </c>
      <c r="W264" s="150"/>
      <c r="X264" s="64">
        <f>IFERROR(VLOOKUP($B264,'Allocations 2025-26'!$B$9:$U$329,14,FALSE),0)</f>
        <v>0</v>
      </c>
      <c r="Y264" s="99">
        <f t="shared" si="62"/>
        <v>0</v>
      </c>
      <c r="Z264" s="132">
        <f t="shared" si="63"/>
        <v>0</v>
      </c>
      <c r="AA264" s="151" t="str">
        <f t="shared" si="65"/>
        <v>N</v>
      </c>
      <c r="AC264" s="64"/>
      <c r="AE264" s="152"/>
      <c r="AH264" s="153"/>
      <c r="AI264" s="153"/>
      <c r="AJ264" s="153"/>
      <c r="AK264" s="154"/>
    </row>
    <row r="265" spans="1:37" x14ac:dyDescent="0.25">
      <c r="A265" s="142" t="s">
        <v>443</v>
      </c>
      <c r="B265" t="s">
        <v>716</v>
      </c>
      <c r="C265" t="s">
        <v>263</v>
      </c>
      <c r="D265" s="143">
        <f>IFERROR(VLOOKUP(B265,'Enrollment 26-27'!$B$5:$I$332,8,FALSE),0)</f>
        <v>0</v>
      </c>
      <c r="E265" s="64">
        <f t="shared" ref="E265:E328" si="68">ROUND($D265/$D$7*$E$6,0)</f>
        <v>0</v>
      </c>
      <c r="F265" s="144">
        <v>0</v>
      </c>
      <c r="G265" s="144">
        <v>0</v>
      </c>
      <c r="H265" s="64">
        <f t="shared" si="67"/>
        <v>0</v>
      </c>
      <c r="I265" s="64">
        <f t="shared" ref="I265:I328" si="69">ROUND($D265/$D$7*$I$6,0)</f>
        <v>0</v>
      </c>
      <c r="J265" s="145">
        <f t="shared" ref="J265:J328" si="70">+H265+I265</f>
        <v>0</v>
      </c>
      <c r="K265" s="146" t="str">
        <f t="shared" si="64"/>
        <v>N</v>
      </c>
      <c r="L265" s="147">
        <f t="shared" ref="L265:L328" si="71">IF(OR(K265="N",K265="NR",AND(J265&lt;$L$6,K265&lt;&gt;"C")),J265,0)</f>
        <v>0</v>
      </c>
      <c r="M265" s="148">
        <f t="shared" ref="M265:M328" si="72">IF(L265=0,D265,0)</f>
        <v>0</v>
      </c>
      <c r="N265" s="64">
        <f t="shared" ref="N265:N328" si="73">ROUND(M265/$M$7*$L$3,0)</f>
        <v>0</v>
      </c>
      <c r="O265" s="64">
        <f t="shared" si="66"/>
        <v>0</v>
      </c>
      <c r="Q265" s="104">
        <f t="shared" ref="Q265:Q328" si="74">-ROUND(IF(P265&gt;0,O265*(0.9-P265),0),0)</f>
        <v>0</v>
      </c>
      <c r="R265" s="104" t="str">
        <f t="shared" ref="R265:R328" si="75">IF($R$7=0,"Not Applicable",T265*($R$7/$T$7))</f>
        <v>Not Applicable</v>
      </c>
      <c r="S265" s="149" t="s">
        <v>815</v>
      </c>
      <c r="T265" s="149">
        <f>IF(O265=0,0,IF(S265="N",0,VLOOKUP(B265,'Enrollment 25-26'!$B$8:$K$332,9,FALSE)))</f>
        <v>0</v>
      </c>
      <c r="U265" s="64">
        <f t="shared" ref="U265:U328" si="76">IF(ISNUMBER(R265),O265+R265,O265)</f>
        <v>0</v>
      </c>
      <c r="V265" s="128">
        <f t="shared" ref="V265:V328" si="77">IF(M265=0,0,O265/M265)</f>
        <v>0</v>
      </c>
      <c r="W265" s="150"/>
      <c r="X265" s="64">
        <f>IFERROR(VLOOKUP($B265,'Allocations 2025-26'!$B$9:$U$329,14,FALSE),0)</f>
        <v>0</v>
      </c>
      <c r="Y265" s="99">
        <f t="shared" ref="Y265:Y328" si="78">O265-X265</f>
        <v>0</v>
      </c>
      <c r="Z265" s="132">
        <f t="shared" ref="Z265:Z328" si="79">IFERROR(IF(X265&gt;0,Y265/X265,0),0)</f>
        <v>0</v>
      </c>
      <c r="AA265" s="151" t="str">
        <f t="shared" si="65"/>
        <v>N</v>
      </c>
      <c r="AC265" s="64"/>
      <c r="AE265" s="152"/>
      <c r="AH265" s="153"/>
      <c r="AI265" s="153"/>
      <c r="AJ265" s="153"/>
      <c r="AK265" s="154"/>
    </row>
    <row r="266" spans="1:37" x14ac:dyDescent="0.25">
      <c r="A266" s="142" t="s">
        <v>446</v>
      </c>
      <c r="B266" t="s">
        <v>717</v>
      </c>
      <c r="C266" t="s">
        <v>264</v>
      </c>
      <c r="D266" s="143">
        <f>IFERROR(VLOOKUP(B266,'Enrollment 26-27'!$B$5:$I$332,8,FALSE),0)</f>
        <v>192.82666666666665</v>
      </c>
      <c r="E266" s="64">
        <f t="shared" si="68"/>
        <v>22313</v>
      </c>
      <c r="F266" s="144">
        <v>0</v>
      </c>
      <c r="G266" s="144">
        <v>0</v>
      </c>
      <c r="H266" s="64">
        <f t="shared" si="67"/>
        <v>22313</v>
      </c>
      <c r="I266" s="64">
        <f t="shared" si="69"/>
        <v>0</v>
      </c>
      <c r="J266" s="145">
        <f t="shared" si="70"/>
        <v>22313</v>
      </c>
      <c r="K266" s="146" t="str">
        <f t="shared" ref="K266:K328" si="80">IF(ISERROR(VLOOKUP(B266,$AC$9:$AC$50,1,0)),IF(J266&gt;10000,"Y","N"), "C")</f>
        <v>Y</v>
      </c>
      <c r="L266" s="147">
        <f t="shared" si="71"/>
        <v>0</v>
      </c>
      <c r="M266" s="148">
        <f t="shared" si="72"/>
        <v>192.82666666666665</v>
      </c>
      <c r="N266" s="64">
        <f t="shared" si="73"/>
        <v>190</v>
      </c>
      <c r="O266" s="64">
        <f t="shared" si="66"/>
        <v>22503</v>
      </c>
      <c r="Q266" s="104">
        <f t="shared" si="74"/>
        <v>0</v>
      </c>
      <c r="R266" s="104" t="str">
        <f t="shared" si="75"/>
        <v>Not Applicable</v>
      </c>
      <c r="S266" s="149" t="s">
        <v>815</v>
      </c>
      <c r="T266" s="149">
        <f>IF(O266=0,0,IF(S266="N",0,VLOOKUP(B266,'Enrollment 25-26'!$B$8:$K$332,9,FALSE)))</f>
        <v>0</v>
      </c>
      <c r="U266" s="64">
        <f t="shared" si="76"/>
        <v>22503</v>
      </c>
      <c r="V266" s="128">
        <f t="shared" si="77"/>
        <v>116.70066380860186</v>
      </c>
      <c r="W266" s="150"/>
      <c r="X266" s="64">
        <f>IFERROR(VLOOKUP($B266,'Allocations 2025-26'!$B$9:$U$329,14,FALSE),0)</f>
        <v>21611</v>
      </c>
      <c r="Y266" s="99">
        <f t="shared" si="78"/>
        <v>892</v>
      </c>
      <c r="Z266" s="132">
        <f t="shared" si="79"/>
        <v>4.1275276479570591E-2</v>
      </c>
      <c r="AA266" s="151" t="str">
        <f t="shared" ref="AA266:AA328" si="81">K266</f>
        <v>Y</v>
      </c>
      <c r="AC266" s="64"/>
      <c r="AE266" s="152"/>
      <c r="AH266" s="153"/>
      <c r="AI266" s="153"/>
      <c r="AJ266" s="153"/>
      <c r="AK266" s="154"/>
    </row>
    <row r="267" spans="1:37" x14ac:dyDescent="0.25">
      <c r="A267" s="142" t="s">
        <v>451</v>
      </c>
      <c r="B267" t="s">
        <v>718</v>
      </c>
      <c r="C267" t="s">
        <v>265</v>
      </c>
      <c r="D267" s="143">
        <f>IFERROR(VLOOKUP(B267,'Enrollment 26-27'!$B$5:$I$332,8,FALSE),0)</f>
        <v>0</v>
      </c>
      <c r="E267" s="64">
        <f t="shared" si="68"/>
        <v>0</v>
      </c>
      <c r="F267" s="144">
        <v>0</v>
      </c>
      <c r="G267" s="144">
        <v>0</v>
      </c>
      <c r="H267" s="64">
        <f t="shared" si="67"/>
        <v>0</v>
      </c>
      <c r="I267" s="64">
        <f t="shared" si="69"/>
        <v>0</v>
      </c>
      <c r="J267" s="145">
        <f t="shared" si="70"/>
        <v>0</v>
      </c>
      <c r="K267" s="146" t="str">
        <f t="shared" si="80"/>
        <v>N</v>
      </c>
      <c r="L267" s="147">
        <f t="shared" si="71"/>
        <v>0</v>
      </c>
      <c r="M267" s="148">
        <f t="shared" si="72"/>
        <v>0</v>
      </c>
      <c r="N267" s="64">
        <f t="shared" si="73"/>
        <v>0</v>
      </c>
      <c r="O267" s="64">
        <f t="shared" si="66"/>
        <v>0</v>
      </c>
      <c r="Q267" s="104">
        <f t="shared" si="74"/>
        <v>0</v>
      </c>
      <c r="R267" s="104" t="str">
        <f t="shared" si="75"/>
        <v>Not Applicable</v>
      </c>
      <c r="S267" s="149" t="s">
        <v>815</v>
      </c>
      <c r="T267" s="149">
        <f>IF(O267=0,0,IF(S267="N",0,VLOOKUP(B267,'Enrollment 25-26'!$B$8:$K$332,9,FALSE)))</f>
        <v>0</v>
      </c>
      <c r="U267" s="64">
        <f t="shared" si="76"/>
        <v>0</v>
      </c>
      <c r="V267" s="128">
        <f t="shared" si="77"/>
        <v>0</v>
      </c>
      <c r="W267" s="150"/>
      <c r="X267" s="64">
        <f>IFERROR(VLOOKUP($B267,'Allocations 2025-26'!$B$9:$U$329,14,FALSE),0)</f>
        <v>0</v>
      </c>
      <c r="Y267" s="99">
        <f t="shared" si="78"/>
        <v>0</v>
      </c>
      <c r="Z267" s="132">
        <f t="shared" si="79"/>
        <v>0</v>
      </c>
      <c r="AA267" s="151" t="str">
        <f t="shared" si="81"/>
        <v>N</v>
      </c>
      <c r="AC267" s="64"/>
      <c r="AE267" s="152"/>
      <c r="AH267" s="153"/>
      <c r="AI267" s="153"/>
      <c r="AJ267" s="153"/>
      <c r="AK267" s="154"/>
    </row>
    <row r="268" spans="1:37" x14ac:dyDescent="0.25">
      <c r="A268" s="142" t="s">
        <v>451</v>
      </c>
      <c r="B268" t="s">
        <v>719</v>
      </c>
      <c r="C268" t="s">
        <v>266</v>
      </c>
      <c r="D268" s="143">
        <f>IFERROR(VLOOKUP(B268,'Enrollment 26-27'!$B$5:$I$332,8,FALSE),0)</f>
        <v>0</v>
      </c>
      <c r="E268" s="64">
        <f t="shared" si="68"/>
        <v>0</v>
      </c>
      <c r="F268" s="144">
        <v>0</v>
      </c>
      <c r="G268" s="144">
        <v>0</v>
      </c>
      <c r="H268" s="64">
        <f t="shared" si="67"/>
        <v>0</v>
      </c>
      <c r="I268" s="64">
        <f t="shared" si="69"/>
        <v>0</v>
      </c>
      <c r="J268" s="145">
        <f t="shared" si="70"/>
        <v>0</v>
      </c>
      <c r="K268" s="146" t="str">
        <f t="shared" si="80"/>
        <v>N</v>
      </c>
      <c r="L268" s="147">
        <f t="shared" si="71"/>
        <v>0</v>
      </c>
      <c r="M268" s="148">
        <f t="shared" si="72"/>
        <v>0</v>
      </c>
      <c r="N268" s="64">
        <f t="shared" si="73"/>
        <v>0</v>
      </c>
      <c r="O268" s="64">
        <f t="shared" si="66"/>
        <v>0</v>
      </c>
      <c r="Q268" s="104">
        <f t="shared" si="74"/>
        <v>0</v>
      </c>
      <c r="R268" s="104" t="str">
        <f t="shared" si="75"/>
        <v>Not Applicable</v>
      </c>
      <c r="S268" s="149" t="s">
        <v>815</v>
      </c>
      <c r="T268" s="149">
        <f>IF(O268=0,0,IF(S268="N",0,VLOOKUP(B268,'Enrollment 25-26'!$B$8:$K$332,9,FALSE)))</f>
        <v>0</v>
      </c>
      <c r="U268" s="64">
        <f t="shared" si="76"/>
        <v>0</v>
      </c>
      <c r="V268" s="128">
        <f t="shared" si="77"/>
        <v>0</v>
      </c>
      <c r="W268" s="150"/>
      <c r="X268" s="64">
        <f>IFERROR(VLOOKUP($B268,'Allocations 2025-26'!$B$9:$U$329,14,FALSE),0)</f>
        <v>0</v>
      </c>
      <c r="Y268" s="99">
        <f t="shared" si="78"/>
        <v>0</v>
      </c>
      <c r="Z268" s="132">
        <f t="shared" si="79"/>
        <v>0</v>
      </c>
      <c r="AA268" s="151" t="str">
        <f t="shared" si="81"/>
        <v>N</v>
      </c>
      <c r="AC268" s="64"/>
      <c r="AE268" s="152"/>
      <c r="AH268" s="153"/>
      <c r="AI268" s="153"/>
      <c r="AJ268" s="153"/>
      <c r="AK268" s="154"/>
    </row>
    <row r="269" spans="1:37" x14ac:dyDescent="0.25">
      <c r="A269" s="142" t="s">
        <v>481</v>
      </c>
      <c r="B269" t="s">
        <v>720</v>
      </c>
      <c r="C269" t="s">
        <v>267</v>
      </c>
      <c r="D269" s="143">
        <f>IFERROR(VLOOKUP(B269,'Enrollment 26-27'!$B$5:$I$332,8,FALSE),0)</f>
        <v>0</v>
      </c>
      <c r="E269" s="64">
        <f t="shared" si="68"/>
        <v>0</v>
      </c>
      <c r="F269" s="144">
        <v>0</v>
      </c>
      <c r="G269" s="144">
        <v>0</v>
      </c>
      <c r="H269" s="64">
        <f t="shared" si="67"/>
        <v>0</v>
      </c>
      <c r="I269" s="64">
        <f t="shared" si="69"/>
        <v>0</v>
      </c>
      <c r="J269" s="145">
        <f t="shared" si="70"/>
        <v>0</v>
      </c>
      <c r="K269" s="146" t="str">
        <f t="shared" si="80"/>
        <v>N</v>
      </c>
      <c r="L269" s="147">
        <f t="shared" si="71"/>
        <v>0</v>
      </c>
      <c r="M269" s="148">
        <f t="shared" si="72"/>
        <v>0</v>
      </c>
      <c r="N269" s="64">
        <f t="shared" si="73"/>
        <v>0</v>
      </c>
      <c r="O269" s="64">
        <f t="shared" si="66"/>
        <v>0</v>
      </c>
      <c r="Q269" s="104">
        <f t="shared" si="74"/>
        <v>0</v>
      </c>
      <c r="R269" s="104" t="str">
        <f t="shared" si="75"/>
        <v>Not Applicable</v>
      </c>
      <c r="S269" s="149" t="s">
        <v>815</v>
      </c>
      <c r="T269" s="149">
        <f>IF(O269=0,0,IF(S269="N",0,VLOOKUP(B269,'Enrollment 25-26'!$B$8:$K$332,9,FALSE)))</f>
        <v>0</v>
      </c>
      <c r="U269" s="64">
        <f t="shared" si="76"/>
        <v>0</v>
      </c>
      <c r="V269" s="128">
        <f t="shared" si="77"/>
        <v>0</v>
      </c>
      <c r="W269" s="150"/>
      <c r="X269" s="64">
        <f>IFERROR(VLOOKUP($B269,'Allocations 2025-26'!$B$9:$U$329,14,FALSE),0)</f>
        <v>0</v>
      </c>
      <c r="Y269" s="99">
        <f t="shared" si="78"/>
        <v>0</v>
      </c>
      <c r="Z269" s="132">
        <f t="shared" si="79"/>
        <v>0</v>
      </c>
      <c r="AA269" s="151" t="str">
        <f t="shared" si="81"/>
        <v>N</v>
      </c>
      <c r="AC269" s="64"/>
      <c r="AE269" s="152"/>
      <c r="AH269" s="153"/>
      <c r="AI269" s="153"/>
      <c r="AJ269" s="153"/>
      <c r="AK269" s="154"/>
    </row>
    <row r="270" spans="1:37" x14ac:dyDescent="0.25">
      <c r="A270" s="142" t="s">
        <v>454</v>
      </c>
      <c r="B270" t="s">
        <v>721</v>
      </c>
      <c r="C270" t="s">
        <v>268</v>
      </c>
      <c r="D270" s="143">
        <f>IFERROR(VLOOKUP(B270,'Enrollment 26-27'!$B$5:$I$332,8,FALSE),0)</f>
        <v>112.33</v>
      </c>
      <c r="E270" s="64">
        <f t="shared" si="68"/>
        <v>12999</v>
      </c>
      <c r="F270" s="144">
        <v>0</v>
      </c>
      <c r="G270" s="144">
        <v>0</v>
      </c>
      <c r="H270" s="64">
        <f t="shared" si="67"/>
        <v>12999</v>
      </c>
      <c r="I270" s="64">
        <f t="shared" si="69"/>
        <v>0</v>
      </c>
      <c r="J270" s="145">
        <f t="shared" si="70"/>
        <v>12999</v>
      </c>
      <c r="K270" s="146" t="str">
        <f t="shared" si="80"/>
        <v>Y</v>
      </c>
      <c r="L270" s="147">
        <f t="shared" si="71"/>
        <v>0</v>
      </c>
      <c r="M270" s="148">
        <f t="shared" si="72"/>
        <v>112.33</v>
      </c>
      <c r="N270" s="64">
        <f t="shared" si="73"/>
        <v>111</v>
      </c>
      <c r="O270" s="64">
        <f t="shared" si="66"/>
        <v>13110</v>
      </c>
      <c r="Q270" s="104">
        <f t="shared" si="74"/>
        <v>0</v>
      </c>
      <c r="R270" s="104" t="str">
        <f t="shared" si="75"/>
        <v>Not Applicable</v>
      </c>
      <c r="S270" s="149" t="s">
        <v>815</v>
      </c>
      <c r="T270" s="149">
        <f>IF(O270=0,0,IF(S270="N",0,VLOOKUP(B270,'Enrollment 25-26'!$B$8:$K$332,9,FALSE)))</f>
        <v>0</v>
      </c>
      <c r="U270" s="64">
        <f t="shared" si="76"/>
        <v>13110</v>
      </c>
      <c r="V270" s="128">
        <f t="shared" si="77"/>
        <v>116.70969464969288</v>
      </c>
      <c r="W270" s="150"/>
      <c r="X270" s="64">
        <f>IFERROR(VLOOKUP($B270,'Allocations 2025-26'!$B$9:$U$329,14,FALSE),0)</f>
        <v>13040</v>
      </c>
      <c r="Y270" s="99">
        <f t="shared" si="78"/>
        <v>70</v>
      </c>
      <c r="Z270" s="132">
        <f t="shared" si="79"/>
        <v>5.3680981595092027E-3</v>
      </c>
      <c r="AA270" s="151" t="str">
        <f t="shared" si="81"/>
        <v>Y</v>
      </c>
      <c r="AC270" s="64"/>
      <c r="AE270" s="152"/>
      <c r="AH270" s="153"/>
      <c r="AI270" s="153"/>
      <c r="AJ270" s="153"/>
      <c r="AK270" s="154"/>
    </row>
    <row r="271" spans="1:37" x14ac:dyDescent="0.25">
      <c r="A271" s="142" t="s">
        <v>443</v>
      </c>
      <c r="B271" t="s">
        <v>722</v>
      </c>
      <c r="C271" t="s">
        <v>269</v>
      </c>
      <c r="D271" s="143">
        <f>IFERROR(VLOOKUP(B271,'Enrollment 26-27'!$B$5:$I$332,8,FALSE),0)</f>
        <v>0</v>
      </c>
      <c r="E271" s="64">
        <f t="shared" si="68"/>
        <v>0</v>
      </c>
      <c r="F271" s="144">
        <v>0</v>
      </c>
      <c r="G271" s="144">
        <v>0</v>
      </c>
      <c r="H271" s="64">
        <f t="shared" si="67"/>
        <v>0</v>
      </c>
      <c r="I271" s="64">
        <f t="shared" si="69"/>
        <v>0</v>
      </c>
      <c r="J271" s="145">
        <f t="shared" si="70"/>
        <v>0</v>
      </c>
      <c r="K271" s="146" t="str">
        <f t="shared" si="80"/>
        <v>N</v>
      </c>
      <c r="L271" s="147">
        <f t="shared" si="71"/>
        <v>0</v>
      </c>
      <c r="M271" s="148">
        <f t="shared" si="72"/>
        <v>0</v>
      </c>
      <c r="N271" s="64">
        <f t="shared" si="73"/>
        <v>0</v>
      </c>
      <c r="O271" s="64">
        <f t="shared" si="66"/>
        <v>0</v>
      </c>
      <c r="Q271" s="104">
        <f t="shared" si="74"/>
        <v>0</v>
      </c>
      <c r="R271" s="104" t="str">
        <f t="shared" si="75"/>
        <v>Not Applicable</v>
      </c>
      <c r="S271" s="149" t="s">
        <v>815</v>
      </c>
      <c r="T271" s="149">
        <f>IF(O271=0,0,IF(S271="N",0,VLOOKUP(B271,'Enrollment 25-26'!$B$8:$K$332,9,FALSE)))</f>
        <v>0</v>
      </c>
      <c r="U271" s="64">
        <f t="shared" si="76"/>
        <v>0</v>
      </c>
      <c r="V271" s="128">
        <f t="shared" si="77"/>
        <v>0</v>
      </c>
      <c r="W271" s="150"/>
      <c r="X271" s="64">
        <f>IFERROR(VLOOKUP($B271,'Allocations 2025-26'!$B$9:$U$329,14,FALSE),0)</f>
        <v>0</v>
      </c>
      <c r="Y271" s="99">
        <f t="shared" si="78"/>
        <v>0</v>
      </c>
      <c r="Z271" s="132">
        <f t="shared" si="79"/>
        <v>0</v>
      </c>
      <c r="AA271" s="151" t="str">
        <f t="shared" si="81"/>
        <v>N</v>
      </c>
      <c r="AC271" s="64"/>
      <c r="AE271" s="152"/>
      <c r="AH271" s="153"/>
      <c r="AI271" s="153"/>
      <c r="AJ271" s="153"/>
      <c r="AK271" s="154"/>
    </row>
    <row r="272" spans="1:37" x14ac:dyDescent="0.25">
      <c r="A272" s="142" t="s">
        <v>459</v>
      </c>
      <c r="B272" t="s">
        <v>723</v>
      </c>
      <c r="C272" t="s">
        <v>270</v>
      </c>
      <c r="D272" s="143">
        <f>IFERROR(VLOOKUP(B272,'Enrollment 26-27'!$B$5:$I$332,8,FALSE),0)</f>
        <v>14.17</v>
      </c>
      <c r="E272" s="64">
        <f t="shared" si="68"/>
        <v>1640</v>
      </c>
      <c r="F272" s="144">
        <v>0</v>
      </c>
      <c r="G272" s="144">
        <v>0</v>
      </c>
      <c r="H272" s="64">
        <f t="shared" si="67"/>
        <v>1640</v>
      </c>
      <c r="I272" s="64">
        <f t="shared" si="69"/>
        <v>0</v>
      </c>
      <c r="J272" s="145">
        <f t="shared" si="70"/>
        <v>1640</v>
      </c>
      <c r="K272" s="146" t="str">
        <f t="shared" si="80"/>
        <v>N</v>
      </c>
      <c r="L272" s="147">
        <f t="shared" si="71"/>
        <v>1640</v>
      </c>
      <c r="M272" s="148">
        <f t="shared" si="72"/>
        <v>0</v>
      </c>
      <c r="N272" s="64">
        <f t="shared" si="73"/>
        <v>0</v>
      </c>
      <c r="O272" s="64">
        <f t="shared" si="66"/>
        <v>0</v>
      </c>
      <c r="Q272" s="104">
        <f t="shared" si="74"/>
        <v>0</v>
      </c>
      <c r="R272" s="104" t="str">
        <f t="shared" si="75"/>
        <v>Not Applicable</v>
      </c>
      <c r="S272" s="149" t="s">
        <v>815</v>
      </c>
      <c r="T272" s="149">
        <f>IF(O272=0,0,IF(S272="N",0,VLOOKUP(B272,'Enrollment 25-26'!$B$8:$K$332,9,FALSE)))</f>
        <v>0</v>
      </c>
      <c r="U272" s="64">
        <f t="shared" si="76"/>
        <v>0</v>
      </c>
      <c r="V272" s="128">
        <f t="shared" si="77"/>
        <v>0</v>
      </c>
      <c r="W272" s="150"/>
      <c r="X272" s="64">
        <f>IFERROR(VLOOKUP($B272,'Allocations 2025-26'!$B$9:$U$329,14,FALSE),0)</f>
        <v>0</v>
      </c>
      <c r="Y272" s="99">
        <f t="shared" si="78"/>
        <v>0</v>
      </c>
      <c r="Z272" s="132">
        <f t="shared" si="79"/>
        <v>0</v>
      </c>
      <c r="AA272" s="151" t="str">
        <f t="shared" si="81"/>
        <v>N</v>
      </c>
      <c r="AC272" s="64"/>
      <c r="AE272" s="152"/>
      <c r="AH272" s="153"/>
      <c r="AI272" s="153"/>
      <c r="AJ272" s="153"/>
      <c r="AK272" s="154"/>
    </row>
    <row r="273" spans="1:37" x14ac:dyDescent="0.25">
      <c r="A273" s="142" t="s">
        <v>446</v>
      </c>
      <c r="B273" t="s">
        <v>724</v>
      </c>
      <c r="C273" t="s">
        <v>271</v>
      </c>
      <c r="D273" s="143">
        <f>IFERROR(VLOOKUP(B273,'Enrollment 26-27'!$B$5:$I$332,8,FALSE),0)</f>
        <v>295.5</v>
      </c>
      <c r="E273" s="64">
        <f t="shared" si="68"/>
        <v>34195</v>
      </c>
      <c r="F273" s="144">
        <v>0</v>
      </c>
      <c r="G273" s="144">
        <v>0</v>
      </c>
      <c r="H273" s="64">
        <f t="shared" si="67"/>
        <v>34195</v>
      </c>
      <c r="I273" s="64">
        <f t="shared" si="69"/>
        <v>0</v>
      </c>
      <c r="J273" s="145">
        <f t="shared" si="70"/>
        <v>34195</v>
      </c>
      <c r="K273" s="146" t="str">
        <f t="shared" si="80"/>
        <v>Y</v>
      </c>
      <c r="L273" s="147">
        <f t="shared" si="71"/>
        <v>0</v>
      </c>
      <c r="M273" s="148">
        <f t="shared" si="72"/>
        <v>295.5</v>
      </c>
      <c r="N273" s="64">
        <f t="shared" si="73"/>
        <v>292</v>
      </c>
      <c r="O273" s="64">
        <f t="shared" si="66"/>
        <v>34487</v>
      </c>
      <c r="Q273" s="104">
        <f t="shared" si="74"/>
        <v>0</v>
      </c>
      <c r="R273" s="104" t="str">
        <f t="shared" si="75"/>
        <v>Not Applicable</v>
      </c>
      <c r="S273" s="149" t="s">
        <v>815</v>
      </c>
      <c r="T273" s="149">
        <f>IF(O273=0,0,IF(S273="N",0,VLOOKUP(B273,'Enrollment 25-26'!$B$8:$K$332,9,FALSE)))</f>
        <v>0</v>
      </c>
      <c r="U273" s="64">
        <f t="shared" si="76"/>
        <v>34487</v>
      </c>
      <c r="V273" s="128">
        <f t="shared" si="77"/>
        <v>116.70727580372251</v>
      </c>
      <c r="W273" s="150"/>
      <c r="X273" s="64">
        <f>IFERROR(VLOOKUP($B273,'Allocations 2025-26'!$B$9:$U$329,14,FALSE),0)</f>
        <v>35276</v>
      </c>
      <c r="Y273" s="99">
        <f t="shared" si="78"/>
        <v>-789</v>
      </c>
      <c r="Z273" s="132">
        <f t="shared" si="79"/>
        <v>-2.2366481460483048E-2</v>
      </c>
      <c r="AA273" s="151" t="str">
        <f t="shared" si="81"/>
        <v>Y</v>
      </c>
      <c r="AC273" s="64"/>
      <c r="AE273" s="152"/>
      <c r="AH273" s="153"/>
      <c r="AI273" s="153"/>
      <c r="AJ273" s="153"/>
      <c r="AK273" s="154"/>
    </row>
    <row r="274" spans="1:37" x14ac:dyDescent="0.25">
      <c r="A274" s="142" t="s">
        <v>497</v>
      </c>
      <c r="B274" t="s">
        <v>725</v>
      </c>
      <c r="C274" t="s">
        <v>272</v>
      </c>
      <c r="D274" s="143">
        <f>IFERROR(VLOOKUP(B274,'Enrollment 26-27'!$B$5:$I$332,8,FALSE),0)</f>
        <v>98</v>
      </c>
      <c r="E274" s="64">
        <f t="shared" si="68"/>
        <v>11340</v>
      </c>
      <c r="F274" s="144">
        <v>0</v>
      </c>
      <c r="G274" s="144">
        <v>0</v>
      </c>
      <c r="H274" s="64">
        <f t="shared" si="67"/>
        <v>11340</v>
      </c>
      <c r="I274" s="64">
        <f t="shared" si="69"/>
        <v>0</v>
      </c>
      <c r="J274" s="145">
        <f t="shared" si="70"/>
        <v>11340</v>
      </c>
      <c r="K274" s="146" t="str">
        <f t="shared" si="80"/>
        <v>Y</v>
      </c>
      <c r="L274" s="147">
        <f t="shared" si="71"/>
        <v>0</v>
      </c>
      <c r="M274" s="148">
        <f t="shared" si="72"/>
        <v>98</v>
      </c>
      <c r="N274" s="64">
        <f t="shared" si="73"/>
        <v>97</v>
      </c>
      <c r="O274" s="64">
        <f t="shared" si="66"/>
        <v>11437</v>
      </c>
      <c r="Q274" s="104">
        <f t="shared" si="74"/>
        <v>0</v>
      </c>
      <c r="R274" s="104" t="str">
        <f t="shared" si="75"/>
        <v>Not Applicable</v>
      </c>
      <c r="S274" s="149" t="s">
        <v>815</v>
      </c>
      <c r="T274" s="149">
        <f>IF(O274=0,0,IF(S274="N",0,VLOOKUP(B274,'Enrollment 25-26'!$B$8:$K$332,9,FALSE)))</f>
        <v>0</v>
      </c>
      <c r="U274" s="64">
        <f t="shared" si="76"/>
        <v>11437</v>
      </c>
      <c r="V274" s="128">
        <f t="shared" si="77"/>
        <v>116.70408163265306</v>
      </c>
      <c r="W274" s="150"/>
      <c r="X274" s="64">
        <f>IFERROR(VLOOKUP($B274,'Allocations 2025-26'!$B$9:$U$329,14,FALSE),0)</f>
        <v>11751</v>
      </c>
      <c r="Y274" s="99">
        <f t="shared" si="78"/>
        <v>-314</v>
      </c>
      <c r="Z274" s="132">
        <f t="shared" si="79"/>
        <v>-2.6721130116585824E-2</v>
      </c>
      <c r="AA274" s="151" t="str">
        <f t="shared" si="81"/>
        <v>Y</v>
      </c>
      <c r="AC274" s="64"/>
      <c r="AE274" s="152"/>
      <c r="AH274" s="153"/>
      <c r="AI274" s="153"/>
      <c r="AJ274" s="153"/>
      <c r="AK274" s="154"/>
    </row>
    <row r="275" spans="1:37" s="155" customFormat="1" x14ac:dyDescent="0.25">
      <c r="A275" s="142" t="s">
        <v>497</v>
      </c>
      <c r="B275" s="13" t="s">
        <v>726</v>
      </c>
      <c r="C275" t="s">
        <v>273</v>
      </c>
      <c r="D275" s="143">
        <f>IFERROR(VLOOKUP(B275,'Enrollment 26-27'!$B$5:$I$332,8,FALSE),0)</f>
        <v>0</v>
      </c>
      <c r="E275" s="64">
        <f t="shared" si="68"/>
        <v>0</v>
      </c>
      <c r="F275" s="144">
        <v>0</v>
      </c>
      <c r="G275" s="144">
        <v>0</v>
      </c>
      <c r="H275" s="64">
        <f t="shared" si="67"/>
        <v>0</v>
      </c>
      <c r="I275" s="64">
        <f t="shared" si="69"/>
        <v>0</v>
      </c>
      <c r="J275" s="145">
        <f t="shared" si="70"/>
        <v>0</v>
      </c>
      <c r="K275" s="146" t="str">
        <f t="shared" si="80"/>
        <v>N</v>
      </c>
      <c r="L275" s="147">
        <f t="shared" si="71"/>
        <v>0</v>
      </c>
      <c r="M275" s="148">
        <f t="shared" si="72"/>
        <v>0</v>
      </c>
      <c r="N275" s="64">
        <f t="shared" si="73"/>
        <v>0</v>
      </c>
      <c r="O275" s="64">
        <f t="shared" si="66"/>
        <v>0</v>
      </c>
      <c r="P275" s="104"/>
      <c r="Q275" s="104">
        <f t="shared" si="74"/>
        <v>0</v>
      </c>
      <c r="R275" s="104" t="str">
        <f t="shared" si="75"/>
        <v>Not Applicable</v>
      </c>
      <c r="S275" s="149" t="s">
        <v>815</v>
      </c>
      <c r="T275" s="149">
        <f>IF(O275=0,0,IF(S275="N",0,VLOOKUP(B275,'Enrollment 25-26'!$B$8:$K$332,9,FALSE)))</f>
        <v>0</v>
      </c>
      <c r="U275" s="64">
        <f t="shared" si="76"/>
        <v>0</v>
      </c>
      <c r="V275" s="128">
        <f t="shared" si="77"/>
        <v>0</v>
      </c>
      <c r="W275" s="150"/>
      <c r="X275" s="64">
        <f>IFERROR(VLOOKUP($B275,'Allocations 2025-26'!$B$9:$U$329,14,FALSE),0)</f>
        <v>0</v>
      </c>
      <c r="Y275" s="99">
        <f t="shared" si="78"/>
        <v>0</v>
      </c>
      <c r="Z275" s="132">
        <f t="shared" si="79"/>
        <v>0</v>
      </c>
      <c r="AA275" s="151" t="str">
        <f t="shared" si="81"/>
        <v>N</v>
      </c>
      <c r="AB275" s="184"/>
      <c r="AC275" s="64"/>
      <c r="AD275"/>
      <c r="AE275" s="152"/>
      <c r="AH275" s="156"/>
      <c r="AI275" s="156"/>
      <c r="AJ275" s="156"/>
      <c r="AK275" s="157"/>
    </row>
    <row r="276" spans="1:37" x14ac:dyDescent="0.25">
      <c r="A276" s="142" t="s">
        <v>497</v>
      </c>
      <c r="B276" t="s">
        <v>727</v>
      </c>
      <c r="C276" t="s">
        <v>274</v>
      </c>
      <c r="D276" s="143">
        <f>IFERROR(VLOOKUP(B276,'Enrollment 26-27'!$B$5:$I$332,8,FALSE),0)</f>
        <v>20.67</v>
      </c>
      <c r="E276" s="64">
        <f t="shared" si="68"/>
        <v>2392</v>
      </c>
      <c r="F276" s="144">
        <v>0</v>
      </c>
      <c r="G276" s="144">
        <v>0</v>
      </c>
      <c r="H276" s="64">
        <f t="shared" si="67"/>
        <v>2392</v>
      </c>
      <c r="I276" s="64">
        <f t="shared" si="69"/>
        <v>0</v>
      </c>
      <c r="J276" s="145">
        <f t="shared" si="70"/>
        <v>2392</v>
      </c>
      <c r="K276" s="146" t="str">
        <f t="shared" si="80"/>
        <v>N</v>
      </c>
      <c r="L276" s="147">
        <f t="shared" si="71"/>
        <v>2392</v>
      </c>
      <c r="M276" s="148">
        <f t="shared" si="72"/>
        <v>0</v>
      </c>
      <c r="N276" s="64">
        <f t="shared" si="73"/>
        <v>0</v>
      </c>
      <c r="O276" s="64">
        <f t="shared" si="66"/>
        <v>0</v>
      </c>
      <c r="Q276" s="104">
        <f t="shared" si="74"/>
        <v>0</v>
      </c>
      <c r="R276" s="104" t="str">
        <f t="shared" si="75"/>
        <v>Not Applicable</v>
      </c>
      <c r="S276" s="149" t="s">
        <v>815</v>
      </c>
      <c r="T276" s="149">
        <f>IF(O276=0,0,IF(S276="N",0,VLOOKUP(B276,'Enrollment 25-26'!$B$8:$K$332,9,FALSE)))</f>
        <v>0</v>
      </c>
      <c r="U276" s="64">
        <f t="shared" si="76"/>
        <v>0</v>
      </c>
      <c r="V276" s="128">
        <f t="shared" si="77"/>
        <v>0</v>
      </c>
      <c r="W276" s="150"/>
      <c r="X276" s="64">
        <f>IFERROR(VLOOKUP($B276,'Allocations 2025-26'!$B$9:$U$329,14,FALSE),0)</f>
        <v>0</v>
      </c>
      <c r="Y276" s="99">
        <f t="shared" si="78"/>
        <v>0</v>
      </c>
      <c r="Z276" s="132">
        <f t="shared" si="79"/>
        <v>0</v>
      </c>
      <c r="AA276" s="151" t="str">
        <f t="shared" si="81"/>
        <v>N</v>
      </c>
      <c r="AC276" s="64"/>
      <c r="AE276" s="152"/>
      <c r="AH276" s="153"/>
      <c r="AI276" s="153"/>
      <c r="AJ276" s="153"/>
      <c r="AK276" s="154"/>
    </row>
    <row r="277" spans="1:37" x14ac:dyDescent="0.25">
      <c r="A277" s="142" t="s">
        <v>443</v>
      </c>
      <c r="B277" t="s">
        <v>728</v>
      </c>
      <c r="C277" t="s">
        <v>275</v>
      </c>
      <c r="D277" s="143">
        <f>IFERROR(VLOOKUP(B277,'Enrollment 26-27'!$B$5:$I$332,8,FALSE),0)</f>
        <v>0</v>
      </c>
      <c r="E277" s="64">
        <f t="shared" si="68"/>
        <v>0</v>
      </c>
      <c r="F277" s="144">
        <v>0</v>
      </c>
      <c r="G277" s="144">
        <v>0</v>
      </c>
      <c r="H277" s="64">
        <f t="shared" si="67"/>
        <v>0</v>
      </c>
      <c r="I277" s="64">
        <f t="shared" si="69"/>
        <v>0</v>
      </c>
      <c r="J277" s="145">
        <f t="shared" si="70"/>
        <v>0</v>
      </c>
      <c r="K277" s="146" t="str">
        <f t="shared" si="80"/>
        <v>N</v>
      </c>
      <c r="L277" s="147">
        <f t="shared" si="71"/>
        <v>0</v>
      </c>
      <c r="M277" s="148">
        <f t="shared" si="72"/>
        <v>0</v>
      </c>
      <c r="N277" s="64">
        <f t="shared" si="73"/>
        <v>0</v>
      </c>
      <c r="O277" s="64">
        <f t="shared" si="66"/>
        <v>0</v>
      </c>
      <c r="Q277" s="104">
        <f t="shared" si="74"/>
        <v>0</v>
      </c>
      <c r="R277" s="104" t="str">
        <f t="shared" si="75"/>
        <v>Not Applicable</v>
      </c>
      <c r="S277" s="149" t="s">
        <v>815</v>
      </c>
      <c r="T277" s="149">
        <f>IF(O277=0,0,IF(S277="N",0,VLOOKUP(B277,'Enrollment 25-26'!$B$8:$K$332,9,FALSE)))</f>
        <v>0</v>
      </c>
      <c r="U277" s="64">
        <f t="shared" si="76"/>
        <v>0</v>
      </c>
      <c r="V277" s="128">
        <f t="shared" si="77"/>
        <v>0</v>
      </c>
      <c r="W277" s="150"/>
      <c r="X277" s="64">
        <f>IFERROR(VLOOKUP($B277,'Allocations 2025-26'!$B$9:$U$329,14,FALSE),0)</f>
        <v>0</v>
      </c>
      <c r="Y277" s="99">
        <f t="shared" si="78"/>
        <v>0</v>
      </c>
      <c r="Z277" s="132">
        <f t="shared" si="79"/>
        <v>0</v>
      </c>
      <c r="AA277" s="151" t="str">
        <f t="shared" si="81"/>
        <v>N</v>
      </c>
      <c r="AC277" s="64"/>
      <c r="AE277" s="152"/>
      <c r="AH277" s="153"/>
      <c r="AI277" s="153"/>
      <c r="AJ277" s="153"/>
      <c r="AK277" s="154"/>
    </row>
    <row r="278" spans="1:37" s="155" customFormat="1" x14ac:dyDescent="0.25">
      <c r="A278" s="142" t="s">
        <v>454</v>
      </c>
      <c r="B278" s="13" t="s">
        <v>729</v>
      </c>
      <c r="C278" t="s">
        <v>276</v>
      </c>
      <c r="D278" s="143">
        <f>IFERROR(VLOOKUP(B278,'Enrollment 26-27'!$B$5:$I$332,8,FALSE),0)</f>
        <v>662.5</v>
      </c>
      <c r="E278" s="64">
        <f t="shared" si="68"/>
        <v>76663</v>
      </c>
      <c r="F278" s="144">
        <v>0</v>
      </c>
      <c r="G278" s="144">
        <v>0</v>
      </c>
      <c r="H278" s="64">
        <f t="shared" si="67"/>
        <v>76663</v>
      </c>
      <c r="I278" s="64">
        <f t="shared" si="69"/>
        <v>0</v>
      </c>
      <c r="J278" s="145">
        <f t="shared" si="70"/>
        <v>76663</v>
      </c>
      <c r="K278" s="146" t="str">
        <f t="shared" si="80"/>
        <v>Y</v>
      </c>
      <c r="L278" s="147">
        <f t="shared" si="71"/>
        <v>0</v>
      </c>
      <c r="M278" s="148">
        <f t="shared" si="72"/>
        <v>662.5</v>
      </c>
      <c r="N278" s="64">
        <f t="shared" si="73"/>
        <v>654</v>
      </c>
      <c r="O278" s="64">
        <f t="shared" si="66"/>
        <v>77317</v>
      </c>
      <c r="P278" s="104"/>
      <c r="Q278" s="104">
        <f t="shared" si="74"/>
        <v>0</v>
      </c>
      <c r="R278" s="104" t="str">
        <f t="shared" si="75"/>
        <v>Not Applicable</v>
      </c>
      <c r="S278" s="149" t="s">
        <v>815</v>
      </c>
      <c r="T278" s="149">
        <f>IF(O278=0,0,IF(S278="N",0,VLOOKUP(B278,'Enrollment 25-26'!$B$8:$K$332,9,FALSE)))</f>
        <v>0</v>
      </c>
      <c r="U278" s="64">
        <f t="shared" si="76"/>
        <v>77317</v>
      </c>
      <c r="V278" s="128">
        <f t="shared" si="77"/>
        <v>116.70490566037736</v>
      </c>
      <c r="W278" s="150"/>
      <c r="X278" s="64">
        <f>IFERROR(VLOOKUP($B278,'Allocations 2025-26'!$B$9:$U$329,14,FALSE),0)</f>
        <v>78926</v>
      </c>
      <c r="Y278" s="99">
        <f t="shared" si="78"/>
        <v>-1609</v>
      </c>
      <c r="Z278" s="132">
        <f t="shared" si="79"/>
        <v>-2.0386184527278715E-2</v>
      </c>
      <c r="AA278" s="151" t="str">
        <f t="shared" si="81"/>
        <v>Y</v>
      </c>
      <c r="AB278" s="184"/>
      <c r="AC278" s="64"/>
      <c r="AD278"/>
      <c r="AE278" s="152"/>
      <c r="AH278" s="156"/>
      <c r="AI278" s="156"/>
      <c r="AJ278" s="156"/>
      <c r="AK278" s="157"/>
    </row>
    <row r="279" spans="1:37" x14ac:dyDescent="0.25">
      <c r="A279" s="142" t="s">
        <v>471</v>
      </c>
      <c r="B279" t="s">
        <v>730</v>
      </c>
      <c r="C279" t="s">
        <v>277</v>
      </c>
      <c r="D279" s="143">
        <f>IFERROR(VLOOKUP(B279,'Enrollment 26-27'!$B$5:$I$332,8,FALSE),0)</f>
        <v>1904.3333333333333</v>
      </c>
      <c r="E279" s="64">
        <f t="shared" si="68"/>
        <v>220365</v>
      </c>
      <c r="F279" s="144">
        <v>0</v>
      </c>
      <c r="G279" s="144">
        <v>0</v>
      </c>
      <c r="H279" s="64">
        <f t="shared" si="67"/>
        <v>220365</v>
      </c>
      <c r="I279" s="64">
        <f t="shared" si="69"/>
        <v>0</v>
      </c>
      <c r="J279" s="145">
        <f t="shared" si="70"/>
        <v>220365</v>
      </c>
      <c r="K279" s="146" t="str">
        <f t="shared" si="80"/>
        <v>Y</v>
      </c>
      <c r="L279" s="147">
        <f t="shared" si="71"/>
        <v>0</v>
      </c>
      <c r="M279" s="148">
        <f t="shared" si="72"/>
        <v>1904.3333333333333</v>
      </c>
      <c r="N279" s="64">
        <f t="shared" si="73"/>
        <v>1880</v>
      </c>
      <c r="O279" s="64">
        <f t="shared" si="66"/>
        <v>222245</v>
      </c>
      <c r="Q279" s="104">
        <f t="shared" si="74"/>
        <v>0</v>
      </c>
      <c r="R279" s="104" t="str">
        <f t="shared" si="75"/>
        <v>Not Applicable</v>
      </c>
      <c r="S279" s="149" t="s">
        <v>815</v>
      </c>
      <c r="T279" s="149">
        <f>IF(O279=0,0,IF(S279="N",0,VLOOKUP(B279,'Enrollment 25-26'!$B$8:$K$332,9,FALSE)))</f>
        <v>0</v>
      </c>
      <c r="U279" s="64">
        <f t="shared" si="76"/>
        <v>222245</v>
      </c>
      <c r="V279" s="128">
        <f t="shared" si="77"/>
        <v>116.70488359880974</v>
      </c>
      <c r="W279" s="150"/>
      <c r="X279" s="64">
        <f>IFERROR(VLOOKUP($B279,'Allocations 2025-26'!$B$9:$U$329,14,FALSE),0)</f>
        <v>237989</v>
      </c>
      <c r="Y279" s="99">
        <f t="shared" si="78"/>
        <v>-15744</v>
      </c>
      <c r="Z279" s="132">
        <f t="shared" si="79"/>
        <v>-6.6154318056716913E-2</v>
      </c>
      <c r="AA279" s="151" t="str">
        <f t="shared" si="81"/>
        <v>Y</v>
      </c>
      <c r="AC279" s="64"/>
      <c r="AE279" s="152"/>
      <c r="AH279" s="153"/>
      <c r="AI279" s="153"/>
      <c r="AJ279" s="153"/>
      <c r="AK279" s="154"/>
    </row>
    <row r="280" spans="1:37" x14ac:dyDescent="0.25">
      <c r="A280" s="142" t="s">
        <v>454</v>
      </c>
      <c r="B280" t="s">
        <v>731</v>
      </c>
      <c r="C280" t="s">
        <v>279</v>
      </c>
      <c r="D280" s="143">
        <f>IFERROR(VLOOKUP(B280,'Enrollment 26-27'!$B$5:$I$332,8,FALSE),0)</f>
        <v>3963.8366666666666</v>
      </c>
      <c r="E280" s="64">
        <f t="shared" si="68"/>
        <v>458687</v>
      </c>
      <c r="F280" s="144">
        <v>0</v>
      </c>
      <c r="G280" s="144">
        <v>0</v>
      </c>
      <c r="H280" s="64">
        <f t="shared" si="67"/>
        <v>458687</v>
      </c>
      <c r="I280" s="64">
        <f t="shared" si="69"/>
        <v>0</v>
      </c>
      <c r="J280" s="145">
        <f t="shared" si="70"/>
        <v>458687</v>
      </c>
      <c r="K280" s="146" t="str">
        <f t="shared" si="80"/>
        <v>Y</v>
      </c>
      <c r="L280" s="147">
        <f t="shared" si="71"/>
        <v>0</v>
      </c>
      <c r="M280" s="148">
        <f t="shared" si="72"/>
        <v>3963.8366666666666</v>
      </c>
      <c r="N280" s="64">
        <f t="shared" si="73"/>
        <v>3914</v>
      </c>
      <c r="O280" s="64">
        <f t="shared" si="66"/>
        <v>462601</v>
      </c>
      <c r="Q280" s="104">
        <f t="shared" si="74"/>
        <v>0</v>
      </c>
      <c r="R280" s="104" t="str">
        <f t="shared" si="75"/>
        <v>Not Applicable</v>
      </c>
      <c r="S280" s="149" t="s">
        <v>815</v>
      </c>
      <c r="T280" s="149">
        <f>IF(O280=0,0,IF(S280="N",0,VLOOKUP(B280,'Enrollment 25-26'!$B$8:$K$332,9,FALSE)))</f>
        <v>0</v>
      </c>
      <c r="U280" s="64">
        <f t="shared" si="76"/>
        <v>462601</v>
      </c>
      <c r="V280" s="128">
        <f t="shared" si="77"/>
        <v>116.70536374270382</v>
      </c>
      <c r="W280" s="150"/>
      <c r="X280" s="64">
        <f>IFERROR(VLOOKUP($B280,'Allocations 2025-26'!$B$9:$U$329,14,FALSE),0)</f>
        <v>463307</v>
      </c>
      <c r="Y280" s="99">
        <f t="shared" si="78"/>
        <v>-706</v>
      </c>
      <c r="Z280" s="132">
        <f t="shared" si="79"/>
        <v>-1.5238276132240609E-3</v>
      </c>
      <c r="AA280" s="151" t="str">
        <f t="shared" si="81"/>
        <v>Y</v>
      </c>
      <c r="AC280" s="64"/>
      <c r="AE280" s="152"/>
      <c r="AH280" s="153"/>
      <c r="AI280" s="153"/>
      <c r="AJ280" s="153"/>
      <c r="AK280" s="154"/>
    </row>
    <row r="281" spans="1:37" x14ac:dyDescent="0.25">
      <c r="A281" s="142" t="s">
        <v>438</v>
      </c>
      <c r="B281" t="s">
        <v>732</v>
      </c>
      <c r="C281" t="s">
        <v>280</v>
      </c>
      <c r="D281" s="143">
        <f>IFERROR(VLOOKUP(B281,'Enrollment 26-27'!$B$5:$I$332,8,FALSE),0)</f>
        <v>0</v>
      </c>
      <c r="E281" s="64">
        <f t="shared" si="68"/>
        <v>0</v>
      </c>
      <c r="F281" s="144">
        <v>0</v>
      </c>
      <c r="G281" s="144">
        <v>0</v>
      </c>
      <c r="H281" s="64">
        <f t="shared" si="67"/>
        <v>0</v>
      </c>
      <c r="I281" s="64">
        <f t="shared" si="69"/>
        <v>0</v>
      </c>
      <c r="J281" s="145">
        <f t="shared" si="70"/>
        <v>0</v>
      </c>
      <c r="K281" s="146" t="str">
        <f t="shared" si="80"/>
        <v>N</v>
      </c>
      <c r="L281" s="147">
        <f t="shared" si="71"/>
        <v>0</v>
      </c>
      <c r="M281" s="148">
        <f t="shared" si="72"/>
        <v>0</v>
      </c>
      <c r="N281" s="64">
        <f t="shared" si="73"/>
        <v>0</v>
      </c>
      <c r="O281" s="64">
        <f t="shared" si="66"/>
        <v>0</v>
      </c>
      <c r="Q281" s="104">
        <f t="shared" si="74"/>
        <v>0</v>
      </c>
      <c r="R281" s="104" t="str">
        <f t="shared" si="75"/>
        <v>Not Applicable</v>
      </c>
      <c r="S281" s="149" t="s">
        <v>815</v>
      </c>
      <c r="T281" s="149">
        <f>IF(O281=0,0,IF(S281="N",0,VLOOKUP(B281,'Enrollment 25-26'!$B$8:$K$332,9,FALSE)))</f>
        <v>0</v>
      </c>
      <c r="U281" s="64">
        <f t="shared" si="76"/>
        <v>0</v>
      </c>
      <c r="V281" s="128">
        <f t="shared" si="77"/>
        <v>0</v>
      </c>
      <c r="W281" s="150"/>
      <c r="X281" s="64">
        <f>IFERROR(VLOOKUP($B281,'Allocations 2025-26'!$B$9:$U$329,14,FALSE),0)</f>
        <v>0</v>
      </c>
      <c r="Y281" s="99">
        <f t="shared" si="78"/>
        <v>0</v>
      </c>
      <c r="Z281" s="132">
        <f t="shared" si="79"/>
        <v>0</v>
      </c>
      <c r="AA281" s="151" t="str">
        <f t="shared" si="81"/>
        <v>N</v>
      </c>
      <c r="AC281" s="64"/>
      <c r="AE281" s="152"/>
      <c r="AH281" s="153"/>
      <c r="AI281" s="153"/>
      <c r="AJ281" s="153"/>
      <c r="AK281" s="154"/>
    </row>
    <row r="282" spans="1:37" x14ac:dyDescent="0.25">
      <c r="A282" s="142" t="s">
        <v>454</v>
      </c>
      <c r="B282" t="s">
        <v>733</v>
      </c>
      <c r="C282" t="s">
        <v>281</v>
      </c>
      <c r="D282" s="143">
        <f>IFERROR(VLOOKUP(B282,'Enrollment 26-27'!$B$5:$I$332,8,FALSE),0)</f>
        <v>507.34000000000003</v>
      </c>
      <c r="E282" s="64">
        <f t="shared" si="68"/>
        <v>58708</v>
      </c>
      <c r="F282" s="144">
        <v>0</v>
      </c>
      <c r="G282" s="144">
        <v>0</v>
      </c>
      <c r="H282" s="64">
        <f t="shared" si="67"/>
        <v>58708</v>
      </c>
      <c r="I282" s="64">
        <f t="shared" si="69"/>
        <v>0</v>
      </c>
      <c r="J282" s="145">
        <f t="shared" si="70"/>
        <v>58708</v>
      </c>
      <c r="K282" s="146" t="str">
        <f t="shared" si="80"/>
        <v>Y</v>
      </c>
      <c r="L282" s="147">
        <f t="shared" si="71"/>
        <v>0</v>
      </c>
      <c r="M282" s="148">
        <f t="shared" si="72"/>
        <v>507.34000000000003</v>
      </c>
      <c r="N282" s="64">
        <f t="shared" si="73"/>
        <v>501</v>
      </c>
      <c r="O282" s="64">
        <f t="shared" si="66"/>
        <v>59209</v>
      </c>
      <c r="Q282" s="104">
        <f t="shared" si="74"/>
        <v>0</v>
      </c>
      <c r="R282" s="104" t="str">
        <f t="shared" si="75"/>
        <v>Not Applicable</v>
      </c>
      <c r="S282" s="149" t="s">
        <v>815</v>
      </c>
      <c r="T282" s="149">
        <f>IF(O282=0,0,IF(S282="N",0,VLOOKUP(B282,'Enrollment 25-26'!$B$8:$K$332,9,FALSE)))</f>
        <v>0</v>
      </c>
      <c r="U282" s="64">
        <f t="shared" si="76"/>
        <v>59209</v>
      </c>
      <c r="V282" s="128">
        <f t="shared" si="77"/>
        <v>116.70477391887097</v>
      </c>
      <c r="W282" s="150"/>
      <c r="X282" s="64">
        <f>IFERROR(VLOOKUP($B282,'Allocations 2025-26'!$B$9:$U$329,14,FALSE),0)</f>
        <v>58800</v>
      </c>
      <c r="Y282" s="99">
        <f t="shared" si="78"/>
        <v>409</v>
      </c>
      <c r="Z282" s="132">
        <f t="shared" si="79"/>
        <v>6.9557823129251699E-3</v>
      </c>
      <c r="AA282" s="151" t="str">
        <f t="shared" si="81"/>
        <v>Y</v>
      </c>
      <c r="AC282" s="64"/>
      <c r="AE282" s="152"/>
      <c r="AH282" s="153"/>
      <c r="AI282" s="153"/>
      <c r="AJ282" s="153"/>
      <c r="AK282" s="154"/>
    </row>
    <row r="283" spans="1:37" x14ac:dyDescent="0.25">
      <c r="A283" s="142" t="s">
        <v>443</v>
      </c>
      <c r="B283" t="s">
        <v>734</v>
      </c>
      <c r="C283" t="s">
        <v>282</v>
      </c>
      <c r="D283" s="143">
        <f>IFERROR(VLOOKUP(B283,'Enrollment 26-27'!$B$5:$I$332,8,FALSE),0)</f>
        <v>2.34</v>
      </c>
      <c r="E283" s="64">
        <f t="shared" si="68"/>
        <v>271</v>
      </c>
      <c r="F283" s="144">
        <v>0</v>
      </c>
      <c r="G283" s="144">
        <v>0</v>
      </c>
      <c r="H283" s="64">
        <f t="shared" si="67"/>
        <v>271</v>
      </c>
      <c r="I283" s="64">
        <f t="shared" si="69"/>
        <v>0</v>
      </c>
      <c r="J283" s="145">
        <f t="shared" si="70"/>
        <v>271</v>
      </c>
      <c r="K283" s="146" t="str">
        <f t="shared" si="80"/>
        <v>N</v>
      </c>
      <c r="L283" s="147">
        <f t="shared" si="71"/>
        <v>271</v>
      </c>
      <c r="M283" s="148">
        <f t="shared" si="72"/>
        <v>0</v>
      </c>
      <c r="N283" s="64">
        <f t="shared" si="73"/>
        <v>0</v>
      </c>
      <c r="O283" s="64">
        <f t="shared" si="66"/>
        <v>0</v>
      </c>
      <c r="Q283" s="104">
        <f t="shared" si="74"/>
        <v>0</v>
      </c>
      <c r="R283" s="104" t="str">
        <f t="shared" si="75"/>
        <v>Not Applicable</v>
      </c>
      <c r="S283" s="149" t="s">
        <v>815</v>
      </c>
      <c r="T283" s="149">
        <f>IF(O283=0,0,IF(S283="N",0,VLOOKUP(B283,'Enrollment 25-26'!$B$8:$K$332,9,FALSE)))</f>
        <v>0</v>
      </c>
      <c r="U283" s="64">
        <f t="shared" si="76"/>
        <v>0</v>
      </c>
      <c r="V283" s="128">
        <f t="shared" si="77"/>
        <v>0</v>
      </c>
      <c r="W283" s="150"/>
      <c r="X283" s="64">
        <f>IFERROR(VLOOKUP($B283,'Allocations 2025-26'!$B$9:$U$329,14,FALSE),0)</f>
        <v>0</v>
      </c>
      <c r="Y283" s="99">
        <f t="shared" si="78"/>
        <v>0</v>
      </c>
      <c r="Z283" s="132">
        <f t="shared" si="79"/>
        <v>0</v>
      </c>
      <c r="AA283" s="151" t="str">
        <f t="shared" si="81"/>
        <v>N</v>
      </c>
      <c r="AC283" s="64"/>
      <c r="AE283" s="152"/>
      <c r="AH283" s="153"/>
      <c r="AI283" s="153"/>
      <c r="AJ283" s="153"/>
      <c r="AK283" s="154"/>
    </row>
    <row r="284" spans="1:37" x14ac:dyDescent="0.25">
      <c r="A284" s="142" t="s">
        <v>438</v>
      </c>
      <c r="B284" t="s">
        <v>735</v>
      </c>
      <c r="C284" t="s">
        <v>283</v>
      </c>
      <c r="D284" s="143">
        <f>IFERROR(VLOOKUP(B284,'Enrollment 26-27'!$B$5:$I$332,8,FALSE),0)</f>
        <v>22</v>
      </c>
      <c r="E284" s="64">
        <f t="shared" si="68"/>
        <v>2546</v>
      </c>
      <c r="F284" s="144">
        <v>0</v>
      </c>
      <c r="G284" s="144">
        <v>0</v>
      </c>
      <c r="H284" s="64">
        <f t="shared" si="67"/>
        <v>2546</v>
      </c>
      <c r="I284" s="64">
        <f t="shared" si="69"/>
        <v>0</v>
      </c>
      <c r="J284" s="145">
        <f t="shared" si="70"/>
        <v>2546</v>
      </c>
      <c r="K284" s="146" t="str">
        <f t="shared" si="80"/>
        <v>N</v>
      </c>
      <c r="L284" s="147">
        <f t="shared" si="71"/>
        <v>2546</v>
      </c>
      <c r="M284" s="148">
        <f t="shared" si="72"/>
        <v>0</v>
      </c>
      <c r="N284" s="64">
        <f t="shared" si="73"/>
        <v>0</v>
      </c>
      <c r="O284" s="64">
        <f t="shared" si="66"/>
        <v>0</v>
      </c>
      <c r="Q284" s="104">
        <f t="shared" si="74"/>
        <v>0</v>
      </c>
      <c r="R284" s="104" t="str">
        <f t="shared" si="75"/>
        <v>Not Applicable</v>
      </c>
      <c r="S284" s="149" t="s">
        <v>815</v>
      </c>
      <c r="T284" s="149">
        <f>IF(O284=0,0,IF(S284="N",0,VLOOKUP(B284,'Enrollment 25-26'!$B$8:$K$332,9,FALSE)))</f>
        <v>0</v>
      </c>
      <c r="U284" s="64">
        <f t="shared" si="76"/>
        <v>0</v>
      </c>
      <c r="V284" s="128">
        <f t="shared" si="77"/>
        <v>0</v>
      </c>
      <c r="W284" s="150"/>
      <c r="X284" s="64">
        <f>IFERROR(VLOOKUP($B284,'Allocations 2025-26'!$B$9:$U$329,14,FALSE),0)</f>
        <v>0</v>
      </c>
      <c r="Y284" s="99">
        <f t="shared" si="78"/>
        <v>0</v>
      </c>
      <c r="Z284" s="132">
        <f t="shared" si="79"/>
        <v>0</v>
      </c>
      <c r="AA284" s="151" t="str">
        <f t="shared" si="81"/>
        <v>N</v>
      </c>
      <c r="AC284" s="64"/>
      <c r="AE284" s="152"/>
      <c r="AH284" s="153"/>
      <c r="AI284" s="153"/>
      <c r="AJ284" s="153"/>
      <c r="AK284" s="154"/>
    </row>
    <row r="285" spans="1:37" x14ac:dyDescent="0.25">
      <c r="A285" s="142" t="s">
        <v>471</v>
      </c>
      <c r="B285" t="s">
        <v>736</v>
      </c>
      <c r="C285" t="s">
        <v>284</v>
      </c>
      <c r="D285" s="143">
        <f>IFERROR(VLOOKUP(B285,'Enrollment 26-27'!$B$5:$I$332,8,FALSE),0)</f>
        <v>6.5</v>
      </c>
      <c r="E285" s="64">
        <f t="shared" si="68"/>
        <v>752</v>
      </c>
      <c r="F285" s="144">
        <v>0</v>
      </c>
      <c r="G285" s="144">
        <v>0</v>
      </c>
      <c r="H285" s="64">
        <f t="shared" si="67"/>
        <v>752</v>
      </c>
      <c r="I285" s="64">
        <f t="shared" si="69"/>
        <v>0</v>
      </c>
      <c r="J285" s="145">
        <f t="shared" si="70"/>
        <v>752</v>
      </c>
      <c r="K285" s="146" t="str">
        <f t="shared" si="80"/>
        <v>N</v>
      </c>
      <c r="L285" s="147">
        <f t="shared" si="71"/>
        <v>752</v>
      </c>
      <c r="M285" s="148">
        <f t="shared" si="72"/>
        <v>0</v>
      </c>
      <c r="N285" s="64">
        <f t="shared" si="73"/>
        <v>0</v>
      </c>
      <c r="O285" s="64">
        <f t="shared" si="66"/>
        <v>0</v>
      </c>
      <c r="Q285" s="104">
        <f t="shared" si="74"/>
        <v>0</v>
      </c>
      <c r="R285" s="104" t="str">
        <f t="shared" si="75"/>
        <v>Not Applicable</v>
      </c>
      <c r="S285" s="149" t="s">
        <v>815</v>
      </c>
      <c r="T285" s="149">
        <f>IF(O285=0,0,IF(S285="N",0,VLOOKUP(B285,'Enrollment 25-26'!$B$8:$K$332,9,FALSE)))</f>
        <v>0</v>
      </c>
      <c r="U285" s="64">
        <f t="shared" si="76"/>
        <v>0</v>
      </c>
      <c r="V285" s="128">
        <f t="shared" si="77"/>
        <v>0</v>
      </c>
      <c r="W285" s="150"/>
      <c r="X285" s="64">
        <f>IFERROR(VLOOKUP($B285,'Allocations 2025-26'!$B$9:$U$329,14,FALSE),0)</f>
        <v>0</v>
      </c>
      <c r="Y285" s="99">
        <f t="shared" si="78"/>
        <v>0</v>
      </c>
      <c r="Z285" s="132">
        <f t="shared" si="79"/>
        <v>0</v>
      </c>
      <c r="AA285" s="151" t="str">
        <f t="shared" si="81"/>
        <v>N</v>
      </c>
      <c r="AC285" s="64"/>
      <c r="AE285" s="152"/>
      <c r="AH285" s="153"/>
      <c r="AI285" s="153"/>
      <c r="AJ285" s="153"/>
      <c r="AK285" s="154"/>
    </row>
    <row r="286" spans="1:37" x14ac:dyDescent="0.25">
      <c r="A286" s="142" t="s">
        <v>438</v>
      </c>
      <c r="B286" t="s">
        <v>737</v>
      </c>
      <c r="C286" t="s">
        <v>285</v>
      </c>
      <c r="D286" s="143">
        <f>IFERROR(VLOOKUP(B286,'Enrollment 26-27'!$B$5:$I$332,8,FALSE),0)</f>
        <v>9</v>
      </c>
      <c r="E286" s="64">
        <f t="shared" si="68"/>
        <v>1041</v>
      </c>
      <c r="F286" s="144">
        <v>0</v>
      </c>
      <c r="G286" s="144">
        <v>0</v>
      </c>
      <c r="H286" s="64">
        <f t="shared" si="67"/>
        <v>1041</v>
      </c>
      <c r="I286" s="64">
        <f t="shared" si="69"/>
        <v>0</v>
      </c>
      <c r="J286" s="145">
        <f t="shared" si="70"/>
        <v>1041</v>
      </c>
      <c r="K286" s="146" t="str">
        <f t="shared" si="80"/>
        <v>N</v>
      </c>
      <c r="L286" s="147">
        <f t="shared" si="71"/>
        <v>1041</v>
      </c>
      <c r="M286" s="148">
        <f t="shared" si="72"/>
        <v>0</v>
      </c>
      <c r="N286" s="64">
        <f t="shared" si="73"/>
        <v>0</v>
      </c>
      <c r="O286" s="64">
        <f t="shared" si="66"/>
        <v>0</v>
      </c>
      <c r="Q286" s="104">
        <f t="shared" si="74"/>
        <v>0</v>
      </c>
      <c r="R286" s="104" t="str">
        <f t="shared" si="75"/>
        <v>Not Applicable</v>
      </c>
      <c r="S286" s="149" t="s">
        <v>815</v>
      </c>
      <c r="T286" s="149">
        <f>IF(O286=0,0,IF(S286="N",0,VLOOKUP(B286,'Enrollment 25-26'!$B$8:$K$332,9,FALSE)))</f>
        <v>0</v>
      </c>
      <c r="U286" s="64">
        <f t="shared" si="76"/>
        <v>0</v>
      </c>
      <c r="V286" s="128">
        <f t="shared" si="77"/>
        <v>0</v>
      </c>
      <c r="W286" s="150"/>
      <c r="X286" s="64">
        <f>IFERROR(VLOOKUP($B286,'Allocations 2025-26'!$B$9:$U$329,14,FALSE),0)</f>
        <v>0</v>
      </c>
      <c r="Y286" s="99">
        <f t="shared" si="78"/>
        <v>0</v>
      </c>
      <c r="Z286" s="132">
        <f t="shared" si="79"/>
        <v>0</v>
      </c>
      <c r="AA286" s="151" t="str">
        <f t="shared" si="81"/>
        <v>N</v>
      </c>
      <c r="AC286" s="64"/>
      <c r="AE286" s="152"/>
      <c r="AH286" s="153"/>
      <c r="AI286" s="153"/>
      <c r="AJ286" s="153"/>
      <c r="AK286" s="154"/>
    </row>
    <row r="287" spans="1:37" x14ac:dyDescent="0.25">
      <c r="A287" s="142" t="s">
        <v>481</v>
      </c>
      <c r="B287" t="s">
        <v>738</v>
      </c>
      <c r="C287" t="s">
        <v>286</v>
      </c>
      <c r="D287" s="143">
        <f>IFERROR(VLOOKUP(B287,'Enrollment 26-27'!$B$5:$I$332,8,FALSE),0)</f>
        <v>130.5</v>
      </c>
      <c r="E287" s="64">
        <f t="shared" si="68"/>
        <v>15101</v>
      </c>
      <c r="F287" s="144">
        <v>0</v>
      </c>
      <c r="G287" s="144">
        <v>0</v>
      </c>
      <c r="H287" s="64">
        <f t="shared" si="67"/>
        <v>15101</v>
      </c>
      <c r="I287" s="64">
        <f t="shared" si="69"/>
        <v>0</v>
      </c>
      <c r="J287" s="145">
        <f t="shared" si="70"/>
        <v>15101</v>
      </c>
      <c r="K287" s="146" t="str">
        <f t="shared" si="80"/>
        <v>Y</v>
      </c>
      <c r="L287" s="147">
        <f t="shared" si="71"/>
        <v>0</v>
      </c>
      <c r="M287" s="148">
        <f t="shared" si="72"/>
        <v>130.5</v>
      </c>
      <c r="N287" s="64">
        <f t="shared" si="73"/>
        <v>129</v>
      </c>
      <c r="O287" s="64">
        <f t="shared" si="66"/>
        <v>15230</v>
      </c>
      <c r="Q287" s="104">
        <f t="shared" si="74"/>
        <v>0</v>
      </c>
      <c r="R287" s="104" t="str">
        <f t="shared" si="75"/>
        <v>Not Applicable</v>
      </c>
      <c r="S287" s="149" t="s">
        <v>815</v>
      </c>
      <c r="T287" s="149">
        <f>IF(O287=0,0,IF(S287="N",0,VLOOKUP(B287,'Enrollment 25-26'!$B$8:$K$332,9,FALSE)))</f>
        <v>0</v>
      </c>
      <c r="U287" s="64">
        <f t="shared" si="76"/>
        <v>15230</v>
      </c>
      <c r="V287" s="128">
        <f t="shared" si="77"/>
        <v>116.70498084291188</v>
      </c>
      <c r="W287" s="150"/>
      <c r="X287" s="64">
        <f>IFERROR(VLOOKUP($B287,'Allocations 2025-26'!$B$9:$U$329,14,FALSE),0)</f>
        <v>15538</v>
      </c>
      <c r="Y287" s="99">
        <f t="shared" si="78"/>
        <v>-308</v>
      </c>
      <c r="Z287" s="132">
        <f t="shared" si="79"/>
        <v>-1.9822370961513708E-2</v>
      </c>
      <c r="AA287" s="151" t="str">
        <f t="shared" si="81"/>
        <v>Y</v>
      </c>
      <c r="AC287" s="64"/>
      <c r="AE287" s="152"/>
      <c r="AH287" s="153"/>
      <c r="AI287" s="153"/>
      <c r="AJ287" s="153"/>
      <c r="AK287" s="154"/>
    </row>
    <row r="288" spans="1:37" x14ac:dyDescent="0.25">
      <c r="A288" s="142" t="s">
        <v>471</v>
      </c>
      <c r="B288" t="s">
        <v>739</v>
      </c>
      <c r="C288" t="s">
        <v>287</v>
      </c>
      <c r="D288" s="143">
        <f>IFERROR(VLOOKUP(B288,'Enrollment 26-27'!$B$5:$I$332,8,FALSE),0)</f>
        <v>1279.8366666666668</v>
      </c>
      <c r="E288" s="64">
        <f t="shared" si="68"/>
        <v>148100</v>
      </c>
      <c r="F288" s="144">
        <v>0</v>
      </c>
      <c r="G288" s="144">
        <v>0</v>
      </c>
      <c r="H288" s="64">
        <f t="shared" si="67"/>
        <v>148100</v>
      </c>
      <c r="I288" s="64">
        <f t="shared" si="69"/>
        <v>0</v>
      </c>
      <c r="J288" s="145">
        <f t="shared" si="70"/>
        <v>148100</v>
      </c>
      <c r="K288" s="146" t="str">
        <f t="shared" si="80"/>
        <v>Y</v>
      </c>
      <c r="L288" s="147">
        <f t="shared" si="71"/>
        <v>0</v>
      </c>
      <c r="M288" s="148">
        <f t="shared" si="72"/>
        <v>1279.8366666666668</v>
      </c>
      <c r="N288" s="64">
        <f t="shared" si="73"/>
        <v>1264</v>
      </c>
      <c r="O288" s="64">
        <f t="shared" si="66"/>
        <v>149364</v>
      </c>
      <c r="Q288" s="104">
        <f t="shared" si="74"/>
        <v>0</v>
      </c>
      <c r="R288" s="104" t="str">
        <f t="shared" si="75"/>
        <v>Not Applicable</v>
      </c>
      <c r="S288" s="149" t="s">
        <v>815</v>
      </c>
      <c r="T288" s="149">
        <f>IF(O288=0,0,IF(S288="N",0,VLOOKUP(B288,'Enrollment 25-26'!$B$8:$K$332,9,FALSE)))</f>
        <v>0</v>
      </c>
      <c r="U288" s="64">
        <f t="shared" si="76"/>
        <v>149364</v>
      </c>
      <c r="V288" s="128">
        <f t="shared" si="77"/>
        <v>116.70551711025624</v>
      </c>
      <c r="W288" s="150"/>
      <c r="X288" s="64">
        <f>IFERROR(VLOOKUP($B288,'Allocations 2025-26'!$B$9:$U$329,14,FALSE),0)</f>
        <v>155900</v>
      </c>
      <c r="Y288" s="99">
        <f t="shared" si="78"/>
        <v>-6536</v>
      </c>
      <c r="Z288" s="132">
        <f t="shared" si="79"/>
        <v>-4.1924310455420138E-2</v>
      </c>
      <c r="AA288" s="151" t="str">
        <f t="shared" si="81"/>
        <v>Y</v>
      </c>
      <c r="AC288" s="64"/>
      <c r="AE288" s="152"/>
      <c r="AH288" s="153"/>
      <c r="AI288" s="153"/>
      <c r="AJ288" s="153"/>
      <c r="AK288" s="154"/>
    </row>
    <row r="289" spans="1:37" x14ac:dyDescent="0.25">
      <c r="A289" s="142" t="s">
        <v>451</v>
      </c>
      <c r="B289" t="s">
        <v>494</v>
      </c>
      <c r="C289" t="s">
        <v>288</v>
      </c>
      <c r="D289" s="143">
        <f>IFERROR(VLOOKUP(B289,'Enrollment 26-27'!$B$5:$I$332,8,FALSE),0)</f>
        <v>29.340000000000003</v>
      </c>
      <c r="E289" s="64">
        <f t="shared" si="68"/>
        <v>3395</v>
      </c>
      <c r="F289" s="144">
        <v>0</v>
      </c>
      <c r="G289" s="144">
        <v>0</v>
      </c>
      <c r="H289" s="64">
        <f t="shared" si="67"/>
        <v>3395</v>
      </c>
      <c r="I289" s="64">
        <f t="shared" si="69"/>
        <v>0</v>
      </c>
      <c r="J289" s="145">
        <f t="shared" si="70"/>
        <v>3395</v>
      </c>
      <c r="K289" s="146" t="str">
        <f t="shared" si="80"/>
        <v>N</v>
      </c>
      <c r="L289" s="147">
        <f t="shared" si="71"/>
        <v>3395</v>
      </c>
      <c r="M289" s="148">
        <f t="shared" si="72"/>
        <v>0</v>
      </c>
      <c r="N289" s="64">
        <f t="shared" si="73"/>
        <v>0</v>
      </c>
      <c r="O289" s="64">
        <f t="shared" si="66"/>
        <v>0</v>
      </c>
      <c r="Q289" s="104">
        <f t="shared" si="74"/>
        <v>0</v>
      </c>
      <c r="R289" s="104" t="str">
        <f t="shared" si="75"/>
        <v>Not Applicable</v>
      </c>
      <c r="S289" s="149" t="s">
        <v>815</v>
      </c>
      <c r="T289" s="149">
        <f>IF(O289=0,0,IF(S289="N",0,VLOOKUP(B289,'Enrollment 25-26'!$B$8:$K$332,9,FALSE)))</f>
        <v>0</v>
      </c>
      <c r="U289" s="64">
        <f t="shared" si="76"/>
        <v>0</v>
      </c>
      <c r="V289" s="128">
        <f t="shared" si="77"/>
        <v>0</v>
      </c>
      <c r="W289" s="150"/>
      <c r="X289" s="64">
        <f>IFERROR(VLOOKUP($B289,'Allocations 2025-26'!$B$9:$U$329,14,FALSE),0)</f>
        <v>0</v>
      </c>
      <c r="Y289" s="99">
        <f t="shared" si="78"/>
        <v>0</v>
      </c>
      <c r="Z289" s="132">
        <f t="shared" si="79"/>
        <v>0</v>
      </c>
      <c r="AA289" s="151" t="str">
        <f t="shared" si="81"/>
        <v>N</v>
      </c>
      <c r="AC289" s="64"/>
      <c r="AE289" s="152"/>
      <c r="AH289" s="153"/>
      <c r="AI289" s="153"/>
      <c r="AJ289" s="153"/>
      <c r="AK289" s="154"/>
    </row>
    <row r="290" spans="1:37" x14ac:dyDescent="0.25">
      <c r="A290" s="142" t="s">
        <v>459</v>
      </c>
      <c r="B290" t="s">
        <v>740</v>
      </c>
      <c r="C290" t="s">
        <v>289</v>
      </c>
      <c r="D290" s="143">
        <f>IFERROR(VLOOKUP(B290,'Enrollment 26-27'!$B$5:$I$332,8,FALSE),0)</f>
        <v>0</v>
      </c>
      <c r="E290" s="64">
        <f t="shared" si="68"/>
        <v>0</v>
      </c>
      <c r="F290" s="144">
        <v>0</v>
      </c>
      <c r="G290" s="144">
        <v>0</v>
      </c>
      <c r="H290" s="64">
        <f t="shared" si="67"/>
        <v>0</v>
      </c>
      <c r="I290" s="64">
        <f t="shared" si="69"/>
        <v>0</v>
      </c>
      <c r="J290" s="145">
        <f t="shared" si="70"/>
        <v>0</v>
      </c>
      <c r="K290" s="146" t="str">
        <f t="shared" si="80"/>
        <v>N</v>
      </c>
      <c r="L290" s="147">
        <f t="shared" si="71"/>
        <v>0</v>
      </c>
      <c r="M290" s="148">
        <f t="shared" si="72"/>
        <v>0</v>
      </c>
      <c r="N290" s="64">
        <f t="shared" si="73"/>
        <v>0</v>
      </c>
      <c r="O290" s="64">
        <f t="shared" si="66"/>
        <v>0</v>
      </c>
      <c r="Q290" s="104">
        <f t="shared" si="74"/>
        <v>0</v>
      </c>
      <c r="R290" s="104" t="str">
        <f t="shared" si="75"/>
        <v>Not Applicable</v>
      </c>
      <c r="S290" s="149" t="s">
        <v>815</v>
      </c>
      <c r="T290" s="149">
        <f>IF(O290=0,0,IF(S290="N",0,VLOOKUP(B290,'Enrollment 25-26'!$B$8:$K$332,9,FALSE)))</f>
        <v>0</v>
      </c>
      <c r="U290" s="64">
        <f t="shared" si="76"/>
        <v>0</v>
      </c>
      <c r="V290" s="128">
        <f t="shared" si="77"/>
        <v>0</v>
      </c>
      <c r="W290" s="150"/>
      <c r="X290" s="64">
        <f>IFERROR(VLOOKUP($B290,'Allocations 2025-26'!$B$9:$U$329,14,FALSE),0)</f>
        <v>0</v>
      </c>
      <c r="Y290" s="99">
        <f t="shared" si="78"/>
        <v>0</v>
      </c>
      <c r="Z290" s="132">
        <f t="shared" si="79"/>
        <v>0</v>
      </c>
      <c r="AA290" s="151" t="str">
        <f t="shared" si="81"/>
        <v>N</v>
      </c>
      <c r="AC290" s="64"/>
      <c r="AE290" s="152"/>
      <c r="AH290" s="153"/>
      <c r="AI290" s="153"/>
      <c r="AJ290" s="153"/>
      <c r="AK290" s="154"/>
    </row>
    <row r="291" spans="1:37" x14ac:dyDescent="0.25">
      <c r="A291" s="142" t="s">
        <v>459</v>
      </c>
      <c r="B291" t="s">
        <v>741</v>
      </c>
      <c r="C291" t="s">
        <v>290</v>
      </c>
      <c r="D291" s="143">
        <f>IFERROR(VLOOKUP(B291,'Enrollment 26-27'!$B$5:$I$332,8,FALSE),0)</f>
        <v>9.67</v>
      </c>
      <c r="E291" s="64">
        <f t="shared" si="68"/>
        <v>1119</v>
      </c>
      <c r="F291" s="144">
        <v>0</v>
      </c>
      <c r="G291" s="144">
        <v>0</v>
      </c>
      <c r="H291" s="64">
        <f t="shared" si="67"/>
        <v>1119</v>
      </c>
      <c r="I291" s="64">
        <f t="shared" si="69"/>
        <v>0</v>
      </c>
      <c r="J291" s="145">
        <f t="shared" si="70"/>
        <v>1119</v>
      </c>
      <c r="K291" s="146" t="str">
        <f t="shared" si="80"/>
        <v>N</v>
      </c>
      <c r="L291" s="147">
        <f t="shared" si="71"/>
        <v>1119</v>
      </c>
      <c r="M291" s="148">
        <f t="shared" si="72"/>
        <v>0</v>
      </c>
      <c r="N291" s="64">
        <f t="shared" si="73"/>
        <v>0</v>
      </c>
      <c r="O291" s="64">
        <f t="shared" si="66"/>
        <v>0</v>
      </c>
      <c r="Q291" s="104">
        <f t="shared" si="74"/>
        <v>0</v>
      </c>
      <c r="R291" s="104" t="str">
        <f t="shared" si="75"/>
        <v>Not Applicable</v>
      </c>
      <c r="S291" s="149" t="s">
        <v>815</v>
      </c>
      <c r="T291" s="149">
        <f>IF(O291=0,0,IF(S291="N",0,VLOOKUP(B291,'Enrollment 25-26'!$B$8:$K$332,9,FALSE)))</f>
        <v>0</v>
      </c>
      <c r="U291" s="64">
        <f t="shared" si="76"/>
        <v>0</v>
      </c>
      <c r="V291" s="128">
        <f t="shared" si="77"/>
        <v>0</v>
      </c>
      <c r="W291" s="150"/>
      <c r="X291" s="64">
        <f>IFERROR(VLOOKUP($B291,'Allocations 2025-26'!$B$9:$U$329,14,FALSE),0)</f>
        <v>0</v>
      </c>
      <c r="Y291" s="99">
        <f t="shared" si="78"/>
        <v>0</v>
      </c>
      <c r="Z291" s="132">
        <f t="shared" si="79"/>
        <v>0</v>
      </c>
      <c r="AA291" s="151" t="str">
        <f t="shared" si="81"/>
        <v>N</v>
      </c>
      <c r="AC291" s="64"/>
      <c r="AE291" s="152"/>
      <c r="AH291" s="153"/>
      <c r="AI291" s="153"/>
      <c r="AJ291" s="153"/>
      <c r="AK291" s="154"/>
    </row>
    <row r="292" spans="1:37" x14ac:dyDescent="0.25">
      <c r="A292" s="142" t="s">
        <v>454</v>
      </c>
      <c r="B292" t="s">
        <v>742</v>
      </c>
      <c r="C292" t="s">
        <v>291</v>
      </c>
      <c r="D292" s="143">
        <f>IFERROR(VLOOKUP(B292,'Enrollment 26-27'!$B$5:$I$332,8,FALSE),0)</f>
        <v>1327.6733333333332</v>
      </c>
      <c r="E292" s="64">
        <f t="shared" si="68"/>
        <v>153635</v>
      </c>
      <c r="F292" s="144">
        <v>0</v>
      </c>
      <c r="G292" s="144">
        <v>0</v>
      </c>
      <c r="H292" s="64">
        <f t="shared" si="67"/>
        <v>153635</v>
      </c>
      <c r="I292" s="64">
        <f t="shared" si="69"/>
        <v>0</v>
      </c>
      <c r="J292" s="145">
        <f t="shared" si="70"/>
        <v>153635</v>
      </c>
      <c r="K292" s="146" t="str">
        <f t="shared" si="80"/>
        <v>Y</v>
      </c>
      <c r="L292" s="147">
        <f t="shared" si="71"/>
        <v>0</v>
      </c>
      <c r="M292" s="148">
        <f t="shared" si="72"/>
        <v>1327.6733333333332</v>
      </c>
      <c r="N292" s="64">
        <f t="shared" si="73"/>
        <v>1311</v>
      </c>
      <c r="O292" s="64">
        <f t="shared" si="66"/>
        <v>154946</v>
      </c>
      <c r="Q292" s="104">
        <f t="shared" si="74"/>
        <v>0</v>
      </c>
      <c r="R292" s="104" t="str">
        <f t="shared" si="75"/>
        <v>Not Applicable</v>
      </c>
      <c r="S292" s="149" t="s">
        <v>815</v>
      </c>
      <c r="T292" s="149">
        <f>IF(O292=0,0,IF(S292="N",0,VLOOKUP(B292,'Enrollment 25-26'!$B$8:$K$332,9,FALSE)))</f>
        <v>0</v>
      </c>
      <c r="U292" s="64">
        <f t="shared" si="76"/>
        <v>154946</v>
      </c>
      <c r="V292" s="128">
        <f t="shared" si="77"/>
        <v>116.70491235293824</v>
      </c>
      <c r="W292" s="150"/>
      <c r="X292" s="64">
        <f>IFERROR(VLOOKUP($B292,'Allocations 2025-26'!$B$9:$U$329,14,FALSE),0)</f>
        <v>175500</v>
      </c>
      <c r="Y292" s="99">
        <f t="shared" si="78"/>
        <v>-20554</v>
      </c>
      <c r="Z292" s="132">
        <f t="shared" si="79"/>
        <v>-0.11711680911680912</v>
      </c>
      <c r="AA292" s="151" t="str">
        <f t="shared" si="81"/>
        <v>Y</v>
      </c>
      <c r="AC292" s="64"/>
      <c r="AE292" s="152"/>
      <c r="AH292" s="153"/>
      <c r="AI292" s="153"/>
      <c r="AJ292" s="153"/>
      <c r="AK292" s="154"/>
    </row>
    <row r="293" spans="1:37" x14ac:dyDescent="0.25">
      <c r="A293" s="142" t="s">
        <v>438</v>
      </c>
      <c r="B293" t="s">
        <v>743</v>
      </c>
      <c r="C293" t="s">
        <v>292</v>
      </c>
      <c r="D293" s="143">
        <f>IFERROR(VLOOKUP(B293,'Enrollment 26-27'!$B$5:$I$332,8,FALSE),0)</f>
        <v>163.83333333333334</v>
      </c>
      <c r="E293" s="64">
        <f t="shared" si="68"/>
        <v>18958</v>
      </c>
      <c r="F293" s="144">
        <v>0</v>
      </c>
      <c r="G293" s="144">
        <v>0</v>
      </c>
      <c r="H293" s="64">
        <f t="shared" si="67"/>
        <v>18958</v>
      </c>
      <c r="I293" s="64">
        <f t="shared" si="69"/>
        <v>0</v>
      </c>
      <c r="J293" s="145">
        <f t="shared" si="70"/>
        <v>18958</v>
      </c>
      <c r="K293" s="146" t="str">
        <f t="shared" si="80"/>
        <v>Y</v>
      </c>
      <c r="L293" s="147">
        <f t="shared" si="71"/>
        <v>0</v>
      </c>
      <c r="M293" s="148">
        <f t="shared" si="72"/>
        <v>163.83333333333334</v>
      </c>
      <c r="N293" s="64">
        <f t="shared" si="73"/>
        <v>162</v>
      </c>
      <c r="O293" s="64">
        <f t="shared" si="66"/>
        <v>19120</v>
      </c>
      <c r="Q293" s="104">
        <f t="shared" si="74"/>
        <v>0</v>
      </c>
      <c r="R293" s="104" t="str">
        <f t="shared" si="75"/>
        <v>Not Applicable</v>
      </c>
      <c r="S293" s="149" t="s">
        <v>815</v>
      </c>
      <c r="T293" s="149">
        <f>IF(O293=0,0,IF(S293="N",0,VLOOKUP(B293,'Enrollment 25-26'!$B$8:$K$332,9,FALSE)))</f>
        <v>0</v>
      </c>
      <c r="U293" s="64">
        <f t="shared" si="76"/>
        <v>19120</v>
      </c>
      <c r="V293" s="128">
        <f t="shared" si="77"/>
        <v>116.70396744659206</v>
      </c>
      <c r="W293" s="150"/>
      <c r="X293" s="64">
        <f>IFERROR(VLOOKUP($B293,'Allocations 2025-26'!$B$9:$U$329,14,FALSE),0)</f>
        <v>19951</v>
      </c>
      <c r="Y293" s="99">
        <f t="shared" si="78"/>
        <v>-831</v>
      </c>
      <c r="Z293" s="132">
        <f t="shared" si="79"/>
        <v>-4.1652047516415221E-2</v>
      </c>
      <c r="AA293" s="151" t="str">
        <f t="shared" si="81"/>
        <v>Y</v>
      </c>
      <c r="AC293" s="64"/>
      <c r="AE293" s="152"/>
      <c r="AH293" s="153"/>
      <c r="AI293" s="153"/>
      <c r="AJ293" s="153"/>
      <c r="AK293" s="154"/>
    </row>
    <row r="294" spans="1:37" x14ac:dyDescent="0.25">
      <c r="A294" s="142" t="s">
        <v>471</v>
      </c>
      <c r="B294" t="s">
        <v>744</v>
      </c>
      <c r="C294" t="s">
        <v>293</v>
      </c>
      <c r="D294" s="143">
        <f>IFERROR(VLOOKUP(B294,'Enrollment 26-27'!$B$5:$I$332,8,FALSE),0)</f>
        <v>90.5</v>
      </c>
      <c r="E294" s="64">
        <f t="shared" si="68"/>
        <v>10472</v>
      </c>
      <c r="F294" s="144">
        <v>0</v>
      </c>
      <c r="G294" s="144">
        <v>0</v>
      </c>
      <c r="H294" s="64">
        <f t="shared" si="67"/>
        <v>10472</v>
      </c>
      <c r="I294" s="64">
        <f t="shared" si="69"/>
        <v>0</v>
      </c>
      <c r="J294" s="145">
        <f t="shared" si="70"/>
        <v>10472</v>
      </c>
      <c r="K294" s="146" t="str">
        <f t="shared" si="80"/>
        <v>Y</v>
      </c>
      <c r="L294" s="147">
        <f t="shared" si="71"/>
        <v>0</v>
      </c>
      <c r="M294" s="148">
        <f t="shared" si="72"/>
        <v>90.5</v>
      </c>
      <c r="N294" s="64">
        <f t="shared" si="73"/>
        <v>89</v>
      </c>
      <c r="O294" s="64">
        <f t="shared" si="66"/>
        <v>10561</v>
      </c>
      <c r="Q294" s="104">
        <f t="shared" si="74"/>
        <v>0</v>
      </c>
      <c r="R294" s="104" t="str">
        <f t="shared" si="75"/>
        <v>Not Applicable</v>
      </c>
      <c r="S294" s="149" t="s">
        <v>815</v>
      </c>
      <c r="T294" s="149">
        <f>IF(O294=0,0,IF(S294="N",0,VLOOKUP(B294,'Enrollment 25-26'!$B$8:$K$332,9,FALSE)))</f>
        <v>0</v>
      </c>
      <c r="U294" s="64">
        <f t="shared" si="76"/>
        <v>10561</v>
      </c>
      <c r="V294" s="128">
        <f t="shared" si="77"/>
        <v>116.69613259668509</v>
      </c>
      <c r="W294" s="150"/>
      <c r="X294" s="64">
        <f>IFERROR(VLOOKUP($B294,'Allocations 2025-26'!$B$9:$U$329,14,FALSE),0)</f>
        <v>11791</v>
      </c>
      <c r="Y294" s="99">
        <f t="shared" si="78"/>
        <v>-1230</v>
      </c>
      <c r="Z294" s="132">
        <f t="shared" si="79"/>
        <v>-0.10431685183614621</v>
      </c>
      <c r="AA294" s="151" t="str">
        <f t="shared" si="81"/>
        <v>Y</v>
      </c>
      <c r="AC294" s="64"/>
      <c r="AE294" s="152"/>
      <c r="AH294" s="153"/>
      <c r="AI294" s="153"/>
      <c r="AJ294" s="153"/>
      <c r="AK294" s="154"/>
    </row>
    <row r="295" spans="1:37" x14ac:dyDescent="0.25">
      <c r="A295" s="142" t="s">
        <v>454</v>
      </c>
      <c r="B295" t="s">
        <v>745</v>
      </c>
      <c r="C295" t="s">
        <v>294</v>
      </c>
      <c r="D295" s="143">
        <f>IFERROR(VLOOKUP(B295,'Enrollment 26-27'!$B$5:$I$332,8,FALSE),0)</f>
        <v>422.67333333333335</v>
      </c>
      <c r="E295" s="64">
        <f t="shared" si="68"/>
        <v>48911</v>
      </c>
      <c r="F295" s="144">
        <v>0</v>
      </c>
      <c r="G295" s="144">
        <v>0</v>
      </c>
      <c r="H295" s="64">
        <f t="shared" si="67"/>
        <v>48911</v>
      </c>
      <c r="I295" s="64">
        <f t="shared" si="69"/>
        <v>0</v>
      </c>
      <c r="J295" s="145">
        <f t="shared" si="70"/>
        <v>48911</v>
      </c>
      <c r="K295" s="146" t="str">
        <f t="shared" si="80"/>
        <v>Y</v>
      </c>
      <c r="L295" s="147">
        <f t="shared" si="71"/>
        <v>0</v>
      </c>
      <c r="M295" s="148">
        <f t="shared" si="72"/>
        <v>422.67333333333335</v>
      </c>
      <c r="N295" s="64">
        <f t="shared" si="73"/>
        <v>417</v>
      </c>
      <c r="O295" s="64">
        <f t="shared" si="66"/>
        <v>49328</v>
      </c>
      <c r="Q295" s="104">
        <f t="shared" si="74"/>
        <v>0</v>
      </c>
      <c r="R295" s="104" t="str">
        <f t="shared" si="75"/>
        <v>Not Applicable</v>
      </c>
      <c r="S295" s="149" t="s">
        <v>815</v>
      </c>
      <c r="T295" s="149">
        <f>IF(O295=0,0,IF(S295="N",0,VLOOKUP(B295,'Enrollment 25-26'!$B$8:$K$332,9,FALSE)))</f>
        <v>0</v>
      </c>
      <c r="U295" s="64">
        <f t="shared" si="76"/>
        <v>49328</v>
      </c>
      <c r="V295" s="128">
        <f t="shared" si="77"/>
        <v>116.70478383621709</v>
      </c>
      <c r="W295" s="150"/>
      <c r="X295" s="64">
        <f>IFERROR(VLOOKUP($B295,'Allocations 2025-26'!$B$9:$U$329,14,FALSE),0)</f>
        <v>44920</v>
      </c>
      <c r="Y295" s="99">
        <f t="shared" si="78"/>
        <v>4408</v>
      </c>
      <c r="Z295" s="132">
        <f t="shared" si="79"/>
        <v>9.8130008904719498E-2</v>
      </c>
      <c r="AA295" s="151" t="str">
        <f t="shared" si="81"/>
        <v>Y</v>
      </c>
      <c r="AC295" s="64"/>
      <c r="AE295" s="152"/>
      <c r="AH295" s="153"/>
      <c r="AI295" s="153"/>
      <c r="AJ295" s="153"/>
      <c r="AK295" s="154"/>
    </row>
    <row r="296" spans="1:37" x14ac:dyDescent="0.25">
      <c r="A296" s="142" t="s">
        <v>443</v>
      </c>
      <c r="B296" t="s">
        <v>746</v>
      </c>
      <c r="C296" t="s">
        <v>295</v>
      </c>
      <c r="D296" s="143">
        <f>IFERROR(VLOOKUP(B296,'Enrollment 26-27'!$B$5:$I$332,8,FALSE),0)</f>
        <v>51</v>
      </c>
      <c r="E296" s="64">
        <f t="shared" si="68"/>
        <v>5902</v>
      </c>
      <c r="F296" s="144">
        <v>0</v>
      </c>
      <c r="G296" s="144">
        <v>0</v>
      </c>
      <c r="H296" s="64">
        <f t="shared" si="67"/>
        <v>5902</v>
      </c>
      <c r="I296" s="64">
        <f t="shared" si="69"/>
        <v>0</v>
      </c>
      <c r="J296" s="145">
        <f t="shared" si="70"/>
        <v>5902</v>
      </c>
      <c r="K296" s="146" t="str">
        <f t="shared" si="80"/>
        <v>N</v>
      </c>
      <c r="L296" s="147">
        <f t="shared" si="71"/>
        <v>5902</v>
      </c>
      <c r="M296" s="148">
        <f t="shared" si="72"/>
        <v>0</v>
      </c>
      <c r="N296" s="64">
        <f t="shared" si="73"/>
        <v>0</v>
      </c>
      <c r="O296" s="64">
        <f t="shared" si="66"/>
        <v>0</v>
      </c>
      <c r="Q296" s="104">
        <f t="shared" si="74"/>
        <v>0</v>
      </c>
      <c r="R296" s="104" t="str">
        <f t="shared" si="75"/>
        <v>Not Applicable</v>
      </c>
      <c r="S296" s="149" t="s">
        <v>815</v>
      </c>
      <c r="T296" s="149">
        <f>IF(O296=0,0,IF(S296="N",0,VLOOKUP(B296,'Enrollment 25-26'!$B$8:$K$332,9,FALSE)))</f>
        <v>0</v>
      </c>
      <c r="U296" s="64">
        <f t="shared" si="76"/>
        <v>0</v>
      </c>
      <c r="V296" s="128">
        <f t="shared" si="77"/>
        <v>0</v>
      </c>
      <c r="W296" s="150"/>
      <c r="X296" s="64">
        <f>IFERROR(VLOOKUP($B296,'Allocations 2025-26'!$B$9:$U$329,14,FALSE),0)</f>
        <v>0</v>
      </c>
      <c r="Y296" s="99">
        <f t="shared" si="78"/>
        <v>0</v>
      </c>
      <c r="Z296" s="132">
        <f t="shared" si="79"/>
        <v>0</v>
      </c>
      <c r="AA296" s="151" t="str">
        <f t="shared" si="81"/>
        <v>N</v>
      </c>
      <c r="AC296" s="64"/>
      <c r="AE296" s="152"/>
      <c r="AH296" s="153"/>
      <c r="AI296" s="153"/>
      <c r="AJ296" s="153"/>
      <c r="AK296" s="154"/>
    </row>
    <row r="297" spans="1:37" x14ac:dyDescent="0.25">
      <c r="A297" s="142" t="s">
        <v>459</v>
      </c>
      <c r="B297" t="s">
        <v>747</v>
      </c>
      <c r="C297" t="s">
        <v>296</v>
      </c>
      <c r="D297" s="143">
        <f>IFERROR(VLOOKUP(B297,'Enrollment 26-27'!$B$5:$I$332,8,FALSE),0)</f>
        <v>3811.8333333333335</v>
      </c>
      <c r="E297" s="64">
        <f t="shared" si="68"/>
        <v>441097</v>
      </c>
      <c r="F297" s="144">
        <v>0</v>
      </c>
      <c r="G297" s="144">
        <v>0</v>
      </c>
      <c r="H297" s="64">
        <f t="shared" si="67"/>
        <v>441097</v>
      </c>
      <c r="I297" s="64">
        <f t="shared" si="69"/>
        <v>0</v>
      </c>
      <c r="J297" s="145">
        <f t="shared" si="70"/>
        <v>441097</v>
      </c>
      <c r="K297" s="146" t="str">
        <f t="shared" si="80"/>
        <v>Y</v>
      </c>
      <c r="L297" s="147">
        <f t="shared" si="71"/>
        <v>0</v>
      </c>
      <c r="M297" s="148">
        <f t="shared" si="72"/>
        <v>3811.8333333333335</v>
      </c>
      <c r="N297" s="64">
        <f t="shared" si="73"/>
        <v>3764</v>
      </c>
      <c r="O297" s="64">
        <f t="shared" si="66"/>
        <v>444861</v>
      </c>
      <c r="Q297" s="104">
        <f t="shared" si="74"/>
        <v>0</v>
      </c>
      <c r="R297" s="104" t="str">
        <f t="shared" si="75"/>
        <v>Not Applicable</v>
      </c>
      <c r="S297" s="149" t="s">
        <v>815</v>
      </c>
      <c r="T297" s="149">
        <f>IF(O297=0,0,IF(S297="N",0,VLOOKUP(B297,'Enrollment 25-26'!$B$8:$K$332,9,FALSE)))</f>
        <v>0</v>
      </c>
      <c r="U297" s="64">
        <f t="shared" si="76"/>
        <v>444861</v>
      </c>
      <c r="V297" s="128">
        <f t="shared" si="77"/>
        <v>116.7052599361637</v>
      </c>
      <c r="W297" s="150"/>
      <c r="X297" s="64">
        <f>IFERROR(VLOOKUP($B297,'Allocations 2025-26'!$B$9:$U$329,14,FALSE),0)</f>
        <v>454386</v>
      </c>
      <c r="Y297" s="99">
        <f t="shared" si="78"/>
        <v>-9525</v>
      </c>
      <c r="Z297" s="132">
        <f t="shared" si="79"/>
        <v>-2.096235359364065E-2</v>
      </c>
      <c r="AA297" s="151" t="str">
        <f t="shared" si="81"/>
        <v>Y</v>
      </c>
      <c r="AC297" s="64"/>
      <c r="AE297" s="152"/>
      <c r="AH297" s="153"/>
      <c r="AI297" s="153"/>
      <c r="AJ297" s="153"/>
      <c r="AK297" s="154"/>
    </row>
    <row r="298" spans="1:37" x14ac:dyDescent="0.25">
      <c r="A298" s="142" t="s">
        <v>454</v>
      </c>
      <c r="B298" t="s">
        <v>748</v>
      </c>
      <c r="C298" t="s">
        <v>297</v>
      </c>
      <c r="D298" s="143">
        <f>IFERROR(VLOOKUP(B298,'Enrollment 26-27'!$B$5:$I$332,8,FALSE),0)</f>
        <v>93.67</v>
      </c>
      <c r="E298" s="64">
        <f t="shared" si="68"/>
        <v>10839</v>
      </c>
      <c r="F298" s="144">
        <v>0</v>
      </c>
      <c r="G298" s="144">
        <v>0</v>
      </c>
      <c r="H298" s="64">
        <f t="shared" si="67"/>
        <v>10839</v>
      </c>
      <c r="I298" s="64">
        <f t="shared" si="69"/>
        <v>0</v>
      </c>
      <c r="J298" s="145">
        <f t="shared" si="70"/>
        <v>10839</v>
      </c>
      <c r="K298" s="146" t="str">
        <f t="shared" si="80"/>
        <v>Y</v>
      </c>
      <c r="L298" s="147">
        <f t="shared" si="71"/>
        <v>0</v>
      </c>
      <c r="M298" s="148">
        <f t="shared" si="72"/>
        <v>93.67</v>
      </c>
      <c r="N298" s="64">
        <f t="shared" si="73"/>
        <v>92</v>
      </c>
      <c r="O298" s="64">
        <f t="shared" si="66"/>
        <v>10931</v>
      </c>
      <c r="Q298" s="104">
        <f t="shared" si="74"/>
        <v>0</v>
      </c>
      <c r="R298" s="104" t="str">
        <f t="shared" si="75"/>
        <v>Not Applicable</v>
      </c>
      <c r="S298" s="149" t="s">
        <v>815</v>
      </c>
      <c r="T298" s="149">
        <f>IF(O298=0,0,IF(S298="N",0,VLOOKUP(B298,'Enrollment 25-26'!$B$8:$K$332,9,FALSE)))</f>
        <v>0</v>
      </c>
      <c r="U298" s="64">
        <f t="shared" si="76"/>
        <v>10931</v>
      </c>
      <c r="V298" s="128">
        <f t="shared" si="77"/>
        <v>116.69691470054447</v>
      </c>
      <c r="W298" s="150"/>
      <c r="X298" s="64">
        <f>IFERROR(VLOOKUP($B298,'Allocations 2025-26'!$B$9:$U$329,14,FALSE),0)</f>
        <v>12044</v>
      </c>
      <c r="Y298" s="99">
        <f t="shared" si="78"/>
        <v>-1113</v>
      </c>
      <c r="Z298" s="132">
        <f t="shared" si="79"/>
        <v>-9.2411159083361005E-2</v>
      </c>
      <c r="AA298" s="151" t="str">
        <f t="shared" si="81"/>
        <v>Y</v>
      </c>
      <c r="AC298" s="64"/>
      <c r="AE298" s="152"/>
    </row>
    <row r="299" spans="1:37" x14ac:dyDescent="0.25">
      <c r="A299" s="142" t="s">
        <v>459</v>
      </c>
      <c r="B299" t="s">
        <v>749</v>
      </c>
      <c r="C299" t="s">
        <v>299</v>
      </c>
      <c r="D299" s="143">
        <f>IFERROR(VLOOKUP(B299,'Enrollment 26-27'!$B$5:$I$332,8,FALSE),0)</f>
        <v>8.17</v>
      </c>
      <c r="E299" s="64">
        <f t="shared" si="68"/>
        <v>945</v>
      </c>
      <c r="F299" s="144">
        <v>0</v>
      </c>
      <c r="G299" s="144">
        <v>0</v>
      </c>
      <c r="H299" s="64">
        <f t="shared" si="67"/>
        <v>945</v>
      </c>
      <c r="I299" s="64">
        <f t="shared" si="69"/>
        <v>0</v>
      </c>
      <c r="J299" s="145">
        <f t="shared" si="70"/>
        <v>945</v>
      </c>
      <c r="K299" s="146" t="str">
        <f t="shared" si="80"/>
        <v>N</v>
      </c>
      <c r="L299" s="147">
        <f t="shared" si="71"/>
        <v>945</v>
      </c>
      <c r="M299" s="148">
        <f t="shared" si="72"/>
        <v>0</v>
      </c>
      <c r="N299" s="64">
        <f t="shared" si="73"/>
        <v>0</v>
      </c>
      <c r="O299" s="64">
        <f t="shared" si="66"/>
        <v>0</v>
      </c>
      <c r="Q299" s="104">
        <f t="shared" si="74"/>
        <v>0</v>
      </c>
      <c r="R299" s="104" t="str">
        <f t="shared" si="75"/>
        <v>Not Applicable</v>
      </c>
      <c r="S299" s="149" t="s">
        <v>815</v>
      </c>
      <c r="T299" s="149">
        <f>IF(O299=0,0,IF(S299="N",0,VLOOKUP(B299,'Enrollment 25-26'!$B$8:$K$332,9,FALSE)))</f>
        <v>0</v>
      </c>
      <c r="U299" s="64">
        <f t="shared" si="76"/>
        <v>0</v>
      </c>
      <c r="V299" s="128">
        <f t="shared" si="77"/>
        <v>0</v>
      </c>
      <c r="W299" s="150"/>
      <c r="X299" s="64">
        <f>IFERROR(VLOOKUP($B299,'Allocations 2025-26'!$B$9:$U$329,14,FALSE),0)</f>
        <v>0</v>
      </c>
      <c r="Y299" s="99">
        <f t="shared" si="78"/>
        <v>0</v>
      </c>
      <c r="Z299" s="132">
        <f t="shared" si="79"/>
        <v>0</v>
      </c>
      <c r="AA299" s="151" t="str">
        <f t="shared" si="81"/>
        <v>N</v>
      </c>
      <c r="AC299" s="64"/>
      <c r="AE299" s="152"/>
    </row>
    <row r="300" spans="1:37" x14ac:dyDescent="0.25">
      <c r="A300" s="142" t="s">
        <v>471</v>
      </c>
      <c r="B300" t="s">
        <v>750</v>
      </c>
      <c r="C300" t="s">
        <v>300</v>
      </c>
      <c r="D300" s="143">
        <f>IFERROR(VLOOKUP(B300,'Enrollment 26-27'!$B$5:$I$332,8,FALSE),0)</f>
        <v>1295.1600000000001</v>
      </c>
      <c r="E300" s="64">
        <f t="shared" si="68"/>
        <v>149873</v>
      </c>
      <c r="F300" s="144">
        <v>0</v>
      </c>
      <c r="G300" s="144">
        <v>0</v>
      </c>
      <c r="H300" s="64">
        <f t="shared" si="67"/>
        <v>149873</v>
      </c>
      <c r="I300" s="64">
        <f t="shared" si="69"/>
        <v>0</v>
      </c>
      <c r="J300" s="145">
        <f t="shared" si="70"/>
        <v>149873</v>
      </c>
      <c r="K300" s="146" t="str">
        <f t="shared" si="80"/>
        <v>Y</v>
      </c>
      <c r="L300" s="147">
        <f t="shared" si="71"/>
        <v>0</v>
      </c>
      <c r="M300" s="148">
        <f t="shared" si="72"/>
        <v>1295.1600000000001</v>
      </c>
      <c r="N300" s="64">
        <f t="shared" si="73"/>
        <v>1279</v>
      </c>
      <c r="O300" s="64">
        <f t="shared" si="66"/>
        <v>151152</v>
      </c>
      <c r="Q300" s="104">
        <f t="shared" si="74"/>
        <v>0</v>
      </c>
      <c r="R300" s="104" t="str">
        <f t="shared" si="75"/>
        <v>Not Applicable</v>
      </c>
      <c r="S300" s="149" t="s">
        <v>815</v>
      </c>
      <c r="T300" s="149">
        <f>IF(O300=0,0,IF(S300="N",0,VLOOKUP(B300,'Enrollment 25-26'!$B$8:$K$332,9,FALSE)))</f>
        <v>0</v>
      </c>
      <c r="U300" s="64">
        <f t="shared" si="76"/>
        <v>151152</v>
      </c>
      <c r="V300" s="128">
        <f t="shared" si="77"/>
        <v>116.70527193551375</v>
      </c>
      <c r="W300" s="150"/>
      <c r="X300" s="64">
        <f>IFERROR(VLOOKUP($B300,'Allocations 2025-26'!$B$9:$U$329,14,FALSE),0)</f>
        <v>159199</v>
      </c>
      <c r="Y300" s="99">
        <f t="shared" si="78"/>
        <v>-8047</v>
      </c>
      <c r="Z300" s="132">
        <f t="shared" si="79"/>
        <v>-5.0546799917084904E-2</v>
      </c>
      <c r="AA300" s="151" t="str">
        <f t="shared" si="81"/>
        <v>Y</v>
      </c>
      <c r="AC300" s="64"/>
      <c r="AE300" s="152"/>
    </row>
    <row r="301" spans="1:37" x14ac:dyDescent="0.25">
      <c r="A301" s="142" t="s">
        <v>451</v>
      </c>
      <c r="B301" t="s">
        <v>751</v>
      </c>
      <c r="C301" t="s">
        <v>301</v>
      </c>
      <c r="D301" s="143">
        <f>IFERROR(VLOOKUP(B301,'Enrollment 26-27'!$B$5:$I$332,8,FALSE),0)</f>
        <v>0</v>
      </c>
      <c r="E301" s="64">
        <f t="shared" si="68"/>
        <v>0</v>
      </c>
      <c r="F301" s="144">
        <v>0</v>
      </c>
      <c r="G301" s="144">
        <v>0</v>
      </c>
      <c r="H301" s="64">
        <f t="shared" si="67"/>
        <v>0</v>
      </c>
      <c r="I301" s="64">
        <f t="shared" si="69"/>
        <v>0</v>
      </c>
      <c r="J301" s="145">
        <f t="shared" si="70"/>
        <v>0</v>
      </c>
      <c r="K301" s="146" t="str">
        <f t="shared" si="80"/>
        <v>N</v>
      </c>
      <c r="L301" s="147">
        <f t="shared" si="71"/>
        <v>0</v>
      </c>
      <c r="M301" s="148">
        <f t="shared" si="72"/>
        <v>0</v>
      </c>
      <c r="N301" s="64">
        <f t="shared" si="73"/>
        <v>0</v>
      </c>
      <c r="O301" s="64">
        <f t="shared" si="66"/>
        <v>0</v>
      </c>
      <c r="Q301" s="104">
        <f t="shared" si="74"/>
        <v>0</v>
      </c>
      <c r="R301" s="104" t="str">
        <f t="shared" si="75"/>
        <v>Not Applicable</v>
      </c>
      <c r="S301" s="149" t="s">
        <v>815</v>
      </c>
      <c r="T301" s="149">
        <f>IF(O301=0,0,IF(S301="N",0,VLOOKUP(B301,'Enrollment 25-26'!$B$8:$K$332,9,FALSE)))</f>
        <v>0</v>
      </c>
      <c r="U301" s="64">
        <f t="shared" si="76"/>
        <v>0</v>
      </c>
      <c r="V301" s="128">
        <f t="shared" si="77"/>
        <v>0</v>
      </c>
      <c r="W301" s="150"/>
      <c r="X301" s="64">
        <f>IFERROR(VLOOKUP($B301,'Allocations 2025-26'!$B$9:$U$329,14,FALSE),0)</f>
        <v>0</v>
      </c>
      <c r="Y301" s="99">
        <f t="shared" si="78"/>
        <v>0</v>
      </c>
      <c r="Z301" s="132">
        <f t="shared" si="79"/>
        <v>0</v>
      </c>
      <c r="AA301" s="151" t="str">
        <f t="shared" si="81"/>
        <v>N</v>
      </c>
      <c r="AC301" s="64"/>
      <c r="AE301" s="152"/>
    </row>
    <row r="302" spans="1:37" x14ac:dyDescent="0.25">
      <c r="A302" s="142" t="s">
        <v>451</v>
      </c>
      <c r="B302" t="s">
        <v>752</v>
      </c>
      <c r="C302" t="s">
        <v>302</v>
      </c>
      <c r="D302" s="143">
        <f>IFERROR(VLOOKUP(B302,'Enrollment 26-27'!$B$5:$I$332,8,FALSE),0)</f>
        <v>782.67000000000007</v>
      </c>
      <c r="E302" s="64">
        <f t="shared" si="68"/>
        <v>90569</v>
      </c>
      <c r="F302" s="144">
        <v>0</v>
      </c>
      <c r="G302" s="144">
        <v>0</v>
      </c>
      <c r="H302" s="64">
        <f t="shared" si="67"/>
        <v>90569</v>
      </c>
      <c r="I302" s="64">
        <f t="shared" si="69"/>
        <v>0</v>
      </c>
      <c r="J302" s="145">
        <f t="shared" si="70"/>
        <v>90569</v>
      </c>
      <c r="K302" s="146" t="str">
        <f t="shared" si="80"/>
        <v>Y</v>
      </c>
      <c r="L302" s="147">
        <f t="shared" si="71"/>
        <v>0</v>
      </c>
      <c r="M302" s="148">
        <f t="shared" si="72"/>
        <v>782.67000000000007</v>
      </c>
      <c r="N302" s="64">
        <f t="shared" si="73"/>
        <v>773</v>
      </c>
      <c r="O302" s="64">
        <f t="shared" si="66"/>
        <v>91342</v>
      </c>
      <c r="Q302" s="104">
        <f t="shared" si="74"/>
        <v>0</v>
      </c>
      <c r="R302" s="104" t="str">
        <f t="shared" si="75"/>
        <v>Not Applicable</v>
      </c>
      <c r="S302" s="149" t="s">
        <v>815</v>
      </c>
      <c r="T302" s="149">
        <f>IF(O302=0,0,IF(S302="N",0,VLOOKUP(B302,'Enrollment 25-26'!$B$8:$K$332,9,FALSE)))</f>
        <v>0</v>
      </c>
      <c r="U302" s="64">
        <f t="shared" si="76"/>
        <v>91342</v>
      </c>
      <c r="V302" s="128">
        <f t="shared" si="77"/>
        <v>116.70563583630393</v>
      </c>
      <c r="W302" s="150"/>
      <c r="X302" s="64">
        <f>IFERROR(VLOOKUP($B302,'Allocations 2025-26'!$B$9:$U$329,14,FALSE),0)</f>
        <v>96515</v>
      </c>
      <c r="Y302" s="99">
        <f t="shared" si="78"/>
        <v>-5173</v>
      </c>
      <c r="Z302" s="132">
        <f t="shared" si="79"/>
        <v>-5.3597886338911049E-2</v>
      </c>
      <c r="AA302" s="151" t="str">
        <f t="shared" si="81"/>
        <v>Y</v>
      </c>
      <c r="AC302" s="64"/>
      <c r="AE302" s="152"/>
    </row>
    <row r="303" spans="1:37" x14ac:dyDescent="0.25">
      <c r="A303" s="142" t="s">
        <v>471</v>
      </c>
      <c r="B303" t="s">
        <v>753</v>
      </c>
      <c r="C303" t="s">
        <v>303</v>
      </c>
      <c r="D303" s="143">
        <f>IFERROR(VLOOKUP(B303,'Enrollment 26-27'!$B$5:$I$332,8,FALSE),0)</f>
        <v>1441.9966666666667</v>
      </c>
      <c r="E303" s="64">
        <f t="shared" si="68"/>
        <v>166865</v>
      </c>
      <c r="F303" s="144">
        <v>0</v>
      </c>
      <c r="G303" s="144">
        <v>0</v>
      </c>
      <c r="H303" s="64">
        <f t="shared" si="67"/>
        <v>166865</v>
      </c>
      <c r="I303" s="64">
        <f t="shared" si="69"/>
        <v>0</v>
      </c>
      <c r="J303" s="145">
        <f t="shared" si="70"/>
        <v>166865</v>
      </c>
      <c r="K303" s="146" t="str">
        <f t="shared" si="80"/>
        <v>Y</v>
      </c>
      <c r="L303" s="147">
        <f t="shared" si="71"/>
        <v>0</v>
      </c>
      <c r="M303" s="148">
        <f t="shared" si="72"/>
        <v>1441.9966666666667</v>
      </c>
      <c r="N303" s="64">
        <f t="shared" si="73"/>
        <v>1424</v>
      </c>
      <c r="O303" s="64">
        <f t="shared" si="66"/>
        <v>168289</v>
      </c>
      <c r="Q303" s="104">
        <f t="shared" si="74"/>
        <v>0</v>
      </c>
      <c r="R303" s="104" t="str">
        <f t="shared" si="75"/>
        <v>Not Applicable</v>
      </c>
      <c r="S303" s="149" t="s">
        <v>815</v>
      </c>
      <c r="T303" s="149">
        <f>IF(O303=0,0,IF(S303="N",0,VLOOKUP(B303,'Enrollment 25-26'!$B$8:$K$332,9,FALSE)))</f>
        <v>0</v>
      </c>
      <c r="U303" s="64">
        <f t="shared" si="76"/>
        <v>168289</v>
      </c>
      <c r="V303" s="128">
        <f t="shared" si="77"/>
        <v>116.70554023472084</v>
      </c>
      <c r="W303" s="150"/>
      <c r="X303" s="64">
        <f>IFERROR(VLOOKUP($B303,'Allocations 2025-26'!$B$9:$U$329,14,FALSE),0)</f>
        <v>172436</v>
      </c>
      <c r="Y303" s="99">
        <f t="shared" si="78"/>
        <v>-4147</v>
      </c>
      <c r="Z303" s="132">
        <f t="shared" si="79"/>
        <v>-2.4049502424087779E-2</v>
      </c>
      <c r="AA303" s="151" t="str">
        <f t="shared" si="81"/>
        <v>Y</v>
      </c>
      <c r="AC303" s="64"/>
      <c r="AE303" s="152"/>
    </row>
    <row r="304" spans="1:37" x14ac:dyDescent="0.25">
      <c r="A304" s="142" t="s">
        <v>481</v>
      </c>
      <c r="B304" t="s">
        <v>754</v>
      </c>
      <c r="C304" t="s">
        <v>304</v>
      </c>
      <c r="D304" s="143">
        <f>IFERROR(VLOOKUP(B304,'Enrollment 26-27'!$B$5:$I$332,8,FALSE),0)</f>
        <v>276</v>
      </c>
      <c r="E304" s="64">
        <f t="shared" si="68"/>
        <v>31938</v>
      </c>
      <c r="F304" s="144">
        <v>0</v>
      </c>
      <c r="G304" s="144">
        <v>0</v>
      </c>
      <c r="H304" s="64">
        <f t="shared" si="67"/>
        <v>31938</v>
      </c>
      <c r="I304" s="64">
        <f t="shared" si="69"/>
        <v>0</v>
      </c>
      <c r="J304" s="145">
        <f t="shared" si="70"/>
        <v>31938</v>
      </c>
      <c r="K304" s="146" t="str">
        <f t="shared" si="80"/>
        <v>Y</v>
      </c>
      <c r="L304" s="147">
        <f t="shared" si="71"/>
        <v>0</v>
      </c>
      <c r="M304" s="148">
        <f t="shared" si="72"/>
        <v>276</v>
      </c>
      <c r="N304" s="64">
        <f t="shared" si="73"/>
        <v>273</v>
      </c>
      <c r="O304" s="64">
        <f t="shared" si="66"/>
        <v>32211</v>
      </c>
      <c r="Q304" s="104">
        <f t="shared" si="74"/>
        <v>0</v>
      </c>
      <c r="R304" s="104" t="str">
        <f t="shared" si="75"/>
        <v>Not Applicable</v>
      </c>
      <c r="S304" s="149" t="s">
        <v>815</v>
      </c>
      <c r="T304" s="149">
        <f>IF(O304=0,0,IF(S304="N",0,VLOOKUP(B304,'Enrollment 25-26'!$B$8:$K$332,9,FALSE)))</f>
        <v>0</v>
      </c>
      <c r="U304" s="64">
        <f t="shared" si="76"/>
        <v>32211</v>
      </c>
      <c r="V304" s="128">
        <f t="shared" si="77"/>
        <v>116.70652173913044</v>
      </c>
      <c r="W304" s="150"/>
      <c r="X304" s="64">
        <f>IFERROR(VLOOKUP($B304,'Allocations 2025-26'!$B$9:$U$329,14,FALSE),0)</f>
        <v>33675</v>
      </c>
      <c r="Y304" s="99">
        <f t="shared" si="78"/>
        <v>-1464</v>
      </c>
      <c r="Z304" s="132">
        <f t="shared" si="79"/>
        <v>-4.3474387527839643E-2</v>
      </c>
      <c r="AA304" s="151" t="str">
        <f t="shared" si="81"/>
        <v>Y</v>
      </c>
      <c r="AC304" s="64"/>
      <c r="AE304" s="152"/>
    </row>
    <row r="305" spans="1:37" x14ac:dyDescent="0.25">
      <c r="A305" s="142" t="s">
        <v>459</v>
      </c>
      <c r="B305" t="s">
        <v>755</v>
      </c>
      <c r="C305" t="s">
        <v>305</v>
      </c>
      <c r="D305" s="143">
        <f>IFERROR(VLOOKUP(B305,'Enrollment 26-27'!$B$5:$I$332,8,FALSE),0)</f>
        <v>106.83</v>
      </c>
      <c r="E305" s="64">
        <f t="shared" si="68"/>
        <v>12362</v>
      </c>
      <c r="F305" s="144">
        <v>0</v>
      </c>
      <c r="G305" s="144">
        <v>0</v>
      </c>
      <c r="H305" s="64">
        <f t="shared" si="67"/>
        <v>12362</v>
      </c>
      <c r="I305" s="64">
        <f t="shared" si="69"/>
        <v>0</v>
      </c>
      <c r="J305" s="145">
        <f t="shared" si="70"/>
        <v>12362</v>
      </c>
      <c r="K305" s="146" t="str">
        <f t="shared" si="80"/>
        <v>Y</v>
      </c>
      <c r="L305" s="147">
        <f t="shared" si="71"/>
        <v>0</v>
      </c>
      <c r="M305" s="148">
        <f t="shared" si="72"/>
        <v>106.83</v>
      </c>
      <c r="N305" s="64">
        <f t="shared" si="73"/>
        <v>105</v>
      </c>
      <c r="O305" s="64">
        <f t="shared" si="66"/>
        <v>12467</v>
      </c>
      <c r="Q305" s="104">
        <f t="shared" si="74"/>
        <v>0</v>
      </c>
      <c r="R305" s="104" t="str">
        <f t="shared" si="75"/>
        <v>Not Applicable</v>
      </c>
      <c r="S305" s="149" t="s">
        <v>815</v>
      </c>
      <c r="T305" s="149">
        <f>IF(O305=0,0,IF(S305="N",0,VLOOKUP(B305,'Enrollment 25-26'!$B$8:$K$332,9,FALSE)))</f>
        <v>0</v>
      </c>
      <c r="U305" s="64">
        <f t="shared" si="76"/>
        <v>12467</v>
      </c>
      <c r="V305" s="128">
        <f t="shared" si="77"/>
        <v>116.69942899934476</v>
      </c>
      <c r="W305" s="150"/>
      <c r="X305" s="64">
        <f>IFERROR(VLOOKUP($B305,'Allocations 2025-26'!$B$9:$U$329,14,FALSE),0)</f>
        <v>11303</v>
      </c>
      <c r="Y305" s="99">
        <f t="shared" si="78"/>
        <v>1164</v>
      </c>
      <c r="Z305" s="132">
        <f t="shared" si="79"/>
        <v>0.10298150933380519</v>
      </c>
      <c r="AA305" s="151" t="str">
        <f t="shared" si="81"/>
        <v>Y</v>
      </c>
      <c r="AB305" s="185"/>
      <c r="AC305" s="64"/>
      <c r="AE305" s="152"/>
    </row>
    <row r="306" spans="1:37" x14ac:dyDescent="0.25">
      <c r="A306" s="142" t="s">
        <v>443</v>
      </c>
      <c r="B306" s="153" t="s">
        <v>756</v>
      </c>
      <c r="C306" t="s">
        <v>306</v>
      </c>
      <c r="D306" s="143">
        <f>IFERROR(VLOOKUP(B306,'Enrollment 26-27'!$B$5:$I$332,8,FALSE),0)</f>
        <v>0</v>
      </c>
      <c r="E306" s="64">
        <f t="shared" si="68"/>
        <v>0</v>
      </c>
      <c r="F306" s="144">
        <v>0</v>
      </c>
      <c r="G306" s="144">
        <v>0</v>
      </c>
      <c r="H306" s="64">
        <f t="shared" si="67"/>
        <v>0</v>
      </c>
      <c r="I306" s="64">
        <f t="shared" si="69"/>
        <v>0</v>
      </c>
      <c r="J306" s="145">
        <f t="shared" si="70"/>
        <v>0</v>
      </c>
      <c r="K306" s="146" t="str">
        <f t="shared" si="80"/>
        <v>N</v>
      </c>
      <c r="L306" s="147">
        <f t="shared" si="71"/>
        <v>0</v>
      </c>
      <c r="M306" s="148">
        <f t="shared" si="72"/>
        <v>0</v>
      </c>
      <c r="N306" s="64">
        <f t="shared" si="73"/>
        <v>0</v>
      </c>
      <c r="O306" s="64">
        <f t="shared" si="66"/>
        <v>0</v>
      </c>
      <c r="Q306" s="104">
        <f t="shared" si="74"/>
        <v>0</v>
      </c>
      <c r="R306" s="104" t="str">
        <f t="shared" si="75"/>
        <v>Not Applicable</v>
      </c>
      <c r="S306" s="149" t="s">
        <v>815</v>
      </c>
      <c r="T306" s="149">
        <f>IF(O306=0,0,IF(S306="N",0,VLOOKUP(B306,'Enrollment 25-26'!$B$8:$K$332,9,FALSE)))</f>
        <v>0</v>
      </c>
      <c r="U306" s="64">
        <f t="shared" si="76"/>
        <v>0</v>
      </c>
      <c r="V306" s="128">
        <f t="shared" si="77"/>
        <v>0</v>
      </c>
      <c r="W306" s="150"/>
      <c r="X306" s="64">
        <f>IFERROR(VLOOKUP($B306,'Allocations 2025-26'!$B$9:$U$329,14,FALSE),0)</f>
        <v>0</v>
      </c>
      <c r="Y306" s="99">
        <f t="shared" si="78"/>
        <v>0</v>
      </c>
      <c r="Z306" s="132">
        <f t="shared" si="79"/>
        <v>0</v>
      </c>
      <c r="AA306" s="151" t="str">
        <f t="shared" si="81"/>
        <v>N</v>
      </c>
      <c r="AC306" s="64"/>
      <c r="AE306" s="152"/>
    </row>
    <row r="307" spans="1:37" x14ac:dyDescent="0.25">
      <c r="A307" s="142" t="s">
        <v>481</v>
      </c>
      <c r="B307" s="153" t="s">
        <v>757</v>
      </c>
      <c r="C307" t="s">
        <v>307</v>
      </c>
      <c r="D307" s="143">
        <f>IFERROR(VLOOKUP(B307,'Enrollment 26-27'!$B$5:$I$332,8,FALSE),0)</f>
        <v>24.159999999999997</v>
      </c>
      <c r="E307" s="64">
        <f t="shared" si="68"/>
        <v>2796</v>
      </c>
      <c r="F307" s="144">
        <v>0</v>
      </c>
      <c r="G307" s="144">
        <v>0</v>
      </c>
      <c r="H307" s="64">
        <f t="shared" si="67"/>
        <v>2796</v>
      </c>
      <c r="I307" s="64">
        <f t="shared" si="69"/>
        <v>0</v>
      </c>
      <c r="J307" s="145">
        <f t="shared" si="70"/>
        <v>2796</v>
      </c>
      <c r="K307" s="146" t="str">
        <f t="shared" si="80"/>
        <v>N</v>
      </c>
      <c r="L307" s="147">
        <f t="shared" si="71"/>
        <v>2796</v>
      </c>
      <c r="M307" s="148">
        <f t="shared" si="72"/>
        <v>0</v>
      </c>
      <c r="N307" s="64">
        <f t="shared" si="73"/>
        <v>0</v>
      </c>
      <c r="O307" s="64">
        <f t="shared" si="66"/>
        <v>0</v>
      </c>
      <c r="Q307" s="104">
        <f t="shared" si="74"/>
        <v>0</v>
      </c>
      <c r="R307" s="104" t="str">
        <f t="shared" si="75"/>
        <v>Not Applicable</v>
      </c>
      <c r="S307" s="149" t="s">
        <v>815</v>
      </c>
      <c r="T307" s="149">
        <f>IF(O307=0,0,IF(S307="N",0,VLOOKUP(B307,'Enrollment 25-26'!$B$8:$K$332,9,FALSE)))</f>
        <v>0</v>
      </c>
      <c r="U307" s="64">
        <f t="shared" si="76"/>
        <v>0</v>
      </c>
      <c r="V307" s="128">
        <f t="shared" si="77"/>
        <v>0</v>
      </c>
      <c r="W307" s="150"/>
      <c r="X307" s="64">
        <f>IFERROR(VLOOKUP($B307,'Allocations 2025-26'!$B$9:$U$329,14,FALSE),0)</f>
        <v>0</v>
      </c>
      <c r="Y307" s="99">
        <f t="shared" si="78"/>
        <v>0</v>
      </c>
      <c r="Z307" s="132">
        <f t="shared" si="79"/>
        <v>0</v>
      </c>
      <c r="AA307" s="151" t="str">
        <f t="shared" si="81"/>
        <v>N</v>
      </c>
      <c r="AC307" s="64"/>
      <c r="AE307" s="152"/>
    </row>
    <row r="308" spans="1:37" x14ac:dyDescent="0.25">
      <c r="A308" s="142" t="s">
        <v>443</v>
      </c>
      <c r="B308" s="153" t="s">
        <v>758</v>
      </c>
      <c r="C308" t="s">
        <v>308</v>
      </c>
      <c r="D308" s="143">
        <f>IFERROR(VLOOKUP(B308,'Enrollment 26-27'!$B$5:$I$332,8,FALSE),0)</f>
        <v>73.166666666666671</v>
      </c>
      <c r="E308" s="64">
        <f t="shared" si="68"/>
        <v>8467</v>
      </c>
      <c r="F308" s="144">
        <v>0</v>
      </c>
      <c r="G308" s="144">
        <v>0</v>
      </c>
      <c r="H308" s="64">
        <f t="shared" si="67"/>
        <v>8467</v>
      </c>
      <c r="I308" s="64">
        <f t="shared" si="69"/>
        <v>0</v>
      </c>
      <c r="J308" s="145">
        <f t="shared" si="70"/>
        <v>8467</v>
      </c>
      <c r="K308" s="146" t="str">
        <f t="shared" si="80"/>
        <v>N</v>
      </c>
      <c r="L308" s="147">
        <f t="shared" si="71"/>
        <v>8467</v>
      </c>
      <c r="M308" s="148">
        <f t="shared" si="72"/>
        <v>0</v>
      </c>
      <c r="N308" s="64">
        <f t="shared" si="73"/>
        <v>0</v>
      </c>
      <c r="O308" s="64">
        <f t="shared" si="66"/>
        <v>0</v>
      </c>
      <c r="Q308" s="104">
        <f t="shared" si="74"/>
        <v>0</v>
      </c>
      <c r="R308" s="104" t="str">
        <f t="shared" si="75"/>
        <v>Not Applicable</v>
      </c>
      <c r="S308" s="149" t="s">
        <v>815</v>
      </c>
      <c r="T308" s="149">
        <f>IF(O308=0,0,IF(S308="N",0,VLOOKUP(B308,'Enrollment 25-26'!$B$8:$K$332,9,FALSE)))</f>
        <v>0</v>
      </c>
      <c r="U308" s="64">
        <f t="shared" si="76"/>
        <v>0</v>
      </c>
      <c r="V308" s="128">
        <f t="shared" si="77"/>
        <v>0</v>
      </c>
      <c r="W308" s="150"/>
      <c r="X308" s="64">
        <f>IFERROR(VLOOKUP($B308,'Allocations 2025-26'!$B$9:$U$329,14,FALSE),0)</f>
        <v>11108</v>
      </c>
      <c r="Y308" s="99">
        <f t="shared" si="78"/>
        <v>-11108</v>
      </c>
      <c r="Z308" s="132">
        <f t="shared" si="79"/>
        <v>-1</v>
      </c>
      <c r="AA308" s="151" t="str">
        <f t="shared" si="81"/>
        <v>N</v>
      </c>
      <c r="AC308" s="64"/>
      <c r="AE308" s="152"/>
    </row>
    <row r="309" spans="1:37" x14ac:dyDescent="0.25">
      <c r="A309" s="142" t="s">
        <v>481</v>
      </c>
      <c r="B309" s="153" t="s">
        <v>759</v>
      </c>
      <c r="C309" t="s">
        <v>309</v>
      </c>
      <c r="D309" s="143">
        <f>IFERROR(VLOOKUP(B309,'Enrollment 26-27'!$B$5:$I$332,8,FALSE),0)</f>
        <v>1598.5</v>
      </c>
      <c r="E309" s="64">
        <f t="shared" si="68"/>
        <v>184975</v>
      </c>
      <c r="F309" s="144">
        <v>0</v>
      </c>
      <c r="G309" s="144">
        <v>0</v>
      </c>
      <c r="H309" s="64">
        <f t="shared" si="67"/>
        <v>184975</v>
      </c>
      <c r="I309" s="64">
        <f t="shared" si="69"/>
        <v>0</v>
      </c>
      <c r="J309" s="145">
        <f t="shared" si="70"/>
        <v>184975</v>
      </c>
      <c r="K309" s="146" t="str">
        <f t="shared" si="80"/>
        <v>Y</v>
      </c>
      <c r="L309" s="147">
        <f t="shared" si="71"/>
        <v>0</v>
      </c>
      <c r="M309" s="148">
        <f t="shared" si="72"/>
        <v>1598.5</v>
      </c>
      <c r="N309" s="64">
        <f t="shared" si="73"/>
        <v>1578</v>
      </c>
      <c r="O309" s="64">
        <f t="shared" si="66"/>
        <v>186553</v>
      </c>
      <c r="Q309" s="104">
        <f t="shared" si="74"/>
        <v>0</v>
      </c>
      <c r="R309" s="104" t="str">
        <f t="shared" si="75"/>
        <v>Not Applicable</v>
      </c>
      <c r="S309" s="149" t="s">
        <v>815</v>
      </c>
      <c r="T309" s="149">
        <f>IF(O309=0,0,IF(S309="N",0,VLOOKUP(B309,'Enrollment 25-26'!$B$8:$K$332,9,FALSE)))</f>
        <v>0</v>
      </c>
      <c r="U309" s="64">
        <f t="shared" si="76"/>
        <v>186553</v>
      </c>
      <c r="V309" s="128">
        <f t="shared" si="77"/>
        <v>116.70503597122303</v>
      </c>
      <c r="W309" s="150"/>
      <c r="X309" s="64">
        <f>IFERROR(VLOOKUP($B309,'Allocations 2025-26'!$B$9:$U$329,14,FALSE),0)</f>
        <v>201795</v>
      </c>
      <c r="Y309" s="99">
        <f t="shared" si="78"/>
        <v>-15242</v>
      </c>
      <c r="Z309" s="132">
        <f t="shared" si="79"/>
        <v>-7.5532099407814857E-2</v>
      </c>
      <c r="AA309" s="151" t="str">
        <f t="shared" si="81"/>
        <v>Y</v>
      </c>
      <c r="AC309" s="64"/>
      <c r="AE309" s="152"/>
    </row>
    <row r="310" spans="1:37" s="100" customFormat="1" x14ac:dyDescent="0.25">
      <c r="A310" s="142" t="s">
        <v>443</v>
      </c>
      <c r="B310" s="153" t="s">
        <v>760</v>
      </c>
      <c r="C310" t="s">
        <v>310</v>
      </c>
      <c r="D310" s="143">
        <f>IFERROR(VLOOKUP(B310,'Enrollment 26-27'!$B$5:$I$332,8,FALSE),0)</f>
        <v>214.33</v>
      </c>
      <c r="E310" s="64">
        <f t="shared" si="68"/>
        <v>24802</v>
      </c>
      <c r="F310" s="144">
        <v>0</v>
      </c>
      <c r="G310" s="144">
        <v>0</v>
      </c>
      <c r="H310" s="64">
        <f t="shared" si="67"/>
        <v>24802</v>
      </c>
      <c r="I310" s="64">
        <f t="shared" si="69"/>
        <v>0</v>
      </c>
      <c r="J310" s="145">
        <f t="shared" si="70"/>
        <v>24802</v>
      </c>
      <c r="K310" s="146" t="str">
        <f t="shared" si="80"/>
        <v>Y</v>
      </c>
      <c r="L310" s="147">
        <f t="shared" si="71"/>
        <v>0</v>
      </c>
      <c r="M310" s="148">
        <f t="shared" si="72"/>
        <v>214.33</v>
      </c>
      <c r="N310" s="64">
        <f t="shared" si="73"/>
        <v>212</v>
      </c>
      <c r="O310" s="64">
        <f t="shared" ref="O310:O328" si="82">J310-L310+N310</f>
        <v>25014</v>
      </c>
      <c r="P310" s="104"/>
      <c r="Q310" s="104">
        <f t="shared" si="74"/>
        <v>0</v>
      </c>
      <c r="R310" s="104" t="str">
        <f t="shared" si="75"/>
        <v>Not Applicable</v>
      </c>
      <c r="S310" s="149" t="s">
        <v>815</v>
      </c>
      <c r="T310" s="149">
        <f>IF(O310=0,0,IF(S310="N",0,VLOOKUP(B310,'Enrollment 25-26'!$B$8:$K$332,9,FALSE)))</f>
        <v>0</v>
      </c>
      <c r="U310" s="64">
        <f t="shared" si="76"/>
        <v>25014</v>
      </c>
      <c r="V310" s="128">
        <f t="shared" si="77"/>
        <v>116.7078803713899</v>
      </c>
      <c r="W310" s="150"/>
      <c r="X310" s="64">
        <f>IFERROR(VLOOKUP($B310,'Allocations 2025-26'!$B$9:$U$329,14,FALSE),0)</f>
        <v>20751</v>
      </c>
      <c r="Y310" s="99">
        <f t="shared" si="78"/>
        <v>4263</v>
      </c>
      <c r="Z310" s="132">
        <f t="shared" si="79"/>
        <v>0.20543588260806708</v>
      </c>
      <c r="AA310" s="151" t="str">
        <f t="shared" si="81"/>
        <v>Y</v>
      </c>
      <c r="AB310" s="179"/>
      <c r="AC310" s="64"/>
      <c r="AD310"/>
      <c r="AE310" s="152"/>
      <c r="AF310"/>
      <c r="AG310"/>
      <c r="AH310"/>
      <c r="AI310"/>
      <c r="AJ310"/>
      <c r="AK310"/>
    </row>
    <row r="311" spans="1:37" s="100" customFormat="1" x14ac:dyDescent="0.25">
      <c r="A311" s="142" t="s">
        <v>471</v>
      </c>
      <c r="B311" s="159" t="s">
        <v>761</v>
      </c>
      <c r="C311" t="s">
        <v>311</v>
      </c>
      <c r="D311" s="143">
        <f>IFERROR(VLOOKUP(B311,'Enrollment 26-27'!$B$5:$I$332,8,FALSE),0)</f>
        <v>556</v>
      </c>
      <c r="E311" s="64">
        <f t="shared" si="68"/>
        <v>64339</v>
      </c>
      <c r="F311" s="144">
        <v>0</v>
      </c>
      <c r="G311" s="144">
        <v>0</v>
      </c>
      <c r="H311" s="64">
        <f t="shared" ref="H311:H328" si="83">SUM(E311:G311)</f>
        <v>64339</v>
      </c>
      <c r="I311" s="64">
        <f t="shared" si="69"/>
        <v>0</v>
      </c>
      <c r="J311" s="145">
        <f t="shared" si="70"/>
        <v>64339</v>
      </c>
      <c r="K311" s="146" t="str">
        <f t="shared" si="80"/>
        <v>Y</v>
      </c>
      <c r="L311" s="147">
        <f t="shared" si="71"/>
        <v>0</v>
      </c>
      <c r="M311" s="148">
        <f t="shared" si="72"/>
        <v>556</v>
      </c>
      <c r="N311" s="64">
        <f t="shared" si="73"/>
        <v>549</v>
      </c>
      <c r="O311" s="64">
        <f t="shared" si="82"/>
        <v>64888</v>
      </c>
      <c r="P311" s="104"/>
      <c r="Q311" s="104">
        <f t="shared" si="74"/>
        <v>0</v>
      </c>
      <c r="R311" s="104" t="str">
        <f t="shared" si="75"/>
        <v>Not Applicable</v>
      </c>
      <c r="S311" s="149" t="s">
        <v>815</v>
      </c>
      <c r="T311" s="149">
        <f>IF(O311=0,0,IF(S311="N",0,VLOOKUP(B311,'Enrollment 25-26'!$B$8:$K$332,9,FALSE)))</f>
        <v>0</v>
      </c>
      <c r="U311" s="64">
        <f t="shared" si="76"/>
        <v>64888</v>
      </c>
      <c r="V311" s="128">
        <f t="shared" si="77"/>
        <v>116.70503597122303</v>
      </c>
      <c r="W311" s="150"/>
      <c r="X311" s="64">
        <f>IFERROR(VLOOKUP($B311,'Allocations 2025-26'!$B$9:$U$329,14,FALSE),0)</f>
        <v>63583</v>
      </c>
      <c r="Y311" s="99">
        <f t="shared" si="78"/>
        <v>1305</v>
      </c>
      <c r="Z311" s="132">
        <f t="shared" si="79"/>
        <v>2.0524353993992106E-2</v>
      </c>
      <c r="AA311" s="151" t="str">
        <f t="shared" si="81"/>
        <v>Y</v>
      </c>
      <c r="AB311" s="179"/>
      <c r="AC311" s="64"/>
      <c r="AD311"/>
      <c r="AE311" s="152"/>
      <c r="AF311"/>
      <c r="AG311"/>
      <c r="AH311"/>
      <c r="AI311"/>
      <c r="AJ311"/>
      <c r="AK311"/>
    </row>
    <row r="312" spans="1:37" s="100" customFormat="1" x14ac:dyDescent="0.25">
      <c r="A312" s="142" t="s">
        <v>497</v>
      </c>
      <c r="B312" s="159" t="s">
        <v>762</v>
      </c>
      <c r="C312" t="s">
        <v>763</v>
      </c>
      <c r="D312" s="143">
        <f>IFERROR(VLOOKUP(B312,'Enrollment 26-27'!$B$5:$I$332,8,FALSE),0)</f>
        <v>0</v>
      </c>
      <c r="E312" s="64">
        <f t="shared" si="68"/>
        <v>0</v>
      </c>
      <c r="F312" s="144">
        <v>0</v>
      </c>
      <c r="G312" s="144">
        <v>0</v>
      </c>
      <c r="H312" s="64">
        <f t="shared" si="83"/>
        <v>0</v>
      </c>
      <c r="I312" s="64">
        <f t="shared" si="69"/>
        <v>0</v>
      </c>
      <c r="J312" s="145">
        <f t="shared" si="70"/>
        <v>0</v>
      </c>
      <c r="K312" s="146" t="str">
        <f t="shared" si="80"/>
        <v>N</v>
      </c>
      <c r="L312" s="147">
        <f t="shared" si="71"/>
        <v>0</v>
      </c>
      <c r="M312" s="148">
        <f t="shared" si="72"/>
        <v>0</v>
      </c>
      <c r="N312" s="64">
        <f t="shared" si="73"/>
        <v>0</v>
      </c>
      <c r="O312" s="64">
        <f t="shared" si="82"/>
        <v>0</v>
      </c>
      <c r="P312" s="104"/>
      <c r="Q312" s="104">
        <f t="shared" si="74"/>
        <v>0</v>
      </c>
      <c r="R312" s="104" t="str">
        <f t="shared" si="75"/>
        <v>Not Applicable</v>
      </c>
      <c r="S312" s="149" t="s">
        <v>815</v>
      </c>
      <c r="T312" s="149">
        <f>IF(O312=0,0,IF(S312="N",0,VLOOKUP(B312,'Enrollment 25-26'!$B$8:$K$332,9,FALSE)))</f>
        <v>0</v>
      </c>
      <c r="U312" s="64">
        <f t="shared" si="76"/>
        <v>0</v>
      </c>
      <c r="V312" s="128">
        <f t="shared" si="77"/>
        <v>0</v>
      </c>
      <c r="W312" s="150"/>
      <c r="X312" s="64">
        <f>IFERROR(VLOOKUP($B312,'Allocations 2025-26'!$B$9:$U$329,14,FALSE),0)</f>
        <v>0</v>
      </c>
      <c r="Y312" s="99">
        <f t="shared" si="78"/>
        <v>0</v>
      </c>
      <c r="Z312" s="132">
        <f t="shared" si="79"/>
        <v>0</v>
      </c>
      <c r="AA312" s="151" t="str">
        <f t="shared" si="81"/>
        <v>N</v>
      </c>
      <c r="AB312" s="179"/>
      <c r="AC312" s="64"/>
      <c r="AD312"/>
      <c r="AE312" s="152"/>
      <c r="AF312"/>
      <c r="AG312"/>
      <c r="AH312"/>
      <c r="AI312"/>
      <c r="AJ312"/>
      <c r="AK312"/>
    </row>
    <row r="313" spans="1:37" s="100" customFormat="1" x14ac:dyDescent="0.25">
      <c r="A313" s="142" t="s">
        <v>438</v>
      </c>
      <c r="B313" s="159" t="s">
        <v>764</v>
      </c>
      <c r="C313" t="s">
        <v>313</v>
      </c>
      <c r="D313" s="143">
        <f>IFERROR(VLOOKUP(B313,'Enrollment 26-27'!$B$5:$I$332,8,FALSE),0)</f>
        <v>0</v>
      </c>
      <c r="E313" s="64">
        <f t="shared" si="68"/>
        <v>0</v>
      </c>
      <c r="F313" s="144">
        <v>0</v>
      </c>
      <c r="G313" s="144">
        <v>0</v>
      </c>
      <c r="H313" s="64">
        <f t="shared" si="83"/>
        <v>0</v>
      </c>
      <c r="I313" s="64">
        <f t="shared" si="69"/>
        <v>0</v>
      </c>
      <c r="J313" s="145">
        <f t="shared" si="70"/>
        <v>0</v>
      </c>
      <c r="K313" s="146" t="str">
        <f t="shared" si="80"/>
        <v>N</v>
      </c>
      <c r="L313" s="147">
        <f t="shared" si="71"/>
        <v>0</v>
      </c>
      <c r="M313" s="148">
        <f t="shared" si="72"/>
        <v>0</v>
      </c>
      <c r="N313" s="64">
        <f t="shared" si="73"/>
        <v>0</v>
      </c>
      <c r="O313" s="64">
        <f t="shared" si="82"/>
        <v>0</v>
      </c>
      <c r="P313" s="104"/>
      <c r="Q313" s="104">
        <f t="shared" si="74"/>
        <v>0</v>
      </c>
      <c r="R313" s="104" t="str">
        <f t="shared" si="75"/>
        <v>Not Applicable</v>
      </c>
      <c r="S313" s="149" t="s">
        <v>815</v>
      </c>
      <c r="T313" s="149">
        <f>IF(O313=0,0,IF(S313="N",0,VLOOKUP(B313,'Enrollment 25-26'!$B$8:$K$332,9,FALSE)))</f>
        <v>0</v>
      </c>
      <c r="U313" s="64">
        <f t="shared" si="76"/>
        <v>0</v>
      </c>
      <c r="V313" s="128">
        <f t="shared" si="77"/>
        <v>0</v>
      </c>
      <c r="W313" s="150"/>
      <c r="X313" s="64">
        <f>IFERROR(VLOOKUP($B313,'Allocations 2025-26'!$B$9:$U$329,14,FALSE),0)</f>
        <v>0</v>
      </c>
      <c r="Y313" s="99">
        <f t="shared" si="78"/>
        <v>0</v>
      </c>
      <c r="Z313" s="132">
        <f t="shared" si="79"/>
        <v>0</v>
      </c>
      <c r="AA313" s="151" t="str">
        <f t="shared" si="81"/>
        <v>N</v>
      </c>
      <c r="AB313" s="179"/>
      <c r="AC313" s="64"/>
      <c r="AD313"/>
      <c r="AE313" s="152"/>
      <c r="AF313"/>
      <c r="AG313"/>
      <c r="AH313"/>
      <c r="AI313"/>
      <c r="AJ313"/>
      <c r="AK313"/>
    </row>
    <row r="314" spans="1:37" s="100" customFormat="1" x14ac:dyDescent="0.25">
      <c r="A314" s="142" t="s">
        <v>454</v>
      </c>
      <c r="B314" s="153" t="s">
        <v>765</v>
      </c>
      <c r="C314" t="s">
        <v>314</v>
      </c>
      <c r="D314" s="143">
        <f>IFERROR(VLOOKUP(B314,'Enrollment 26-27'!$B$5:$I$332,8,FALSE),0)</f>
        <v>240.83</v>
      </c>
      <c r="E314" s="64">
        <f t="shared" si="68"/>
        <v>27868</v>
      </c>
      <c r="F314" s="144">
        <v>0</v>
      </c>
      <c r="G314" s="144">
        <v>0</v>
      </c>
      <c r="H314" s="64">
        <f t="shared" si="83"/>
        <v>27868</v>
      </c>
      <c r="I314" s="64">
        <f t="shared" si="69"/>
        <v>0</v>
      </c>
      <c r="J314" s="145">
        <f t="shared" si="70"/>
        <v>27868</v>
      </c>
      <c r="K314" s="146" t="str">
        <f t="shared" si="80"/>
        <v>Y</v>
      </c>
      <c r="L314" s="147">
        <f t="shared" si="71"/>
        <v>0</v>
      </c>
      <c r="M314" s="148">
        <f t="shared" si="72"/>
        <v>240.83</v>
      </c>
      <c r="N314" s="64">
        <f t="shared" si="73"/>
        <v>238</v>
      </c>
      <c r="O314" s="64">
        <f t="shared" si="82"/>
        <v>28106</v>
      </c>
      <c r="P314" s="104"/>
      <c r="Q314" s="104">
        <f t="shared" si="74"/>
        <v>0</v>
      </c>
      <c r="R314" s="104" t="str">
        <f t="shared" si="75"/>
        <v>Not Applicable</v>
      </c>
      <c r="S314" s="149" t="s">
        <v>815</v>
      </c>
      <c r="T314" s="149">
        <f>IF(O314=0,0,IF(S314="N",0,VLOOKUP(B314,'Enrollment 25-26'!$B$8:$K$332,9,FALSE)))</f>
        <v>0</v>
      </c>
      <c r="U314" s="64">
        <f t="shared" si="76"/>
        <v>28106</v>
      </c>
      <c r="V314" s="128">
        <f t="shared" si="77"/>
        <v>116.70472947722459</v>
      </c>
      <c r="W314" s="150"/>
      <c r="X314" s="64">
        <f>IFERROR(VLOOKUP($B314,'Allocations 2025-26'!$B$9:$U$329,14,FALSE),0)</f>
        <v>25651</v>
      </c>
      <c r="Y314" s="99">
        <f t="shared" si="78"/>
        <v>2455</v>
      </c>
      <c r="Z314" s="132">
        <f t="shared" si="79"/>
        <v>9.5707769677595422E-2</v>
      </c>
      <c r="AA314" s="151" t="str">
        <f t="shared" si="81"/>
        <v>Y</v>
      </c>
      <c r="AB314" s="179"/>
      <c r="AC314" s="64"/>
      <c r="AD314"/>
      <c r="AE314" s="152"/>
      <c r="AF314"/>
      <c r="AG314"/>
      <c r="AH314"/>
      <c r="AI314"/>
      <c r="AJ314"/>
      <c r="AK314"/>
    </row>
    <row r="315" spans="1:37" s="100" customFormat="1" x14ac:dyDescent="0.25">
      <c r="A315" s="142" t="s">
        <v>459</v>
      </c>
      <c r="B315" s="153" t="s">
        <v>766</v>
      </c>
      <c r="C315" t="s">
        <v>315</v>
      </c>
      <c r="D315" s="143">
        <f>IFERROR(VLOOKUP(B315,'Enrollment 26-27'!$B$5:$I$332,8,FALSE),0)</f>
        <v>163.5</v>
      </c>
      <c r="E315" s="64">
        <f t="shared" si="68"/>
        <v>18920</v>
      </c>
      <c r="F315" s="144">
        <v>0</v>
      </c>
      <c r="G315" s="144">
        <v>0</v>
      </c>
      <c r="H315" s="64">
        <f t="shared" si="83"/>
        <v>18920</v>
      </c>
      <c r="I315" s="64">
        <f t="shared" si="69"/>
        <v>0</v>
      </c>
      <c r="J315" s="145">
        <f t="shared" si="70"/>
        <v>18920</v>
      </c>
      <c r="K315" s="146" t="str">
        <f t="shared" si="80"/>
        <v>Y</v>
      </c>
      <c r="L315" s="147">
        <f t="shared" si="71"/>
        <v>0</v>
      </c>
      <c r="M315" s="148">
        <f t="shared" si="72"/>
        <v>163.5</v>
      </c>
      <c r="N315" s="64">
        <f t="shared" si="73"/>
        <v>161</v>
      </c>
      <c r="O315" s="64">
        <f t="shared" si="82"/>
        <v>19081</v>
      </c>
      <c r="P315" s="104"/>
      <c r="Q315" s="104">
        <f t="shared" si="74"/>
        <v>0</v>
      </c>
      <c r="R315" s="104" t="str">
        <f t="shared" si="75"/>
        <v>Not Applicable</v>
      </c>
      <c r="S315" s="149" t="s">
        <v>815</v>
      </c>
      <c r="T315" s="149">
        <f>IF(O315=0,0,IF(S315="N",0,VLOOKUP(B315,'Enrollment 25-26'!$B$8:$K$332,9,FALSE)))</f>
        <v>0</v>
      </c>
      <c r="U315" s="64">
        <f t="shared" si="76"/>
        <v>19081</v>
      </c>
      <c r="V315" s="128">
        <f t="shared" si="77"/>
        <v>116.70336391437309</v>
      </c>
      <c r="W315" s="150"/>
      <c r="X315" s="64">
        <f>IFERROR(VLOOKUP($B315,'Allocations 2025-26'!$B$9:$U$329,14,FALSE),0)</f>
        <v>20732</v>
      </c>
      <c r="Y315" s="99">
        <f t="shared" si="78"/>
        <v>-1651</v>
      </c>
      <c r="Z315" s="132">
        <f t="shared" si="79"/>
        <v>-7.9635346324522474E-2</v>
      </c>
      <c r="AA315" s="151" t="str">
        <f t="shared" si="81"/>
        <v>Y</v>
      </c>
      <c r="AB315" s="179"/>
      <c r="AC315" s="64"/>
      <c r="AD315"/>
      <c r="AE315" s="152"/>
      <c r="AF315"/>
      <c r="AG315"/>
      <c r="AH315"/>
      <c r="AI315"/>
      <c r="AJ315"/>
      <c r="AK315"/>
    </row>
    <row r="316" spans="1:37" s="100" customFormat="1" x14ac:dyDescent="0.25">
      <c r="A316" s="142" t="s">
        <v>497</v>
      </c>
      <c r="B316" t="s">
        <v>498</v>
      </c>
      <c r="C316" t="s">
        <v>499</v>
      </c>
      <c r="D316" s="143">
        <f>IFERROR(VLOOKUP(B316,'Enrollment 26-27'!$B$5:$I$332,8,FALSE),0)</f>
        <v>5</v>
      </c>
      <c r="E316" s="64">
        <f t="shared" si="68"/>
        <v>579</v>
      </c>
      <c r="F316" s="144">
        <v>0</v>
      </c>
      <c r="G316" s="144">
        <v>0</v>
      </c>
      <c r="H316" s="64">
        <f t="shared" si="83"/>
        <v>579</v>
      </c>
      <c r="I316" s="64">
        <f t="shared" si="69"/>
        <v>0</v>
      </c>
      <c r="J316" s="145">
        <f t="shared" si="70"/>
        <v>579</v>
      </c>
      <c r="K316" s="146" t="str">
        <f t="shared" si="80"/>
        <v>N</v>
      </c>
      <c r="L316" s="147">
        <f t="shared" si="71"/>
        <v>579</v>
      </c>
      <c r="M316" s="148">
        <f t="shared" si="72"/>
        <v>0</v>
      </c>
      <c r="N316" s="64">
        <f t="shared" si="73"/>
        <v>0</v>
      </c>
      <c r="O316" s="64">
        <f t="shared" si="82"/>
        <v>0</v>
      </c>
      <c r="P316" s="104"/>
      <c r="Q316" s="104">
        <f t="shared" si="74"/>
        <v>0</v>
      </c>
      <c r="R316" s="104" t="str">
        <f t="shared" si="75"/>
        <v>Not Applicable</v>
      </c>
      <c r="S316" s="149" t="s">
        <v>815</v>
      </c>
      <c r="T316" s="149">
        <f>IF(O316=0,0,IF(S316="N",0,VLOOKUP(B316,'Enrollment 25-26'!$B$8:$K$332,9,FALSE)))</f>
        <v>0</v>
      </c>
      <c r="U316" s="64">
        <f t="shared" si="76"/>
        <v>0</v>
      </c>
      <c r="V316" s="128">
        <f t="shared" si="77"/>
        <v>0</v>
      </c>
      <c r="W316" s="150"/>
      <c r="X316" s="64">
        <f>IFERROR(VLOOKUP($B316,'Allocations 2025-26'!$B$9:$U$329,14,FALSE),0)</f>
        <v>0</v>
      </c>
      <c r="Y316" s="99">
        <f t="shared" si="78"/>
        <v>0</v>
      </c>
      <c r="Z316" s="132">
        <f t="shared" si="79"/>
        <v>0</v>
      </c>
      <c r="AA316" s="151" t="str">
        <f t="shared" si="81"/>
        <v>N</v>
      </c>
      <c r="AB316" s="179"/>
      <c r="AC316" s="64"/>
      <c r="AD316"/>
      <c r="AE316" s="152"/>
      <c r="AF316"/>
      <c r="AG316"/>
      <c r="AH316"/>
      <c r="AI316"/>
      <c r="AJ316"/>
      <c r="AK316"/>
    </row>
    <row r="317" spans="1:37" s="100" customFormat="1" x14ac:dyDescent="0.25">
      <c r="A317" s="142" t="s">
        <v>443</v>
      </c>
      <c r="B317" s="153" t="s">
        <v>767</v>
      </c>
      <c r="C317" t="s">
        <v>317</v>
      </c>
      <c r="D317" s="143">
        <f>IFERROR(VLOOKUP(B317,'Enrollment 26-27'!$B$5:$I$332,8,FALSE),0)</f>
        <v>0</v>
      </c>
      <c r="E317" s="64">
        <f t="shared" si="68"/>
        <v>0</v>
      </c>
      <c r="F317" s="144">
        <v>0</v>
      </c>
      <c r="G317" s="144">
        <v>0</v>
      </c>
      <c r="H317" s="64">
        <f t="shared" si="83"/>
        <v>0</v>
      </c>
      <c r="I317" s="64">
        <f t="shared" si="69"/>
        <v>0</v>
      </c>
      <c r="J317" s="145">
        <f t="shared" si="70"/>
        <v>0</v>
      </c>
      <c r="K317" s="146" t="str">
        <f t="shared" si="80"/>
        <v>N</v>
      </c>
      <c r="L317" s="147">
        <f t="shared" si="71"/>
        <v>0</v>
      </c>
      <c r="M317" s="148">
        <f t="shared" si="72"/>
        <v>0</v>
      </c>
      <c r="N317" s="64">
        <f t="shared" si="73"/>
        <v>0</v>
      </c>
      <c r="O317" s="64">
        <f t="shared" si="82"/>
        <v>0</v>
      </c>
      <c r="P317" s="104"/>
      <c r="Q317" s="104">
        <f t="shared" si="74"/>
        <v>0</v>
      </c>
      <c r="R317" s="104" t="str">
        <f t="shared" si="75"/>
        <v>Not Applicable</v>
      </c>
      <c r="S317" s="149" t="s">
        <v>815</v>
      </c>
      <c r="T317" s="149">
        <f>IF(O317=0,0,IF(S317="N",0,VLOOKUP(B317,'Enrollment 25-26'!$B$8:$K$332,9,FALSE)))</f>
        <v>0</v>
      </c>
      <c r="U317" s="64">
        <f t="shared" si="76"/>
        <v>0</v>
      </c>
      <c r="V317" s="128">
        <f t="shared" si="77"/>
        <v>0</v>
      </c>
      <c r="W317" s="150"/>
      <c r="X317" s="64">
        <f>IFERROR(VLOOKUP($B317,'Allocations 2025-26'!$B$9:$U$329,14,FALSE),0)</f>
        <v>0</v>
      </c>
      <c r="Y317" s="99">
        <f t="shared" si="78"/>
        <v>0</v>
      </c>
      <c r="Z317" s="132">
        <f t="shared" si="79"/>
        <v>0</v>
      </c>
      <c r="AA317" s="151" t="str">
        <f t="shared" si="81"/>
        <v>N</v>
      </c>
      <c r="AB317" s="179"/>
      <c r="AC317" s="64"/>
      <c r="AD317"/>
      <c r="AE317" s="152"/>
      <c r="AF317"/>
      <c r="AG317"/>
      <c r="AH317"/>
      <c r="AI317"/>
      <c r="AJ317"/>
      <c r="AK317"/>
    </row>
    <row r="318" spans="1:37" s="100" customFormat="1" x14ac:dyDescent="0.25">
      <c r="A318" s="142" t="s">
        <v>438</v>
      </c>
      <c r="B318" s="153" t="s">
        <v>768</v>
      </c>
      <c r="C318" t="s">
        <v>318</v>
      </c>
      <c r="D318" s="143">
        <f>IFERROR(VLOOKUP(B318,'Enrollment 26-27'!$B$5:$I$332,8,FALSE),0)</f>
        <v>5</v>
      </c>
      <c r="E318" s="64">
        <f t="shared" si="68"/>
        <v>579</v>
      </c>
      <c r="F318" s="144">
        <v>0</v>
      </c>
      <c r="G318" s="144">
        <v>0</v>
      </c>
      <c r="H318" s="64">
        <f t="shared" si="83"/>
        <v>579</v>
      </c>
      <c r="I318" s="64">
        <f t="shared" si="69"/>
        <v>0</v>
      </c>
      <c r="J318" s="145">
        <f t="shared" si="70"/>
        <v>579</v>
      </c>
      <c r="K318" s="146" t="str">
        <f t="shared" si="80"/>
        <v>C</v>
      </c>
      <c r="L318" s="147">
        <f t="shared" si="71"/>
        <v>0</v>
      </c>
      <c r="M318" s="148">
        <f t="shared" si="72"/>
        <v>5</v>
      </c>
      <c r="N318" s="64">
        <f t="shared" si="73"/>
        <v>5</v>
      </c>
      <c r="O318" s="64">
        <f t="shared" si="82"/>
        <v>584</v>
      </c>
      <c r="P318" s="104"/>
      <c r="Q318" s="104">
        <f t="shared" si="74"/>
        <v>0</v>
      </c>
      <c r="R318" s="104" t="str">
        <f t="shared" si="75"/>
        <v>Not Applicable</v>
      </c>
      <c r="S318" s="149" t="s">
        <v>815</v>
      </c>
      <c r="T318" s="149">
        <f>IF(O318=0,0,IF(S318="N",0,VLOOKUP(B318,'Enrollment 25-26'!$B$8:$K$332,9,FALSE)))</f>
        <v>0</v>
      </c>
      <c r="U318" s="64">
        <f t="shared" si="76"/>
        <v>584</v>
      </c>
      <c r="V318" s="128">
        <f t="shared" si="77"/>
        <v>116.8</v>
      </c>
      <c r="W318" s="150"/>
      <c r="X318" s="64">
        <f>IFERROR(VLOOKUP($B318,'Allocations 2025-26'!$B$9:$U$329,14,FALSE),0)</f>
        <v>703</v>
      </c>
      <c r="Y318" s="99">
        <f t="shared" si="78"/>
        <v>-119</v>
      </c>
      <c r="Z318" s="132">
        <f t="shared" si="79"/>
        <v>-0.16927453769559034</v>
      </c>
      <c r="AA318" s="151" t="str">
        <f t="shared" si="81"/>
        <v>C</v>
      </c>
      <c r="AB318" s="179"/>
      <c r="AC318" s="93"/>
      <c r="AD318"/>
      <c r="AE318" s="152"/>
      <c r="AF318"/>
      <c r="AG318"/>
      <c r="AH318"/>
      <c r="AI318"/>
      <c r="AJ318"/>
      <c r="AK318"/>
    </row>
    <row r="319" spans="1:37" s="100" customFormat="1" x14ac:dyDescent="0.25">
      <c r="A319" s="142" t="s">
        <v>481</v>
      </c>
      <c r="B319" s="160" t="s">
        <v>771</v>
      </c>
      <c r="C319" s="13" t="s">
        <v>319</v>
      </c>
      <c r="D319" s="143">
        <f>IFERROR(VLOOKUP(B319,'Enrollment 26-27'!$B$5:$I$332,8,FALSE),0)</f>
        <v>2</v>
      </c>
      <c r="E319" s="64">
        <f t="shared" si="68"/>
        <v>231</v>
      </c>
      <c r="F319" s="144">
        <v>0</v>
      </c>
      <c r="G319" s="144">
        <v>0</v>
      </c>
      <c r="H319" s="64">
        <f t="shared" si="83"/>
        <v>231</v>
      </c>
      <c r="I319" s="64">
        <f t="shared" si="69"/>
        <v>0</v>
      </c>
      <c r="J319" s="145">
        <f t="shared" si="70"/>
        <v>231</v>
      </c>
      <c r="K319" s="146" t="str">
        <f t="shared" si="80"/>
        <v>N</v>
      </c>
      <c r="L319" s="147">
        <f t="shared" si="71"/>
        <v>231</v>
      </c>
      <c r="M319" s="148">
        <f t="shared" si="72"/>
        <v>0</v>
      </c>
      <c r="N319" s="64">
        <f t="shared" si="73"/>
        <v>0</v>
      </c>
      <c r="O319" s="64">
        <f t="shared" si="82"/>
        <v>0</v>
      </c>
      <c r="P319" s="104"/>
      <c r="Q319" s="104">
        <f t="shared" si="74"/>
        <v>0</v>
      </c>
      <c r="R319" s="104" t="str">
        <f t="shared" si="75"/>
        <v>Not Applicable</v>
      </c>
      <c r="S319" s="149" t="s">
        <v>815</v>
      </c>
      <c r="T319" s="149">
        <f>IF(O319=0,0,IF(S319="N",0,VLOOKUP(B319,'Enrollment 25-26'!$B$8:$K$332,9,FALSE)))</f>
        <v>0</v>
      </c>
      <c r="U319" s="64">
        <f t="shared" si="76"/>
        <v>0</v>
      </c>
      <c r="V319" s="128">
        <f t="shared" si="77"/>
        <v>0</v>
      </c>
      <c r="W319" s="150"/>
      <c r="X319" s="64">
        <f>IFERROR(VLOOKUP($B319,'Allocations 2025-26'!$B$9:$U$329,14,FALSE),0)</f>
        <v>0</v>
      </c>
      <c r="Y319" s="99">
        <f t="shared" si="78"/>
        <v>0</v>
      </c>
      <c r="Z319" s="132">
        <f t="shared" si="79"/>
        <v>0</v>
      </c>
      <c r="AA319" s="151" t="str">
        <f t="shared" si="81"/>
        <v>N</v>
      </c>
      <c r="AB319" s="179"/>
      <c r="AC319" s="93"/>
      <c r="AD319"/>
      <c r="AE319" s="152"/>
      <c r="AF319"/>
      <c r="AG319"/>
      <c r="AH319"/>
      <c r="AI319"/>
      <c r="AJ319"/>
      <c r="AK319"/>
    </row>
    <row r="320" spans="1:37" s="100" customFormat="1" x14ac:dyDescent="0.25">
      <c r="A320" s="142" t="s">
        <v>438</v>
      </c>
      <c r="B320" s="161" t="s">
        <v>470</v>
      </c>
      <c r="C320" t="s">
        <v>320</v>
      </c>
      <c r="D320" s="143">
        <f>IFERROR(VLOOKUP(B320,'Enrollment 26-27'!$B$5:$I$332,8,FALSE),0)</f>
        <v>45.16</v>
      </c>
      <c r="E320" s="64">
        <f t="shared" si="68"/>
        <v>5226</v>
      </c>
      <c r="F320" s="144">
        <v>0</v>
      </c>
      <c r="G320" s="144">
        <v>0</v>
      </c>
      <c r="H320" s="64">
        <f t="shared" si="83"/>
        <v>5226</v>
      </c>
      <c r="I320" s="64">
        <f t="shared" si="69"/>
        <v>0</v>
      </c>
      <c r="J320" s="145">
        <f t="shared" si="70"/>
        <v>5226</v>
      </c>
      <c r="K320" s="146" t="str">
        <f t="shared" si="80"/>
        <v>C</v>
      </c>
      <c r="L320" s="147">
        <f t="shared" si="71"/>
        <v>0</v>
      </c>
      <c r="M320" s="148">
        <f t="shared" si="72"/>
        <v>45.16</v>
      </c>
      <c r="N320" s="64">
        <f t="shared" si="73"/>
        <v>45</v>
      </c>
      <c r="O320" s="64">
        <f t="shared" si="82"/>
        <v>5271</v>
      </c>
      <c r="P320" s="104"/>
      <c r="Q320" s="104">
        <f t="shared" si="74"/>
        <v>0</v>
      </c>
      <c r="R320" s="104" t="str">
        <f t="shared" si="75"/>
        <v>Not Applicable</v>
      </c>
      <c r="S320" s="149" t="s">
        <v>815</v>
      </c>
      <c r="T320" s="149">
        <f>IF(O320=0,0,IF(S320="N",0,VLOOKUP(B320,'Enrollment 25-26'!$B$8:$K$332,9,FALSE)))</f>
        <v>0</v>
      </c>
      <c r="U320" s="64">
        <f t="shared" si="76"/>
        <v>5271</v>
      </c>
      <c r="V320" s="128">
        <f t="shared" si="77"/>
        <v>116.718334809566</v>
      </c>
      <c r="W320" s="150"/>
      <c r="X320" s="64">
        <f>IFERROR(VLOOKUP($B320,'Allocations 2025-26'!$B$9:$U$329,14,FALSE),0)</f>
        <v>4821</v>
      </c>
      <c r="Y320" s="99">
        <f t="shared" si="78"/>
        <v>450</v>
      </c>
      <c r="Z320" s="132">
        <f t="shared" si="79"/>
        <v>9.3341630367143741E-2</v>
      </c>
      <c r="AA320" s="151" t="str">
        <f t="shared" si="81"/>
        <v>C</v>
      </c>
      <c r="AB320" s="179"/>
      <c r="AC320" s="93"/>
      <c r="AD320"/>
      <c r="AE320" s="152"/>
      <c r="AF320"/>
      <c r="AG320"/>
      <c r="AH320"/>
      <c r="AI320"/>
      <c r="AJ320"/>
      <c r="AK320"/>
    </row>
    <row r="321" spans="1:37" s="100" customFormat="1" x14ac:dyDescent="0.25">
      <c r="A321" s="142" t="s">
        <v>438</v>
      </c>
      <c r="B321" s="161" t="s">
        <v>772</v>
      </c>
      <c r="C321" t="s">
        <v>321</v>
      </c>
      <c r="D321" s="143">
        <f>IFERROR(VLOOKUP(B321,'Enrollment 26-27'!$B$5:$I$332,8,FALSE),0)</f>
        <v>2</v>
      </c>
      <c r="E321" s="64">
        <f t="shared" si="68"/>
        <v>231</v>
      </c>
      <c r="F321" s="144">
        <v>0</v>
      </c>
      <c r="G321" s="144">
        <v>0</v>
      </c>
      <c r="H321" s="64">
        <f t="shared" si="83"/>
        <v>231</v>
      </c>
      <c r="I321" s="64">
        <f t="shared" si="69"/>
        <v>0</v>
      </c>
      <c r="J321" s="145">
        <f t="shared" si="70"/>
        <v>231</v>
      </c>
      <c r="K321" s="146" t="str">
        <f t="shared" si="80"/>
        <v>N</v>
      </c>
      <c r="L321" s="147">
        <f t="shared" si="71"/>
        <v>231</v>
      </c>
      <c r="M321" s="148">
        <f t="shared" si="72"/>
        <v>0</v>
      </c>
      <c r="N321" s="64">
        <f t="shared" si="73"/>
        <v>0</v>
      </c>
      <c r="O321" s="64">
        <f t="shared" si="82"/>
        <v>0</v>
      </c>
      <c r="P321" s="104"/>
      <c r="Q321" s="104">
        <f t="shared" si="74"/>
        <v>0</v>
      </c>
      <c r="R321" s="104" t="str">
        <f t="shared" si="75"/>
        <v>Not Applicable</v>
      </c>
      <c r="S321" s="149" t="s">
        <v>815</v>
      </c>
      <c r="T321" s="149">
        <f>IF(O321=0,0,IF(S321="N",0,VLOOKUP(B321,'Enrollment 25-26'!$B$8:$K$332,9,FALSE)))</f>
        <v>0</v>
      </c>
      <c r="U321" s="64">
        <f t="shared" si="76"/>
        <v>0</v>
      </c>
      <c r="V321" s="128">
        <f t="shared" si="77"/>
        <v>0</v>
      </c>
      <c r="W321" s="150"/>
      <c r="X321" s="64">
        <f>IFERROR(VLOOKUP($B321,'Allocations 2025-26'!$B$9:$U$329,14,FALSE),0)</f>
        <v>0</v>
      </c>
      <c r="Y321" s="99">
        <f t="shared" si="78"/>
        <v>0</v>
      </c>
      <c r="Z321" s="132">
        <f t="shared" si="79"/>
        <v>0</v>
      </c>
      <c r="AA321" s="151" t="str">
        <f t="shared" si="81"/>
        <v>N</v>
      </c>
      <c r="AB321" s="179"/>
      <c r="AC321" s="93"/>
      <c r="AD321"/>
      <c r="AE321" s="152"/>
      <c r="AF321"/>
      <c r="AG321"/>
      <c r="AH321"/>
      <c r="AI321"/>
      <c r="AJ321"/>
      <c r="AK321"/>
    </row>
    <row r="322" spans="1:37" s="100" customFormat="1" x14ac:dyDescent="0.25">
      <c r="A322" s="142" t="s">
        <v>459</v>
      </c>
      <c r="B322" s="161" t="s">
        <v>773</v>
      </c>
      <c r="C322" t="s">
        <v>322</v>
      </c>
      <c r="D322" s="143">
        <f>IFERROR(VLOOKUP(B322,'Enrollment 26-27'!$B$5:$I$332,8,FALSE),0)</f>
        <v>0</v>
      </c>
      <c r="E322" s="64">
        <f t="shared" si="68"/>
        <v>0</v>
      </c>
      <c r="F322" s="144">
        <v>0</v>
      </c>
      <c r="G322" s="144">
        <v>0</v>
      </c>
      <c r="H322" s="64">
        <f t="shared" si="83"/>
        <v>0</v>
      </c>
      <c r="I322" s="64">
        <f t="shared" si="69"/>
        <v>0</v>
      </c>
      <c r="J322" s="145">
        <f t="shared" si="70"/>
        <v>0</v>
      </c>
      <c r="K322" s="146" t="str">
        <f t="shared" si="80"/>
        <v>N</v>
      </c>
      <c r="L322" s="147">
        <f t="shared" si="71"/>
        <v>0</v>
      </c>
      <c r="M322" s="148">
        <f t="shared" si="72"/>
        <v>0</v>
      </c>
      <c r="N322" s="64">
        <f t="shared" si="73"/>
        <v>0</v>
      </c>
      <c r="O322" s="64">
        <f t="shared" si="82"/>
        <v>0</v>
      </c>
      <c r="P322" s="104"/>
      <c r="Q322" s="104">
        <f t="shared" si="74"/>
        <v>0</v>
      </c>
      <c r="R322" s="104" t="str">
        <f t="shared" si="75"/>
        <v>Not Applicable</v>
      </c>
      <c r="S322" s="149" t="s">
        <v>815</v>
      </c>
      <c r="T322" s="149">
        <f>IF(O322=0,0,IF(S322="N",0,VLOOKUP(B322,'Enrollment 25-26'!$B$8:$K$332,9,FALSE)))</f>
        <v>0</v>
      </c>
      <c r="U322" s="64">
        <f t="shared" si="76"/>
        <v>0</v>
      </c>
      <c r="V322" s="128">
        <f t="shared" si="77"/>
        <v>0</v>
      </c>
      <c r="W322" s="150"/>
      <c r="X322" s="64">
        <f>IFERROR(VLOOKUP($B322,'Allocations 2025-26'!$B$9:$U$329,14,FALSE),0)</f>
        <v>0</v>
      </c>
      <c r="Y322" s="99">
        <f t="shared" si="78"/>
        <v>0</v>
      </c>
      <c r="Z322" s="132">
        <f t="shared" si="79"/>
        <v>0</v>
      </c>
      <c r="AA322" s="151" t="str">
        <f t="shared" si="81"/>
        <v>N</v>
      </c>
      <c r="AB322" s="179"/>
      <c r="AC322" s="93"/>
      <c r="AD322"/>
      <c r="AE322" s="152"/>
      <c r="AF322"/>
      <c r="AG322"/>
      <c r="AH322"/>
      <c r="AI322"/>
      <c r="AJ322"/>
      <c r="AK322"/>
    </row>
    <row r="323" spans="1:37" s="100" customFormat="1" x14ac:dyDescent="0.25">
      <c r="A323" s="142" t="s">
        <v>459</v>
      </c>
      <c r="B323" s="161" t="s">
        <v>774</v>
      </c>
      <c r="C323" t="s">
        <v>323</v>
      </c>
      <c r="D323" s="143">
        <f>IFERROR(VLOOKUP(B323,'Enrollment 26-27'!$B$5:$I$332,8,FALSE),0)</f>
        <v>185.16</v>
      </c>
      <c r="E323" s="64">
        <f t="shared" si="68"/>
        <v>21426</v>
      </c>
      <c r="F323" s="144">
        <v>0</v>
      </c>
      <c r="G323" s="144">
        <v>0</v>
      </c>
      <c r="H323" s="64">
        <f t="shared" si="83"/>
        <v>21426</v>
      </c>
      <c r="I323" s="64">
        <f t="shared" si="69"/>
        <v>0</v>
      </c>
      <c r="J323" s="145">
        <f t="shared" si="70"/>
        <v>21426</v>
      </c>
      <c r="K323" s="146" t="str">
        <f t="shared" si="80"/>
        <v>Y</v>
      </c>
      <c r="L323" s="147">
        <f t="shared" si="71"/>
        <v>0</v>
      </c>
      <c r="M323" s="148">
        <f t="shared" si="72"/>
        <v>185.16</v>
      </c>
      <c r="N323" s="64">
        <f t="shared" si="73"/>
        <v>183</v>
      </c>
      <c r="O323" s="64">
        <f t="shared" si="82"/>
        <v>21609</v>
      </c>
      <c r="P323" s="104"/>
      <c r="Q323" s="104">
        <f t="shared" si="74"/>
        <v>0</v>
      </c>
      <c r="R323" s="104" t="str">
        <f t="shared" si="75"/>
        <v>Not Applicable</v>
      </c>
      <c r="S323" s="149" t="s">
        <v>815</v>
      </c>
      <c r="T323" s="149">
        <f>IF(O323=0,0,IF(S323="N",0,VLOOKUP(B323,'Enrollment 25-26'!$B$8:$K$332,9,FALSE)))</f>
        <v>0</v>
      </c>
      <c r="U323" s="64">
        <f t="shared" si="76"/>
        <v>21609</v>
      </c>
      <c r="V323" s="128">
        <f t="shared" si="77"/>
        <v>116.70447180816592</v>
      </c>
      <c r="W323" s="150"/>
      <c r="X323" s="64">
        <f>IFERROR(VLOOKUP($B323,'Allocations 2025-26'!$B$9:$U$329,14,FALSE),0)</f>
        <v>24500</v>
      </c>
      <c r="Y323" s="99">
        <f t="shared" si="78"/>
        <v>-2891</v>
      </c>
      <c r="Z323" s="132">
        <f t="shared" si="79"/>
        <v>-0.11799999999999999</v>
      </c>
      <c r="AA323" s="151" t="str">
        <f t="shared" si="81"/>
        <v>Y</v>
      </c>
      <c r="AB323" s="179"/>
      <c r="AC323" s="93"/>
      <c r="AD323"/>
      <c r="AE323" s="152"/>
      <c r="AF323"/>
      <c r="AG323"/>
      <c r="AH323"/>
      <c r="AI323"/>
      <c r="AJ323"/>
      <c r="AK323"/>
    </row>
    <row r="324" spans="1:37" s="100" customFormat="1" x14ac:dyDescent="0.25">
      <c r="A324" t="s">
        <v>471</v>
      </c>
      <c r="B324" t="s">
        <v>775</v>
      </c>
      <c r="C324" t="s">
        <v>325</v>
      </c>
      <c r="D324" s="143">
        <f>IFERROR(VLOOKUP(B324,'Enrollment 26-27'!$B$5:$I$332,8,FALSE),0)</f>
        <v>4951.17</v>
      </c>
      <c r="E324" s="64">
        <f t="shared" si="68"/>
        <v>572939</v>
      </c>
      <c r="F324" s="144">
        <v>0</v>
      </c>
      <c r="G324" s="144">
        <v>0</v>
      </c>
      <c r="H324" s="64">
        <f t="shared" si="83"/>
        <v>572939</v>
      </c>
      <c r="I324" s="64">
        <f t="shared" si="69"/>
        <v>0</v>
      </c>
      <c r="J324" s="145">
        <f t="shared" si="70"/>
        <v>572939</v>
      </c>
      <c r="K324" s="146" t="str">
        <f t="shared" si="80"/>
        <v>Y</v>
      </c>
      <c r="L324" s="147">
        <f t="shared" si="71"/>
        <v>0</v>
      </c>
      <c r="M324" s="148">
        <f t="shared" si="72"/>
        <v>4951.17</v>
      </c>
      <c r="N324" s="64">
        <f t="shared" si="73"/>
        <v>4888</v>
      </c>
      <c r="O324" s="64">
        <f t="shared" si="82"/>
        <v>577827</v>
      </c>
      <c r="P324" s="104"/>
      <c r="Q324" s="104">
        <f t="shared" si="74"/>
        <v>0</v>
      </c>
      <c r="R324" s="104" t="str">
        <f t="shared" si="75"/>
        <v>Not Applicable</v>
      </c>
      <c r="S324" s="149" t="s">
        <v>815</v>
      </c>
      <c r="T324" s="149">
        <f>IF(O324=0,0,IF(S324="N",0,VLOOKUP(B324,'Enrollment 25-26'!$B$8:$K$332,9,FALSE)))</f>
        <v>0</v>
      </c>
      <c r="U324" s="64">
        <f t="shared" si="76"/>
        <v>577827</v>
      </c>
      <c r="V324" s="128">
        <f t="shared" si="77"/>
        <v>116.70514242088234</v>
      </c>
      <c r="W324" s="150"/>
      <c r="X324" s="64">
        <f>IFERROR(VLOOKUP($B324,'Allocations 2025-26'!$B$9:$U$329,14,FALSE),0)</f>
        <v>612375</v>
      </c>
      <c r="Y324" s="99">
        <f t="shared" si="78"/>
        <v>-34548</v>
      </c>
      <c r="Z324" s="132">
        <f t="shared" si="79"/>
        <v>-5.6416411512553583E-2</v>
      </c>
      <c r="AA324" s="151" t="str">
        <f t="shared" si="81"/>
        <v>Y</v>
      </c>
      <c r="AB324" s="179"/>
      <c r="AC324" s="93"/>
      <c r="AD324"/>
      <c r="AE324"/>
      <c r="AF324"/>
      <c r="AG324"/>
      <c r="AH324"/>
      <c r="AI324"/>
      <c r="AJ324"/>
      <c r="AK324"/>
    </row>
    <row r="325" spans="1:37" x14ac:dyDescent="0.25">
      <c r="A325" t="s">
        <v>438</v>
      </c>
      <c r="B325" t="s">
        <v>776</v>
      </c>
      <c r="C325" t="s">
        <v>326</v>
      </c>
      <c r="D325" s="143">
        <f>IFERROR(VLOOKUP(B325,'Enrollment 26-27'!$B$5:$I$332,8,FALSE),0)</f>
        <v>216.66</v>
      </c>
      <c r="E325" s="64">
        <f t="shared" si="68"/>
        <v>25071</v>
      </c>
      <c r="F325" s="144">
        <v>0</v>
      </c>
      <c r="G325" s="144">
        <v>0</v>
      </c>
      <c r="H325" s="64">
        <f t="shared" si="83"/>
        <v>25071</v>
      </c>
      <c r="I325" s="64">
        <f t="shared" si="69"/>
        <v>0</v>
      </c>
      <c r="J325" s="145">
        <f t="shared" si="70"/>
        <v>25071</v>
      </c>
      <c r="K325" s="146" t="str">
        <f t="shared" si="80"/>
        <v>Y</v>
      </c>
      <c r="L325" s="147">
        <f t="shared" si="71"/>
        <v>0</v>
      </c>
      <c r="M325" s="148">
        <f t="shared" si="72"/>
        <v>216.66</v>
      </c>
      <c r="N325" s="64">
        <f t="shared" si="73"/>
        <v>214</v>
      </c>
      <c r="O325" s="64">
        <f t="shared" si="82"/>
        <v>25285</v>
      </c>
      <c r="Q325" s="104">
        <f t="shared" si="74"/>
        <v>0</v>
      </c>
      <c r="R325" s="104" t="str">
        <f t="shared" si="75"/>
        <v>Not Applicable</v>
      </c>
      <c r="S325" s="149" t="s">
        <v>815</v>
      </c>
      <c r="T325" s="149">
        <f>IF(O325=0,0,IF(S325="N",0,VLOOKUP(B325,'Enrollment 25-26'!$B$8:$K$332,9,FALSE)))</f>
        <v>0</v>
      </c>
      <c r="U325" s="64">
        <f t="shared" si="76"/>
        <v>25285</v>
      </c>
      <c r="V325" s="128">
        <f t="shared" si="77"/>
        <v>116.70359087971937</v>
      </c>
      <c r="W325" s="150"/>
      <c r="X325" s="64">
        <f>IFERROR(VLOOKUP($B325,'Allocations 2025-26'!$B$9:$U$329,14,FALSE),0)</f>
        <v>27663</v>
      </c>
      <c r="Y325" s="99">
        <f t="shared" si="78"/>
        <v>-2378</v>
      </c>
      <c r="Z325" s="132">
        <f t="shared" si="79"/>
        <v>-8.5963199942161006E-2</v>
      </c>
      <c r="AA325" s="151" t="str">
        <f t="shared" si="81"/>
        <v>Y</v>
      </c>
    </row>
    <row r="326" spans="1:37" ht="14.45" customHeight="1" x14ac:dyDescent="0.25">
      <c r="A326" t="s">
        <v>471</v>
      </c>
      <c r="B326" t="s">
        <v>777</v>
      </c>
      <c r="C326" t="s">
        <v>327</v>
      </c>
      <c r="D326" s="143">
        <f>IFERROR(VLOOKUP(B326,'Enrollment 26-27'!$B$5:$I$332,8,FALSE),0)</f>
        <v>166.66666666666666</v>
      </c>
      <c r="E326" s="64">
        <f t="shared" si="68"/>
        <v>19286</v>
      </c>
      <c r="F326" s="144">
        <v>0</v>
      </c>
      <c r="G326" s="144">
        <v>0</v>
      </c>
      <c r="H326" s="64">
        <f t="shared" si="83"/>
        <v>19286</v>
      </c>
      <c r="I326" s="64">
        <f t="shared" si="69"/>
        <v>0</v>
      </c>
      <c r="J326" s="145">
        <f t="shared" si="70"/>
        <v>19286</v>
      </c>
      <c r="K326" s="146" t="str">
        <f t="shared" si="80"/>
        <v>Y</v>
      </c>
      <c r="L326" s="147">
        <f t="shared" si="71"/>
        <v>0</v>
      </c>
      <c r="M326" s="148">
        <f t="shared" si="72"/>
        <v>166.66666666666666</v>
      </c>
      <c r="N326" s="64">
        <f t="shared" si="73"/>
        <v>165</v>
      </c>
      <c r="O326" s="64">
        <f t="shared" si="82"/>
        <v>19451</v>
      </c>
      <c r="Q326" s="104">
        <f t="shared" si="74"/>
        <v>0</v>
      </c>
      <c r="R326" s="104" t="str">
        <f t="shared" si="75"/>
        <v>Not Applicable</v>
      </c>
      <c r="S326" s="149" t="s">
        <v>815</v>
      </c>
      <c r="T326" s="149">
        <f>IF(O326=0,0,IF(S326="N",0,VLOOKUP(B326,'Enrollment 25-26'!$B$8:$K$332,9,FALSE)))</f>
        <v>0</v>
      </c>
      <c r="U326" s="64">
        <f t="shared" si="76"/>
        <v>19451</v>
      </c>
      <c r="V326" s="128">
        <f t="shared" si="77"/>
        <v>116.706</v>
      </c>
      <c r="W326" s="150"/>
      <c r="X326" s="64">
        <f>IFERROR(VLOOKUP($B326,'Allocations 2025-26'!$B$9:$U$329,14,FALSE),0)</f>
        <v>19854</v>
      </c>
      <c r="Y326" s="99">
        <f t="shared" si="78"/>
        <v>-403</v>
      </c>
      <c r="Z326" s="132">
        <f t="shared" si="79"/>
        <v>-2.0298176689835801E-2</v>
      </c>
      <c r="AA326" s="151" t="str">
        <f t="shared" si="81"/>
        <v>Y</v>
      </c>
    </row>
    <row r="327" spans="1:37" x14ac:dyDescent="0.25">
      <c r="B327" s="142" t="s">
        <v>801</v>
      </c>
      <c r="C327" t="s">
        <v>802</v>
      </c>
      <c r="D327" s="143">
        <f>IFERROR(VLOOKUP(B327,'Enrollment 26-27'!$B$5:$I$332,8,FALSE),0)</f>
        <v>112.33576642335767</v>
      </c>
      <c r="E327" s="64">
        <f t="shared" si="68"/>
        <v>12999</v>
      </c>
      <c r="F327" s="144">
        <v>0</v>
      </c>
      <c r="G327" s="144">
        <v>0</v>
      </c>
      <c r="H327" s="64">
        <f t="shared" si="83"/>
        <v>12999</v>
      </c>
      <c r="I327" s="64">
        <f t="shared" si="69"/>
        <v>0</v>
      </c>
      <c r="J327" s="145">
        <f t="shared" si="70"/>
        <v>12999</v>
      </c>
      <c r="K327" s="146" t="str">
        <f t="shared" si="80"/>
        <v>C</v>
      </c>
      <c r="L327" s="147">
        <f t="shared" si="71"/>
        <v>0</v>
      </c>
      <c r="M327" s="148">
        <f t="shared" si="72"/>
        <v>112.33576642335767</v>
      </c>
      <c r="N327" s="64">
        <f t="shared" si="73"/>
        <v>111</v>
      </c>
      <c r="O327" s="64">
        <f t="shared" si="82"/>
        <v>13110</v>
      </c>
      <c r="Q327" s="104">
        <f t="shared" si="74"/>
        <v>0</v>
      </c>
      <c r="R327" s="104" t="str">
        <f t="shared" si="75"/>
        <v>Not Applicable</v>
      </c>
      <c r="S327" s="149" t="s">
        <v>815</v>
      </c>
      <c r="T327" s="149">
        <f>IF(O327=0,0,IF(S327="N",0,VLOOKUP(B327,'Enrollment 25-26'!$B$8:$K$332,9,FALSE)))</f>
        <v>0</v>
      </c>
      <c r="U327" s="64">
        <f t="shared" si="76"/>
        <v>13110</v>
      </c>
      <c r="V327" s="128">
        <f t="shared" si="77"/>
        <v>116.7037037037037</v>
      </c>
      <c r="W327" s="150"/>
      <c r="X327" s="64">
        <f>IFERROR(VLOOKUP($B327,'Allocations 2025-26'!$B$9:$U$329,14,FALSE),0)</f>
        <v>7795</v>
      </c>
      <c r="Y327" s="99">
        <f t="shared" si="78"/>
        <v>5315</v>
      </c>
      <c r="Z327" s="132">
        <f t="shared" si="79"/>
        <v>0.68184733803720332</v>
      </c>
      <c r="AA327" s="151" t="str">
        <f t="shared" si="81"/>
        <v>C</v>
      </c>
    </row>
    <row r="328" spans="1:37" x14ac:dyDescent="0.25">
      <c r="B328" s="142" t="s">
        <v>810</v>
      </c>
      <c r="C328" t="s">
        <v>803</v>
      </c>
      <c r="D328" s="143">
        <f>IFERROR(VLOOKUP(B328,'Enrollment 26-27'!$B$5:$I$332,8,FALSE),0)</f>
        <v>2.1612499999999999</v>
      </c>
      <c r="E328" s="64">
        <f t="shared" si="68"/>
        <v>250</v>
      </c>
      <c r="F328" s="144">
        <v>0</v>
      </c>
      <c r="G328" s="144">
        <v>0</v>
      </c>
      <c r="H328" s="64">
        <f t="shared" si="83"/>
        <v>250</v>
      </c>
      <c r="I328" s="64">
        <f t="shared" si="69"/>
        <v>0</v>
      </c>
      <c r="J328" s="145">
        <f t="shared" si="70"/>
        <v>250</v>
      </c>
      <c r="K328" s="146" t="str">
        <f t="shared" si="80"/>
        <v>N</v>
      </c>
      <c r="L328" s="147">
        <f t="shared" si="71"/>
        <v>250</v>
      </c>
      <c r="M328" s="148">
        <f t="shared" si="72"/>
        <v>0</v>
      </c>
      <c r="N328" s="64">
        <f t="shared" si="73"/>
        <v>0</v>
      </c>
      <c r="O328" s="64">
        <f t="shared" si="82"/>
        <v>0</v>
      </c>
      <c r="Q328" s="104">
        <f t="shared" si="74"/>
        <v>0</v>
      </c>
      <c r="R328" s="104" t="str">
        <f t="shared" si="75"/>
        <v>Not Applicable</v>
      </c>
      <c r="S328" s="149" t="s">
        <v>815</v>
      </c>
      <c r="T328" s="149">
        <f>IF(O328=0,0,IF(S328="N",0,VLOOKUP(B328,'Enrollment 25-26'!$B$8:$K$332,9,FALSE)))</f>
        <v>0</v>
      </c>
      <c r="U328" s="64">
        <f t="shared" si="76"/>
        <v>0</v>
      </c>
      <c r="V328" s="128">
        <f t="shared" si="77"/>
        <v>0</v>
      </c>
      <c r="W328" s="150"/>
      <c r="X328" s="64">
        <f>IFERROR(VLOOKUP($B328,'Allocations 2025-26'!$B$9:$U$329,14,FALSE),0)</f>
        <v>0</v>
      </c>
      <c r="Y328" s="99">
        <f t="shared" si="78"/>
        <v>0</v>
      </c>
      <c r="Z328" s="132">
        <f t="shared" si="79"/>
        <v>0</v>
      </c>
      <c r="AA328" s="151" t="str">
        <f t="shared" si="81"/>
        <v>N</v>
      </c>
    </row>
    <row r="329" spans="1:37" x14ac:dyDescent="0.25">
      <c r="B329" s="142"/>
      <c r="D329" s="143"/>
      <c r="F329" s="144"/>
      <c r="G329" s="144"/>
      <c r="I329" s="64"/>
      <c r="J329" s="145"/>
      <c r="K329" s="146"/>
      <c r="L329" s="147"/>
      <c r="M329" s="148"/>
      <c r="S329" s="149"/>
      <c r="T329" s="149"/>
      <c r="U329" s="64"/>
      <c r="V329" s="128"/>
      <c r="W329" s="150"/>
      <c r="X329" s="64">
        <f>IFERROR(VLOOKUP($B329,#REF!,14,FALSE),0)</f>
        <v>0</v>
      </c>
      <c r="Z329" s="132"/>
      <c r="AA329" s="151"/>
    </row>
    <row r="330" spans="1:37" x14ac:dyDescent="0.25">
      <c r="B330" s="142" t="s">
        <v>436</v>
      </c>
      <c r="C330" t="s">
        <v>778</v>
      </c>
      <c r="D330" s="64">
        <f>SUM(D9:D328)</f>
        <v>160652.94259520687</v>
      </c>
      <c r="E330" s="64">
        <f>SUM(E9:E328)</f>
        <v>18590407</v>
      </c>
      <c r="F330" s="64">
        <f t="shared" ref="F330:I330" si="84">SUM(F9:F326)</f>
        <v>0</v>
      </c>
      <c r="G330" s="64">
        <f t="shared" si="84"/>
        <v>0</v>
      </c>
      <c r="H330" s="64">
        <f>SUM(H9:H328)</f>
        <v>18590407</v>
      </c>
      <c r="I330" s="128">
        <f t="shared" si="84"/>
        <v>0</v>
      </c>
      <c r="J330" s="128">
        <f>SUM(J9:J328)</f>
        <v>18590407</v>
      </c>
      <c r="L330" s="64">
        <f>SUM(L9:L328)</f>
        <v>157275</v>
      </c>
      <c r="M330" s="64">
        <f>SUM(M9:M328)</f>
        <v>159293.81371059146</v>
      </c>
      <c r="N330" s="64">
        <f>SUM(N9:N328)</f>
        <v>157280</v>
      </c>
      <c r="O330" s="64">
        <f>SUM(O9:O328)</f>
        <v>18590412</v>
      </c>
      <c r="P330" s="64"/>
      <c r="Q330" s="64">
        <f>SUM(Q9:Q326)</f>
        <v>0</v>
      </c>
      <c r="U330" s="104">
        <f>SUM(U9:U328)</f>
        <v>18590412</v>
      </c>
      <c r="V330" s="104"/>
      <c r="W330" s="104"/>
      <c r="X330" s="64">
        <f>IFERROR(VLOOKUP($B330,#REF!,14,FALSE),0)</f>
        <v>0</v>
      </c>
      <c r="Y330" s="104">
        <f>SUM(Y9:Y328)</f>
        <v>-424245</v>
      </c>
      <c r="Z330" s="162" t="e">
        <f>U330/X330-1</f>
        <v>#DIV/0!</v>
      </c>
    </row>
  </sheetData>
  <autoFilter ref="A8:AK330" xr:uid="{D565C8CB-2E8E-4AF3-B93F-0DB60C35A66A}"/>
  <mergeCells count="4">
    <mergeCell ref="E2:H2"/>
    <mergeCell ref="I2:J2"/>
    <mergeCell ref="K2:O2"/>
    <mergeCell ref="R2:T2"/>
  </mergeCells>
  <conditionalFormatting sqref="B10">
    <cfRule type="duplicateValues" dxfId="26" priority="2"/>
  </conditionalFormatting>
  <conditionalFormatting sqref="C9 C11:C323">
    <cfRule type="expression" dxfId="25" priority="5">
      <formula>AND($O9&lt;10000,$O9&gt;0,$K9="Y")</formula>
    </cfRule>
  </conditionalFormatting>
  <conditionalFormatting sqref="C10">
    <cfRule type="duplicateValues" dxfId="24" priority="1"/>
  </conditionalFormatting>
  <conditionalFormatting sqref="L9:L329">
    <cfRule type="expression" dxfId="23" priority="6">
      <formula>AND($L9&gt;0,$K9="Yes")</formula>
    </cfRule>
  </conditionalFormatting>
  <conditionalFormatting sqref="AD9:AD328">
    <cfRule type="expression" dxfId="22" priority="3">
      <formula>AND($P9&lt;10000,$P9&gt;0,$L9="Y")</formula>
    </cfRule>
  </conditionalFormatting>
  <conditionalFormatting sqref="AJ13">
    <cfRule type="expression" dxfId="21" priority="4">
      <formula>AND($I76&lt;10000,$I76&gt;0,#REF!="Y")</formula>
    </cfRule>
  </conditionalFormatting>
  <pageMargins left="0.7" right="0.7" top="0.75" bottom="0.75" header="0.3" footer="0.3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17FE0-301C-42D5-AE24-CE3D27CDB465}">
  <dimension ref="A1:AK330"/>
  <sheetViews>
    <sheetView workbookViewId="0">
      <selection activeCell="O6" sqref="O6"/>
    </sheetView>
  </sheetViews>
  <sheetFormatPr defaultColWidth="9.140625" defaultRowHeight="15" x14ac:dyDescent="0.25"/>
  <cols>
    <col min="1" max="2" width="6.5703125" customWidth="1"/>
    <col min="3" max="3" width="40.42578125" bestFit="1" customWidth="1"/>
    <col min="4" max="4" width="11.7109375" style="64" customWidth="1"/>
    <col min="5" max="5" width="15.140625" style="64" customWidth="1"/>
    <col min="6" max="6" width="13.85546875" style="64" customWidth="1"/>
    <col min="7" max="7" width="10" style="64" customWidth="1"/>
    <col min="8" max="8" width="13.42578125" style="64" customWidth="1"/>
    <col min="9" max="9" width="15.42578125" style="128" customWidth="1"/>
    <col min="10" max="10" width="13.5703125" style="128" customWidth="1"/>
    <col min="11" max="11" width="14.5703125" style="64" customWidth="1"/>
    <col min="12" max="12" width="15.140625" style="64" customWidth="1"/>
    <col min="13" max="13" width="14.42578125" style="64" customWidth="1"/>
    <col min="14" max="14" width="12.85546875" style="64" customWidth="1"/>
    <col min="15" max="15" width="13.5703125" style="64" customWidth="1"/>
    <col min="16" max="16" width="7.140625" style="104" customWidth="1"/>
    <col min="17" max="17" width="9.140625" style="104" customWidth="1"/>
    <col min="18" max="18" width="13.140625" style="104" customWidth="1"/>
    <col min="19" max="19" width="9.140625" style="104" customWidth="1"/>
    <col min="20" max="20" width="10" style="104" customWidth="1"/>
    <col min="21" max="21" width="17.140625" style="104" customWidth="1"/>
    <col min="22" max="22" width="12.140625" style="64" customWidth="1"/>
    <col min="23" max="23" width="15.85546875" customWidth="1"/>
    <col min="24" max="24" width="13.42578125" style="99" customWidth="1"/>
    <col min="25" max="25" width="12.5703125" style="99" customWidth="1"/>
    <col min="26" max="26" width="12.85546875" style="13" customWidth="1"/>
    <col min="27" max="27" width="13" style="100" customWidth="1"/>
    <col min="28" max="28" width="2.28515625" style="179" customWidth="1"/>
    <col min="29" max="29" width="12.85546875" style="93" bestFit="1" customWidth="1"/>
    <col min="30" max="30" width="9.85546875" bestFit="1" customWidth="1"/>
    <col min="35" max="35" width="22.42578125" bestFit="1" customWidth="1"/>
    <col min="36" max="36" width="5.85546875" bestFit="1" customWidth="1"/>
    <col min="37" max="37" width="10.140625" bestFit="1" customWidth="1"/>
  </cols>
  <sheetData>
    <row r="1" spans="1:37" x14ac:dyDescent="0.25">
      <c r="A1" s="92"/>
      <c r="B1">
        <f>COLUMN(B1)-1</f>
        <v>1</v>
      </c>
      <c r="C1">
        <f t="shared" ref="C1:AA1" si="0">COLUMN(C1)-1</f>
        <v>2</v>
      </c>
      <c r="D1">
        <f t="shared" si="0"/>
        <v>3</v>
      </c>
      <c r="E1">
        <f t="shared" si="0"/>
        <v>4</v>
      </c>
      <c r="F1">
        <f t="shared" si="0"/>
        <v>5</v>
      </c>
      <c r="G1">
        <f t="shared" si="0"/>
        <v>6</v>
      </c>
      <c r="H1">
        <f t="shared" si="0"/>
        <v>7</v>
      </c>
      <c r="I1">
        <f t="shared" si="0"/>
        <v>8</v>
      </c>
      <c r="J1">
        <f t="shared" si="0"/>
        <v>9</v>
      </c>
      <c r="K1">
        <f t="shared" si="0"/>
        <v>10</v>
      </c>
      <c r="L1">
        <f t="shared" si="0"/>
        <v>11</v>
      </c>
      <c r="M1">
        <f t="shared" si="0"/>
        <v>12</v>
      </c>
      <c r="N1">
        <f t="shared" si="0"/>
        <v>13</v>
      </c>
      <c r="O1">
        <f t="shared" si="0"/>
        <v>14</v>
      </c>
      <c r="P1">
        <f t="shared" si="0"/>
        <v>15</v>
      </c>
      <c r="Q1">
        <f t="shared" si="0"/>
        <v>16</v>
      </c>
      <c r="R1">
        <f t="shared" si="0"/>
        <v>17</v>
      </c>
      <c r="S1">
        <f t="shared" si="0"/>
        <v>18</v>
      </c>
      <c r="T1">
        <f t="shared" si="0"/>
        <v>19</v>
      </c>
      <c r="U1">
        <f t="shared" si="0"/>
        <v>20</v>
      </c>
      <c r="V1">
        <f t="shared" si="0"/>
        <v>21</v>
      </c>
      <c r="W1">
        <f t="shared" si="0"/>
        <v>22</v>
      </c>
      <c r="X1">
        <f t="shared" si="0"/>
        <v>23</v>
      </c>
      <c r="Y1">
        <f t="shared" si="0"/>
        <v>24</v>
      </c>
      <c r="Z1">
        <f t="shared" si="0"/>
        <v>25</v>
      </c>
      <c r="AA1">
        <f t="shared" si="0"/>
        <v>26</v>
      </c>
    </row>
    <row r="2" spans="1:37" x14ac:dyDescent="0.25">
      <c r="A2" s="42"/>
      <c r="E2" s="195" t="s">
        <v>405</v>
      </c>
      <c r="F2" s="196"/>
      <c r="G2" s="196"/>
      <c r="H2" s="196"/>
      <c r="I2" s="197" t="s">
        <v>406</v>
      </c>
      <c r="J2" s="198"/>
      <c r="K2" s="199" t="s">
        <v>407</v>
      </c>
      <c r="L2" s="200"/>
      <c r="M2" s="200"/>
      <c r="N2" s="200"/>
      <c r="O2" s="200"/>
      <c r="P2" s="94"/>
      <c r="Q2" s="95"/>
      <c r="R2" s="201" t="s">
        <v>408</v>
      </c>
      <c r="S2" s="201"/>
      <c r="T2" s="201"/>
      <c r="U2" s="96" t="s">
        <v>409</v>
      </c>
      <c r="V2" s="95"/>
      <c r="W2" s="97"/>
      <c r="X2" s="98"/>
    </row>
    <row r="3" spans="1:37" x14ac:dyDescent="0.25">
      <c r="I3" s="101" t="s">
        <v>410</v>
      </c>
      <c r="J3" s="102"/>
      <c r="L3" s="103">
        <f>L7</f>
        <v>139563</v>
      </c>
      <c r="O3" s="103">
        <f>$E$6</f>
        <v>19014658</v>
      </c>
      <c r="Q3" s="64"/>
      <c r="R3" s="64"/>
      <c r="S3" s="64"/>
      <c r="T3" s="64"/>
      <c r="U3" s="64"/>
      <c r="V3" s="105"/>
      <c r="W3" s="103"/>
    </row>
    <row r="4" spans="1:37" s="112" customFormat="1" ht="48" x14ac:dyDescent="0.25">
      <c r="A4" s="106" t="s">
        <v>411</v>
      </c>
      <c r="B4" s="106" t="s">
        <v>0</v>
      </c>
      <c r="C4" s="106" t="s">
        <v>1</v>
      </c>
      <c r="D4" s="107" t="s">
        <v>412</v>
      </c>
      <c r="E4" s="108" t="s">
        <v>413</v>
      </c>
      <c r="F4" s="108" t="s">
        <v>414</v>
      </c>
      <c r="G4" s="108" t="s">
        <v>415</v>
      </c>
      <c r="H4" s="108" t="s">
        <v>416</v>
      </c>
      <c r="I4" s="108" t="s">
        <v>417</v>
      </c>
      <c r="J4" s="108" t="s">
        <v>418</v>
      </c>
      <c r="K4" s="108" t="s">
        <v>419</v>
      </c>
      <c r="L4" s="108" t="s">
        <v>420</v>
      </c>
      <c r="M4" s="108" t="s">
        <v>421</v>
      </c>
      <c r="N4" s="108" t="s">
        <v>422</v>
      </c>
      <c r="O4" s="108" t="s">
        <v>423</v>
      </c>
      <c r="P4" s="109" t="s">
        <v>424</v>
      </c>
      <c r="Q4" s="108" t="s">
        <v>425</v>
      </c>
      <c r="R4" s="108" t="s">
        <v>426</v>
      </c>
      <c r="S4" s="108" t="s">
        <v>427</v>
      </c>
      <c r="T4" s="108" t="s">
        <v>428</v>
      </c>
      <c r="U4" s="108" t="s">
        <v>429</v>
      </c>
      <c r="V4" s="108"/>
      <c r="W4" s="110"/>
      <c r="X4" s="111" t="s">
        <v>430</v>
      </c>
      <c r="Y4" s="111" t="s">
        <v>431</v>
      </c>
      <c r="Z4" s="112" t="s">
        <v>432</v>
      </c>
      <c r="AA4" s="113"/>
      <c r="AB4" s="180"/>
      <c r="AC4" s="110" t="s">
        <v>826</v>
      </c>
    </row>
    <row r="5" spans="1:37" s="119" customFormat="1" ht="15" customHeight="1" x14ac:dyDescent="0.35">
      <c r="A5" s="114"/>
      <c r="B5" s="115" t="s">
        <v>433</v>
      </c>
      <c r="C5" s="115"/>
      <c r="D5" s="116" t="s">
        <v>824</v>
      </c>
      <c r="E5" s="117"/>
      <c r="F5" s="117" t="s">
        <v>434</v>
      </c>
      <c r="G5" s="117" t="s">
        <v>434</v>
      </c>
      <c r="H5" s="117"/>
      <c r="I5" s="117"/>
      <c r="J5" s="117"/>
      <c r="K5" s="117" t="s">
        <v>435</v>
      </c>
      <c r="L5" s="117"/>
      <c r="M5" s="117"/>
      <c r="N5" s="117"/>
      <c r="O5" s="117"/>
      <c r="P5" s="118"/>
      <c r="Q5" s="117"/>
      <c r="R5" s="117"/>
      <c r="S5" s="117"/>
      <c r="T5" s="117"/>
      <c r="U5" s="117"/>
      <c r="V5" s="117"/>
      <c r="X5" s="120"/>
      <c r="Y5" s="120"/>
      <c r="AA5" s="121"/>
      <c r="AB5" s="181"/>
      <c r="AC5" s="122"/>
    </row>
    <row r="6" spans="1:37" x14ac:dyDescent="0.25">
      <c r="A6" s="123"/>
      <c r="B6" s="124"/>
      <c r="C6" s="124"/>
      <c r="E6" s="103">
        <f>Assuptions!D18</f>
        <v>19014658</v>
      </c>
      <c r="H6" s="125" t="str">
        <f>IF(H8&gt;E6,"Give "&amp;H8-E6&amp;" More",IF(H8&lt;E6,"Take "&amp;E6-H8&amp;" More","Balanced"))</f>
        <v>Take 1 More</v>
      </c>
      <c r="I6" s="103">
        <v>0</v>
      </c>
      <c r="J6" s="126"/>
      <c r="K6" s="127"/>
      <c r="L6" s="103">
        <v>10000</v>
      </c>
      <c r="M6" s="128"/>
      <c r="N6" s="129"/>
      <c r="O6" s="125" t="str">
        <f>IF(O7=O3,"Balanced",IF(O7&gt;O3,"Give "&amp;O7-O3&amp;" More","Take "&amp;O3-O7&amp;" More"))</f>
        <v>Take 1 More</v>
      </c>
      <c r="Q6" s="64"/>
      <c r="R6" s="64"/>
      <c r="S6" s="64"/>
      <c r="T6" s="64"/>
      <c r="U6" s="125" t="str">
        <f>IF(U8=U7,"Balanced",IF(U8&gt;U7,"Give "&amp;U8-U7&amp;" More","Take "&amp;U7-U8&amp;" More"))</f>
        <v>Balanced</v>
      </c>
      <c r="W6" s="125"/>
      <c r="AA6" s="130"/>
      <c r="AB6" s="182"/>
    </row>
    <row r="7" spans="1:37" x14ac:dyDescent="0.25">
      <c r="A7" s="123"/>
      <c r="B7" s="124"/>
      <c r="C7" s="124" t="s">
        <v>8</v>
      </c>
      <c r="D7" s="64">
        <f>D330</f>
        <v>163538.59206792375</v>
      </c>
      <c r="E7" s="64">
        <f>+E6/D7</f>
        <v>116.27015837400933</v>
      </c>
      <c r="F7" s="131">
        <f>F324</f>
        <v>0</v>
      </c>
      <c r="G7" s="131">
        <f>G324</f>
        <v>0</v>
      </c>
      <c r="H7" s="64">
        <f>H330</f>
        <v>19014657</v>
      </c>
      <c r="I7" s="126">
        <f>I324</f>
        <v>0</v>
      </c>
      <c r="J7" s="126">
        <f>J330</f>
        <v>19014657</v>
      </c>
      <c r="K7" s="131"/>
      <c r="L7" s="64">
        <f>L330</f>
        <v>139563</v>
      </c>
      <c r="M7" s="64">
        <f>M330</f>
        <v>162338.23100137283</v>
      </c>
      <c r="N7" s="64">
        <f>N330</f>
        <v>139563</v>
      </c>
      <c r="O7" s="64">
        <f>O330</f>
        <v>19014657</v>
      </c>
      <c r="Q7" s="64">
        <f>Q324</f>
        <v>0</v>
      </c>
      <c r="R7" s="64">
        <v>0</v>
      </c>
      <c r="S7" s="64"/>
      <c r="T7" s="64">
        <f>SUM(T8:T319)</f>
        <v>0</v>
      </c>
      <c r="U7" s="64">
        <f>O7+R7</f>
        <v>19014657</v>
      </c>
      <c r="W7" s="64"/>
      <c r="X7" s="64">
        <f>SUM(X9:X326)</f>
        <v>0</v>
      </c>
      <c r="Y7" s="99">
        <f>O7-X7</f>
        <v>19014657</v>
      </c>
      <c r="Z7" s="132"/>
      <c r="AA7" s="130">
        <f>COUNTIF(AA9:AA328,"C")</f>
        <v>37</v>
      </c>
      <c r="AB7" s="182"/>
    </row>
    <row r="8" spans="1:37" s="139" customFormat="1" ht="10.15" customHeight="1" x14ac:dyDescent="0.2">
      <c r="A8" s="133"/>
      <c r="B8" s="134" t="s">
        <v>436</v>
      </c>
      <c r="C8" s="135" t="s">
        <v>437</v>
      </c>
      <c r="D8" s="136">
        <f>SUM(D9:D328)</f>
        <v>163538.59206792375</v>
      </c>
      <c r="E8" s="136">
        <f>SUM(E9:E328)</f>
        <v>19014652</v>
      </c>
      <c r="F8" s="136">
        <f t="shared" ref="F8:I8" si="1">SUM(F9:F326)</f>
        <v>0</v>
      </c>
      <c r="G8" s="136">
        <f t="shared" si="1"/>
        <v>0</v>
      </c>
      <c r="H8" s="136">
        <f>SUM(H9:H328)</f>
        <v>19014657</v>
      </c>
      <c r="I8" s="136">
        <f t="shared" si="1"/>
        <v>0</v>
      </c>
      <c r="J8" s="136">
        <f>SUM(J9:J328)</f>
        <v>19014657</v>
      </c>
      <c r="K8" s="136"/>
      <c r="L8" s="136">
        <f>SUM(L9:L328)</f>
        <v>139563</v>
      </c>
      <c r="M8" s="136">
        <f>SUM(M9:M328)</f>
        <v>162338.23100137283</v>
      </c>
      <c r="N8" s="136">
        <f>SUM(N9:N328)</f>
        <v>139563</v>
      </c>
      <c r="O8" s="136">
        <f>SUM(O9:O328)</f>
        <v>19014657</v>
      </c>
      <c r="P8" s="136"/>
      <c r="Q8" s="136">
        <f>SUM(Q9:Q326)</f>
        <v>0</v>
      </c>
      <c r="R8" s="136">
        <f>SUM(R9:R326)</f>
        <v>0</v>
      </c>
      <c r="S8" s="136"/>
      <c r="T8" s="136"/>
      <c r="U8" s="136">
        <f>SUM(U9:U328)</f>
        <v>19014657</v>
      </c>
      <c r="V8" s="137"/>
      <c r="W8" s="136"/>
      <c r="X8" s="138"/>
      <c r="Y8" s="138"/>
      <c r="AA8" s="140"/>
      <c r="AB8" s="183"/>
      <c r="AC8" s="141">
        <f>SUMIF(K9:K323,"c",U9:U323)</f>
        <v>1045495</v>
      </c>
    </row>
    <row r="9" spans="1:37" x14ac:dyDescent="0.25">
      <c r="A9" s="142" t="s">
        <v>438</v>
      </c>
      <c r="B9" t="s">
        <v>439</v>
      </c>
      <c r="C9" t="s">
        <v>9</v>
      </c>
      <c r="D9" s="143">
        <f>IFERROR(VLOOKUP(B9,'Enrollment 25-26'!$B$5:$I$332,8,FALSE),0)</f>
        <v>503.49666666666673</v>
      </c>
      <c r="E9" s="64">
        <f t="shared" ref="E9:E72" si="2">ROUND($D9/$D$7*$E$6,0)</f>
        <v>58542</v>
      </c>
      <c r="F9" s="144">
        <v>0</v>
      </c>
      <c r="G9" s="144">
        <v>0</v>
      </c>
      <c r="H9" s="64">
        <f t="shared" ref="H9:H72" si="3">SUM(E9:G9)</f>
        <v>58542</v>
      </c>
      <c r="I9" s="64">
        <f t="shared" ref="I9:I72" si="4">ROUND($D9/$D$7*$I$6,0)</f>
        <v>0</v>
      </c>
      <c r="J9" s="145">
        <f t="shared" ref="J9:J72" si="5">+H9+I9</f>
        <v>58542</v>
      </c>
      <c r="K9" s="146" t="str">
        <f>IF(ISERROR(VLOOKUP(B9,$AC$9:$AC$50,1,0)),IF(J9&gt;10000,"Y","N"), "C")</f>
        <v>Y</v>
      </c>
      <c r="L9" s="147">
        <f t="shared" ref="L9:L72" si="6">IF(OR(K9="N",K9="NR",AND(J9&lt;$L$6,K9&lt;&gt;"C")),J9,0)</f>
        <v>0</v>
      </c>
      <c r="M9" s="148">
        <f t="shared" ref="M9:M72" si="7">IF(L9=0,D9,0)</f>
        <v>503.49666666666673</v>
      </c>
      <c r="N9" s="64">
        <f t="shared" ref="N9:N72" si="8">ROUND(M9/$M$7*$L$3,0)</f>
        <v>433</v>
      </c>
      <c r="O9" s="64">
        <f t="shared" ref="O9:O72" si="9">J9-L9+N9</f>
        <v>58975</v>
      </c>
      <c r="Q9" s="104">
        <f t="shared" ref="Q9:Q72" si="10">-ROUND(IF(P9&gt;0,O9*(0.9-P9),0),0)</f>
        <v>0</v>
      </c>
      <c r="R9" s="104" t="str">
        <f t="shared" ref="R9:R72" si="11">IF($R$7=0,"Not Applicable",T9*($R$7/$T$7))</f>
        <v>Not Applicable</v>
      </c>
      <c r="S9" s="149" t="s">
        <v>815</v>
      </c>
      <c r="T9" s="149">
        <f>IF(O9=0,0,IF(S9="N",0,VLOOKUP(B9,'Enrollment 25-26'!$B$8:$K$332,9,FALSE)))</f>
        <v>0</v>
      </c>
      <c r="U9" s="64">
        <f t="shared" ref="U9:U72" si="12">IF(ISNUMBER(R9),O9+R9,O9)</f>
        <v>58975</v>
      </c>
      <c r="V9" s="128">
        <f t="shared" ref="V9:V72" si="13">IF(M9=0,0,O9/M9)</f>
        <v>117.1308648187012</v>
      </c>
      <c r="W9" s="150"/>
      <c r="X9" s="64">
        <f>IFERROR(VLOOKUP($B9,#REF!,14,FALSE),0)</f>
        <v>0</v>
      </c>
      <c r="Y9" s="99">
        <f t="shared" ref="Y9:Y72" si="14">O9-X9</f>
        <v>58975</v>
      </c>
      <c r="Z9" s="132">
        <f t="shared" ref="Z9:Z72" si="15">IFERROR(IF(X9&gt;0,Y9/X9,0),0)</f>
        <v>0</v>
      </c>
      <c r="AA9" s="151" t="str">
        <f>K9</f>
        <v>Y</v>
      </c>
      <c r="AC9" t="s">
        <v>455</v>
      </c>
      <c r="AE9" s="152"/>
    </row>
    <row r="10" spans="1:37" x14ac:dyDescent="0.25">
      <c r="A10" s="142" t="s">
        <v>438</v>
      </c>
      <c r="B10" t="s">
        <v>441</v>
      </c>
      <c r="C10" t="s">
        <v>10</v>
      </c>
      <c r="D10" s="143">
        <f>IFERROR(VLOOKUP(B10,'Enrollment 25-26'!$B$5:$I$332,8,FALSE),0)</f>
        <v>0</v>
      </c>
      <c r="E10" s="64">
        <f t="shared" si="2"/>
        <v>0</v>
      </c>
      <c r="F10" s="144">
        <v>0</v>
      </c>
      <c r="G10" s="144">
        <v>0</v>
      </c>
      <c r="H10" s="64">
        <f t="shared" si="3"/>
        <v>0</v>
      </c>
      <c r="I10" s="64">
        <f t="shared" si="4"/>
        <v>0</v>
      </c>
      <c r="J10" s="145">
        <f t="shared" si="5"/>
        <v>0</v>
      </c>
      <c r="K10" s="146" t="str">
        <f t="shared" ref="K10:K73" si="16">IF(ISERROR(VLOOKUP(B10,$AC$9:$AC$50,1,0)),IF(J10&gt;10000,"Y","N"), "C")</f>
        <v>N</v>
      </c>
      <c r="L10" s="147">
        <f t="shared" si="6"/>
        <v>0</v>
      </c>
      <c r="M10" s="148">
        <f t="shared" si="7"/>
        <v>0</v>
      </c>
      <c r="N10" s="64">
        <f t="shared" si="8"/>
        <v>0</v>
      </c>
      <c r="O10" s="64">
        <f t="shared" si="9"/>
        <v>0</v>
      </c>
      <c r="Q10" s="104">
        <f t="shared" si="10"/>
        <v>0</v>
      </c>
      <c r="R10" s="104" t="str">
        <f t="shared" si="11"/>
        <v>Not Applicable</v>
      </c>
      <c r="S10" s="149" t="s">
        <v>815</v>
      </c>
      <c r="T10" s="149">
        <f>IF(O10=0,0,IF(S10="N",0,VLOOKUP(B10,'Enrollment 25-26'!$B$8:$K$332,9,FALSE)))</f>
        <v>0</v>
      </c>
      <c r="U10" s="64">
        <f t="shared" si="12"/>
        <v>0</v>
      </c>
      <c r="V10" s="128">
        <f t="shared" si="13"/>
        <v>0</v>
      </c>
      <c r="W10" s="150"/>
      <c r="X10" s="64">
        <f>IFERROR(VLOOKUP($B10,#REF!,14,FALSE),0)</f>
        <v>0</v>
      </c>
      <c r="Y10" s="99">
        <f t="shared" si="14"/>
        <v>0</v>
      </c>
      <c r="Z10" s="132">
        <f t="shared" si="15"/>
        <v>0</v>
      </c>
      <c r="AA10" s="151" t="str">
        <f t="shared" ref="AA10:AA73" si="17">K10</f>
        <v>N</v>
      </c>
      <c r="AC10" t="s">
        <v>457</v>
      </c>
      <c r="AE10" s="152"/>
    </row>
    <row r="11" spans="1:37" x14ac:dyDescent="0.25">
      <c r="A11" s="142" t="s">
        <v>443</v>
      </c>
      <c r="B11" t="s">
        <v>444</v>
      </c>
      <c r="C11" t="s">
        <v>11</v>
      </c>
      <c r="D11" s="143">
        <f>IFERROR(VLOOKUP(B11,'Enrollment 25-26'!$B$5:$I$332,8,FALSE),0)</f>
        <v>0</v>
      </c>
      <c r="E11" s="64">
        <f t="shared" si="2"/>
        <v>0</v>
      </c>
      <c r="F11" s="144">
        <v>0</v>
      </c>
      <c r="G11" s="144">
        <v>0</v>
      </c>
      <c r="H11" s="64">
        <f t="shared" si="3"/>
        <v>0</v>
      </c>
      <c r="I11" s="64">
        <f t="shared" si="4"/>
        <v>0</v>
      </c>
      <c r="J11" s="145">
        <f t="shared" si="5"/>
        <v>0</v>
      </c>
      <c r="K11" s="146" t="str">
        <f t="shared" si="16"/>
        <v>N</v>
      </c>
      <c r="L11" s="147">
        <f t="shared" si="6"/>
        <v>0</v>
      </c>
      <c r="M11" s="148">
        <f t="shared" si="7"/>
        <v>0</v>
      </c>
      <c r="N11" s="64">
        <f t="shared" si="8"/>
        <v>0</v>
      </c>
      <c r="O11" s="64">
        <f t="shared" si="9"/>
        <v>0</v>
      </c>
      <c r="Q11" s="104">
        <f t="shared" si="10"/>
        <v>0</v>
      </c>
      <c r="R11" s="104" t="str">
        <f t="shared" si="11"/>
        <v>Not Applicable</v>
      </c>
      <c r="S11" s="149" t="s">
        <v>815</v>
      </c>
      <c r="T11" s="149">
        <f>IF(O11=0,0,IF(S11="N",0,VLOOKUP(B11,'Enrollment 25-26'!$B$8:$K$332,9,FALSE)))</f>
        <v>0</v>
      </c>
      <c r="U11" s="64">
        <f t="shared" si="12"/>
        <v>0</v>
      </c>
      <c r="V11" s="128">
        <f t="shared" si="13"/>
        <v>0</v>
      </c>
      <c r="W11" s="150"/>
      <c r="X11" s="64">
        <f>IFERROR(VLOOKUP($B11,#REF!,14,FALSE),0)</f>
        <v>0</v>
      </c>
      <c r="Y11" s="99">
        <f t="shared" si="14"/>
        <v>0</v>
      </c>
      <c r="Z11" s="132">
        <f t="shared" si="15"/>
        <v>0</v>
      </c>
      <c r="AA11" s="151" t="str">
        <f t="shared" si="17"/>
        <v>N</v>
      </c>
      <c r="AC11" t="s">
        <v>501</v>
      </c>
      <c r="AE11" s="152"/>
      <c r="AH11" s="19"/>
      <c r="AI11" s="19"/>
    </row>
    <row r="12" spans="1:37" x14ac:dyDescent="0.25">
      <c r="A12" s="142" t="s">
        <v>446</v>
      </c>
      <c r="B12" s="13" t="s">
        <v>447</v>
      </c>
      <c r="C12" t="s">
        <v>12</v>
      </c>
      <c r="D12" s="143">
        <f>IFERROR(VLOOKUP(B12,'Enrollment 25-26'!$B$5:$I$332,8,FALSE),0)</f>
        <v>58.17</v>
      </c>
      <c r="E12" s="64">
        <f t="shared" si="2"/>
        <v>6763</v>
      </c>
      <c r="F12" s="144">
        <v>0</v>
      </c>
      <c r="G12" s="144">
        <v>0</v>
      </c>
      <c r="H12" s="64">
        <f t="shared" si="3"/>
        <v>6763</v>
      </c>
      <c r="I12" s="64">
        <f t="shared" si="4"/>
        <v>0</v>
      </c>
      <c r="J12" s="145">
        <f t="shared" si="5"/>
        <v>6763</v>
      </c>
      <c r="K12" s="146" t="str">
        <f t="shared" si="16"/>
        <v>N</v>
      </c>
      <c r="L12" s="147">
        <f t="shared" si="6"/>
        <v>6763</v>
      </c>
      <c r="M12" s="148">
        <f t="shared" si="7"/>
        <v>0</v>
      </c>
      <c r="N12" s="64">
        <f t="shared" si="8"/>
        <v>0</v>
      </c>
      <c r="O12" s="64">
        <f t="shared" si="9"/>
        <v>0</v>
      </c>
      <c r="Q12" s="104">
        <f t="shared" si="10"/>
        <v>0</v>
      </c>
      <c r="R12" s="104" t="str">
        <f t="shared" si="11"/>
        <v>Not Applicable</v>
      </c>
      <c r="S12" s="149" t="s">
        <v>815</v>
      </c>
      <c r="T12" s="149">
        <f>IF(O12=0,0,IF(S12="N",0,VLOOKUP(B12,'Enrollment 25-26'!$B$8:$K$332,9,FALSE)))</f>
        <v>0</v>
      </c>
      <c r="U12" s="64">
        <f t="shared" si="12"/>
        <v>0</v>
      </c>
      <c r="V12" s="128">
        <f t="shared" si="13"/>
        <v>0</v>
      </c>
      <c r="W12" s="150"/>
      <c r="X12" s="64">
        <f>IFERROR(VLOOKUP($B12,#REF!,14,FALSE),0)</f>
        <v>0</v>
      </c>
      <c r="Y12" s="99">
        <f t="shared" si="14"/>
        <v>0</v>
      </c>
      <c r="Z12" s="132">
        <f t="shared" si="15"/>
        <v>0</v>
      </c>
      <c r="AA12" s="151" t="str">
        <f t="shared" si="17"/>
        <v>N</v>
      </c>
      <c r="AC12" t="s">
        <v>511</v>
      </c>
      <c r="AE12" s="152"/>
      <c r="AH12" s="153"/>
      <c r="AI12" s="153"/>
      <c r="AJ12" s="153"/>
      <c r="AK12" s="154"/>
    </row>
    <row r="13" spans="1:37" s="155" customFormat="1" x14ac:dyDescent="0.25">
      <c r="A13" s="142" t="s">
        <v>446</v>
      </c>
      <c r="B13" t="s">
        <v>449</v>
      </c>
      <c r="C13" t="s">
        <v>13</v>
      </c>
      <c r="D13" s="143">
        <f>IFERROR(VLOOKUP(B13,'Enrollment 25-26'!$B$5:$I$332,8,FALSE),0)</f>
        <v>387.5</v>
      </c>
      <c r="E13" s="64">
        <f t="shared" si="2"/>
        <v>45055</v>
      </c>
      <c r="F13" s="144">
        <v>0</v>
      </c>
      <c r="G13" s="144">
        <v>0</v>
      </c>
      <c r="H13" s="64">
        <f t="shared" si="3"/>
        <v>45055</v>
      </c>
      <c r="I13" s="64">
        <f t="shared" si="4"/>
        <v>0</v>
      </c>
      <c r="J13" s="145">
        <f t="shared" si="5"/>
        <v>45055</v>
      </c>
      <c r="K13" s="146" t="str">
        <f t="shared" si="16"/>
        <v>Y</v>
      </c>
      <c r="L13" s="147">
        <f t="shared" si="6"/>
        <v>0</v>
      </c>
      <c r="M13" s="148">
        <f t="shared" si="7"/>
        <v>387.5</v>
      </c>
      <c r="N13" s="64">
        <f t="shared" si="8"/>
        <v>333</v>
      </c>
      <c r="O13" s="64">
        <f t="shared" si="9"/>
        <v>45388</v>
      </c>
      <c r="P13" s="104"/>
      <c r="Q13" s="104">
        <f t="shared" si="10"/>
        <v>0</v>
      </c>
      <c r="R13" s="104" t="str">
        <f t="shared" si="11"/>
        <v>Not Applicable</v>
      </c>
      <c r="S13" s="149" t="s">
        <v>815</v>
      </c>
      <c r="T13" s="149">
        <f>IF(O13=0,0,IF(S13="N",0,VLOOKUP(B13,'Enrollment 25-26'!$B$8:$K$332,9,FALSE)))</f>
        <v>0</v>
      </c>
      <c r="U13" s="64">
        <f t="shared" si="12"/>
        <v>45388</v>
      </c>
      <c r="V13" s="128">
        <f t="shared" si="13"/>
        <v>117.13032258064516</v>
      </c>
      <c r="W13" s="150"/>
      <c r="X13" s="64">
        <f>IFERROR(VLOOKUP($B13,#REF!,14,FALSE),0)</f>
        <v>0</v>
      </c>
      <c r="Y13" s="99">
        <f t="shared" si="14"/>
        <v>45388</v>
      </c>
      <c r="Z13" s="132">
        <f t="shared" si="15"/>
        <v>0</v>
      </c>
      <c r="AA13" s="151" t="str">
        <f t="shared" si="17"/>
        <v>Y</v>
      </c>
      <c r="AB13" s="184"/>
      <c r="AC13" t="s">
        <v>512</v>
      </c>
      <c r="AD13"/>
      <c r="AE13" s="152"/>
      <c r="AI13"/>
      <c r="AJ13"/>
    </row>
    <row r="14" spans="1:37" x14ac:dyDescent="0.25">
      <c r="A14" s="142" t="s">
        <v>451</v>
      </c>
      <c r="B14" t="s">
        <v>452</v>
      </c>
      <c r="C14" t="s">
        <v>14</v>
      </c>
      <c r="D14" s="143">
        <f>IFERROR(VLOOKUP(B14,'Enrollment 25-26'!$B$5:$I$332,8,FALSE),0)</f>
        <v>0</v>
      </c>
      <c r="E14" s="64">
        <f t="shared" si="2"/>
        <v>0</v>
      </c>
      <c r="F14" s="144">
        <v>0</v>
      </c>
      <c r="G14" s="144">
        <v>0</v>
      </c>
      <c r="H14" s="64">
        <f t="shared" si="3"/>
        <v>0</v>
      </c>
      <c r="I14" s="64">
        <f t="shared" si="4"/>
        <v>0</v>
      </c>
      <c r="J14" s="145">
        <f t="shared" si="5"/>
        <v>0</v>
      </c>
      <c r="K14" s="146" t="str">
        <f t="shared" si="16"/>
        <v>N</v>
      </c>
      <c r="L14" s="147">
        <f t="shared" si="6"/>
        <v>0</v>
      </c>
      <c r="M14" s="148">
        <f t="shared" si="7"/>
        <v>0</v>
      </c>
      <c r="N14" s="64">
        <f t="shared" si="8"/>
        <v>0</v>
      </c>
      <c r="O14" s="64">
        <f t="shared" si="9"/>
        <v>0</v>
      </c>
      <c r="Q14" s="104">
        <f t="shared" si="10"/>
        <v>0</v>
      </c>
      <c r="R14" s="104" t="str">
        <f t="shared" si="11"/>
        <v>Not Applicable</v>
      </c>
      <c r="S14" s="149" t="s">
        <v>815</v>
      </c>
      <c r="T14" s="149">
        <f>IF(O14=0,0,IF(S14="N",0,VLOOKUP(B14,'Enrollment 25-26'!$B$8:$K$332,9,FALSE)))</f>
        <v>0</v>
      </c>
      <c r="U14" s="64">
        <f t="shared" si="12"/>
        <v>0</v>
      </c>
      <c r="V14" s="128">
        <f t="shared" si="13"/>
        <v>0</v>
      </c>
      <c r="W14" s="150"/>
      <c r="X14" s="64">
        <f>IFERROR(VLOOKUP($B14,#REF!,14,FALSE),0)</f>
        <v>0</v>
      </c>
      <c r="Y14" s="99">
        <f t="shared" si="14"/>
        <v>0</v>
      </c>
      <c r="Z14" s="132">
        <f t="shared" si="15"/>
        <v>0</v>
      </c>
      <c r="AA14" s="151" t="str">
        <f t="shared" si="17"/>
        <v>N</v>
      </c>
      <c r="AC14" t="s">
        <v>466</v>
      </c>
      <c r="AE14" s="152"/>
      <c r="AH14" s="153"/>
      <c r="AI14" s="153"/>
      <c r="AJ14" s="153"/>
      <c r="AK14" s="154"/>
    </row>
    <row r="15" spans="1:37" x14ac:dyDescent="0.25">
      <c r="A15" s="142" t="s">
        <v>454</v>
      </c>
      <c r="B15" t="s">
        <v>455</v>
      </c>
      <c r="C15" t="s">
        <v>15</v>
      </c>
      <c r="D15" s="143">
        <f>IFERROR(VLOOKUP(B15,'Enrollment 25-26'!$B$5:$I$332,8,FALSE),0)</f>
        <v>5523.34</v>
      </c>
      <c r="E15" s="64">
        <f t="shared" si="2"/>
        <v>642200</v>
      </c>
      <c r="F15" s="144">
        <v>0</v>
      </c>
      <c r="G15" s="144">
        <v>0</v>
      </c>
      <c r="H15" s="64">
        <f t="shared" si="3"/>
        <v>642200</v>
      </c>
      <c r="I15" s="64">
        <f t="shared" si="4"/>
        <v>0</v>
      </c>
      <c r="J15" s="145">
        <f t="shared" si="5"/>
        <v>642200</v>
      </c>
      <c r="K15" s="146" t="str">
        <f t="shared" si="16"/>
        <v>C</v>
      </c>
      <c r="L15" s="147">
        <f t="shared" si="6"/>
        <v>0</v>
      </c>
      <c r="M15" s="148">
        <f t="shared" si="7"/>
        <v>5523.34</v>
      </c>
      <c r="N15" s="64">
        <f t="shared" si="8"/>
        <v>4748</v>
      </c>
      <c r="O15" s="64">
        <f t="shared" si="9"/>
        <v>646948</v>
      </c>
      <c r="Q15" s="104">
        <f t="shared" si="10"/>
        <v>0</v>
      </c>
      <c r="R15" s="104" t="str">
        <f t="shared" si="11"/>
        <v>Not Applicable</v>
      </c>
      <c r="S15" s="149" t="s">
        <v>815</v>
      </c>
      <c r="T15" s="149">
        <f>IF(O15=0,0,IF(S15="N",0,VLOOKUP(B15,'Enrollment 25-26'!$B$8:$K$332,9,FALSE)))</f>
        <v>0</v>
      </c>
      <c r="U15" s="64">
        <f t="shared" si="12"/>
        <v>646948</v>
      </c>
      <c r="V15" s="128">
        <f t="shared" si="13"/>
        <v>117.12985258919421</v>
      </c>
      <c r="W15" s="150"/>
      <c r="X15" s="64">
        <f>IFERROR(VLOOKUP($B15,#REF!,14,FALSE),0)</f>
        <v>0</v>
      </c>
      <c r="Y15" s="99">
        <f t="shared" si="14"/>
        <v>646948</v>
      </c>
      <c r="Z15" s="132">
        <f t="shared" si="15"/>
        <v>0</v>
      </c>
      <c r="AA15" s="151" t="str">
        <f t="shared" si="17"/>
        <v>C</v>
      </c>
      <c r="AC15" s="161" t="s">
        <v>492</v>
      </c>
      <c r="AE15" s="152"/>
      <c r="AH15" s="153"/>
      <c r="AI15" s="153"/>
      <c r="AJ15" s="153"/>
      <c r="AK15" s="154"/>
    </row>
    <row r="16" spans="1:37" x14ac:dyDescent="0.25">
      <c r="A16" s="142" t="s">
        <v>454</v>
      </c>
      <c r="B16" t="s">
        <v>457</v>
      </c>
      <c r="C16" t="s">
        <v>16</v>
      </c>
      <c r="D16" s="143">
        <f>IFERROR(VLOOKUP(B16,'Enrollment 25-26'!$B$5:$I$332,8,FALSE),0)</f>
        <v>45.5</v>
      </c>
      <c r="E16" s="64">
        <f t="shared" si="2"/>
        <v>5290</v>
      </c>
      <c r="F16" s="144">
        <v>0</v>
      </c>
      <c r="G16" s="144">
        <v>0</v>
      </c>
      <c r="H16" s="64">
        <f t="shared" si="3"/>
        <v>5290</v>
      </c>
      <c r="I16" s="64">
        <f t="shared" si="4"/>
        <v>0</v>
      </c>
      <c r="J16" s="145">
        <f t="shared" si="5"/>
        <v>5290</v>
      </c>
      <c r="K16" s="146" t="str">
        <f t="shared" si="16"/>
        <v>C</v>
      </c>
      <c r="L16" s="147">
        <f t="shared" si="6"/>
        <v>0</v>
      </c>
      <c r="M16" s="148">
        <f t="shared" si="7"/>
        <v>45.5</v>
      </c>
      <c r="N16" s="64">
        <f t="shared" si="8"/>
        <v>39</v>
      </c>
      <c r="O16" s="64">
        <f t="shared" si="9"/>
        <v>5329</v>
      </c>
      <c r="Q16" s="104">
        <f t="shared" si="10"/>
        <v>0</v>
      </c>
      <c r="R16" s="104" t="str">
        <f t="shared" si="11"/>
        <v>Not Applicable</v>
      </c>
      <c r="S16" s="149" t="s">
        <v>815</v>
      </c>
      <c r="T16" s="149">
        <f>IF(O16=0,0,IF(S16="N",0,VLOOKUP(B16,'Enrollment 25-26'!$B$8:$K$332,9,FALSE)))</f>
        <v>0</v>
      </c>
      <c r="U16" s="64">
        <f t="shared" si="12"/>
        <v>5329</v>
      </c>
      <c r="V16" s="128">
        <f t="shared" si="13"/>
        <v>117.12087912087912</v>
      </c>
      <c r="W16" s="150"/>
      <c r="X16" s="64">
        <f>IFERROR(VLOOKUP($B16,#REF!,14,FALSE),0)</f>
        <v>0</v>
      </c>
      <c r="Y16" s="99">
        <f t="shared" si="14"/>
        <v>5329</v>
      </c>
      <c r="Z16" s="132">
        <f t="shared" si="15"/>
        <v>0</v>
      </c>
      <c r="AA16" s="151" t="str">
        <f t="shared" si="17"/>
        <v>C</v>
      </c>
      <c r="AC16" t="s">
        <v>523</v>
      </c>
      <c r="AE16" s="152"/>
      <c r="AH16" s="153"/>
      <c r="AI16" s="153"/>
      <c r="AJ16" s="153"/>
      <c r="AK16" s="154"/>
    </row>
    <row r="17" spans="1:37" x14ac:dyDescent="0.25">
      <c r="A17" s="142" t="s">
        <v>459</v>
      </c>
      <c r="B17" t="s">
        <v>460</v>
      </c>
      <c r="C17" t="s">
        <v>17</v>
      </c>
      <c r="D17" s="143">
        <f>IFERROR(VLOOKUP(B17,'Enrollment 25-26'!$B$5:$I$332,8,FALSE),0)</f>
        <v>1453</v>
      </c>
      <c r="E17" s="64">
        <f t="shared" si="2"/>
        <v>168941</v>
      </c>
      <c r="F17" s="144">
        <v>0</v>
      </c>
      <c r="G17" s="144">
        <v>0</v>
      </c>
      <c r="H17" s="64">
        <f t="shared" si="3"/>
        <v>168941</v>
      </c>
      <c r="I17" s="64">
        <f t="shared" si="4"/>
        <v>0</v>
      </c>
      <c r="J17" s="145">
        <f t="shared" si="5"/>
        <v>168941</v>
      </c>
      <c r="K17" s="146" t="str">
        <f t="shared" si="16"/>
        <v>Y</v>
      </c>
      <c r="L17" s="147">
        <f t="shared" si="6"/>
        <v>0</v>
      </c>
      <c r="M17" s="148">
        <f t="shared" si="7"/>
        <v>1453</v>
      </c>
      <c r="N17" s="64">
        <f t="shared" si="8"/>
        <v>1249</v>
      </c>
      <c r="O17" s="64">
        <f t="shared" si="9"/>
        <v>170190</v>
      </c>
      <c r="Q17" s="104">
        <f t="shared" si="10"/>
        <v>0</v>
      </c>
      <c r="R17" s="104" t="str">
        <f t="shared" si="11"/>
        <v>Not Applicable</v>
      </c>
      <c r="S17" s="149" t="s">
        <v>815</v>
      </c>
      <c r="T17" s="149">
        <f>IF(O17=0,0,IF(S17="N",0,VLOOKUP(B17,'Enrollment 25-26'!$B$8:$K$332,9,FALSE)))</f>
        <v>0</v>
      </c>
      <c r="U17" s="64">
        <f t="shared" si="12"/>
        <v>170190</v>
      </c>
      <c r="V17" s="128">
        <f t="shared" si="13"/>
        <v>117.13007570543702</v>
      </c>
      <c r="W17" s="150"/>
      <c r="X17" s="64">
        <f>IFERROR(VLOOKUP($B17,#REF!,14,FALSE),0)</f>
        <v>0</v>
      </c>
      <c r="Y17" s="99">
        <f t="shared" si="14"/>
        <v>170190</v>
      </c>
      <c r="Z17" s="132">
        <f t="shared" si="15"/>
        <v>0</v>
      </c>
      <c r="AA17" s="151" t="str">
        <f t="shared" si="17"/>
        <v>Y</v>
      </c>
      <c r="AC17" t="s">
        <v>480</v>
      </c>
      <c r="AE17" s="152"/>
      <c r="AH17" s="153"/>
      <c r="AI17" s="153"/>
      <c r="AJ17" s="153"/>
      <c r="AK17" s="154"/>
    </row>
    <row r="18" spans="1:37" x14ac:dyDescent="0.25">
      <c r="A18" s="142" t="s">
        <v>454</v>
      </c>
      <c r="B18" t="s">
        <v>463</v>
      </c>
      <c r="C18" t="s">
        <v>18</v>
      </c>
      <c r="D18" s="143">
        <f>IFERROR(VLOOKUP(B18,'Enrollment 25-26'!$B$5:$I$332,8,FALSE),0)</f>
        <v>3926.67</v>
      </c>
      <c r="E18" s="64">
        <f t="shared" si="2"/>
        <v>456555</v>
      </c>
      <c r="F18" s="144">
        <v>0</v>
      </c>
      <c r="G18" s="144">
        <v>0</v>
      </c>
      <c r="H18" s="64">
        <f t="shared" si="3"/>
        <v>456555</v>
      </c>
      <c r="I18" s="64">
        <f t="shared" si="4"/>
        <v>0</v>
      </c>
      <c r="J18" s="145">
        <f t="shared" si="5"/>
        <v>456555</v>
      </c>
      <c r="K18" s="146" t="str">
        <f t="shared" si="16"/>
        <v>Y</v>
      </c>
      <c r="L18" s="147">
        <f t="shared" si="6"/>
        <v>0</v>
      </c>
      <c r="M18" s="148">
        <f t="shared" si="7"/>
        <v>3926.67</v>
      </c>
      <c r="N18" s="64">
        <f t="shared" si="8"/>
        <v>3376</v>
      </c>
      <c r="O18" s="64">
        <f t="shared" si="9"/>
        <v>459931</v>
      </c>
      <c r="Q18" s="104">
        <f t="shared" si="10"/>
        <v>0</v>
      </c>
      <c r="R18" s="104" t="str">
        <f t="shared" si="11"/>
        <v>Not Applicable</v>
      </c>
      <c r="S18" s="149" t="s">
        <v>815</v>
      </c>
      <c r="T18" s="149">
        <f>IF(O18=0,0,IF(S18="N",0,VLOOKUP(B18,'Enrollment 25-26'!$B$8:$K$332,9,FALSE)))</f>
        <v>0</v>
      </c>
      <c r="U18" s="64">
        <f t="shared" si="12"/>
        <v>459931</v>
      </c>
      <c r="V18" s="128">
        <f t="shared" si="13"/>
        <v>117.13003639215925</v>
      </c>
      <c r="W18" s="150"/>
      <c r="X18" s="64">
        <f>IFERROR(VLOOKUP($B18,#REF!,14,FALSE),0)</f>
        <v>0</v>
      </c>
      <c r="Y18" s="99">
        <f t="shared" si="14"/>
        <v>459931</v>
      </c>
      <c r="Z18" s="132">
        <f t="shared" si="15"/>
        <v>0</v>
      </c>
      <c r="AA18" s="151" t="str">
        <f t="shared" si="17"/>
        <v>Y</v>
      </c>
      <c r="AC18" t="s">
        <v>538</v>
      </c>
      <c r="AE18" s="152"/>
      <c r="AH18" s="153"/>
      <c r="AI18" s="153"/>
      <c r="AJ18" s="153"/>
      <c r="AK18" s="154"/>
    </row>
    <row r="19" spans="1:37" x14ac:dyDescent="0.25">
      <c r="A19" s="142" t="s">
        <v>446</v>
      </c>
      <c r="B19" t="s">
        <v>465</v>
      </c>
      <c r="C19" t="s">
        <v>19</v>
      </c>
      <c r="D19" s="143">
        <f>IFERROR(VLOOKUP(B19,'Enrollment 25-26'!$B$5:$I$332,8,FALSE),0)</f>
        <v>1071.83</v>
      </c>
      <c r="E19" s="64">
        <f t="shared" si="2"/>
        <v>124622</v>
      </c>
      <c r="F19" s="144">
        <v>0</v>
      </c>
      <c r="G19" s="144">
        <v>0</v>
      </c>
      <c r="H19" s="64">
        <f t="shared" si="3"/>
        <v>124622</v>
      </c>
      <c r="I19" s="64">
        <f t="shared" si="4"/>
        <v>0</v>
      </c>
      <c r="J19" s="145">
        <f t="shared" si="5"/>
        <v>124622</v>
      </c>
      <c r="K19" s="146" t="str">
        <f t="shared" si="16"/>
        <v>Y</v>
      </c>
      <c r="L19" s="147">
        <f t="shared" si="6"/>
        <v>0</v>
      </c>
      <c r="M19" s="148">
        <f t="shared" si="7"/>
        <v>1071.83</v>
      </c>
      <c r="N19" s="64">
        <f t="shared" si="8"/>
        <v>921</v>
      </c>
      <c r="O19" s="64">
        <f t="shared" si="9"/>
        <v>125543</v>
      </c>
      <c r="Q19" s="104">
        <f t="shared" si="10"/>
        <v>0</v>
      </c>
      <c r="R19" s="104" t="str">
        <f t="shared" si="11"/>
        <v>Not Applicable</v>
      </c>
      <c r="S19" s="149" t="s">
        <v>815</v>
      </c>
      <c r="T19" s="149">
        <f>IF(O19=0,0,IF(S19="N",0,VLOOKUP(B19,'Enrollment 25-26'!$B$8:$K$332,9,FALSE)))</f>
        <v>0</v>
      </c>
      <c r="U19" s="64">
        <f t="shared" si="12"/>
        <v>125543</v>
      </c>
      <c r="V19" s="128">
        <f t="shared" si="13"/>
        <v>117.12958211656701</v>
      </c>
      <c r="W19" s="150"/>
      <c r="X19" s="64">
        <f>IFERROR(VLOOKUP($B19,#REF!,14,FALSE),0)</f>
        <v>0</v>
      </c>
      <c r="Y19" s="99">
        <f t="shared" si="14"/>
        <v>125543</v>
      </c>
      <c r="Z19" s="132">
        <f t="shared" si="15"/>
        <v>0</v>
      </c>
      <c r="AA19" s="151" t="str">
        <f t="shared" si="17"/>
        <v>Y</v>
      </c>
      <c r="AC19" t="s">
        <v>483</v>
      </c>
      <c r="AE19" s="152"/>
      <c r="AH19" s="153"/>
      <c r="AI19" s="153"/>
      <c r="AJ19" s="153"/>
      <c r="AK19" s="154"/>
    </row>
    <row r="20" spans="1:37" x14ac:dyDescent="0.25">
      <c r="A20" s="142" t="s">
        <v>443</v>
      </c>
      <c r="B20" t="s">
        <v>467</v>
      </c>
      <c r="C20" t="s">
        <v>20</v>
      </c>
      <c r="D20" s="143">
        <f>IFERROR(VLOOKUP(B20,'Enrollment 25-26'!$B$5:$I$332,8,FALSE),0)</f>
        <v>0</v>
      </c>
      <c r="E20" s="64">
        <f t="shared" si="2"/>
        <v>0</v>
      </c>
      <c r="F20" s="144">
        <v>0</v>
      </c>
      <c r="G20" s="144">
        <v>0</v>
      </c>
      <c r="H20" s="64">
        <f t="shared" si="3"/>
        <v>0</v>
      </c>
      <c r="I20" s="64">
        <f t="shared" si="4"/>
        <v>0</v>
      </c>
      <c r="J20" s="145">
        <f t="shared" si="5"/>
        <v>0</v>
      </c>
      <c r="K20" s="146" t="str">
        <f t="shared" si="16"/>
        <v>N</v>
      </c>
      <c r="L20" s="147">
        <f t="shared" si="6"/>
        <v>0</v>
      </c>
      <c r="M20" s="148">
        <f t="shared" si="7"/>
        <v>0</v>
      </c>
      <c r="N20" s="64">
        <f t="shared" si="8"/>
        <v>0</v>
      </c>
      <c r="O20" s="64">
        <f t="shared" si="9"/>
        <v>0</v>
      </c>
      <c r="Q20" s="104">
        <f t="shared" si="10"/>
        <v>0</v>
      </c>
      <c r="R20" s="104" t="str">
        <f t="shared" si="11"/>
        <v>Not Applicable</v>
      </c>
      <c r="S20" s="149" t="s">
        <v>815</v>
      </c>
      <c r="T20" s="149">
        <f>IF(O20=0,0,IF(S20="N",0,VLOOKUP(B20,'Enrollment 25-26'!$B$8:$K$332,9,FALSE)))</f>
        <v>0</v>
      </c>
      <c r="U20" s="64">
        <f t="shared" si="12"/>
        <v>0</v>
      </c>
      <c r="V20" s="128">
        <f t="shared" si="13"/>
        <v>0</v>
      </c>
      <c r="W20" s="150"/>
      <c r="X20" s="64">
        <f>IFERROR(VLOOKUP($B20,#REF!,14,FALSE),0)</f>
        <v>0</v>
      </c>
      <c r="Y20" s="99">
        <f t="shared" si="14"/>
        <v>0</v>
      </c>
      <c r="Z20" s="132">
        <f t="shared" si="15"/>
        <v>0</v>
      </c>
      <c r="AA20" s="151" t="str">
        <f t="shared" si="17"/>
        <v>N</v>
      </c>
      <c r="AC20" t="s">
        <v>578</v>
      </c>
      <c r="AE20" s="152"/>
      <c r="AH20" s="153"/>
      <c r="AI20" s="153"/>
      <c r="AJ20" s="153"/>
      <c r="AK20" s="154"/>
    </row>
    <row r="21" spans="1:37" x14ac:dyDescent="0.25">
      <c r="A21" s="142" t="s">
        <v>454</v>
      </c>
      <c r="B21" t="s">
        <v>469</v>
      </c>
      <c r="C21" t="s">
        <v>21</v>
      </c>
      <c r="D21" s="143">
        <f>IFERROR(VLOOKUP(B21,'Enrollment 25-26'!$B$5:$I$332,8,FALSE),0)</f>
        <v>1832.83</v>
      </c>
      <c r="E21" s="64">
        <f t="shared" si="2"/>
        <v>213103</v>
      </c>
      <c r="F21" s="144">
        <v>0</v>
      </c>
      <c r="G21" s="144">
        <v>0</v>
      </c>
      <c r="H21" s="64">
        <f t="shared" si="3"/>
        <v>213103</v>
      </c>
      <c r="I21" s="64">
        <f t="shared" si="4"/>
        <v>0</v>
      </c>
      <c r="J21" s="145">
        <f t="shared" si="5"/>
        <v>213103</v>
      </c>
      <c r="K21" s="146" t="str">
        <f t="shared" si="16"/>
        <v>Y</v>
      </c>
      <c r="L21" s="147">
        <f t="shared" si="6"/>
        <v>0</v>
      </c>
      <c r="M21" s="148">
        <f t="shared" si="7"/>
        <v>1832.83</v>
      </c>
      <c r="N21" s="64">
        <f t="shared" si="8"/>
        <v>1576</v>
      </c>
      <c r="O21" s="64">
        <f t="shared" si="9"/>
        <v>214679</v>
      </c>
      <c r="Q21" s="104">
        <f t="shared" si="10"/>
        <v>0</v>
      </c>
      <c r="R21" s="104" t="str">
        <f t="shared" si="11"/>
        <v>Not Applicable</v>
      </c>
      <c r="S21" s="149" t="s">
        <v>815</v>
      </c>
      <c r="T21" s="149">
        <f>IF(O21=0,0,IF(S21="N",0,VLOOKUP(B21,'Enrollment 25-26'!$B$8:$K$332,9,FALSE)))</f>
        <v>0</v>
      </c>
      <c r="U21" s="64">
        <f t="shared" si="12"/>
        <v>214679</v>
      </c>
      <c r="V21" s="128">
        <f t="shared" si="13"/>
        <v>117.12979381612043</v>
      </c>
      <c r="W21" s="150"/>
      <c r="X21" s="64">
        <f>IFERROR(VLOOKUP($B21,#REF!,14,FALSE),0)</f>
        <v>0</v>
      </c>
      <c r="Y21" s="99">
        <f t="shared" si="14"/>
        <v>214679</v>
      </c>
      <c r="Z21" s="132">
        <f t="shared" si="15"/>
        <v>0</v>
      </c>
      <c r="AA21" s="151" t="str">
        <f t="shared" si="17"/>
        <v>Y</v>
      </c>
      <c r="AC21" t="s">
        <v>464</v>
      </c>
      <c r="AE21" s="152"/>
      <c r="AH21" s="153"/>
      <c r="AI21" s="153"/>
      <c r="AJ21" s="153"/>
      <c r="AK21" s="154"/>
    </row>
    <row r="22" spans="1:37" x14ac:dyDescent="0.25">
      <c r="A22" s="142" t="s">
        <v>471</v>
      </c>
      <c r="B22" t="s">
        <v>472</v>
      </c>
      <c r="C22" t="s">
        <v>22</v>
      </c>
      <c r="D22" s="143">
        <f>IFERROR(VLOOKUP(B22,'Enrollment 25-26'!$B$5:$I$332,8,FALSE),0)</f>
        <v>0</v>
      </c>
      <c r="E22" s="64">
        <f t="shared" si="2"/>
        <v>0</v>
      </c>
      <c r="F22" s="144">
        <v>0</v>
      </c>
      <c r="G22" s="144">
        <v>0</v>
      </c>
      <c r="H22" s="64">
        <f t="shared" si="3"/>
        <v>0</v>
      </c>
      <c r="I22" s="64">
        <f t="shared" si="4"/>
        <v>0</v>
      </c>
      <c r="J22" s="145">
        <f t="shared" si="5"/>
        <v>0</v>
      </c>
      <c r="K22" s="146" t="str">
        <f t="shared" si="16"/>
        <v>N</v>
      </c>
      <c r="L22" s="147">
        <f t="shared" si="6"/>
        <v>0</v>
      </c>
      <c r="M22" s="148">
        <f t="shared" si="7"/>
        <v>0</v>
      </c>
      <c r="N22" s="64">
        <f t="shared" si="8"/>
        <v>0</v>
      </c>
      <c r="O22" s="64">
        <f t="shared" si="9"/>
        <v>0</v>
      </c>
      <c r="Q22" s="104">
        <f t="shared" si="10"/>
        <v>0</v>
      </c>
      <c r="R22" s="104" t="str">
        <f t="shared" si="11"/>
        <v>Not Applicable</v>
      </c>
      <c r="S22" s="149" t="s">
        <v>815</v>
      </c>
      <c r="T22" s="149">
        <f>IF(O22=0,0,IF(S22="N",0,VLOOKUP(B22,'Enrollment 25-26'!$B$8:$K$332,9,FALSE)))</f>
        <v>0</v>
      </c>
      <c r="U22" s="64">
        <f t="shared" si="12"/>
        <v>0</v>
      </c>
      <c r="V22" s="128">
        <f t="shared" si="13"/>
        <v>0</v>
      </c>
      <c r="W22" s="150"/>
      <c r="X22" s="64">
        <f>IFERROR(VLOOKUP($B22,#REF!,14,FALSE),0)</f>
        <v>0</v>
      </c>
      <c r="Y22" s="99">
        <f t="shared" si="14"/>
        <v>0</v>
      </c>
      <c r="Z22" s="132">
        <f t="shared" si="15"/>
        <v>0</v>
      </c>
      <c r="AA22" s="151" t="str">
        <f t="shared" si="17"/>
        <v>N</v>
      </c>
      <c r="AC22" t="s">
        <v>594</v>
      </c>
      <c r="AE22" s="152"/>
      <c r="AH22" s="153"/>
      <c r="AI22" s="153"/>
      <c r="AJ22" s="153"/>
      <c r="AK22" s="154"/>
    </row>
    <row r="23" spans="1:37" x14ac:dyDescent="0.25">
      <c r="A23" s="142" t="s">
        <v>446</v>
      </c>
      <c r="B23" t="s">
        <v>474</v>
      </c>
      <c r="C23" t="s">
        <v>23</v>
      </c>
      <c r="D23" s="143">
        <f>IFERROR(VLOOKUP(B23,'Enrollment 25-26'!$B$5:$I$332,8,FALSE),0)</f>
        <v>112.50333333333333</v>
      </c>
      <c r="E23" s="64">
        <f t="shared" si="2"/>
        <v>13081</v>
      </c>
      <c r="F23" s="144">
        <v>0</v>
      </c>
      <c r="G23" s="144">
        <v>0</v>
      </c>
      <c r="H23" s="64">
        <f t="shared" si="3"/>
        <v>13081</v>
      </c>
      <c r="I23" s="64">
        <f t="shared" si="4"/>
        <v>0</v>
      </c>
      <c r="J23" s="145">
        <f t="shared" si="5"/>
        <v>13081</v>
      </c>
      <c r="K23" s="146" t="str">
        <f t="shared" si="16"/>
        <v>Y</v>
      </c>
      <c r="L23" s="147">
        <f t="shared" si="6"/>
        <v>0</v>
      </c>
      <c r="M23" s="148">
        <f t="shared" si="7"/>
        <v>112.50333333333333</v>
      </c>
      <c r="N23" s="64">
        <f t="shared" si="8"/>
        <v>97</v>
      </c>
      <c r="O23" s="64">
        <f t="shared" si="9"/>
        <v>13178</v>
      </c>
      <c r="Q23" s="104">
        <f t="shared" si="10"/>
        <v>0</v>
      </c>
      <c r="R23" s="104" t="str">
        <f t="shared" si="11"/>
        <v>Not Applicable</v>
      </c>
      <c r="S23" s="149" t="s">
        <v>815</v>
      </c>
      <c r="T23" s="149">
        <f>IF(O23=0,0,IF(S23="N",0,VLOOKUP(B23,'Enrollment 25-26'!$B$8:$K$332,9,FALSE)))</f>
        <v>0</v>
      </c>
      <c r="U23" s="64">
        <f t="shared" si="12"/>
        <v>13178</v>
      </c>
      <c r="V23" s="128">
        <f t="shared" si="13"/>
        <v>117.13430713164055</v>
      </c>
      <c r="W23" s="150"/>
      <c r="X23" s="64">
        <f>IFERROR(VLOOKUP($B23,#REF!,14,FALSE),0)</f>
        <v>0</v>
      </c>
      <c r="Y23" s="99">
        <f t="shared" si="14"/>
        <v>13178</v>
      </c>
      <c r="Z23" s="132">
        <f t="shared" si="15"/>
        <v>0</v>
      </c>
      <c r="AA23" s="151" t="str">
        <f t="shared" si="17"/>
        <v>Y</v>
      </c>
      <c r="AC23" t="s">
        <v>440</v>
      </c>
      <c r="AE23" s="152"/>
      <c r="AH23" s="153"/>
      <c r="AI23" s="153"/>
      <c r="AJ23" s="153"/>
      <c r="AK23" s="154"/>
    </row>
    <row r="24" spans="1:37" x14ac:dyDescent="0.25">
      <c r="A24" s="142" t="s">
        <v>438</v>
      </c>
      <c r="B24" t="s">
        <v>476</v>
      </c>
      <c r="C24" t="s">
        <v>24</v>
      </c>
      <c r="D24" s="143">
        <f>IFERROR(VLOOKUP(B24,'Enrollment 25-26'!$B$5:$I$332,8,FALSE),0)</f>
        <v>18.329999999999998</v>
      </c>
      <c r="E24" s="64">
        <f t="shared" si="2"/>
        <v>2131</v>
      </c>
      <c r="F24" s="144">
        <v>0</v>
      </c>
      <c r="G24" s="144">
        <v>0</v>
      </c>
      <c r="H24" s="64">
        <f t="shared" si="3"/>
        <v>2131</v>
      </c>
      <c r="I24" s="64">
        <f t="shared" si="4"/>
        <v>0</v>
      </c>
      <c r="J24" s="145">
        <f t="shared" si="5"/>
        <v>2131</v>
      </c>
      <c r="K24" s="146" t="str">
        <f t="shared" si="16"/>
        <v>N</v>
      </c>
      <c r="L24" s="147">
        <f t="shared" si="6"/>
        <v>2131</v>
      </c>
      <c r="M24" s="148">
        <f t="shared" si="7"/>
        <v>0</v>
      </c>
      <c r="N24" s="64">
        <f t="shared" si="8"/>
        <v>0</v>
      </c>
      <c r="O24" s="64">
        <f t="shared" si="9"/>
        <v>0</v>
      </c>
      <c r="Q24" s="104">
        <f t="shared" si="10"/>
        <v>0</v>
      </c>
      <c r="R24" s="104" t="str">
        <f t="shared" si="11"/>
        <v>Not Applicable</v>
      </c>
      <c r="S24" s="149" t="s">
        <v>815</v>
      </c>
      <c r="T24" s="149">
        <f>IF(O24=0,0,IF(S24="N",0,VLOOKUP(B24,'Enrollment 25-26'!$B$8:$K$332,9,FALSE)))</f>
        <v>0</v>
      </c>
      <c r="U24" s="64">
        <f t="shared" si="12"/>
        <v>0</v>
      </c>
      <c r="V24" s="128">
        <f t="shared" si="13"/>
        <v>0</v>
      </c>
      <c r="W24" s="150"/>
      <c r="X24" s="64">
        <f>IFERROR(VLOOKUP($B24,#REF!,14,FALSE),0)</f>
        <v>0</v>
      </c>
      <c r="Y24" s="99">
        <f t="shared" si="14"/>
        <v>0</v>
      </c>
      <c r="Z24" s="132">
        <f t="shared" si="15"/>
        <v>0</v>
      </c>
      <c r="AA24" s="151" t="str">
        <f t="shared" si="17"/>
        <v>N</v>
      </c>
      <c r="AC24" t="s">
        <v>488</v>
      </c>
      <c r="AE24" s="152"/>
      <c r="AH24" s="153"/>
      <c r="AI24" s="153"/>
      <c r="AJ24" s="153"/>
      <c r="AK24" s="154"/>
    </row>
    <row r="25" spans="1:37" x14ac:dyDescent="0.25">
      <c r="A25" s="142" t="s">
        <v>478</v>
      </c>
      <c r="B25" t="s">
        <v>479</v>
      </c>
      <c r="C25" t="s">
        <v>25</v>
      </c>
      <c r="D25" s="143">
        <f>IFERROR(VLOOKUP(B25,'Enrollment 25-26'!$B$5:$I$332,8,FALSE),0)</f>
        <v>658.33</v>
      </c>
      <c r="E25" s="64">
        <f t="shared" si="2"/>
        <v>76544</v>
      </c>
      <c r="F25" s="144">
        <v>0</v>
      </c>
      <c r="G25" s="144">
        <v>0</v>
      </c>
      <c r="H25" s="64">
        <f t="shared" si="3"/>
        <v>76544</v>
      </c>
      <c r="I25" s="64">
        <f t="shared" si="4"/>
        <v>0</v>
      </c>
      <c r="J25" s="145">
        <f t="shared" si="5"/>
        <v>76544</v>
      </c>
      <c r="K25" s="146" t="str">
        <f t="shared" si="16"/>
        <v>Y</v>
      </c>
      <c r="L25" s="147">
        <f t="shared" si="6"/>
        <v>0</v>
      </c>
      <c r="M25" s="148">
        <f t="shared" si="7"/>
        <v>658.33</v>
      </c>
      <c r="N25" s="64">
        <f t="shared" si="8"/>
        <v>566</v>
      </c>
      <c r="O25" s="64">
        <f t="shared" si="9"/>
        <v>77110</v>
      </c>
      <c r="Q25" s="104">
        <f t="shared" si="10"/>
        <v>0</v>
      </c>
      <c r="R25" s="104" t="str">
        <f t="shared" si="11"/>
        <v>Not Applicable</v>
      </c>
      <c r="S25" s="149" t="s">
        <v>815</v>
      </c>
      <c r="T25" s="149">
        <f>IF(O25=0,0,IF(S25="N",0,VLOOKUP(B25,'Enrollment 25-26'!$B$8:$K$332,9,FALSE)))</f>
        <v>0</v>
      </c>
      <c r="U25" s="64">
        <f t="shared" si="12"/>
        <v>77110</v>
      </c>
      <c r="V25" s="128">
        <f t="shared" si="13"/>
        <v>117.12970698585815</v>
      </c>
      <c r="W25" s="150"/>
      <c r="X25" s="64">
        <f>IFERROR(VLOOKUP($B25,#REF!,14,FALSE),0)</f>
        <v>0</v>
      </c>
      <c r="Y25" s="99">
        <f t="shared" si="14"/>
        <v>77110</v>
      </c>
      <c r="Z25" s="132">
        <f t="shared" si="15"/>
        <v>0</v>
      </c>
      <c r="AA25" s="151" t="str">
        <f t="shared" si="17"/>
        <v>Y</v>
      </c>
      <c r="AC25" t="s">
        <v>604</v>
      </c>
      <c r="AE25" s="152"/>
      <c r="AH25" s="153"/>
      <c r="AI25" s="153"/>
      <c r="AJ25" s="153"/>
      <c r="AK25" s="154"/>
    </row>
    <row r="26" spans="1:37" x14ac:dyDescent="0.25">
      <c r="A26" s="142" t="s">
        <v>481</v>
      </c>
      <c r="B26" t="s">
        <v>482</v>
      </c>
      <c r="C26" t="s">
        <v>26</v>
      </c>
      <c r="D26" s="143">
        <f>IFERROR(VLOOKUP(B26,'Enrollment 25-26'!$B$5:$I$332,8,FALSE),0)</f>
        <v>395.34000000000003</v>
      </c>
      <c r="E26" s="64">
        <f t="shared" si="2"/>
        <v>45966</v>
      </c>
      <c r="F26" s="144">
        <v>0</v>
      </c>
      <c r="G26" s="144">
        <v>0</v>
      </c>
      <c r="H26" s="64">
        <f t="shared" si="3"/>
        <v>45966</v>
      </c>
      <c r="I26" s="64">
        <f t="shared" si="4"/>
        <v>0</v>
      </c>
      <c r="J26" s="145">
        <f t="shared" si="5"/>
        <v>45966</v>
      </c>
      <c r="K26" s="146" t="str">
        <f t="shared" si="16"/>
        <v>Y</v>
      </c>
      <c r="L26" s="147">
        <f t="shared" si="6"/>
        <v>0</v>
      </c>
      <c r="M26" s="148">
        <f t="shared" si="7"/>
        <v>395.34000000000003</v>
      </c>
      <c r="N26" s="64">
        <f t="shared" si="8"/>
        <v>340</v>
      </c>
      <c r="O26" s="64">
        <f t="shared" si="9"/>
        <v>46306</v>
      </c>
      <c r="Q26" s="104">
        <f t="shared" si="10"/>
        <v>0</v>
      </c>
      <c r="R26" s="104" t="str">
        <f t="shared" si="11"/>
        <v>Not Applicable</v>
      </c>
      <c r="S26" s="149" t="s">
        <v>815</v>
      </c>
      <c r="T26" s="149">
        <f>IF(O26=0,0,IF(S26="N",0,VLOOKUP(B26,'Enrollment 25-26'!$B$8:$K$332,9,FALSE)))</f>
        <v>0</v>
      </c>
      <c r="U26" s="64">
        <f t="shared" si="12"/>
        <v>46306</v>
      </c>
      <c r="V26" s="128">
        <f t="shared" si="13"/>
        <v>117.12955936662112</v>
      </c>
      <c r="W26" s="150"/>
      <c r="X26" s="64">
        <f>IFERROR(VLOOKUP($B26,#REF!,14,FALSE),0)</f>
        <v>0</v>
      </c>
      <c r="Y26" s="99">
        <f t="shared" si="14"/>
        <v>46306</v>
      </c>
      <c r="Z26" s="132">
        <f t="shared" si="15"/>
        <v>0</v>
      </c>
      <c r="AA26" s="151" t="str">
        <f t="shared" si="17"/>
        <v>Y</v>
      </c>
      <c r="AC26" t="s">
        <v>618</v>
      </c>
      <c r="AE26" s="152"/>
      <c r="AH26" s="153"/>
      <c r="AI26" s="153"/>
      <c r="AJ26" s="153"/>
      <c r="AK26" s="154"/>
    </row>
    <row r="27" spans="1:37" x14ac:dyDescent="0.25">
      <c r="A27" s="142" t="s">
        <v>481</v>
      </c>
      <c r="B27" t="s">
        <v>485</v>
      </c>
      <c r="C27" t="s">
        <v>27</v>
      </c>
      <c r="D27" s="143">
        <f>IFERROR(VLOOKUP(B27,'Enrollment 25-26'!$B$5:$I$332,8,FALSE),0)</f>
        <v>417</v>
      </c>
      <c r="E27" s="64">
        <f t="shared" si="2"/>
        <v>48485</v>
      </c>
      <c r="F27" s="144">
        <v>0</v>
      </c>
      <c r="G27" s="144">
        <v>0</v>
      </c>
      <c r="H27" s="64">
        <f t="shared" si="3"/>
        <v>48485</v>
      </c>
      <c r="I27" s="64">
        <f t="shared" si="4"/>
        <v>0</v>
      </c>
      <c r="J27" s="145">
        <f t="shared" si="5"/>
        <v>48485</v>
      </c>
      <c r="K27" s="146" t="str">
        <f t="shared" si="16"/>
        <v>Y</v>
      </c>
      <c r="L27" s="147">
        <f t="shared" si="6"/>
        <v>0</v>
      </c>
      <c r="M27" s="148">
        <f t="shared" si="7"/>
        <v>417</v>
      </c>
      <c r="N27" s="64">
        <f t="shared" si="8"/>
        <v>358</v>
      </c>
      <c r="O27" s="64">
        <f t="shared" si="9"/>
        <v>48843</v>
      </c>
      <c r="Q27" s="104">
        <f t="shared" si="10"/>
        <v>0</v>
      </c>
      <c r="R27" s="104" t="str">
        <f t="shared" si="11"/>
        <v>Not Applicable</v>
      </c>
      <c r="S27" s="149" t="s">
        <v>815</v>
      </c>
      <c r="T27" s="149">
        <f>IF(O27=0,0,IF(S27="N",0,VLOOKUP(B27,'Enrollment 25-26'!$B$8:$K$332,9,FALSE)))</f>
        <v>0</v>
      </c>
      <c r="U27" s="64">
        <f t="shared" si="12"/>
        <v>48843</v>
      </c>
      <c r="V27" s="128">
        <f t="shared" si="13"/>
        <v>117.12949640287769</v>
      </c>
      <c r="W27" s="150"/>
      <c r="X27" s="64">
        <f>IFERROR(VLOOKUP($B27,#REF!,14,FALSE),0)</f>
        <v>0</v>
      </c>
      <c r="Y27" s="99">
        <f t="shared" si="14"/>
        <v>48843</v>
      </c>
      <c r="Z27" s="132">
        <f t="shared" si="15"/>
        <v>0</v>
      </c>
      <c r="AA27" s="151" t="str">
        <f t="shared" si="17"/>
        <v>Y</v>
      </c>
      <c r="AC27" t="s">
        <v>468</v>
      </c>
      <c r="AE27" s="152"/>
      <c r="AH27" s="153"/>
      <c r="AI27" s="153"/>
      <c r="AJ27" s="153"/>
      <c r="AK27" s="154"/>
    </row>
    <row r="28" spans="1:37" x14ac:dyDescent="0.25">
      <c r="A28" s="142" t="s">
        <v>478</v>
      </c>
      <c r="B28" t="s">
        <v>487</v>
      </c>
      <c r="C28" t="s">
        <v>28</v>
      </c>
      <c r="D28" s="143">
        <f>IFERROR(VLOOKUP(B28,'Enrollment 25-26'!$B$5:$I$332,8,FALSE),0)</f>
        <v>1</v>
      </c>
      <c r="E28" s="64">
        <f t="shared" si="2"/>
        <v>116</v>
      </c>
      <c r="F28" s="144">
        <v>0</v>
      </c>
      <c r="G28" s="144">
        <v>0</v>
      </c>
      <c r="H28" s="64">
        <f t="shared" si="3"/>
        <v>116</v>
      </c>
      <c r="I28" s="64">
        <f t="shared" si="4"/>
        <v>0</v>
      </c>
      <c r="J28" s="145">
        <f t="shared" si="5"/>
        <v>116</v>
      </c>
      <c r="K28" s="146" t="str">
        <f t="shared" si="16"/>
        <v>N</v>
      </c>
      <c r="L28" s="147">
        <f t="shared" si="6"/>
        <v>116</v>
      </c>
      <c r="M28" s="148">
        <f t="shared" si="7"/>
        <v>0</v>
      </c>
      <c r="N28" s="64">
        <f t="shared" si="8"/>
        <v>0</v>
      </c>
      <c r="O28" s="64">
        <f t="shared" si="9"/>
        <v>0</v>
      </c>
      <c r="Q28" s="104">
        <f t="shared" si="10"/>
        <v>0</v>
      </c>
      <c r="R28" s="104" t="str">
        <f t="shared" si="11"/>
        <v>Not Applicable</v>
      </c>
      <c r="S28" s="149" t="s">
        <v>815</v>
      </c>
      <c r="T28" s="149">
        <f>IF(O28=0,0,IF(S28="N",0,VLOOKUP(B28,'Enrollment 25-26'!$B$8:$K$332,9,FALSE)))</f>
        <v>0</v>
      </c>
      <c r="U28" s="64">
        <f t="shared" si="12"/>
        <v>0</v>
      </c>
      <c r="V28" s="128">
        <f t="shared" si="13"/>
        <v>0</v>
      </c>
      <c r="W28" s="150"/>
      <c r="X28" s="64">
        <f>IFERROR(VLOOKUP($B28,#REF!,14,FALSE),0)</f>
        <v>0</v>
      </c>
      <c r="Y28" s="99">
        <f t="shared" si="14"/>
        <v>0</v>
      </c>
      <c r="Z28" s="132">
        <f t="shared" si="15"/>
        <v>0</v>
      </c>
      <c r="AA28" s="151" t="str">
        <f t="shared" si="17"/>
        <v>N</v>
      </c>
      <c r="AC28" t="s">
        <v>627</v>
      </c>
      <c r="AE28" s="152"/>
      <c r="AH28" s="153"/>
      <c r="AI28" s="153"/>
      <c r="AJ28" s="153"/>
      <c r="AK28" s="154"/>
    </row>
    <row r="29" spans="1:37" x14ac:dyDescent="0.25">
      <c r="A29" s="142" t="s">
        <v>446</v>
      </c>
      <c r="B29" t="s">
        <v>489</v>
      </c>
      <c r="C29" t="s">
        <v>29</v>
      </c>
      <c r="D29" s="143">
        <f>IFERROR(VLOOKUP(B29,'Enrollment 25-26'!$B$5:$I$332,8,FALSE),0)</f>
        <v>804.6733333333334</v>
      </c>
      <c r="E29" s="64">
        <f t="shared" si="2"/>
        <v>93559</v>
      </c>
      <c r="F29" s="144">
        <v>0</v>
      </c>
      <c r="G29" s="144">
        <v>0</v>
      </c>
      <c r="H29" s="64">
        <f t="shared" si="3"/>
        <v>93559</v>
      </c>
      <c r="I29" s="64">
        <f t="shared" si="4"/>
        <v>0</v>
      </c>
      <c r="J29" s="145">
        <f t="shared" si="5"/>
        <v>93559</v>
      </c>
      <c r="K29" s="146" t="str">
        <f t="shared" si="16"/>
        <v>Y</v>
      </c>
      <c r="L29" s="147">
        <f t="shared" si="6"/>
        <v>0</v>
      </c>
      <c r="M29" s="148">
        <f t="shared" si="7"/>
        <v>804.6733333333334</v>
      </c>
      <c r="N29" s="64">
        <f t="shared" si="8"/>
        <v>692</v>
      </c>
      <c r="O29" s="64">
        <f t="shared" si="9"/>
        <v>94251</v>
      </c>
      <c r="Q29" s="104">
        <f t="shared" si="10"/>
        <v>0</v>
      </c>
      <c r="R29" s="104" t="str">
        <f t="shared" si="11"/>
        <v>Not Applicable</v>
      </c>
      <c r="S29" s="149" t="s">
        <v>815</v>
      </c>
      <c r="T29" s="149">
        <f>IF(O29=0,0,IF(S29="N",0,VLOOKUP(B29,'Enrollment 25-26'!$B$8:$K$332,9,FALSE)))</f>
        <v>0</v>
      </c>
      <c r="U29" s="64">
        <f t="shared" si="12"/>
        <v>94251</v>
      </c>
      <c r="V29" s="128">
        <f t="shared" si="13"/>
        <v>117.12951839669927</v>
      </c>
      <c r="W29" s="150"/>
      <c r="X29" s="64">
        <f>IFERROR(VLOOKUP($B29,#REF!,14,FALSE),0)</f>
        <v>0</v>
      </c>
      <c r="Y29" s="99">
        <f t="shared" si="14"/>
        <v>94251</v>
      </c>
      <c r="Z29" s="132">
        <f t="shared" si="15"/>
        <v>0</v>
      </c>
      <c r="AA29" s="151" t="str">
        <f t="shared" si="17"/>
        <v>Y</v>
      </c>
      <c r="AC29" t="s">
        <v>629</v>
      </c>
      <c r="AE29" s="152"/>
      <c r="AH29" s="153"/>
      <c r="AI29" s="153"/>
      <c r="AJ29" s="153"/>
      <c r="AK29" s="154"/>
    </row>
    <row r="30" spans="1:37" x14ac:dyDescent="0.25">
      <c r="A30" s="142" t="s">
        <v>459</v>
      </c>
      <c r="B30" t="s">
        <v>491</v>
      </c>
      <c r="C30" t="s">
        <v>30</v>
      </c>
      <c r="D30" s="143">
        <f>IFERROR(VLOOKUP(B30,'Enrollment 25-26'!$B$5:$I$332,8,FALSE),0)</f>
        <v>286.5</v>
      </c>
      <c r="E30" s="64">
        <f t="shared" si="2"/>
        <v>33311</v>
      </c>
      <c r="F30" s="144">
        <v>0</v>
      </c>
      <c r="G30" s="144">
        <v>0</v>
      </c>
      <c r="H30" s="64">
        <f t="shared" si="3"/>
        <v>33311</v>
      </c>
      <c r="I30" s="64">
        <f t="shared" si="4"/>
        <v>0</v>
      </c>
      <c r="J30" s="145">
        <f t="shared" si="5"/>
        <v>33311</v>
      </c>
      <c r="K30" s="146" t="str">
        <f t="shared" si="16"/>
        <v>Y</v>
      </c>
      <c r="L30" s="147">
        <f t="shared" si="6"/>
        <v>0</v>
      </c>
      <c r="M30" s="148">
        <f t="shared" si="7"/>
        <v>286.5</v>
      </c>
      <c r="N30" s="64">
        <f t="shared" si="8"/>
        <v>246</v>
      </c>
      <c r="O30" s="64">
        <f t="shared" si="9"/>
        <v>33557</v>
      </c>
      <c r="Q30" s="104">
        <f t="shared" si="10"/>
        <v>0</v>
      </c>
      <c r="R30" s="104" t="str">
        <f t="shared" si="11"/>
        <v>Not Applicable</v>
      </c>
      <c r="S30" s="149" t="s">
        <v>815</v>
      </c>
      <c r="T30" s="149">
        <f>IF(O30=0,0,IF(S30="N",0,VLOOKUP(B30,'Enrollment 25-26'!$B$8:$K$332,9,FALSE)))</f>
        <v>0</v>
      </c>
      <c r="U30" s="64">
        <f t="shared" si="12"/>
        <v>33557</v>
      </c>
      <c r="V30" s="128">
        <f t="shared" si="13"/>
        <v>117.12739965095986</v>
      </c>
      <c r="W30" s="150"/>
      <c r="X30" s="64">
        <f>IFERROR(VLOOKUP($B30,#REF!,14,FALSE),0)</f>
        <v>0</v>
      </c>
      <c r="Y30" s="99">
        <f t="shared" si="14"/>
        <v>33557</v>
      </c>
      <c r="Z30" s="132">
        <f t="shared" si="15"/>
        <v>0</v>
      </c>
      <c r="AA30" s="151" t="str">
        <f t="shared" si="17"/>
        <v>Y</v>
      </c>
      <c r="AC30" t="s">
        <v>477</v>
      </c>
      <c r="AE30" s="152"/>
      <c r="AH30" s="153"/>
      <c r="AI30" s="153"/>
      <c r="AJ30" s="153"/>
      <c r="AK30" s="154"/>
    </row>
    <row r="31" spans="1:37" x14ac:dyDescent="0.25">
      <c r="A31" s="142" t="s">
        <v>478</v>
      </c>
      <c r="B31" t="s">
        <v>493</v>
      </c>
      <c r="C31" t="s">
        <v>31</v>
      </c>
      <c r="D31" s="143">
        <f>IFERROR(VLOOKUP(B31,'Enrollment 25-26'!$B$5:$I$332,8,FALSE),0)</f>
        <v>0</v>
      </c>
      <c r="E31" s="64">
        <f t="shared" si="2"/>
        <v>0</v>
      </c>
      <c r="F31" s="144">
        <v>0</v>
      </c>
      <c r="G31" s="144">
        <v>0</v>
      </c>
      <c r="H31" s="64">
        <f t="shared" si="3"/>
        <v>0</v>
      </c>
      <c r="I31" s="64">
        <f t="shared" si="4"/>
        <v>0</v>
      </c>
      <c r="J31" s="145">
        <f t="shared" si="5"/>
        <v>0</v>
      </c>
      <c r="K31" s="146" t="str">
        <f t="shared" si="16"/>
        <v>N</v>
      </c>
      <c r="L31" s="147">
        <f t="shared" si="6"/>
        <v>0</v>
      </c>
      <c r="M31" s="148">
        <f t="shared" si="7"/>
        <v>0</v>
      </c>
      <c r="N31" s="64">
        <f t="shared" si="8"/>
        <v>0</v>
      </c>
      <c r="O31" s="64">
        <f t="shared" si="9"/>
        <v>0</v>
      </c>
      <c r="Q31" s="104">
        <f t="shared" si="10"/>
        <v>0</v>
      </c>
      <c r="R31" s="104" t="str">
        <f t="shared" si="11"/>
        <v>Not Applicable</v>
      </c>
      <c r="S31" s="149" t="s">
        <v>815</v>
      </c>
      <c r="T31" s="149">
        <f>IF(O31=0,0,IF(S31="N",0,VLOOKUP(B31,'Enrollment 25-26'!$B$8:$K$332,9,FALSE)))</f>
        <v>0</v>
      </c>
      <c r="U31" s="64">
        <f t="shared" si="12"/>
        <v>0</v>
      </c>
      <c r="V31" s="128">
        <f t="shared" si="13"/>
        <v>0</v>
      </c>
      <c r="W31" s="150"/>
      <c r="X31" s="64">
        <f>IFERROR(VLOOKUP($B31,#REF!,14,FALSE),0)</f>
        <v>0</v>
      </c>
      <c r="Y31" s="99">
        <f t="shared" si="14"/>
        <v>0</v>
      </c>
      <c r="Z31" s="132">
        <f t="shared" si="15"/>
        <v>0</v>
      </c>
      <c r="AA31" s="151" t="str">
        <f t="shared" si="17"/>
        <v>N</v>
      </c>
      <c r="AC31" t="s">
        <v>633</v>
      </c>
      <c r="AE31" s="152"/>
      <c r="AH31" s="153"/>
      <c r="AI31" s="153"/>
      <c r="AJ31" s="153"/>
      <c r="AK31" s="154"/>
    </row>
    <row r="32" spans="1:37" x14ac:dyDescent="0.25">
      <c r="A32" s="142" t="s">
        <v>454</v>
      </c>
      <c r="B32" t="s">
        <v>495</v>
      </c>
      <c r="C32" t="s">
        <v>32</v>
      </c>
      <c r="D32" s="143">
        <f>IFERROR(VLOOKUP(B32,'Enrollment 25-26'!$B$5:$I$332,8,FALSE),0)</f>
        <v>0</v>
      </c>
      <c r="E32" s="64">
        <f t="shared" si="2"/>
        <v>0</v>
      </c>
      <c r="F32" s="144">
        <v>0</v>
      </c>
      <c r="G32" s="144">
        <v>0</v>
      </c>
      <c r="H32" s="64">
        <f t="shared" si="3"/>
        <v>0</v>
      </c>
      <c r="I32" s="64">
        <f t="shared" si="4"/>
        <v>0</v>
      </c>
      <c r="J32" s="145">
        <f t="shared" si="5"/>
        <v>0</v>
      </c>
      <c r="K32" s="146" t="str">
        <f t="shared" si="16"/>
        <v>N</v>
      </c>
      <c r="L32" s="147">
        <f t="shared" si="6"/>
        <v>0</v>
      </c>
      <c r="M32" s="148">
        <f t="shared" si="7"/>
        <v>0</v>
      </c>
      <c r="N32" s="64">
        <f t="shared" si="8"/>
        <v>0</v>
      </c>
      <c r="O32" s="64">
        <f t="shared" si="9"/>
        <v>0</v>
      </c>
      <c r="Q32" s="104">
        <f t="shared" si="10"/>
        <v>0</v>
      </c>
      <c r="R32" s="104" t="str">
        <f t="shared" si="11"/>
        <v>Not Applicable</v>
      </c>
      <c r="S32" s="149" t="s">
        <v>815</v>
      </c>
      <c r="T32" s="149">
        <f>IF(O32=0,0,IF(S32="N",0,VLOOKUP(B32,'Enrollment 25-26'!$B$8:$K$332,9,FALSE)))</f>
        <v>0</v>
      </c>
      <c r="U32" s="64">
        <f t="shared" si="12"/>
        <v>0</v>
      </c>
      <c r="V32" s="128">
        <f t="shared" si="13"/>
        <v>0</v>
      </c>
      <c r="W32" s="150"/>
      <c r="X32" s="64">
        <f>IFERROR(VLOOKUP($B32,#REF!,14,FALSE),0)</f>
        <v>0</v>
      </c>
      <c r="Y32" s="99">
        <f t="shared" si="14"/>
        <v>0</v>
      </c>
      <c r="Z32" s="132">
        <f t="shared" si="15"/>
        <v>0</v>
      </c>
      <c r="AA32" s="151" t="str">
        <f t="shared" si="17"/>
        <v>N</v>
      </c>
      <c r="AC32" t="s">
        <v>473</v>
      </c>
      <c r="AE32" s="152"/>
      <c r="AH32" s="153"/>
      <c r="AI32" s="153"/>
      <c r="AJ32" s="153"/>
      <c r="AK32" s="154"/>
    </row>
    <row r="33" spans="1:37" x14ac:dyDescent="0.25">
      <c r="A33" s="142" t="s">
        <v>481</v>
      </c>
      <c r="B33" t="s">
        <v>496</v>
      </c>
      <c r="C33" t="s">
        <v>33</v>
      </c>
      <c r="D33" s="143">
        <f>IFERROR(VLOOKUP(B33,'Enrollment 25-26'!$B$5:$I$332,8,FALSE),0)</f>
        <v>136.16</v>
      </c>
      <c r="E33" s="64">
        <f t="shared" si="2"/>
        <v>15831</v>
      </c>
      <c r="F33" s="144">
        <v>0</v>
      </c>
      <c r="G33" s="144">
        <v>0</v>
      </c>
      <c r="H33" s="64">
        <f t="shared" si="3"/>
        <v>15831</v>
      </c>
      <c r="I33" s="64">
        <f t="shared" si="4"/>
        <v>0</v>
      </c>
      <c r="J33" s="145">
        <f t="shared" si="5"/>
        <v>15831</v>
      </c>
      <c r="K33" s="146" t="str">
        <f t="shared" si="16"/>
        <v>Y</v>
      </c>
      <c r="L33" s="147">
        <f t="shared" si="6"/>
        <v>0</v>
      </c>
      <c r="M33" s="148">
        <f t="shared" si="7"/>
        <v>136.16</v>
      </c>
      <c r="N33" s="64">
        <f t="shared" si="8"/>
        <v>117</v>
      </c>
      <c r="O33" s="64">
        <f t="shared" si="9"/>
        <v>15948</v>
      </c>
      <c r="Q33" s="104">
        <f t="shared" si="10"/>
        <v>0</v>
      </c>
      <c r="R33" s="104" t="str">
        <f t="shared" si="11"/>
        <v>Not Applicable</v>
      </c>
      <c r="S33" s="149" t="s">
        <v>815</v>
      </c>
      <c r="T33" s="149">
        <f>IF(O33=0,0,IF(S33="N",0,VLOOKUP(B33,'Enrollment 25-26'!$B$8:$K$332,9,FALSE)))</f>
        <v>0</v>
      </c>
      <c r="U33" s="64">
        <f t="shared" si="12"/>
        <v>15948</v>
      </c>
      <c r="V33" s="128">
        <f t="shared" si="13"/>
        <v>117.12690951821386</v>
      </c>
      <c r="W33" s="150"/>
      <c r="X33" s="64">
        <f>IFERROR(VLOOKUP($B33,#REF!,14,FALSE),0)</f>
        <v>0</v>
      </c>
      <c r="Y33" s="99">
        <f t="shared" si="14"/>
        <v>15948</v>
      </c>
      <c r="Z33" s="132">
        <f t="shared" si="15"/>
        <v>0</v>
      </c>
      <c r="AA33" s="151" t="str">
        <f t="shared" si="17"/>
        <v>Y</v>
      </c>
      <c r="AC33" t="s">
        <v>456</v>
      </c>
      <c r="AE33" s="152"/>
      <c r="AH33" s="153"/>
      <c r="AI33" s="153"/>
      <c r="AJ33" s="153"/>
      <c r="AK33" s="154"/>
    </row>
    <row r="34" spans="1:37" x14ac:dyDescent="0.25">
      <c r="A34" s="142" t="s">
        <v>481</v>
      </c>
      <c r="B34" t="s">
        <v>500</v>
      </c>
      <c r="C34" t="s">
        <v>34</v>
      </c>
      <c r="D34" s="143">
        <f>IFERROR(VLOOKUP(B34,'Enrollment 25-26'!$B$5:$I$332,8,FALSE),0)</f>
        <v>185.5</v>
      </c>
      <c r="E34" s="64">
        <f t="shared" si="2"/>
        <v>21568</v>
      </c>
      <c r="F34" s="144">
        <v>0</v>
      </c>
      <c r="G34" s="144">
        <v>0</v>
      </c>
      <c r="H34" s="64">
        <f t="shared" si="3"/>
        <v>21568</v>
      </c>
      <c r="I34" s="64">
        <f t="shared" si="4"/>
        <v>0</v>
      </c>
      <c r="J34" s="145">
        <f t="shared" si="5"/>
        <v>21568</v>
      </c>
      <c r="K34" s="146" t="str">
        <f t="shared" si="16"/>
        <v>Y</v>
      </c>
      <c r="L34" s="147">
        <f t="shared" si="6"/>
        <v>0</v>
      </c>
      <c r="M34" s="148">
        <f t="shared" si="7"/>
        <v>185.5</v>
      </c>
      <c r="N34" s="64">
        <f t="shared" si="8"/>
        <v>159</v>
      </c>
      <c r="O34" s="64">
        <f t="shared" si="9"/>
        <v>21727</v>
      </c>
      <c r="Q34" s="104">
        <f t="shared" si="10"/>
        <v>0</v>
      </c>
      <c r="R34" s="104" t="str">
        <f t="shared" si="11"/>
        <v>Not Applicable</v>
      </c>
      <c r="S34" s="149" t="s">
        <v>815</v>
      </c>
      <c r="T34" s="149">
        <f>IF(O34=0,0,IF(S34="N",0,VLOOKUP(B34,'Enrollment 25-26'!$B$8:$K$332,9,FALSE)))</f>
        <v>0</v>
      </c>
      <c r="U34" s="64">
        <f t="shared" si="12"/>
        <v>21727</v>
      </c>
      <c r="V34" s="128">
        <f t="shared" si="13"/>
        <v>117.1266846361186</v>
      </c>
      <c r="W34" s="150"/>
      <c r="X34" s="64">
        <f>IFERROR(VLOOKUP($B34,#REF!,14,FALSE),0)</f>
        <v>0</v>
      </c>
      <c r="Y34" s="99">
        <f t="shared" si="14"/>
        <v>21727</v>
      </c>
      <c r="Z34" s="132">
        <f t="shared" si="15"/>
        <v>0</v>
      </c>
      <c r="AA34" s="151" t="str">
        <f t="shared" si="17"/>
        <v>Y</v>
      </c>
      <c r="AC34" t="s">
        <v>486</v>
      </c>
      <c r="AE34" s="152"/>
      <c r="AH34" s="153"/>
      <c r="AI34" s="153"/>
      <c r="AJ34" s="153"/>
      <c r="AK34" s="154"/>
    </row>
    <row r="35" spans="1:37" x14ac:dyDescent="0.25">
      <c r="A35" s="142" t="s">
        <v>459</v>
      </c>
      <c r="B35" t="s">
        <v>501</v>
      </c>
      <c r="C35" t="s">
        <v>35</v>
      </c>
      <c r="D35" s="143">
        <f>IFERROR(VLOOKUP(B35,'Enrollment 25-26'!$B$5:$I$332,8,FALSE),0)</f>
        <v>24.34</v>
      </c>
      <c r="E35" s="64">
        <f t="shared" si="2"/>
        <v>2830</v>
      </c>
      <c r="F35" s="144">
        <v>0</v>
      </c>
      <c r="G35" s="144">
        <v>0</v>
      </c>
      <c r="H35" s="64">
        <f t="shared" si="3"/>
        <v>2830</v>
      </c>
      <c r="I35" s="64">
        <f t="shared" si="4"/>
        <v>0</v>
      </c>
      <c r="J35" s="145">
        <f t="shared" si="5"/>
        <v>2830</v>
      </c>
      <c r="K35" s="146" t="str">
        <f t="shared" si="16"/>
        <v>C</v>
      </c>
      <c r="L35" s="147">
        <f t="shared" si="6"/>
        <v>0</v>
      </c>
      <c r="M35" s="148">
        <f t="shared" si="7"/>
        <v>24.34</v>
      </c>
      <c r="N35" s="64">
        <f t="shared" si="8"/>
        <v>21</v>
      </c>
      <c r="O35" s="64">
        <f t="shared" si="9"/>
        <v>2851</v>
      </c>
      <c r="Q35" s="104">
        <f t="shared" si="10"/>
        <v>0</v>
      </c>
      <c r="R35" s="104" t="str">
        <f t="shared" si="11"/>
        <v>Not Applicable</v>
      </c>
      <c r="S35" s="149" t="s">
        <v>815</v>
      </c>
      <c r="T35" s="149">
        <f>IF(O35=0,0,IF(S35="N",0,VLOOKUP(B35,'Enrollment 25-26'!$B$8:$K$332,9,FALSE)))</f>
        <v>0</v>
      </c>
      <c r="U35" s="64">
        <f t="shared" si="12"/>
        <v>2851</v>
      </c>
      <c r="V35" s="128">
        <f t="shared" si="13"/>
        <v>117.13229252259654</v>
      </c>
      <c r="W35" s="150"/>
      <c r="X35" s="64">
        <f>IFERROR(VLOOKUP($B35,#REF!,14,FALSE),0)</f>
        <v>0</v>
      </c>
      <c r="Y35" s="99">
        <f t="shared" si="14"/>
        <v>2851</v>
      </c>
      <c r="Z35" s="132">
        <f t="shared" si="15"/>
        <v>0</v>
      </c>
      <c r="AA35" s="151" t="str">
        <f t="shared" si="17"/>
        <v>C</v>
      </c>
      <c r="AC35" t="s">
        <v>448</v>
      </c>
      <c r="AE35" s="152"/>
      <c r="AH35" s="153"/>
      <c r="AI35" s="153"/>
      <c r="AJ35" s="153"/>
      <c r="AK35" s="154"/>
    </row>
    <row r="36" spans="1:37" x14ac:dyDescent="0.25">
      <c r="A36" s="142" t="s">
        <v>497</v>
      </c>
      <c r="B36" t="s">
        <v>502</v>
      </c>
      <c r="C36" t="s">
        <v>503</v>
      </c>
      <c r="D36" s="143">
        <f>IFERROR(VLOOKUP(B36,'Enrollment 25-26'!$B$5:$I$332,8,FALSE),0)</f>
        <v>10.450275590551181</v>
      </c>
      <c r="E36" s="64">
        <f t="shared" si="2"/>
        <v>1215</v>
      </c>
      <c r="F36" s="144">
        <v>0</v>
      </c>
      <c r="G36" s="144">
        <v>0</v>
      </c>
      <c r="H36" s="64">
        <f t="shared" si="3"/>
        <v>1215</v>
      </c>
      <c r="I36" s="64">
        <f t="shared" si="4"/>
        <v>0</v>
      </c>
      <c r="J36" s="145">
        <f t="shared" si="5"/>
        <v>1215</v>
      </c>
      <c r="K36" s="146" t="str">
        <f t="shared" si="16"/>
        <v>N</v>
      </c>
      <c r="L36" s="147">
        <f t="shared" si="6"/>
        <v>1215</v>
      </c>
      <c r="M36" s="148">
        <f t="shared" si="7"/>
        <v>0</v>
      </c>
      <c r="N36" s="64">
        <f t="shared" si="8"/>
        <v>0</v>
      </c>
      <c r="O36" s="64">
        <f t="shared" si="9"/>
        <v>0</v>
      </c>
      <c r="Q36" s="104">
        <f t="shared" si="10"/>
        <v>0</v>
      </c>
      <c r="R36" s="104" t="str">
        <f t="shared" si="11"/>
        <v>Not Applicable</v>
      </c>
      <c r="S36" s="149" t="s">
        <v>815</v>
      </c>
      <c r="T36" s="149">
        <f>IF(O36=0,0,IF(S36="N",0,VLOOKUP(B36,'Enrollment 25-26'!$B$8:$K$332,9,FALSE)))</f>
        <v>0</v>
      </c>
      <c r="U36" s="64">
        <f t="shared" si="12"/>
        <v>0</v>
      </c>
      <c r="V36" s="128">
        <f t="shared" si="13"/>
        <v>0</v>
      </c>
      <c r="W36" s="150"/>
      <c r="X36" s="64">
        <f>IFERROR(VLOOKUP($B36,#REF!,14,FALSE),0)</f>
        <v>0</v>
      </c>
      <c r="Y36" s="99">
        <f t="shared" si="14"/>
        <v>0</v>
      </c>
      <c r="Z36" s="132">
        <f t="shared" si="15"/>
        <v>0</v>
      </c>
      <c r="AA36" s="151" t="str">
        <f t="shared" si="17"/>
        <v>N</v>
      </c>
      <c r="AC36" t="s">
        <v>656</v>
      </c>
      <c r="AE36" s="152"/>
      <c r="AH36" s="153"/>
      <c r="AI36" s="153"/>
      <c r="AJ36" s="153"/>
      <c r="AK36" s="154"/>
    </row>
    <row r="37" spans="1:37" x14ac:dyDescent="0.25">
      <c r="A37" s="142" t="s">
        <v>459</v>
      </c>
      <c r="B37" t="s">
        <v>504</v>
      </c>
      <c r="C37" t="s">
        <v>37</v>
      </c>
      <c r="D37" s="143">
        <f>IFERROR(VLOOKUP(B37,'Enrollment 25-26'!$B$5:$I$332,8,FALSE),0)</f>
        <v>0</v>
      </c>
      <c r="E37" s="64">
        <f t="shared" si="2"/>
        <v>0</v>
      </c>
      <c r="F37" s="144">
        <v>0</v>
      </c>
      <c r="G37" s="144">
        <v>0</v>
      </c>
      <c r="H37" s="64">
        <f t="shared" si="3"/>
        <v>0</v>
      </c>
      <c r="I37" s="64">
        <f t="shared" si="4"/>
        <v>0</v>
      </c>
      <c r="J37" s="145">
        <f t="shared" si="5"/>
        <v>0</v>
      </c>
      <c r="K37" s="146" t="str">
        <f t="shared" si="16"/>
        <v>N</v>
      </c>
      <c r="L37" s="147">
        <f t="shared" si="6"/>
        <v>0</v>
      </c>
      <c r="M37" s="148">
        <f t="shared" si="7"/>
        <v>0</v>
      </c>
      <c r="N37" s="64">
        <f t="shared" si="8"/>
        <v>0</v>
      </c>
      <c r="O37" s="64">
        <f t="shared" si="9"/>
        <v>0</v>
      </c>
      <c r="Q37" s="104">
        <f t="shared" si="10"/>
        <v>0</v>
      </c>
      <c r="R37" s="104" t="str">
        <f t="shared" si="11"/>
        <v>Not Applicable</v>
      </c>
      <c r="S37" s="149" t="s">
        <v>815</v>
      </c>
      <c r="T37" s="149">
        <f>IF(O37=0,0,IF(S37="N",0,VLOOKUP(B37,'Enrollment 25-26'!$B$8:$K$332,9,FALSE)))</f>
        <v>0</v>
      </c>
      <c r="U37" s="64">
        <f t="shared" si="12"/>
        <v>0</v>
      </c>
      <c r="V37" s="128">
        <f t="shared" si="13"/>
        <v>0</v>
      </c>
      <c r="W37" s="150"/>
      <c r="X37" s="64">
        <f>IFERROR(VLOOKUP($B37,#REF!,14,FALSE),0)</f>
        <v>0</v>
      </c>
      <c r="Y37" s="99">
        <f t="shared" si="14"/>
        <v>0</v>
      </c>
      <c r="Z37" s="132">
        <f t="shared" si="15"/>
        <v>0</v>
      </c>
      <c r="AA37" s="151" t="str">
        <f t="shared" si="17"/>
        <v>N</v>
      </c>
      <c r="AC37" t="s">
        <v>442</v>
      </c>
      <c r="AE37" s="152"/>
      <c r="AH37" s="153"/>
      <c r="AI37" s="153"/>
      <c r="AJ37" s="153"/>
      <c r="AK37" s="154"/>
    </row>
    <row r="38" spans="1:37" x14ac:dyDescent="0.25">
      <c r="A38" s="142" t="s">
        <v>478</v>
      </c>
      <c r="B38" t="s">
        <v>505</v>
      </c>
      <c r="C38" t="s">
        <v>38</v>
      </c>
      <c r="D38" s="143">
        <f>IFERROR(VLOOKUP(B38,'Enrollment 25-26'!$B$5:$I$332,8,FALSE),0)</f>
        <v>520.16999999999996</v>
      </c>
      <c r="E38" s="64">
        <f t="shared" si="2"/>
        <v>60480</v>
      </c>
      <c r="F38" s="144">
        <v>0</v>
      </c>
      <c r="G38" s="144">
        <v>0</v>
      </c>
      <c r="H38" s="64">
        <f t="shared" si="3"/>
        <v>60480</v>
      </c>
      <c r="I38" s="64">
        <f t="shared" si="4"/>
        <v>0</v>
      </c>
      <c r="J38" s="145">
        <f t="shared" si="5"/>
        <v>60480</v>
      </c>
      <c r="K38" s="146" t="str">
        <f t="shared" si="16"/>
        <v>Y</v>
      </c>
      <c r="L38" s="147">
        <f t="shared" si="6"/>
        <v>0</v>
      </c>
      <c r="M38" s="148">
        <f t="shared" si="7"/>
        <v>520.16999999999996</v>
      </c>
      <c r="N38" s="64">
        <f t="shared" si="8"/>
        <v>447</v>
      </c>
      <c r="O38" s="64">
        <f t="shared" si="9"/>
        <v>60927</v>
      </c>
      <c r="Q38" s="104">
        <f t="shared" si="10"/>
        <v>0</v>
      </c>
      <c r="R38" s="104" t="str">
        <f t="shared" si="11"/>
        <v>Not Applicable</v>
      </c>
      <c r="S38" s="149" t="s">
        <v>815</v>
      </c>
      <c r="T38" s="149">
        <f>IF(O38=0,0,IF(S38="N",0,VLOOKUP(B38,'Enrollment 25-26'!$B$8:$K$332,9,FALSE)))</f>
        <v>0</v>
      </c>
      <c r="U38" s="64">
        <f t="shared" si="12"/>
        <v>60927</v>
      </c>
      <c r="V38" s="128">
        <f t="shared" si="13"/>
        <v>117.12901551415884</v>
      </c>
      <c r="W38" s="150"/>
      <c r="X38" s="64">
        <f>IFERROR(VLOOKUP($B38,#REF!,14,FALSE),0)</f>
        <v>0</v>
      </c>
      <c r="Y38" s="99">
        <f t="shared" si="14"/>
        <v>60927</v>
      </c>
      <c r="Z38" s="132">
        <f t="shared" si="15"/>
        <v>0</v>
      </c>
      <c r="AA38" s="151" t="str">
        <f t="shared" si="17"/>
        <v>Y</v>
      </c>
      <c r="AC38" t="s">
        <v>453</v>
      </c>
      <c r="AE38" s="152"/>
      <c r="AH38" s="153"/>
      <c r="AI38" s="153"/>
      <c r="AJ38" s="153"/>
      <c r="AK38" s="154"/>
    </row>
    <row r="39" spans="1:37" x14ac:dyDescent="0.25">
      <c r="A39" s="142" t="s">
        <v>443</v>
      </c>
      <c r="B39" t="s">
        <v>506</v>
      </c>
      <c r="C39" t="s">
        <v>39</v>
      </c>
      <c r="D39" s="143">
        <f>IFERROR(VLOOKUP(B39,'Enrollment 25-26'!$B$5:$I$332,8,FALSE),0)</f>
        <v>939.17</v>
      </c>
      <c r="E39" s="64">
        <f t="shared" si="2"/>
        <v>109197</v>
      </c>
      <c r="F39" s="144">
        <v>0</v>
      </c>
      <c r="G39" s="144">
        <v>0</v>
      </c>
      <c r="H39" s="64">
        <f t="shared" si="3"/>
        <v>109197</v>
      </c>
      <c r="I39" s="64">
        <f t="shared" si="4"/>
        <v>0</v>
      </c>
      <c r="J39" s="145">
        <f t="shared" si="5"/>
        <v>109197</v>
      </c>
      <c r="K39" s="146" t="str">
        <f t="shared" si="16"/>
        <v>Y</v>
      </c>
      <c r="L39" s="147">
        <f t="shared" si="6"/>
        <v>0</v>
      </c>
      <c r="M39" s="148">
        <f t="shared" si="7"/>
        <v>939.17</v>
      </c>
      <c r="N39" s="64">
        <f t="shared" si="8"/>
        <v>807</v>
      </c>
      <c r="O39" s="64">
        <f t="shared" si="9"/>
        <v>110004</v>
      </c>
      <c r="Q39" s="104">
        <f t="shared" si="10"/>
        <v>0</v>
      </c>
      <c r="R39" s="104" t="str">
        <f t="shared" si="11"/>
        <v>Not Applicable</v>
      </c>
      <c r="S39" s="149" t="s">
        <v>815</v>
      </c>
      <c r="T39" s="149">
        <f>IF(O39=0,0,IF(S39="N",0,VLOOKUP(B39,'Enrollment 25-26'!$B$8:$K$332,9,FALSE)))</f>
        <v>0</v>
      </c>
      <c r="U39" s="64">
        <f t="shared" si="12"/>
        <v>110004</v>
      </c>
      <c r="V39" s="128">
        <f t="shared" si="13"/>
        <v>117.12895428942578</v>
      </c>
      <c r="W39" s="150"/>
      <c r="X39" s="64">
        <f>IFERROR(VLOOKUP($B39,#REF!,14,FALSE),0)</f>
        <v>0</v>
      </c>
      <c r="Y39" s="99">
        <f t="shared" si="14"/>
        <v>110004</v>
      </c>
      <c r="Z39" s="132">
        <f t="shared" si="15"/>
        <v>0</v>
      </c>
      <c r="AA39" s="151" t="str">
        <f t="shared" si="17"/>
        <v>Y</v>
      </c>
      <c r="AC39" t="s">
        <v>461</v>
      </c>
      <c r="AE39" s="152"/>
      <c r="AH39" s="153"/>
      <c r="AI39" s="153"/>
      <c r="AJ39" s="153"/>
      <c r="AK39" s="154"/>
    </row>
    <row r="40" spans="1:37" x14ac:dyDescent="0.25">
      <c r="A40" s="142" t="s">
        <v>438</v>
      </c>
      <c r="B40" t="s">
        <v>507</v>
      </c>
      <c r="C40" t="s">
        <v>40</v>
      </c>
      <c r="D40" s="143">
        <f>IFERROR(VLOOKUP(B40,'Enrollment 25-26'!$B$5:$I$332,8,FALSE),0)</f>
        <v>562.32999999999993</v>
      </c>
      <c r="E40" s="64">
        <f t="shared" si="2"/>
        <v>65382</v>
      </c>
      <c r="F40" s="144">
        <v>0</v>
      </c>
      <c r="G40" s="144">
        <v>0</v>
      </c>
      <c r="H40" s="64">
        <f t="shared" si="3"/>
        <v>65382</v>
      </c>
      <c r="I40" s="64">
        <f t="shared" si="4"/>
        <v>0</v>
      </c>
      <c r="J40" s="145">
        <f t="shared" si="5"/>
        <v>65382</v>
      </c>
      <c r="K40" s="146" t="str">
        <f t="shared" si="16"/>
        <v>Y</v>
      </c>
      <c r="L40" s="147">
        <f t="shared" si="6"/>
        <v>0</v>
      </c>
      <c r="M40" s="148">
        <f t="shared" si="7"/>
        <v>562.32999999999993</v>
      </c>
      <c r="N40" s="64">
        <f t="shared" si="8"/>
        <v>483</v>
      </c>
      <c r="O40" s="64">
        <f t="shared" si="9"/>
        <v>65865</v>
      </c>
      <c r="Q40" s="104">
        <f t="shared" si="10"/>
        <v>0</v>
      </c>
      <c r="R40" s="104" t="str">
        <f t="shared" si="11"/>
        <v>Not Applicable</v>
      </c>
      <c r="S40" s="149" t="s">
        <v>815</v>
      </c>
      <c r="T40" s="149">
        <f>IF(O40=0,0,IF(S40="N",0,VLOOKUP(B40,'Enrollment 25-26'!$B$8:$K$332,9,FALSE)))</f>
        <v>0</v>
      </c>
      <c r="U40" s="64">
        <f t="shared" si="12"/>
        <v>65865</v>
      </c>
      <c r="V40" s="128">
        <f t="shared" si="13"/>
        <v>117.12873223907671</v>
      </c>
      <c r="W40" s="150"/>
      <c r="X40" s="64">
        <f>IFERROR(VLOOKUP($B40,#REF!,14,FALSE),0)</f>
        <v>0</v>
      </c>
      <c r="Y40" s="99">
        <f t="shared" si="14"/>
        <v>65865</v>
      </c>
      <c r="Z40" s="132">
        <f t="shared" si="15"/>
        <v>0</v>
      </c>
      <c r="AA40" s="151" t="str">
        <f t="shared" si="17"/>
        <v>Y</v>
      </c>
      <c r="AC40" t="s">
        <v>475</v>
      </c>
      <c r="AE40" s="152"/>
      <c r="AH40" s="153"/>
      <c r="AI40" s="153"/>
      <c r="AJ40" s="153"/>
      <c r="AK40" s="154"/>
    </row>
    <row r="41" spans="1:37" x14ac:dyDescent="0.25">
      <c r="A41" s="142" t="s">
        <v>438</v>
      </c>
      <c r="B41" t="s">
        <v>508</v>
      </c>
      <c r="C41" t="s">
        <v>41</v>
      </c>
      <c r="D41" s="143">
        <f>IFERROR(VLOOKUP(B41,'Enrollment 25-26'!$B$5:$I$332,8,FALSE),0)</f>
        <v>160.34</v>
      </c>
      <c r="E41" s="64">
        <f t="shared" si="2"/>
        <v>18643</v>
      </c>
      <c r="F41" s="144">
        <v>0</v>
      </c>
      <c r="G41" s="144">
        <v>0</v>
      </c>
      <c r="H41" s="64">
        <f t="shared" si="3"/>
        <v>18643</v>
      </c>
      <c r="I41" s="64">
        <f t="shared" si="4"/>
        <v>0</v>
      </c>
      <c r="J41" s="145">
        <f t="shared" si="5"/>
        <v>18643</v>
      </c>
      <c r="K41" s="146" t="str">
        <f t="shared" si="16"/>
        <v>Y</v>
      </c>
      <c r="L41" s="147">
        <f t="shared" si="6"/>
        <v>0</v>
      </c>
      <c r="M41" s="148">
        <f t="shared" si="7"/>
        <v>160.34</v>
      </c>
      <c r="N41" s="64">
        <f t="shared" si="8"/>
        <v>138</v>
      </c>
      <c r="O41" s="64">
        <f t="shared" si="9"/>
        <v>18781</v>
      </c>
      <c r="Q41" s="104">
        <f t="shared" si="10"/>
        <v>0</v>
      </c>
      <c r="R41" s="104" t="str">
        <f t="shared" si="11"/>
        <v>Not Applicable</v>
      </c>
      <c r="S41" s="149" t="s">
        <v>815</v>
      </c>
      <c r="T41" s="149">
        <f>IF(O41=0,0,IF(S41="N",0,VLOOKUP(B41,'Enrollment 25-26'!$B$8:$K$332,9,FALSE)))</f>
        <v>0</v>
      </c>
      <c r="U41" s="64">
        <f t="shared" si="12"/>
        <v>18781</v>
      </c>
      <c r="V41" s="128">
        <f t="shared" si="13"/>
        <v>117.13234376948984</v>
      </c>
      <c r="W41" s="150"/>
      <c r="X41" s="64">
        <f>IFERROR(VLOOKUP($B41,#REF!,14,FALSE),0)</f>
        <v>0</v>
      </c>
      <c r="Y41" s="99">
        <f t="shared" si="14"/>
        <v>18781</v>
      </c>
      <c r="Z41" s="132">
        <f t="shared" si="15"/>
        <v>0</v>
      </c>
      <c r="AA41" s="151" t="str">
        <f t="shared" si="17"/>
        <v>Y</v>
      </c>
      <c r="AC41" t="s">
        <v>490</v>
      </c>
      <c r="AE41" s="152"/>
      <c r="AH41" s="153"/>
      <c r="AI41" s="153"/>
      <c r="AJ41" s="153"/>
      <c r="AK41" s="154"/>
    </row>
    <row r="42" spans="1:37" x14ac:dyDescent="0.25">
      <c r="A42" s="142" t="s">
        <v>443</v>
      </c>
      <c r="B42" t="s">
        <v>509</v>
      </c>
      <c r="C42" t="s">
        <v>42</v>
      </c>
      <c r="D42" s="143">
        <f>IFERROR(VLOOKUP(B42,'Enrollment 25-26'!$B$5:$I$332,8,FALSE),0)</f>
        <v>532</v>
      </c>
      <c r="E42" s="64">
        <f t="shared" si="2"/>
        <v>61856</v>
      </c>
      <c r="F42" s="144">
        <v>0</v>
      </c>
      <c r="G42" s="144">
        <v>0</v>
      </c>
      <c r="H42" s="64">
        <f t="shared" si="3"/>
        <v>61856</v>
      </c>
      <c r="I42" s="64">
        <f t="shared" si="4"/>
        <v>0</v>
      </c>
      <c r="J42" s="145">
        <f t="shared" si="5"/>
        <v>61856</v>
      </c>
      <c r="K42" s="146" t="str">
        <f t="shared" si="16"/>
        <v>Y</v>
      </c>
      <c r="L42" s="147">
        <f t="shared" si="6"/>
        <v>0</v>
      </c>
      <c r="M42" s="148">
        <f t="shared" si="7"/>
        <v>532</v>
      </c>
      <c r="N42" s="64">
        <f t="shared" si="8"/>
        <v>457</v>
      </c>
      <c r="O42" s="64">
        <f t="shared" si="9"/>
        <v>62313</v>
      </c>
      <c r="Q42" s="104">
        <f t="shared" si="10"/>
        <v>0</v>
      </c>
      <c r="R42" s="104" t="str">
        <f t="shared" si="11"/>
        <v>Not Applicable</v>
      </c>
      <c r="S42" s="149" t="s">
        <v>815</v>
      </c>
      <c r="T42" s="149">
        <f>IF(O42=0,0,IF(S42="N",0,VLOOKUP(B42,'Enrollment 25-26'!$B$8:$K$332,9,FALSE)))</f>
        <v>0</v>
      </c>
      <c r="U42" s="64">
        <f t="shared" si="12"/>
        <v>62313</v>
      </c>
      <c r="V42" s="128">
        <f t="shared" si="13"/>
        <v>117.1296992481203</v>
      </c>
      <c r="W42" s="150"/>
      <c r="X42" s="64">
        <f>IFERROR(VLOOKUP($B42,#REF!,14,FALSE),0)</f>
        <v>0</v>
      </c>
      <c r="Y42" s="99">
        <f t="shared" si="14"/>
        <v>62313</v>
      </c>
      <c r="Z42" s="132">
        <f t="shared" si="15"/>
        <v>0</v>
      </c>
      <c r="AA42" s="151" t="str">
        <f t="shared" si="17"/>
        <v>Y</v>
      </c>
      <c r="AC42" t="s">
        <v>714</v>
      </c>
      <c r="AE42" s="152"/>
      <c r="AH42" s="153"/>
      <c r="AI42" s="153"/>
      <c r="AJ42" s="153"/>
      <c r="AK42" s="154"/>
    </row>
    <row r="43" spans="1:37" ht="14.45" customHeight="1" x14ac:dyDescent="0.25">
      <c r="A43" s="142" t="s">
        <v>443</v>
      </c>
      <c r="B43" t="s">
        <v>510</v>
      </c>
      <c r="C43" t="s">
        <v>43</v>
      </c>
      <c r="D43" s="143">
        <f>IFERROR(VLOOKUP(B43,'Enrollment 25-26'!$B$5:$I$332,8,FALSE),0)</f>
        <v>1.33</v>
      </c>
      <c r="E43" s="64">
        <f t="shared" si="2"/>
        <v>155</v>
      </c>
      <c r="F43" s="144">
        <v>0</v>
      </c>
      <c r="G43" s="144">
        <v>0</v>
      </c>
      <c r="H43" s="64">
        <f t="shared" si="3"/>
        <v>155</v>
      </c>
      <c r="I43" s="64">
        <f t="shared" si="4"/>
        <v>0</v>
      </c>
      <c r="J43" s="145">
        <f t="shared" si="5"/>
        <v>155</v>
      </c>
      <c r="K43" s="146" t="str">
        <f t="shared" si="16"/>
        <v>N</v>
      </c>
      <c r="L43" s="147">
        <f t="shared" si="6"/>
        <v>155</v>
      </c>
      <c r="M43" s="148">
        <f t="shared" si="7"/>
        <v>0</v>
      </c>
      <c r="N43" s="64">
        <f t="shared" si="8"/>
        <v>0</v>
      </c>
      <c r="O43" s="64">
        <f t="shared" si="9"/>
        <v>0</v>
      </c>
      <c r="Q43" s="104">
        <f t="shared" si="10"/>
        <v>0</v>
      </c>
      <c r="R43" s="104" t="str">
        <f t="shared" si="11"/>
        <v>Not Applicable</v>
      </c>
      <c r="S43" s="149" t="s">
        <v>815</v>
      </c>
      <c r="T43" s="149">
        <f>IF(O43=0,0,IF(S43="N",0,VLOOKUP(B43,'Enrollment 25-26'!$B$8:$K$332,9,FALSE)))</f>
        <v>0</v>
      </c>
      <c r="U43" s="64">
        <f t="shared" si="12"/>
        <v>0</v>
      </c>
      <c r="V43" s="128">
        <f t="shared" si="13"/>
        <v>0</v>
      </c>
      <c r="W43" s="150"/>
      <c r="X43" s="64">
        <f>IFERROR(VLOOKUP($B43,#REF!,14,FALSE),0)</f>
        <v>0</v>
      </c>
      <c r="Y43" s="99">
        <f t="shared" si="14"/>
        <v>0</v>
      </c>
      <c r="Z43" s="132">
        <f t="shared" si="15"/>
        <v>0</v>
      </c>
      <c r="AA43" s="151" t="str">
        <f t="shared" si="17"/>
        <v>N</v>
      </c>
      <c r="AC43" t="s">
        <v>768</v>
      </c>
      <c r="AE43" s="152"/>
      <c r="AH43" s="153"/>
      <c r="AI43" s="153"/>
      <c r="AJ43" s="153"/>
      <c r="AK43" s="154"/>
    </row>
    <row r="44" spans="1:37" x14ac:dyDescent="0.25">
      <c r="A44" s="142"/>
      <c r="B44" s="33" t="s">
        <v>779</v>
      </c>
      <c r="C44" s="34" t="s">
        <v>44</v>
      </c>
      <c r="D44" s="143">
        <f>IFERROR(VLOOKUP(B44,'Enrollment 25-26'!$B$5:$I$332,8,FALSE),0)</f>
        <v>37.996666666666663</v>
      </c>
      <c r="E44" s="64">
        <f t="shared" si="2"/>
        <v>4418</v>
      </c>
      <c r="F44" s="144">
        <v>0</v>
      </c>
      <c r="G44" s="144">
        <v>0</v>
      </c>
      <c r="H44" s="64">
        <f t="shared" si="3"/>
        <v>4418</v>
      </c>
      <c r="I44" s="64">
        <f t="shared" si="4"/>
        <v>0</v>
      </c>
      <c r="J44" s="145">
        <f t="shared" si="5"/>
        <v>4418</v>
      </c>
      <c r="K44" s="146" t="str">
        <f t="shared" si="16"/>
        <v>N</v>
      </c>
      <c r="L44" s="147">
        <f t="shared" si="6"/>
        <v>4418</v>
      </c>
      <c r="M44" s="148">
        <f t="shared" si="7"/>
        <v>0</v>
      </c>
      <c r="N44" s="64">
        <f t="shared" si="8"/>
        <v>0</v>
      </c>
      <c r="O44" s="64">
        <f t="shared" si="9"/>
        <v>0</v>
      </c>
      <c r="Q44" s="104">
        <f t="shared" si="10"/>
        <v>0</v>
      </c>
      <c r="R44" s="104" t="str">
        <f t="shared" si="11"/>
        <v>Not Applicable</v>
      </c>
      <c r="S44" s="149" t="s">
        <v>815</v>
      </c>
      <c r="T44" s="149">
        <f>IF(O44=0,0,IF(S44="N",0,VLOOKUP(B44,'Enrollment 25-26'!$B$8:$K$332,9,FALSE)))</f>
        <v>0</v>
      </c>
      <c r="U44" s="64">
        <f t="shared" si="12"/>
        <v>0</v>
      </c>
      <c r="V44" s="128">
        <f t="shared" si="13"/>
        <v>0</v>
      </c>
      <c r="W44" s="150"/>
      <c r="X44" s="64">
        <f>IFERROR(VLOOKUP($B44,#REF!,14,FALSE),0)</f>
        <v>0</v>
      </c>
      <c r="Y44" s="99">
        <f t="shared" si="14"/>
        <v>0</v>
      </c>
      <c r="Z44" s="132">
        <f t="shared" si="15"/>
        <v>0</v>
      </c>
      <c r="AA44" s="151" t="str">
        <f t="shared" si="17"/>
        <v>N</v>
      </c>
      <c r="AC44" t="s">
        <v>470</v>
      </c>
      <c r="AE44" s="152"/>
      <c r="AH44" s="153"/>
      <c r="AI44" s="153"/>
      <c r="AJ44" s="153"/>
      <c r="AK44" s="154"/>
    </row>
    <row r="45" spans="1:37" x14ac:dyDescent="0.25">
      <c r="A45" s="142" t="s">
        <v>478</v>
      </c>
      <c r="B45" t="s">
        <v>511</v>
      </c>
      <c r="C45" t="s">
        <v>45</v>
      </c>
      <c r="D45" s="143">
        <f>IFERROR(VLOOKUP(B45,'Enrollment 25-26'!$B$5:$I$332,8,FALSE),0)</f>
        <v>25.67</v>
      </c>
      <c r="E45" s="64">
        <f t="shared" si="2"/>
        <v>2985</v>
      </c>
      <c r="F45" s="144">
        <v>0</v>
      </c>
      <c r="G45" s="144">
        <v>0</v>
      </c>
      <c r="H45" s="64">
        <f t="shared" si="3"/>
        <v>2985</v>
      </c>
      <c r="I45" s="64">
        <f t="shared" si="4"/>
        <v>0</v>
      </c>
      <c r="J45" s="145">
        <f t="shared" si="5"/>
        <v>2985</v>
      </c>
      <c r="K45" s="146" t="str">
        <f t="shared" si="16"/>
        <v>C</v>
      </c>
      <c r="L45" s="147">
        <f t="shared" si="6"/>
        <v>0</v>
      </c>
      <c r="M45" s="148">
        <f t="shared" si="7"/>
        <v>25.67</v>
      </c>
      <c r="N45" s="64">
        <f t="shared" si="8"/>
        <v>22</v>
      </c>
      <c r="O45" s="64">
        <f t="shared" si="9"/>
        <v>3007</v>
      </c>
      <c r="Q45" s="104">
        <f t="shared" si="10"/>
        <v>0</v>
      </c>
      <c r="R45" s="104" t="str">
        <f t="shared" si="11"/>
        <v>Not Applicable</v>
      </c>
      <c r="S45" s="149" t="s">
        <v>815</v>
      </c>
      <c r="T45" s="149">
        <f>IF(O45=0,0,IF(S45="N",0,VLOOKUP(B45,'Enrollment 25-26'!$B$8:$K$332,9,FALSE)))</f>
        <v>0</v>
      </c>
      <c r="U45" s="64">
        <f t="shared" si="12"/>
        <v>3007</v>
      </c>
      <c r="V45" s="128">
        <f t="shared" si="13"/>
        <v>117.14063108687182</v>
      </c>
      <c r="W45" s="150"/>
      <c r="X45" s="64">
        <f>IFERROR(VLOOKUP($B45,#REF!,14,FALSE),0)</f>
        <v>0</v>
      </c>
      <c r="Y45" s="99">
        <f t="shared" si="14"/>
        <v>3007</v>
      </c>
      <c r="Z45" s="132">
        <f t="shared" si="15"/>
        <v>0</v>
      </c>
      <c r="AA45" s="151" t="str">
        <f t="shared" si="17"/>
        <v>C</v>
      </c>
      <c r="AC45" s="64" t="s">
        <v>801</v>
      </c>
      <c r="AE45" s="152"/>
      <c r="AH45" s="153"/>
      <c r="AI45" s="153"/>
      <c r="AJ45" s="153"/>
      <c r="AK45" s="154"/>
    </row>
    <row r="46" spans="1:37" x14ac:dyDescent="0.25">
      <c r="A46" s="142" t="s">
        <v>451</v>
      </c>
      <c r="B46" t="s">
        <v>512</v>
      </c>
      <c r="C46" t="s">
        <v>46</v>
      </c>
      <c r="D46" s="143">
        <f>IFERROR(VLOOKUP(B46,'Enrollment 25-26'!$B$5:$I$332,8,FALSE),0)</f>
        <v>26.17</v>
      </c>
      <c r="E46" s="64">
        <f t="shared" si="2"/>
        <v>3043</v>
      </c>
      <c r="F46" s="144">
        <v>0</v>
      </c>
      <c r="G46" s="144">
        <v>0</v>
      </c>
      <c r="H46" s="64">
        <f t="shared" si="3"/>
        <v>3043</v>
      </c>
      <c r="I46" s="64">
        <f t="shared" si="4"/>
        <v>0</v>
      </c>
      <c r="J46" s="145">
        <f t="shared" si="5"/>
        <v>3043</v>
      </c>
      <c r="K46" s="146" t="str">
        <f t="shared" si="16"/>
        <v>C</v>
      </c>
      <c r="L46" s="147">
        <f t="shared" si="6"/>
        <v>0</v>
      </c>
      <c r="M46" s="148">
        <f t="shared" si="7"/>
        <v>26.17</v>
      </c>
      <c r="N46" s="64">
        <f t="shared" si="8"/>
        <v>22</v>
      </c>
      <c r="O46" s="64">
        <f t="shared" si="9"/>
        <v>3065</v>
      </c>
      <c r="Q46" s="104">
        <f t="shared" si="10"/>
        <v>0</v>
      </c>
      <c r="R46" s="104" t="str">
        <f t="shared" si="11"/>
        <v>Not Applicable</v>
      </c>
      <c r="S46" s="149" t="s">
        <v>815</v>
      </c>
      <c r="T46" s="149">
        <f>IF(O46=0,0,IF(S46="N",0,VLOOKUP(B46,'Enrollment 25-26'!$B$8:$K$332,9,FALSE)))</f>
        <v>0</v>
      </c>
      <c r="U46" s="64">
        <f t="shared" si="12"/>
        <v>3065</v>
      </c>
      <c r="V46" s="128">
        <f t="shared" si="13"/>
        <v>117.11883836453954</v>
      </c>
      <c r="W46" s="150"/>
      <c r="X46" s="64">
        <f>IFERROR(VLOOKUP($B46,#REF!,14,FALSE),0)</f>
        <v>0</v>
      </c>
      <c r="Y46" s="99">
        <f t="shared" si="14"/>
        <v>3065</v>
      </c>
      <c r="Z46" s="132">
        <f t="shared" si="15"/>
        <v>0</v>
      </c>
      <c r="AA46" s="151" t="str">
        <f t="shared" si="17"/>
        <v>C</v>
      </c>
      <c r="AC46" s="64"/>
      <c r="AE46" s="152"/>
      <c r="AH46" s="153"/>
      <c r="AI46" s="153"/>
      <c r="AJ46" s="153"/>
      <c r="AK46" s="154"/>
    </row>
    <row r="47" spans="1:37" x14ac:dyDescent="0.25">
      <c r="A47" s="142" t="s">
        <v>471</v>
      </c>
      <c r="B47" t="s">
        <v>466</v>
      </c>
      <c r="C47" t="s">
        <v>47</v>
      </c>
      <c r="D47" s="143">
        <f>IFERROR(VLOOKUP(B47,'Enrollment 25-26'!$B$5:$I$332,8,FALSE),0)</f>
        <v>17.5</v>
      </c>
      <c r="E47" s="64">
        <f t="shared" si="2"/>
        <v>2035</v>
      </c>
      <c r="F47" s="144">
        <v>0</v>
      </c>
      <c r="G47" s="144">
        <v>0</v>
      </c>
      <c r="H47" s="64">
        <f t="shared" si="3"/>
        <v>2035</v>
      </c>
      <c r="I47" s="64">
        <f t="shared" si="4"/>
        <v>0</v>
      </c>
      <c r="J47" s="145">
        <f t="shared" si="5"/>
        <v>2035</v>
      </c>
      <c r="K47" s="146" t="str">
        <f t="shared" si="16"/>
        <v>C</v>
      </c>
      <c r="L47" s="147">
        <f t="shared" si="6"/>
        <v>0</v>
      </c>
      <c r="M47" s="148">
        <f t="shared" si="7"/>
        <v>17.5</v>
      </c>
      <c r="N47" s="64">
        <f t="shared" si="8"/>
        <v>15</v>
      </c>
      <c r="O47" s="64">
        <f t="shared" si="9"/>
        <v>2050</v>
      </c>
      <c r="Q47" s="104">
        <f t="shared" si="10"/>
        <v>0</v>
      </c>
      <c r="R47" s="104" t="str">
        <f t="shared" si="11"/>
        <v>Not Applicable</v>
      </c>
      <c r="S47" s="149" t="s">
        <v>815</v>
      </c>
      <c r="T47" s="149">
        <f>IF(O47=0,0,IF(S47="N",0,VLOOKUP(B47,'Enrollment 25-26'!$B$8:$K$332,9,FALSE)))</f>
        <v>0</v>
      </c>
      <c r="U47" s="64">
        <f t="shared" si="12"/>
        <v>2050</v>
      </c>
      <c r="V47" s="128">
        <f t="shared" si="13"/>
        <v>117.14285714285714</v>
      </c>
      <c r="W47" s="150"/>
      <c r="X47" s="64">
        <f>IFERROR(VLOOKUP($B47,#REF!,14,FALSE),0)</f>
        <v>0</v>
      </c>
      <c r="Y47" s="99">
        <f t="shared" si="14"/>
        <v>2050</v>
      </c>
      <c r="Z47" s="132">
        <f t="shared" si="15"/>
        <v>0</v>
      </c>
      <c r="AA47" s="151" t="str">
        <f t="shared" si="17"/>
        <v>C</v>
      </c>
      <c r="AC47" s="64"/>
      <c r="AE47" s="152"/>
      <c r="AH47" s="153"/>
      <c r="AI47" s="153"/>
      <c r="AJ47" s="153"/>
      <c r="AK47" s="154"/>
    </row>
    <row r="48" spans="1:37" x14ac:dyDescent="0.25">
      <c r="A48" s="142" t="s">
        <v>454</v>
      </c>
      <c r="B48" t="s">
        <v>513</v>
      </c>
      <c r="C48" t="s">
        <v>48</v>
      </c>
      <c r="D48" s="143">
        <f>IFERROR(VLOOKUP(B48,'Enrollment 25-26'!$B$5:$I$332,8,FALSE),0)</f>
        <v>2097.33</v>
      </c>
      <c r="E48" s="64">
        <f t="shared" si="2"/>
        <v>243857</v>
      </c>
      <c r="F48" s="144">
        <v>0</v>
      </c>
      <c r="G48" s="144">
        <v>0</v>
      </c>
      <c r="H48" s="64">
        <f t="shared" si="3"/>
        <v>243857</v>
      </c>
      <c r="I48" s="64">
        <f t="shared" si="4"/>
        <v>0</v>
      </c>
      <c r="J48" s="145">
        <f t="shared" si="5"/>
        <v>243857</v>
      </c>
      <c r="K48" s="146" t="str">
        <f t="shared" si="16"/>
        <v>Y</v>
      </c>
      <c r="L48" s="147">
        <f t="shared" si="6"/>
        <v>0</v>
      </c>
      <c r="M48" s="148">
        <f t="shared" si="7"/>
        <v>2097.33</v>
      </c>
      <c r="N48" s="64">
        <f t="shared" si="8"/>
        <v>1803</v>
      </c>
      <c r="O48" s="64">
        <f t="shared" si="9"/>
        <v>245660</v>
      </c>
      <c r="Q48" s="104">
        <f t="shared" si="10"/>
        <v>0</v>
      </c>
      <c r="R48" s="104" t="str">
        <f t="shared" si="11"/>
        <v>Not Applicable</v>
      </c>
      <c r="S48" s="149" t="s">
        <v>815</v>
      </c>
      <c r="T48" s="149">
        <f>IF(O48=0,0,IF(S48="N",0,VLOOKUP(B48,'Enrollment 25-26'!$B$8:$K$332,9,FALSE)))</f>
        <v>0</v>
      </c>
      <c r="U48" s="64">
        <f t="shared" si="12"/>
        <v>245660</v>
      </c>
      <c r="V48" s="128">
        <f t="shared" si="13"/>
        <v>117.12987465015043</v>
      </c>
      <c r="W48" s="150"/>
      <c r="X48" s="64">
        <f>IFERROR(VLOOKUP($B48,#REF!,14,FALSE),0)</f>
        <v>0</v>
      </c>
      <c r="Y48" s="99">
        <f t="shared" si="14"/>
        <v>245660</v>
      </c>
      <c r="Z48" s="132">
        <f t="shared" si="15"/>
        <v>0</v>
      </c>
      <c r="AA48" s="151" t="str">
        <f t="shared" si="17"/>
        <v>Y</v>
      </c>
      <c r="AC48" s="64"/>
      <c r="AE48" s="152"/>
      <c r="AH48" s="153"/>
      <c r="AI48" s="153"/>
      <c r="AJ48" s="153"/>
      <c r="AK48" s="154"/>
    </row>
    <row r="49" spans="1:37" x14ac:dyDescent="0.25">
      <c r="A49" s="142" t="s">
        <v>443</v>
      </c>
      <c r="B49" t="s">
        <v>514</v>
      </c>
      <c r="C49" t="s">
        <v>50</v>
      </c>
      <c r="D49" s="143">
        <f>IFERROR(VLOOKUP(B49,'Enrollment 25-26'!$B$5:$I$332,8,FALSE),0)</f>
        <v>0</v>
      </c>
      <c r="E49" s="64">
        <f t="shared" si="2"/>
        <v>0</v>
      </c>
      <c r="F49" s="144">
        <v>0</v>
      </c>
      <c r="G49" s="144">
        <v>0</v>
      </c>
      <c r="H49" s="64">
        <f t="shared" si="3"/>
        <v>0</v>
      </c>
      <c r="I49" s="64">
        <f t="shared" si="4"/>
        <v>0</v>
      </c>
      <c r="J49" s="145">
        <f t="shared" si="5"/>
        <v>0</v>
      </c>
      <c r="K49" s="146" t="str">
        <f t="shared" si="16"/>
        <v>N</v>
      </c>
      <c r="L49" s="147">
        <f t="shared" si="6"/>
        <v>0</v>
      </c>
      <c r="M49" s="148">
        <f t="shared" si="7"/>
        <v>0</v>
      </c>
      <c r="N49" s="64">
        <f t="shared" si="8"/>
        <v>0</v>
      </c>
      <c r="O49" s="64">
        <f t="shared" si="9"/>
        <v>0</v>
      </c>
      <c r="Q49" s="104">
        <f t="shared" si="10"/>
        <v>0</v>
      </c>
      <c r="R49" s="104" t="str">
        <f t="shared" si="11"/>
        <v>Not Applicable</v>
      </c>
      <c r="S49" s="149" t="s">
        <v>815</v>
      </c>
      <c r="T49" s="149">
        <f>IF(O49=0,0,IF(S49="N",0,VLOOKUP(B49,'Enrollment 25-26'!$B$8:$K$332,9,FALSE)))</f>
        <v>0</v>
      </c>
      <c r="U49" s="64">
        <f t="shared" si="12"/>
        <v>0</v>
      </c>
      <c r="V49" s="128">
        <f t="shared" si="13"/>
        <v>0</v>
      </c>
      <c r="W49" s="150"/>
      <c r="X49" s="64">
        <f>IFERROR(VLOOKUP($B49,#REF!,14,FALSE),0)</f>
        <v>0</v>
      </c>
      <c r="Y49" s="99">
        <f t="shared" si="14"/>
        <v>0</v>
      </c>
      <c r="Z49" s="132">
        <f t="shared" si="15"/>
        <v>0</v>
      </c>
      <c r="AA49" s="151" t="str">
        <f t="shared" si="17"/>
        <v>N</v>
      </c>
      <c r="AC49" s="64"/>
      <c r="AE49" s="152"/>
      <c r="AH49" s="153"/>
      <c r="AI49" s="153"/>
      <c r="AJ49" s="153"/>
      <c r="AK49" s="154"/>
    </row>
    <row r="50" spans="1:37" x14ac:dyDescent="0.25">
      <c r="A50" s="142" t="s">
        <v>451</v>
      </c>
      <c r="B50" t="s">
        <v>515</v>
      </c>
      <c r="C50" t="s">
        <v>51</v>
      </c>
      <c r="D50" s="143">
        <f>IFERROR(VLOOKUP(B50,'Enrollment 25-26'!$B$5:$I$332,8,FALSE),0)</f>
        <v>243.82999999999998</v>
      </c>
      <c r="E50" s="64">
        <f t="shared" si="2"/>
        <v>28350</v>
      </c>
      <c r="F50" s="144">
        <v>0</v>
      </c>
      <c r="G50" s="144">
        <v>0</v>
      </c>
      <c r="H50" s="64">
        <f t="shared" si="3"/>
        <v>28350</v>
      </c>
      <c r="I50" s="64">
        <f t="shared" si="4"/>
        <v>0</v>
      </c>
      <c r="J50" s="145">
        <f t="shared" si="5"/>
        <v>28350</v>
      </c>
      <c r="K50" s="146" t="str">
        <f t="shared" si="16"/>
        <v>Y</v>
      </c>
      <c r="L50" s="147">
        <f t="shared" si="6"/>
        <v>0</v>
      </c>
      <c r="M50" s="148">
        <f t="shared" si="7"/>
        <v>243.82999999999998</v>
      </c>
      <c r="N50" s="64">
        <f t="shared" si="8"/>
        <v>210</v>
      </c>
      <c r="O50" s="64">
        <f t="shared" si="9"/>
        <v>28560</v>
      </c>
      <c r="Q50" s="104">
        <f t="shared" si="10"/>
        <v>0</v>
      </c>
      <c r="R50" s="104" t="str">
        <f t="shared" si="11"/>
        <v>Not Applicable</v>
      </c>
      <c r="S50" s="149" t="s">
        <v>815</v>
      </c>
      <c r="T50" s="149">
        <f>IF(O50=0,0,IF(S50="N",0,VLOOKUP(B50,'Enrollment 25-26'!$B$8:$K$332,9,FALSE)))</f>
        <v>0</v>
      </c>
      <c r="U50" s="64">
        <f t="shared" si="12"/>
        <v>28560</v>
      </c>
      <c r="V50" s="128">
        <f t="shared" si="13"/>
        <v>117.13078784398967</v>
      </c>
      <c r="W50" s="150"/>
      <c r="X50" s="64">
        <f>IFERROR(VLOOKUP($B50,#REF!,14,FALSE),0)</f>
        <v>0</v>
      </c>
      <c r="Y50" s="99">
        <f t="shared" si="14"/>
        <v>28560</v>
      </c>
      <c r="Z50" s="132">
        <f t="shared" si="15"/>
        <v>0</v>
      </c>
      <c r="AA50" s="151" t="str">
        <f t="shared" si="17"/>
        <v>Y</v>
      </c>
      <c r="AC50" s="64"/>
      <c r="AE50" s="152"/>
      <c r="AH50" s="153"/>
      <c r="AI50" s="153"/>
      <c r="AJ50" s="153"/>
      <c r="AK50" s="154"/>
    </row>
    <row r="51" spans="1:37" x14ac:dyDescent="0.25">
      <c r="A51" s="142" t="s">
        <v>443</v>
      </c>
      <c r="B51" t="s">
        <v>516</v>
      </c>
      <c r="C51" t="s">
        <v>52</v>
      </c>
      <c r="D51" s="143">
        <f>IFERROR(VLOOKUP(B51,'Enrollment 25-26'!$B$5:$I$332,8,FALSE),0)</f>
        <v>0</v>
      </c>
      <c r="E51" s="64">
        <f t="shared" si="2"/>
        <v>0</v>
      </c>
      <c r="F51" s="144">
        <v>0</v>
      </c>
      <c r="G51" s="144">
        <v>0</v>
      </c>
      <c r="H51" s="64">
        <f t="shared" si="3"/>
        <v>0</v>
      </c>
      <c r="I51" s="64">
        <f t="shared" si="4"/>
        <v>0</v>
      </c>
      <c r="J51" s="145">
        <f t="shared" si="5"/>
        <v>0</v>
      </c>
      <c r="K51" s="146" t="str">
        <f t="shared" si="16"/>
        <v>N</v>
      </c>
      <c r="L51" s="147">
        <f t="shared" si="6"/>
        <v>0</v>
      </c>
      <c r="M51" s="148">
        <f t="shared" si="7"/>
        <v>0</v>
      </c>
      <c r="N51" s="64">
        <f t="shared" si="8"/>
        <v>0</v>
      </c>
      <c r="O51" s="64">
        <f t="shared" si="9"/>
        <v>0</v>
      </c>
      <c r="Q51" s="104">
        <f t="shared" si="10"/>
        <v>0</v>
      </c>
      <c r="R51" s="104" t="str">
        <f t="shared" si="11"/>
        <v>Not Applicable</v>
      </c>
      <c r="S51" s="149" t="s">
        <v>815</v>
      </c>
      <c r="T51" s="149">
        <f>IF(O51=0,0,IF(S51="N",0,VLOOKUP(B51,'Enrollment 25-26'!$B$8:$K$332,9,FALSE)))</f>
        <v>0</v>
      </c>
      <c r="U51" s="64">
        <f t="shared" si="12"/>
        <v>0</v>
      </c>
      <c r="V51" s="128">
        <f t="shared" si="13"/>
        <v>0</v>
      </c>
      <c r="W51" s="150"/>
      <c r="X51" s="64">
        <f>IFERROR(VLOOKUP($B51,#REF!,14,FALSE),0)</f>
        <v>0</v>
      </c>
      <c r="Y51" s="99">
        <f t="shared" si="14"/>
        <v>0</v>
      </c>
      <c r="Z51" s="132">
        <f t="shared" si="15"/>
        <v>0</v>
      </c>
      <c r="AA51" s="151" t="str">
        <f t="shared" si="17"/>
        <v>N</v>
      </c>
      <c r="AC51" s="64"/>
      <c r="AE51" s="152"/>
      <c r="AH51" s="153"/>
      <c r="AI51" s="153"/>
      <c r="AJ51" s="153"/>
      <c r="AK51" s="154"/>
    </row>
    <row r="52" spans="1:37" x14ac:dyDescent="0.25">
      <c r="A52" s="142" t="s">
        <v>443</v>
      </c>
      <c r="B52" t="s">
        <v>517</v>
      </c>
      <c r="C52" t="s">
        <v>53</v>
      </c>
      <c r="D52" s="143">
        <f>IFERROR(VLOOKUP(B52,'Enrollment 25-26'!$B$5:$I$332,8,FALSE),0)</f>
        <v>0</v>
      </c>
      <c r="E52" s="64">
        <f t="shared" si="2"/>
        <v>0</v>
      </c>
      <c r="F52" s="144">
        <v>0</v>
      </c>
      <c r="G52" s="144">
        <v>0</v>
      </c>
      <c r="H52" s="64">
        <f t="shared" si="3"/>
        <v>0</v>
      </c>
      <c r="I52" s="64">
        <f t="shared" si="4"/>
        <v>0</v>
      </c>
      <c r="J52" s="145">
        <f t="shared" si="5"/>
        <v>0</v>
      </c>
      <c r="K52" s="146" t="str">
        <f t="shared" si="16"/>
        <v>N</v>
      </c>
      <c r="L52" s="147">
        <f t="shared" si="6"/>
        <v>0</v>
      </c>
      <c r="M52" s="148">
        <f t="shared" si="7"/>
        <v>0</v>
      </c>
      <c r="N52" s="64">
        <f t="shared" si="8"/>
        <v>0</v>
      </c>
      <c r="O52" s="64">
        <f t="shared" si="9"/>
        <v>0</v>
      </c>
      <c r="Q52" s="104">
        <f t="shared" si="10"/>
        <v>0</v>
      </c>
      <c r="R52" s="104" t="str">
        <f t="shared" si="11"/>
        <v>Not Applicable</v>
      </c>
      <c r="S52" s="149" t="s">
        <v>815</v>
      </c>
      <c r="T52" s="149">
        <f>IF(O52=0,0,IF(S52="N",0,VLOOKUP(B52,'Enrollment 25-26'!$B$8:$K$332,9,FALSE)))</f>
        <v>0</v>
      </c>
      <c r="U52" s="64">
        <f t="shared" si="12"/>
        <v>0</v>
      </c>
      <c r="V52" s="128">
        <f t="shared" si="13"/>
        <v>0</v>
      </c>
      <c r="W52" s="150"/>
      <c r="X52" s="64">
        <f>IFERROR(VLOOKUP($B52,#REF!,14,FALSE),0)</f>
        <v>0</v>
      </c>
      <c r="Y52" s="99">
        <f t="shared" si="14"/>
        <v>0</v>
      </c>
      <c r="Z52" s="132">
        <f t="shared" si="15"/>
        <v>0</v>
      </c>
      <c r="AA52" s="151" t="str">
        <f t="shared" si="17"/>
        <v>N</v>
      </c>
      <c r="AC52" s="64"/>
      <c r="AE52" s="152"/>
      <c r="AH52" s="153"/>
      <c r="AI52" s="153"/>
      <c r="AJ52" s="153"/>
      <c r="AK52" s="154"/>
    </row>
    <row r="53" spans="1:37" x14ac:dyDescent="0.25">
      <c r="A53" s="142" t="s">
        <v>451</v>
      </c>
      <c r="B53" t="s">
        <v>518</v>
      </c>
      <c r="C53" t="s">
        <v>54</v>
      </c>
      <c r="D53" s="143">
        <f>IFERROR(VLOOKUP(B53,'Enrollment 25-26'!$B$5:$I$332,8,FALSE),0)</f>
        <v>141.32999999999998</v>
      </c>
      <c r="E53" s="64">
        <f t="shared" si="2"/>
        <v>16432</v>
      </c>
      <c r="F53" s="144">
        <v>0</v>
      </c>
      <c r="G53" s="144">
        <v>0</v>
      </c>
      <c r="H53" s="64">
        <f t="shared" si="3"/>
        <v>16432</v>
      </c>
      <c r="I53" s="64">
        <f t="shared" si="4"/>
        <v>0</v>
      </c>
      <c r="J53" s="145">
        <f t="shared" si="5"/>
        <v>16432</v>
      </c>
      <c r="K53" s="146" t="str">
        <f t="shared" si="16"/>
        <v>Y</v>
      </c>
      <c r="L53" s="147">
        <f t="shared" si="6"/>
        <v>0</v>
      </c>
      <c r="M53" s="148">
        <f t="shared" si="7"/>
        <v>141.32999999999998</v>
      </c>
      <c r="N53" s="64">
        <f t="shared" si="8"/>
        <v>122</v>
      </c>
      <c r="O53" s="64">
        <f t="shared" si="9"/>
        <v>16554</v>
      </c>
      <c r="Q53" s="104">
        <f t="shared" si="10"/>
        <v>0</v>
      </c>
      <c r="R53" s="104" t="str">
        <f t="shared" si="11"/>
        <v>Not Applicable</v>
      </c>
      <c r="S53" s="149" t="s">
        <v>815</v>
      </c>
      <c r="T53" s="149">
        <f>IF(O53=0,0,IF(S53="N",0,VLOOKUP(B53,'Enrollment 25-26'!$B$8:$K$332,9,FALSE)))</f>
        <v>0</v>
      </c>
      <c r="U53" s="64">
        <f t="shared" si="12"/>
        <v>16554</v>
      </c>
      <c r="V53" s="128">
        <f t="shared" si="13"/>
        <v>117.13012099341967</v>
      </c>
      <c r="W53" s="150"/>
      <c r="X53" s="64">
        <f>IFERROR(VLOOKUP($B53,#REF!,14,FALSE),0)</f>
        <v>0</v>
      </c>
      <c r="Y53" s="99">
        <f t="shared" si="14"/>
        <v>16554</v>
      </c>
      <c r="Z53" s="132">
        <f t="shared" si="15"/>
        <v>0</v>
      </c>
      <c r="AA53" s="151" t="str">
        <f t="shared" si="17"/>
        <v>Y</v>
      </c>
      <c r="AC53" s="64"/>
      <c r="AE53" s="152"/>
      <c r="AH53" s="153"/>
      <c r="AI53" s="153"/>
      <c r="AJ53" s="153"/>
      <c r="AK53" s="154"/>
    </row>
    <row r="54" spans="1:37" x14ac:dyDescent="0.25">
      <c r="A54" s="142" t="s">
        <v>443</v>
      </c>
      <c r="B54" t="s">
        <v>519</v>
      </c>
      <c r="C54" t="s">
        <v>55</v>
      </c>
      <c r="D54" s="143">
        <f>IFERROR(VLOOKUP(B54,'Enrollment 25-26'!$B$5:$I$332,8,FALSE),0)</f>
        <v>9</v>
      </c>
      <c r="E54" s="64">
        <f t="shared" si="2"/>
        <v>1046</v>
      </c>
      <c r="F54" s="144">
        <v>0</v>
      </c>
      <c r="G54" s="144">
        <v>0</v>
      </c>
      <c r="H54" s="64">
        <f t="shared" si="3"/>
        <v>1046</v>
      </c>
      <c r="I54" s="64">
        <f t="shared" si="4"/>
        <v>0</v>
      </c>
      <c r="J54" s="145">
        <f t="shared" si="5"/>
        <v>1046</v>
      </c>
      <c r="K54" s="146" t="str">
        <f t="shared" si="16"/>
        <v>N</v>
      </c>
      <c r="L54" s="147">
        <f t="shared" si="6"/>
        <v>1046</v>
      </c>
      <c r="M54" s="148">
        <f t="shared" si="7"/>
        <v>0</v>
      </c>
      <c r="N54" s="64">
        <f t="shared" si="8"/>
        <v>0</v>
      </c>
      <c r="O54" s="64">
        <f t="shared" si="9"/>
        <v>0</v>
      </c>
      <c r="Q54" s="104">
        <f t="shared" si="10"/>
        <v>0</v>
      </c>
      <c r="R54" s="104" t="str">
        <f t="shared" si="11"/>
        <v>Not Applicable</v>
      </c>
      <c r="S54" s="149" t="s">
        <v>815</v>
      </c>
      <c r="T54" s="149">
        <f>IF(O54=0,0,IF(S54="N",0,VLOOKUP(B54,'Enrollment 25-26'!$B$8:$K$332,9,FALSE)))</f>
        <v>0</v>
      </c>
      <c r="U54" s="64">
        <f t="shared" si="12"/>
        <v>0</v>
      </c>
      <c r="V54" s="128">
        <f t="shared" si="13"/>
        <v>0</v>
      </c>
      <c r="W54" s="150"/>
      <c r="X54" s="64">
        <f>IFERROR(VLOOKUP($B54,#REF!,14,FALSE),0)</f>
        <v>0</v>
      </c>
      <c r="Y54" s="99">
        <f t="shared" si="14"/>
        <v>0</v>
      </c>
      <c r="Z54" s="132">
        <f t="shared" si="15"/>
        <v>0</v>
      </c>
      <c r="AA54" s="151" t="str">
        <f t="shared" si="17"/>
        <v>N</v>
      </c>
      <c r="AC54" s="64"/>
      <c r="AE54" s="152"/>
      <c r="AH54" s="153"/>
      <c r="AI54" s="153"/>
      <c r="AJ54" s="153"/>
      <c r="AK54" s="154"/>
    </row>
    <row r="55" spans="1:37" x14ac:dyDescent="0.25">
      <c r="A55" s="142" t="s">
        <v>446</v>
      </c>
      <c r="B55" t="s">
        <v>520</v>
      </c>
      <c r="C55" t="s">
        <v>56</v>
      </c>
      <c r="D55" s="143">
        <f>IFERROR(VLOOKUP(B55,'Enrollment 25-26'!$B$5:$I$332,8,FALSE),0)</f>
        <v>32.17</v>
      </c>
      <c r="E55" s="64">
        <f t="shared" si="2"/>
        <v>3740</v>
      </c>
      <c r="F55" s="144">
        <v>0</v>
      </c>
      <c r="G55" s="144">
        <v>0</v>
      </c>
      <c r="H55" s="64">
        <f t="shared" si="3"/>
        <v>3740</v>
      </c>
      <c r="I55" s="64">
        <f t="shared" si="4"/>
        <v>0</v>
      </c>
      <c r="J55" s="145">
        <f t="shared" si="5"/>
        <v>3740</v>
      </c>
      <c r="K55" s="146" t="str">
        <f t="shared" si="16"/>
        <v>N</v>
      </c>
      <c r="L55" s="147">
        <f t="shared" si="6"/>
        <v>3740</v>
      </c>
      <c r="M55" s="148">
        <f t="shared" si="7"/>
        <v>0</v>
      </c>
      <c r="N55" s="64">
        <f t="shared" si="8"/>
        <v>0</v>
      </c>
      <c r="O55" s="64">
        <f t="shared" si="9"/>
        <v>0</v>
      </c>
      <c r="Q55" s="104">
        <f t="shared" si="10"/>
        <v>0</v>
      </c>
      <c r="R55" s="104" t="str">
        <f t="shared" si="11"/>
        <v>Not Applicable</v>
      </c>
      <c r="S55" s="149" t="s">
        <v>815</v>
      </c>
      <c r="T55" s="149">
        <f>IF(O55=0,0,IF(S55="N",0,VLOOKUP(B55,'Enrollment 25-26'!$B$8:$K$332,9,FALSE)))</f>
        <v>0</v>
      </c>
      <c r="U55" s="64">
        <f t="shared" si="12"/>
        <v>0</v>
      </c>
      <c r="V55" s="128">
        <f t="shared" si="13"/>
        <v>0</v>
      </c>
      <c r="W55" s="150"/>
      <c r="X55" s="64">
        <f>IFERROR(VLOOKUP($B55,#REF!,14,FALSE),0)</f>
        <v>0</v>
      </c>
      <c r="Y55" s="99">
        <f t="shared" si="14"/>
        <v>0</v>
      </c>
      <c r="Z55" s="132">
        <f t="shared" si="15"/>
        <v>0</v>
      </c>
      <c r="AA55" s="151" t="str">
        <f t="shared" si="17"/>
        <v>N</v>
      </c>
      <c r="AC55" s="64"/>
      <c r="AE55" s="152"/>
      <c r="AH55" s="153"/>
      <c r="AI55" s="153"/>
      <c r="AJ55" s="153"/>
      <c r="AK55" s="154"/>
    </row>
    <row r="56" spans="1:37" x14ac:dyDescent="0.25">
      <c r="A56" s="142" t="s">
        <v>446</v>
      </c>
      <c r="B56" t="s">
        <v>492</v>
      </c>
      <c r="C56" t="s">
        <v>57</v>
      </c>
      <c r="D56" s="143">
        <f>IFERROR(VLOOKUP(B56,'Enrollment 25-26'!$B$5:$I$332,8,FALSE),0)</f>
        <v>26.5</v>
      </c>
      <c r="E56" s="64">
        <f t="shared" si="2"/>
        <v>3081</v>
      </c>
      <c r="F56" s="144">
        <v>0</v>
      </c>
      <c r="G56" s="144">
        <v>0</v>
      </c>
      <c r="H56" s="64">
        <f t="shared" si="3"/>
        <v>3081</v>
      </c>
      <c r="I56" s="64">
        <f t="shared" si="4"/>
        <v>0</v>
      </c>
      <c r="J56" s="145">
        <f t="shared" si="5"/>
        <v>3081</v>
      </c>
      <c r="K56" s="146" t="str">
        <f t="shared" si="16"/>
        <v>C</v>
      </c>
      <c r="L56" s="147">
        <f t="shared" si="6"/>
        <v>0</v>
      </c>
      <c r="M56" s="148">
        <f t="shared" si="7"/>
        <v>26.5</v>
      </c>
      <c r="N56" s="64">
        <f t="shared" si="8"/>
        <v>23</v>
      </c>
      <c r="O56" s="64">
        <f t="shared" si="9"/>
        <v>3104</v>
      </c>
      <c r="Q56" s="104">
        <f t="shared" si="10"/>
        <v>0</v>
      </c>
      <c r="R56" s="104" t="str">
        <f t="shared" si="11"/>
        <v>Not Applicable</v>
      </c>
      <c r="S56" s="149" t="s">
        <v>815</v>
      </c>
      <c r="T56" s="149">
        <f>IF(O56=0,0,IF(S56="N",0,VLOOKUP(B56,'Enrollment 25-26'!$B$8:$K$332,9,FALSE)))</f>
        <v>0</v>
      </c>
      <c r="U56" s="64">
        <f t="shared" si="12"/>
        <v>3104</v>
      </c>
      <c r="V56" s="128">
        <f t="shared" si="13"/>
        <v>117.13207547169812</v>
      </c>
      <c r="W56" s="150"/>
      <c r="X56" s="64">
        <f>IFERROR(VLOOKUP($B56,#REF!,14,FALSE),0)</f>
        <v>0</v>
      </c>
      <c r="Y56" s="99">
        <f t="shared" si="14"/>
        <v>3104</v>
      </c>
      <c r="Z56" s="132">
        <f t="shared" si="15"/>
        <v>0</v>
      </c>
      <c r="AA56" s="151" t="str">
        <f t="shared" si="17"/>
        <v>C</v>
      </c>
      <c r="AC56" s="64"/>
      <c r="AE56" s="152"/>
      <c r="AH56" s="153"/>
      <c r="AI56" s="153"/>
      <c r="AJ56" s="153"/>
      <c r="AK56" s="154"/>
    </row>
    <row r="57" spans="1:37" x14ac:dyDescent="0.25">
      <c r="A57" s="142" t="s">
        <v>438</v>
      </c>
      <c r="B57" t="s">
        <v>521</v>
      </c>
      <c r="C57" t="s">
        <v>58</v>
      </c>
      <c r="D57" s="143">
        <f>IFERROR(VLOOKUP(B57,'Enrollment 25-26'!$B$5:$I$332,8,FALSE),0)</f>
        <v>1.83</v>
      </c>
      <c r="E57" s="64">
        <f t="shared" si="2"/>
        <v>213</v>
      </c>
      <c r="F57" s="144">
        <v>0</v>
      </c>
      <c r="G57" s="144">
        <v>0</v>
      </c>
      <c r="H57" s="64">
        <f t="shared" si="3"/>
        <v>213</v>
      </c>
      <c r="I57" s="64">
        <f t="shared" si="4"/>
        <v>0</v>
      </c>
      <c r="J57" s="145">
        <f t="shared" si="5"/>
        <v>213</v>
      </c>
      <c r="K57" s="146" t="str">
        <f t="shared" si="16"/>
        <v>N</v>
      </c>
      <c r="L57" s="147">
        <f t="shared" si="6"/>
        <v>213</v>
      </c>
      <c r="M57" s="148">
        <f t="shared" si="7"/>
        <v>0</v>
      </c>
      <c r="N57" s="64">
        <f t="shared" si="8"/>
        <v>0</v>
      </c>
      <c r="O57" s="64">
        <f t="shared" si="9"/>
        <v>0</v>
      </c>
      <c r="Q57" s="104">
        <f t="shared" si="10"/>
        <v>0</v>
      </c>
      <c r="R57" s="104" t="str">
        <f t="shared" si="11"/>
        <v>Not Applicable</v>
      </c>
      <c r="S57" s="149" t="s">
        <v>815</v>
      </c>
      <c r="T57" s="149">
        <f>IF(O57=0,0,IF(S57="N",0,VLOOKUP(B57,'Enrollment 25-26'!$B$8:$K$332,9,FALSE)))</f>
        <v>0</v>
      </c>
      <c r="U57" s="64">
        <f t="shared" si="12"/>
        <v>0</v>
      </c>
      <c r="V57" s="128">
        <f t="shared" si="13"/>
        <v>0</v>
      </c>
      <c r="W57" s="150"/>
      <c r="X57" s="64">
        <f>IFERROR(VLOOKUP($B57,#REF!,14,FALSE),0)</f>
        <v>0</v>
      </c>
      <c r="Y57" s="99">
        <f t="shared" si="14"/>
        <v>0</v>
      </c>
      <c r="Z57" s="132">
        <f t="shared" si="15"/>
        <v>0</v>
      </c>
      <c r="AA57" s="151" t="str">
        <f t="shared" si="17"/>
        <v>N</v>
      </c>
      <c r="AC57" s="64"/>
      <c r="AE57" s="152"/>
      <c r="AH57" s="153"/>
      <c r="AI57" s="153"/>
      <c r="AJ57" s="153"/>
      <c r="AK57" s="154"/>
    </row>
    <row r="58" spans="1:37" x14ac:dyDescent="0.25">
      <c r="A58" s="142" t="s">
        <v>481</v>
      </c>
      <c r="B58" t="s">
        <v>522</v>
      </c>
      <c r="C58" t="s">
        <v>59</v>
      </c>
      <c r="D58" s="143">
        <f>IFERROR(VLOOKUP(B58,'Enrollment 25-26'!$B$5:$I$332,8,FALSE),0)</f>
        <v>0</v>
      </c>
      <c r="E58" s="64">
        <f t="shared" si="2"/>
        <v>0</v>
      </c>
      <c r="F58" s="144">
        <v>0</v>
      </c>
      <c r="G58" s="144">
        <v>0</v>
      </c>
      <c r="H58" s="64">
        <f t="shared" si="3"/>
        <v>0</v>
      </c>
      <c r="I58" s="64">
        <f t="shared" si="4"/>
        <v>0</v>
      </c>
      <c r="J58" s="145">
        <f t="shared" si="5"/>
        <v>0</v>
      </c>
      <c r="K58" s="146" t="str">
        <f t="shared" si="16"/>
        <v>N</v>
      </c>
      <c r="L58" s="147">
        <f t="shared" si="6"/>
        <v>0</v>
      </c>
      <c r="M58" s="148">
        <f t="shared" si="7"/>
        <v>0</v>
      </c>
      <c r="N58" s="64">
        <f t="shared" si="8"/>
        <v>0</v>
      </c>
      <c r="O58" s="64">
        <f t="shared" si="9"/>
        <v>0</v>
      </c>
      <c r="Q58" s="104">
        <f t="shared" si="10"/>
        <v>0</v>
      </c>
      <c r="R58" s="104" t="str">
        <f t="shared" si="11"/>
        <v>Not Applicable</v>
      </c>
      <c r="S58" s="149" t="s">
        <v>815</v>
      </c>
      <c r="T58" s="149">
        <f>IF(O58=0,0,IF(S58="N",0,VLOOKUP(B58,'Enrollment 25-26'!$B$8:$K$332,9,FALSE)))</f>
        <v>0</v>
      </c>
      <c r="U58" s="64">
        <f t="shared" si="12"/>
        <v>0</v>
      </c>
      <c r="V58" s="128">
        <f t="shared" si="13"/>
        <v>0</v>
      </c>
      <c r="W58" s="150"/>
      <c r="X58" s="64">
        <f>IFERROR(VLOOKUP($B58,#REF!,14,FALSE),0)</f>
        <v>0</v>
      </c>
      <c r="Y58" s="99">
        <f t="shared" si="14"/>
        <v>0</v>
      </c>
      <c r="Z58" s="132">
        <f t="shared" si="15"/>
        <v>0</v>
      </c>
      <c r="AA58" s="151" t="str">
        <f t="shared" si="17"/>
        <v>N</v>
      </c>
      <c r="AC58" s="64"/>
      <c r="AE58" s="152"/>
      <c r="AH58" s="153"/>
      <c r="AI58" s="153"/>
      <c r="AJ58" s="153"/>
      <c r="AK58" s="154"/>
    </row>
    <row r="59" spans="1:37" x14ac:dyDescent="0.25">
      <c r="A59" s="142" t="s">
        <v>446</v>
      </c>
      <c r="B59" t="s">
        <v>523</v>
      </c>
      <c r="C59" t="s">
        <v>60</v>
      </c>
      <c r="D59" s="143">
        <f>IFERROR(VLOOKUP(B59,'Enrollment 25-26'!$B$5:$I$332,8,FALSE),0)</f>
        <v>31.840000000000003</v>
      </c>
      <c r="E59" s="64">
        <f t="shared" si="2"/>
        <v>3702</v>
      </c>
      <c r="F59" s="144">
        <v>0</v>
      </c>
      <c r="G59" s="144">
        <v>0</v>
      </c>
      <c r="H59" s="64">
        <f t="shared" si="3"/>
        <v>3702</v>
      </c>
      <c r="I59" s="64">
        <f t="shared" si="4"/>
        <v>0</v>
      </c>
      <c r="J59" s="145">
        <f t="shared" si="5"/>
        <v>3702</v>
      </c>
      <c r="K59" s="146" t="str">
        <f t="shared" si="16"/>
        <v>C</v>
      </c>
      <c r="L59" s="147">
        <f t="shared" si="6"/>
        <v>0</v>
      </c>
      <c r="M59" s="148">
        <f t="shared" si="7"/>
        <v>31.840000000000003</v>
      </c>
      <c r="N59" s="64">
        <f t="shared" si="8"/>
        <v>27</v>
      </c>
      <c r="O59" s="64">
        <f t="shared" si="9"/>
        <v>3729</v>
      </c>
      <c r="Q59" s="104">
        <f t="shared" si="10"/>
        <v>0</v>
      </c>
      <c r="R59" s="104" t="str">
        <f t="shared" si="11"/>
        <v>Not Applicable</v>
      </c>
      <c r="S59" s="149" t="s">
        <v>815</v>
      </c>
      <c r="T59" s="149">
        <f>IF(O59=0,0,IF(S59="N",0,VLOOKUP(B59,'Enrollment 25-26'!$B$8:$K$332,9,FALSE)))</f>
        <v>0</v>
      </c>
      <c r="U59" s="64">
        <f t="shared" si="12"/>
        <v>3729</v>
      </c>
      <c r="V59" s="128">
        <f t="shared" si="13"/>
        <v>117.11683417085426</v>
      </c>
      <c r="W59" s="150"/>
      <c r="X59" s="64">
        <f>IFERROR(VLOOKUP($B59,#REF!,14,FALSE),0)</f>
        <v>0</v>
      </c>
      <c r="Y59" s="99">
        <f t="shared" si="14"/>
        <v>3729</v>
      </c>
      <c r="Z59" s="132">
        <f t="shared" si="15"/>
        <v>0</v>
      </c>
      <c r="AA59" s="151" t="str">
        <f t="shared" si="17"/>
        <v>C</v>
      </c>
      <c r="AC59" s="64"/>
      <c r="AE59" s="152"/>
      <c r="AH59" s="153"/>
      <c r="AI59" s="153"/>
      <c r="AJ59" s="153"/>
      <c r="AK59" s="154"/>
    </row>
    <row r="60" spans="1:37" x14ac:dyDescent="0.25">
      <c r="A60" s="142" t="s">
        <v>478</v>
      </c>
      <c r="B60" t="s">
        <v>524</v>
      </c>
      <c r="C60" t="s">
        <v>61</v>
      </c>
      <c r="D60" s="143">
        <f>IFERROR(VLOOKUP(B60,'Enrollment 25-26'!$B$5:$I$332,8,FALSE),0)</f>
        <v>0</v>
      </c>
      <c r="E60" s="64">
        <f t="shared" si="2"/>
        <v>0</v>
      </c>
      <c r="F60" s="144">
        <v>0</v>
      </c>
      <c r="G60" s="144">
        <v>0</v>
      </c>
      <c r="H60" s="64">
        <f t="shared" si="3"/>
        <v>0</v>
      </c>
      <c r="I60" s="64">
        <f t="shared" si="4"/>
        <v>0</v>
      </c>
      <c r="J60" s="145">
        <f t="shared" si="5"/>
        <v>0</v>
      </c>
      <c r="K60" s="146" t="str">
        <f t="shared" si="16"/>
        <v>N</v>
      </c>
      <c r="L60" s="147">
        <f t="shared" si="6"/>
        <v>0</v>
      </c>
      <c r="M60" s="148">
        <f t="shared" si="7"/>
        <v>0</v>
      </c>
      <c r="N60" s="64">
        <f t="shared" si="8"/>
        <v>0</v>
      </c>
      <c r="O60" s="64">
        <f t="shared" si="9"/>
        <v>0</v>
      </c>
      <c r="Q60" s="104">
        <f t="shared" si="10"/>
        <v>0</v>
      </c>
      <c r="R60" s="104" t="str">
        <f t="shared" si="11"/>
        <v>Not Applicable</v>
      </c>
      <c r="S60" s="149" t="s">
        <v>815</v>
      </c>
      <c r="T60" s="149">
        <f>IF(O60=0,0,IF(S60="N",0,VLOOKUP(B60,'Enrollment 25-26'!$B$8:$K$332,9,FALSE)))</f>
        <v>0</v>
      </c>
      <c r="U60" s="64">
        <f t="shared" si="12"/>
        <v>0</v>
      </c>
      <c r="V60" s="128">
        <f t="shared" si="13"/>
        <v>0</v>
      </c>
      <c r="W60" s="150"/>
      <c r="X60" s="64">
        <f>IFERROR(VLOOKUP($B60,#REF!,14,FALSE),0)</f>
        <v>0</v>
      </c>
      <c r="Y60" s="99">
        <f t="shared" si="14"/>
        <v>0</v>
      </c>
      <c r="Z60" s="132">
        <f t="shared" si="15"/>
        <v>0</v>
      </c>
      <c r="AA60" s="151" t="str">
        <f t="shared" si="17"/>
        <v>N</v>
      </c>
      <c r="AC60" s="64"/>
      <c r="AE60" s="152"/>
      <c r="AH60" s="153"/>
      <c r="AI60" s="153"/>
      <c r="AJ60" s="153"/>
      <c r="AK60" s="154"/>
    </row>
    <row r="61" spans="1:37" x14ac:dyDescent="0.25">
      <c r="A61" s="142" t="s">
        <v>443</v>
      </c>
      <c r="B61" t="s">
        <v>525</v>
      </c>
      <c r="C61" t="s">
        <v>62</v>
      </c>
      <c r="D61" s="143">
        <f>IFERROR(VLOOKUP(B61,'Enrollment 25-26'!$B$5:$I$332,8,FALSE),0)</f>
        <v>0</v>
      </c>
      <c r="E61" s="64">
        <f t="shared" si="2"/>
        <v>0</v>
      </c>
      <c r="F61" s="144">
        <v>0</v>
      </c>
      <c r="G61" s="144">
        <v>0</v>
      </c>
      <c r="H61" s="64">
        <f t="shared" si="3"/>
        <v>0</v>
      </c>
      <c r="I61" s="64">
        <f t="shared" si="4"/>
        <v>0</v>
      </c>
      <c r="J61" s="145">
        <f t="shared" si="5"/>
        <v>0</v>
      </c>
      <c r="K61" s="146" t="str">
        <f t="shared" si="16"/>
        <v>N</v>
      </c>
      <c r="L61" s="147">
        <f t="shared" si="6"/>
        <v>0</v>
      </c>
      <c r="M61" s="148">
        <f t="shared" si="7"/>
        <v>0</v>
      </c>
      <c r="N61" s="64">
        <f t="shared" si="8"/>
        <v>0</v>
      </c>
      <c r="O61" s="64">
        <f t="shared" si="9"/>
        <v>0</v>
      </c>
      <c r="Q61" s="104">
        <f t="shared" si="10"/>
        <v>0</v>
      </c>
      <c r="R61" s="104" t="str">
        <f t="shared" si="11"/>
        <v>Not Applicable</v>
      </c>
      <c r="S61" s="149" t="s">
        <v>815</v>
      </c>
      <c r="T61" s="149">
        <f>IF(O61=0,0,IF(S61="N",0,VLOOKUP(B61,'Enrollment 25-26'!$B$8:$K$332,9,FALSE)))</f>
        <v>0</v>
      </c>
      <c r="U61" s="64">
        <f t="shared" si="12"/>
        <v>0</v>
      </c>
      <c r="V61" s="128">
        <f t="shared" si="13"/>
        <v>0</v>
      </c>
      <c r="W61" s="150"/>
      <c r="X61" s="64">
        <f>IFERROR(VLOOKUP($B61,#REF!,14,FALSE),0)</f>
        <v>0</v>
      </c>
      <c r="Y61" s="99">
        <f t="shared" si="14"/>
        <v>0</v>
      </c>
      <c r="Z61" s="132">
        <f t="shared" si="15"/>
        <v>0</v>
      </c>
      <c r="AA61" s="151" t="str">
        <f t="shared" si="17"/>
        <v>N</v>
      </c>
      <c r="AC61" s="64"/>
      <c r="AE61" s="152"/>
      <c r="AH61" s="153"/>
      <c r="AI61" s="153"/>
      <c r="AJ61" s="153"/>
      <c r="AK61" s="154"/>
    </row>
    <row r="62" spans="1:37" x14ac:dyDescent="0.25">
      <c r="A62" s="142" t="s">
        <v>443</v>
      </c>
      <c r="B62" t="s">
        <v>526</v>
      </c>
      <c r="C62" t="s">
        <v>63</v>
      </c>
      <c r="D62" s="143">
        <f>IFERROR(VLOOKUP(B62,'Enrollment 25-26'!$B$5:$I$332,8,FALSE),0)</f>
        <v>0</v>
      </c>
      <c r="E62" s="64">
        <f t="shared" si="2"/>
        <v>0</v>
      </c>
      <c r="F62" s="144">
        <v>0</v>
      </c>
      <c r="G62" s="144">
        <v>0</v>
      </c>
      <c r="H62" s="64">
        <f t="shared" si="3"/>
        <v>0</v>
      </c>
      <c r="I62" s="64">
        <f t="shared" si="4"/>
        <v>0</v>
      </c>
      <c r="J62" s="145">
        <f t="shared" si="5"/>
        <v>0</v>
      </c>
      <c r="K62" s="146" t="str">
        <f t="shared" si="16"/>
        <v>N</v>
      </c>
      <c r="L62" s="147">
        <f t="shared" si="6"/>
        <v>0</v>
      </c>
      <c r="M62" s="148">
        <f t="shared" si="7"/>
        <v>0</v>
      </c>
      <c r="N62" s="64">
        <f t="shared" si="8"/>
        <v>0</v>
      </c>
      <c r="O62" s="64">
        <f t="shared" si="9"/>
        <v>0</v>
      </c>
      <c r="Q62" s="104">
        <f t="shared" si="10"/>
        <v>0</v>
      </c>
      <c r="R62" s="104" t="str">
        <f t="shared" si="11"/>
        <v>Not Applicable</v>
      </c>
      <c r="S62" s="149" t="s">
        <v>815</v>
      </c>
      <c r="T62" s="149">
        <f>IF(O62=0,0,IF(S62="N",0,VLOOKUP(B62,'Enrollment 25-26'!$B$8:$K$332,9,FALSE)))</f>
        <v>0</v>
      </c>
      <c r="U62" s="64">
        <f t="shared" si="12"/>
        <v>0</v>
      </c>
      <c r="V62" s="128">
        <f t="shared" si="13"/>
        <v>0</v>
      </c>
      <c r="W62" s="150"/>
      <c r="X62" s="64">
        <f>IFERROR(VLOOKUP($B62,#REF!,14,FALSE),0)</f>
        <v>0</v>
      </c>
      <c r="Y62" s="99">
        <f t="shared" si="14"/>
        <v>0</v>
      </c>
      <c r="Z62" s="132">
        <f t="shared" si="15"/>
        <v>0</v>
      </c>
      <c r="AA62" s="151" t="str">
        <f t="shared" si="17"/>
        <v>N</v>
      </c>
      <c r="AC62" s="64"/>
      <c r="AE62" s="152"/>
      <c r="AH62" s="153"/>
      <c r="AI62" s="153"/>
      <c r="AJ62" s="153"/>
      <c r="AK62" s="154"/>
    </row>
    <row r="63" spans="1:37" x14ac:dyDescent="0.25">
      <c r="A63" s="142" t="s">
        <v>443</v>
      </c>
      <c r="B63" t="s">
        <v>527</v>
      </c>
      <c r="C63" t="s">
        <v>64</v>
      </c>
      <c r="D63" s="143">
        <f>IFERROR(VLOOKUP(B63,'Enrollment 25-26'!$B$5:$I$332,8,FALSE),0)</f>
        <v>0</v>
      </c>
      <c r="E63" s="64">
        <f t="shared" si="2"/>
        <v>0</v>
      </c>
      <c r="F63" s="144">
        <v>0</v>
      </c>
      <c r="G63" s="144">
        <v>0</v>
      </c>
      <c r="H63" s="64">
        <f t="shared" si="3"/>
        <v>0</v>
      </c>
      <c r="I63" s="64">
        <f t="shared" si="4"/>
        <v>0</v>
      </c>
      <c r="J63" s="145">
        <f t="shared" si="5"/>
        <v>0</v>
      </c>
      <c r="K63" s="146" t="str">
        <f t="shared" si="16"/>
        <v>N</v>
      </c>
      <c r="L63" s="147">
        <f t="shared" si="6"/>
        <v>0</v>
      </c>
      <c r="M63" s="148">
        <f t="shared" si="7"/>
        <v>0</v>
      </c>
      <c r="N63" s="64">
        <f t="shared" si="8"/>
        <v>0</v>
      </c>
      <c r="O63" s="64">
        <f t="shared" si="9"/>
        <v>0</v>
      </c>
      <c r="Q63" s="104">
        <f t="shared" si="10"/>
        <v>0</v>
      </c>
      <c r="R63" s="104" t="str">
        <f t="shared" si="11"/>
        <v>Not Applicable</v>
      </c>
      <c r="S63" s="149" t="s">
        <v>815</v>
      </c>
      <c r="T63" s="149">
        <f>IF(O63=0,0,IF(S63="N",0,VLOOKUP(B63,'Enrollment 25-26'!$B$8:$K$332,9,FALSE)))</f>
        <v>0</v>
      </c>
      <c r="U63" s="64">
        <f t="shared" si="12"/>
        <v>0</v>
      </c>
      <c r="V63" s="128">
        <f t="shared" si="13"/>
        <v>0</v>
      </c>
      <c r="W63" s="150"/>
      <c r="X63" s="64">
        <f>IFERROR(VLOOKUP($B63,#REF!,14,FALSE),0)</f>
        <v>0</v>
      </c>
      <c r="Y63" s="99">
        <f t="shared" si="14"/>
        <v>0</v>
      </c>
      <c r="Z63" s="132">
        <f t="shared" si="15"/>
        <v>0</v>
      </c>
      <c r="AA63" s="151" t="str">
        <f t="shared" si="17"/>
        <v>N</v>
      </c>
      <c r="AC63" s="64"/>
      <c r="AE63" s="152"/>
      <c r="AH63" s="153"/>
      <c r="AI63" s="153"/>
      <c r="AJ63" s="153"/>
      <c r="AK63" s="154"/>
    </row>
    <row r="64" spans="1:37" x14ac:dyDescent="0.25">
      <c r="A64" s="142" t="s">
        <v>471</v>
      </c>
      <c r="B64" t="s">
        <v>528</v>
      </c>
      <c r="C64" t="s">
        <v>65</v>
      </c>
      <c r="D64" s="143">
        <f>IFERROR(VLOOKUP(B64,'Enrollment 25-26'!$B$5:$I$332,8,FALSE),0)</f>
        <v>0</v>
      </c>
      <c r="E64" s="64">
        <f t="shared" si="2"/>
        <v>0</v>
      </c>
      <c r="F64" s="144">
        <v>0</v>
      </c>
      <c r="G64" s="144">
        <v>0</v>
      </c>
      <c r="H64" s="64">
        <f t="shared" si="3"/>
        <v>0</v>
      </c>
      <c r="I64" s="64">
        <f t="shared" si="4"/>
        <v>0</v>
      </c>
      <c r="J64" s="145">
        <f t="shared" si="5"/>
        <v>0</v>
      </c>
      <c r="K64" s="146" t="str">
        <f t="shared" si="16"/>
        <v>N</v>
      </c>
      <c r="L64" s="147">
        <f t="shared" si="6"/>
        <v>0</v>
      </c>
      <c r="M64" s="148">
        <f t="shared" si="7"/>
        <v>0</v>
      </c>
      <c r="N64" s="64">
        <f t="shared" si="8"/>
        <v>0</v>
      </c>
      <c r="O64" s="64">
        <f t="shared" si="9"/>
        <v>0</v>
      </c>
      <c r="Q64" s="104">
        <f t="shared" si="10"/>
        <v>0</v>
      </c>
      <c r="R64" s="104" t="str">
        <f t="shared" si="11"/>
        <v>Not Applicable</v>
      </c>
      <c r="S64" s="149" t="s">
        <v>815</v>
      </c>
      <c r="T64" s="149">
        <f>IF(O64=0,0,IF(S64="N",0,VLOOKUP(B64,'Enrollment 25-26'!$B$8:$K$332,9,FALSE)))</f>
        <v>0</v>
      </c>
      <c r="U64" s="64">
        <f t="shared" si="12"/>
        <v>0</v>
      </c>
      <c r="V64" s="128">
        <f t="shared" si="13"/>
        <v>0</v>
      </c>
      <c r="W64" s="150"/>
      <c r="X64" s="64">
        <f>IFERROR(VLOOKUP($B64,#REF!,14,FALSE),0)</f>
        <v>0</v>
      </c>
      <c r="Y64" s="99">
        <f t="shared" si="14"/>
        <v>0</v>
      </c>
      <c r="Z64" s="132">
        <f t="shared" si="15"/>
        <v>0</v>
      </c>
      <c r="AA64" s="151" t="str">
        <f t="shared" si="17"/>
        <v>N</v>
      </c>
      <c r="AC64" s="64"/>
      <c r="AE64" s="152"/>
      <c r="AH64" s="153"/>
      <c r="AI64" s="153"/>
      <c r="AJ64" s="153"/>
      <c r="AK64" s="154"/>
    </row>
    <row r="65" spans="1:37" x14ac:dyDescent="0.25">
      <c r="A65" s="142" t="s">
        <v>446</v>
      </c>
      <c r="B65" t="s">
        <v>529</v>
      </c>
      <c r="C65" t="s">
        <v>66</v>
      </c>
      <c r="D65" s="143">
        <f>IFERROR(VLOOKUP(B65,'Enrollment 25-26'!$B$5:$I$332,8,FALSE),0)</f>
        <v>0.33</v>
      </c>
      <c r="E65" s="64">
        <f t="shared" si="2"/>
        <v>38</v>
      </c>
      <c r="F65" s="144">
        <v>0</v>
      </c>
      <c r="G65" s="144">
        <v>0</v>
      </c>
      <c r="H65" s="64">
        <f t="shared" si="3"/>
        <v>38</v>
      </c>
      <c r="I65" s="64">
        <f t="shared" si="4"/>
        <v>0</v>
      </c>
      <c r="J65" s="145">
        <f t="shared" si="5"/>
        <v>38</v>
      </c>
      <c r="K65" s="146" t="str">
        <f t="shared" si="16"/>
        <v>N</v>
      </c>
      <c r="L65" s="147">
        <f t="shared" si="6"/>
        <v>38</v>
      </c>
      <c r="M65" s="148">
        <f t="shared" si="7"/>
        <v>0</v>
      </c>
      <c r="N65" s="64">
        <f t="shared" si="8"/>
        <v>0</v>
      </c>
      <c r="O65" s="64">
        <f t="shared" si="9"/>
        <v>0</v>
      </c>
      <c r="Q65" s="104">
        <f t="shared" si="10"/>
        <v>0</v>
      </c>
      <c r="R65" s="104" t="str">
        <f t="shared" si="11"/>
        <v>Not Applicable</v>
      </c>
      <c r="S65" s="149" t="s">
        <v>815</v>
      </c>
      <c r="T65" s="149">
        <f>IF(O65=0,0,IF(S65="N",0,VLOOKUP(B65,'Enrollment 25-26'!$B$8:$K$332,9,FALSE)))</f>
        <v>0</v>
      </c>
      <c r="U65" s="64">
        <f t="shared" si="12"/>
        <v>0</v>
      </c>
      <c r="V65" s="128">
        <f t="shared" si="13"/>
        <v>0</v>
      </c>
      <c r="W65" s="150"/>
      <c r="X65" s="64">
        <f>IFERROR(VLOOKUP($B65,#REF!,14,FALSE),0)</f>
        <v>0</v>
      </c>
      <c r="Y65" s="99">
        <f t="shared" si="14"/>
        <v>0</v>
      </c>
      <c r="Z65" s="132">
        <f t="shared" si="15"/>
        <v>0</v>
      </c>
      <c r="AA65" s="151" t="str">
        <f t="shared" si="17"/>
        <v>N</v>
      </c>
      <c r="AC65" s="64"/>
      <c r="AE65" s="152"/>
      <c r="AH65" s="153"/>
      <c r="AI65" s="153"/>
      <c r="AJ65" s="153"/>
      <c r="AK65" s="154"/>
    </row>
    <row r="66" spans="1:37" x14ac:dyDescent="0.25">
      <c r="A66" s="142" t="s">
        <v>443</v>
      </c>
      <c r="B66" t="s">
        <v>530</v>
      </c>
      <c r="C66" t="s">
        <v>67</v>
      </c>
      <c r="D66" s="143">
        <f>IFERROR(VLOOKUP(B66,'Enrollment 25-26'!$B$5:$I$332,8,FALSE),0)</f>
        <v>0</v>
      </c>
      <c r="E66" s="64">
        <f t="shared" si="2"/>
        <v>0</v>
      </c>
      <c r="F66" s="144">
        <v>0</v>
      </c>
      <c r="G66" s="144">
        <v>0</v>
      </c>
      <c r="H66" s="64">
        <f t="shared" si="3"/>
        <v>0</v>
      </c>
      <c r="I66" s="64">
        <f t="shared" si="4"/>
        <v>0</v>
      </c>
      <c r="J66" s="145">
        <f t="shared" si="5"/>
        <v>0</v>
      </c>
      <c r="K66" s="146" t="str">
        <f t="shared" si="16"/>
        <v>N</v>
      </c>
      <c r="L66" s="147">
        <f t="shared" si="6"/>
        <v>0</v>
      </c>
      <c r="M66" s="148">
        <f t="shared" si="7"/>
        <v>0</v>
      </c>
      <c r="N66" s="64">
        <f t="shared" si="8"/>
        <v>0</v>
      </c>
      <c r="O66" s="64">
        <f t="shared" si="9"/>
        <v>0</v>
      </c>
      <c r="Q66" s="104">
        <f t="shared" si="10"/>
        <v>0</v>
      </c>
      <c r="R66" s="104" t="str">
        <f t="shared" si="11"/>
        <v>Not Applicable</v>
      </c>
      <c r="S66" s="149" t="s">
        <v>815</v>
      </c>
      <c r="T66" s="149">
        <f>IF(O66=0,0,IF(S66="N",0,VLOOKUP(B66,'Enrollment 25-26'!$B$8:$K$332,9,FALSE)))</f>
        <v>0</v>
      </c>
      <c r="U66" s="64">
        <f t="shared" si="12"/>
        <v>0</v>
      </c>
      <c r="V66" s="128">
        <f t="shared" si="13"/>
        <v>0</v>
      </c>
      <c r="W66" s="150"/>
      <c r="X66" s="64">
        <f>IFERROR(VLOOKUP($B66,#REF!,14,FALSE),0)</f>
        <v>0</v>
      </c>
      <c r="Y66" s="99">
        <f t="shared" si="14"/>
        <v>0</v>
      </c>
      <c r="Z66" s="132">
        <f t="shared" si="15"/>
        <v>0</v>
      </c>
      <c r="AA66" s="151" t="str">
        <f t="shared" si="17"/>
        <v>N</v>
      </c>
      <c r="AC66" s="64"/>
      <c r="AE66" s="152"/>
      <c r="AH66" s="153"/>
      <c r="AI66" s="153"/>
      <c r="AJ66" s="153"/>
      <c r="AK66" s="154"/>
    </row>
    <row r="67" spans="1:37" x14ac:dyDescent="0.25">
      <c r="A67" s="142" t="s">
        <v>451</v>
      </c>
      <c r="B67" t="s">
        <v>531</v>
      </c>
      <c r="C67" t="s">
        <v>68</v>
      </c>
      <c r="D67" s="143">
        <f>IFERROR(VLOOKUP(B67,'Enrollment 25-26'!$B$5:$I$332,8,FALSE),0)</f>
        <v>1</v>
      </c>
      <c r="E67" s="64">
        <f t="shared" si="2"/>
        <v>116</v>
      </c>
      <c r="F67" s="144">
        <v>0</v>
      </c>
      <c r="G67" s="144">
        <v>0</v>
      </c>
      <c r="H67" s="64">
        <f t="shared" si="3"/>
        <v>116</v>
      </c>
      <c r="I67" s="64">
        <f t="shared" si="4"/>
        <v>0</v>
      </c>
      <c r="J67" s="145">
        <f t="shared" si="5"/>
        <v>116</v>
      </c>
      <c r="K67" s="146" t="str">
        <f t="shared" si="16"/>
        <v>N</v>
      </c>
      <c r="L67" s="147">
        <f t="shared" si="6"/>
        <v>116</v>
      </c>
      <c r="M67" s="148">
        <f t="shared" si="7"/>
        <v>0</v>
      </c>
      <c r="N67" s="64">
        <f t="shared" si="8"/>
        <v>0</v>
      </c>
      <c r="O67" s="64">
        <f t="shared" si="9"/>
        <v>0</v>
      </c>
      <c r="Q67" s="104">
        <f t="shared" si="10"/>
        <v>0</v>
      </c>
      <c r="R67" s="104" t="str">
        <f t="shared" si="11"/>
        <v>Not Applicable</v>
      </c>
      <c r="S67" s="149" t="s">
        <v>815</v>
      </c>
      <c r="T67" s="149">
        <f>IF(O67=0,0,IF(S67="N",0,VLOOKUP(B67,'Enrollment 25-26'!$B$8:$K$332,9,FALSE)))</f>
        <v>0</v>
      </c>
      <c r="U67" s="64">
        <f t="shared" si="12"/>
        <v>0</v>
      </c>
      <c r="V67" s="128">
        <f t="shared" si="13"/>
        <v>0</v>
      </c>
      <c r="W67" s="150"/>
      <c r="X67" s="64">
        <f>IFERROR(VLOOKUP($B67,#REF!,14,FALSE),0)</f>
        <v>0</v>
      </c>
      <c r="Y67" s="99">
        <f t="shared" si="14"/>
        <v>0</v>
      </c>
      <c r="Z67" s="132">
        <f t="shared" si="15"/>
        <v>0</v>
      </c>
      <c r="AA67" s="151" t="str">
        <f t="shared" si="17"/>
        <v>N</v>
      </c>
      <c r="AC67" s="64"/>
      <c r="AE67" s="152"/>
      <c r="AH67" s="153"/>
      <c r="AI67" s="153"/>
      <c r="AJ67" s="153"/>
      <c r="AK67" s="154"/>
    </row>
    <row r="68" spans="1:37" x14ac:dyDescent="0.25">
      <c r="A68" s="142" t="s">
        <v>443</v>
      </c>
      <c r="B68" t="s">
        <v>532</v>
      </c>
      <c r="C68" t="s">
        <v>69</v>
      </c>
      <c r="D68" s="143">
        <f>IFERROR(VLOOKUP(B68,'Enrollment 25-26'!$B$5:$I$332,8,FALSE),0)</f>
        <v>31.17</v>
      </c>
      <c r="E68" s="64">
        <f t="shared" si="2"/>
        <v>3624</v>
      </c>
      <c r="F68" s="144">
        <v>0</v>
      </c>
      <c r="G68" s="144">
        <v>0</v>
      </c>
      <c r="H68" s="64">
        <f t="shared" si="3"/>
        <v>3624</v>
      </c>
      <c r="I68" s="64">
        <f t="shared" si="4"/>
        <v>0</v>
      </c>
      <c r="J68" s="145">
        <f t="shared" si="5"/>
        <v>3624</v>
      </c>
      <c r="K68" s="146" t="str">
        <f t="shared" si="16"/>
        <v>N</v>
      </c>
      <c r="L68" s="147">
        <f t="shared" si="6"/>
        <v>3624</v>
      </c>
      <c r="M68" s="148">
        <f t="shared" si="7"/>
        <v>0</v>
      </c>
      <c r="N68" s="64">
        <f t="shared" si="8"/>
        <v>0</v>
      </c>
      <c r="O68" s="64">
        <f t="shared" si="9"/>
        <v>0</v>
      </c>
      <c r="Q68" s="104">
        <f t="shared" si="10"/>
        <v>0</v>
      </c>
      <c r="R68" s="104" t="str">
        <f t="shared" si="11"/>
        <v>Not Applicable</v>
      </c>
      <c r="S68" s="149" t="s">
        <v>815</v>
      </c>
      <c r="T68" s="149">
        <f>IF(O68=0,0,IF(S68="N",0,VLOOKUP(B68,'Enrollment 25-26'!$B$8:$K$332,9,FALSE)))</f>
        <v>0</v>
      </c>
      <c r="U68" s="64">
        <f t="shared" si="12"/>
        <v>0</v>
      </c>
      <c r="V68" s="128">
        <f t="shared" si="13"/>
        <v>0</v>
      </c>
      <c r="W68" s="150"/>
      <c r="X68" s="64">
        <f>IFERROR(VLOOKUP($B68,#REF!,14,FALSE),0)</f>
        <v>0</v>
      </c>
      <c r="Y68" s="99">
        <f t="shared" si="14"/>
        <v>0</v>
      </c>
      <c r="Z68" s="132">
        <f t="shared" si="15"/>
        <v>0</v>
      </c>
      <c r="AA68" s="151" t="str">
        <f t="shared" si="17"/>
        <v>N</v>
      </c>
      <c r="AC68" s="64"/>
      <c r="AE68" s="152"/>
      <c r="AH68" s="153"/>
      <c r="AI68" s="153"/>
      <c r="AJ68" s="153"/>
      <c r="AK68" s="154"/>
    </row>
    <row r="69" spans="1:37" x14ac:dyDescent="0.25">
      <c r="A69" s="142" t="s">
        <v>454</v>
      </c>
      <c r="B69" t="s">
        <v>480</v>
      </c>
      <c r="C69" t="s">
        <v>70</v>
      </c>
      <c r="D69" s="143">
        <f>IFERROR(VLOOKUP(B69,'Enrollment 25-26'!$B$5:$I$332,8,FALSE),0)</f>
        <v>118.34</v>
      </c>
      <c r="E69" s="64">
        <f t="shared" si="2"/>
        <v>13759</v>
      </c>
      <c r="F69" s="144">
        <v>0</v>
      </c>
      <c r="G69" s="144">
        <v>0</v>
      </c>
      <c r="H69" s="64">
        <f t="shared" si="3"/>
        <v>13759</v>
      </c>
      <c r="I69" s="64">
        <f t="shared" si="4"/>
        <v>0</v>
      </c>
      <c r="J69" s="145">
        <f t="shared" si="5"/>
        <v>13759</v>
      </c>
      <c r="K69" s="146" t="str">
        <f t="shared" si="16"/>
        <v>C</v>
      </c>
      <c r="L69" s="147">
        <f t="shared" si="6"/>
        <v>0</v>
      </c>
      <c r="M69" s="148">
        <f t="shared" si="7"/>
        <v>118.34</v>
      </c>
      <c r="N69" s="64">
        <f t="shared" si="8"/>
        <v>102</v>
      </c>
      <c r="O69" s="64">
        <f t="shared" si="9"/>
        <v>13861</v>
      </c>
      <c r="Q69" s="104">
        <f t="shared" si="10"/>
        <v>0</v>
      </c>
      <c r="R69" s="104" t="str">
        <f t="shared" si="11"/>
        <v>Not Applicable</v>
      </c>
      <c r="S69" s="149" t="s">
        <v>815</v>
      </c>
      <c r="T69" s="149">
        <f>IF(O69=0,0,IF(S69="N",0,VLOOKUP(B69,'Enrollment 25-26'!$B$8:$K$332,9,FALSE)))</f>
        <v>0</v>
      </c>
      <c r="U69" s="64">
        <f t="shared" si="12"/>
        <v>13861</v>
      </c>
      <c r="V69" s="128">
        <f t="shared" si="13"/>
        <v>117.12861247253676</v>
      </c>
      <c r="W69" s="150"/>
      <c r="X69" s="64">
        <f>IFERROR(VLOOKUP($B69,#REF!,14,FALSE),0)</f>
        <v>0</v>
      </c>
      <c r="Y69" s="99">
        <f t="shared" si="14"/>
        <v>13861</v>
      </c>
      <c r="Z69" s="132">
        <f t="shared" si="15"/>
        <v>0</v>
      </c>
      <c r="AA69" s="151" t="str">
        <f t="shared" si="17"/>
        <v>C</v>
      </c>
      <c r="AC69" s="64"/>
      <c r="AE69" s="152"/>
      <c r="AH69" s="153"/>
      <c r="AI69" s="153"/>
      <c r="AJ69" s="153"/>
      <c r="AK69" s="154"/>
    </row>
    <row r="70" spans="1:37" x14ac:dyDescent="0.25">
      <c r="A70" s="142" t="s">
        <v>451</v>
      </c>
      <c r="B70" t="s">
        <v>533</v>
      </c>
      <c r="C70" t="s">
        <v>71</v>
      </c>
      <c r="D70" s="143">
        <f>IFERROR(VLOOKUP(B70,'Enrollment 25-26'!$B$5:$I$332,8,FALSE),0)</f>
        <v>0</v>
      </c>
      <c r="E70" s="64">
        <f t="shared" si="2"/>
        <v>0</v>
      </c>
      <c r="F70" s="144">
        <v>0</v>
      </c>
      <c r="G70" s="144">
        <v>0</v>
      </c>
      <c r="H70" s="64">
        <f t="shared" si="3"/>
        <v>0</v>
      </c>
      <c r="I70" s="64">
        <f t="shared" si="4"/>
        <v>0</v>
      </c>
      <c r="J70" s="145">
        <f t="shared" si="5"/>
        <v>0</v>
      </c>
      <c r="K70" s="146" t="str">
        <f t="shared" si="16"/>
        <v>N</v>
      </c>
      <c r="L70" s="147">
        <f t="shared" si="6"/>
        <v>0</v>
      </c>
      <c r="M70" s="148">
        <f t="shared" si="7"/>
        <v>0</v>
      </c>
      <c r="N70" s="64">
        <f t="shared" si="8"/>
        <v>0</v>
      </c>
      <c r="O70" s="64">
        <f t="shared" si="9"/>
        <v>0</v>
      </c>
      <c r="Q70" s="104">
        <f t="shared" si="10"/>
        <v>0</v>
      </c>
      <c r="R70" s="104" t="str">
        <f t="shared" si="11"/>
        <v>Not Applicable</v>
      </c>
      <c r="S70" s="149" t="s">
        <v>815</v>
      </c>
      <c r="T70" s="149">
        <f>IF(O70=0,0,IF(S70="N",0,VLOOKUP(B70,'Enrollment 25-26'!$B$8:$K$332,9,FALSE)))</f>
        <v>0</v>
      </c>
      <c r="U70" s="64">
        <f t="shared" si="12"/>
        <v>0</v>
      </c>
      <c r="V70" s="128">
        <f t="shared" si="13"/>
        <v>0</v>
      </c>
      <c r="W70" s="150"/>
      <c r="X70" s="64">
        <f>IFERROR(VLOOKUP($B70,#REF!,14,FALSE),0)</f>
        <v>0</v>
      </c>
      <c r="Y70" s="99">
        <f t="shared" si="14"/>
        <v>0</v>
      </c>
      <c r="Z70" s="132">
        <f t="shared" si="15"/>
        <v>0</v>
      </c>
      <c r="AA70" s="151" t="str">
        <f t="shared" si="17"/>
        <v>N</v>
      </c>
      <c r="AC70" s="64"/>
      <c r="AE70" s="152"/>
      <c r="AH70" s="153"/>
      <c r="AI70" s="153"/>
      <c r="AJ70" s="153"/>
      <c r="AK70" s="154"/>
    </row>
    <row r="71" spans="1:37" x14ac:dyDescent="0.25">
      <c r="A71" s="142" t="s">
        <v>443</v>
      </c>
      <c r="B71" t="s">
        <v>534</v>
      </c>
      <c r="C71" t="s">
        <v>72</v>
      </c>
      <c r="D71" s="143">
        <f>IFERROR(VLOOKUP(B71,'Enrollment 25-26'!$B$5:$I$332,8,FALSE),0)</f>
        <v>208</v>
      </c>
      <c r="E71" s="64">
        <f t="shared" si="2"/>
        <v>24184</v>
      </c>
      <c r="F71" s="144">
        <v>0</v>
      </c>
      <c r="G71" s="144">
        <v>0</v>
      </c>
      <c r="H71" s="64">
        <f t="shared" si="3"/>
        <v>24184</v>
      </c>
      <c r="I71" s="64">
        <f t="shared" si="4"/>
        <v>0</v>
      </c>
      <c r="J71" s="145">
        <f t="shared" si="5"/>
        <v>24184</v>
      </c>
      <c r="K71" s="146" t="str">
        <f t="shared" si="16"/>
        <v>Y</v>
      </c>
      <c r="L71" s="147">
        <f t="shared" si="6"/>
        <v>0</v>
      </c>
      <c r="M71" s="148">
        <f t="shared" si="7"/>
        <v>208</v>
      </c>
      <c r="N71" s="64">
        <f t="shared" si="8"/>
        <v>179</v>
      </c>
      <c r="O71" s="64">
        <f t="shared" si="9"/>
        <v>24363</v>
      </c>
      <c r="Q71" s="104">
        <f t="shared" si="10"/>
        <v>0</v>
      </c>
      <c r="R71" s="104" t="str">
        <f t="shared" si="11"/>
        <v>Not Applicable</v>
      </c>
      <c r="S71" s="149" t="s">
        <v>815</v>
      </c>
      <c r="T71" s="149">
        <f>IF(O71=0,0,IF(S71="N",0,VLOOKUP(B71,'Enrollment 25-26'!$B$8:$K$332,9,FALSE)))</f>
        <v>0</v>
      </c>
      <c r="U71" s="64">
        <f t="shared" si="12"/>
        <v>24363</v>
      </c>
      <c r="V71" s="128">
        <f t="shared" si="13"/>
        <v>117.12980769230769</v>
      </c>
      <c r="W71" s="150"/>
      <c r="X71" s="64">
        <f>IFERROR(VLOOKUP($B71,#REF!,14,FALSE),0)</f>
        <v>0</v>
      </c>
      <c r="Y71" s="99">
        <f t="shared" si="14"/>
        <v>24363</v>
      </c>
      <c r="Z71" s="132">
        <f t="shared" si="15"/>
        <v>0</v>
      </c>
      <c r="AA71" s="151" t="str">
        <f t="shared" si="17"/>
        <v>Y</v>
      </c>
      <c r="AC71" s="64"/>
      <c r="AE71" s="152"/>
      <c r="AH71" s="153"/>
      <c r="AI71" s="153"/>
      <c r="AJ71" s="153"/>
      <c r="AK71" s="154"/>
    </row>
    <row r="72" spans="1:37" x14ac:dyDescent="0.25">
      <c r="A72" s="142" t="s">
        <v>471</v>
      </c>
      <c r="B72" t="s">
        <v>535</v>
      </c>
      <c r="C72" t="s">
        <v>73</v>
      </c>
      <c r="D72" s="143">
        <f>IFERROR(VLOOKUP(B72,'Enrollment 25-26'!$B$5:$I$332,8,FALSE),0)</f>
        <v>474.00666666666672</v>
      </c>
      <c r="E72" s="64">
        <f t="shared" si="2"/>
        <v>55113</v>
      </c>
      <c r="F72" s="144">
        <v>0</v>
      </c>
      <c r="G72" s="144">
        <v>0</v>
      </c>
      <c r="H72" s="64">
        <f t="shared" si="3"/>
        <v>55113</v>
      </c>
      <c r="I72" s="64">
        <f t="shared" si="4"/>
        <v>0</v>
      </c>
      <c r="J72" s="145">
        <f t="shared" si="5"/>
        <v>55113</v>
      </c>
      <c r="K72" s="146" t="str">
        <f t="shared" si="16"/>
        <v>Y</v>
      </c>
      <c r="L72" s="147">
        <f t="shared" si="6"/>
        <v>0</v>
      </c>
      <c r="M72" s="148">
        <f t="shared" si="7"/>
        <v>474.00666666666672</v>
      </c>
      <c r="N72" s="64">
        <f t="shared" si="8"/>
        <v>408</v>
      </c>
      <c r="O72" s="64">
        <f t="shared" si="9"/>
        <v>55521</v>
      </c>
      <c r="Q72" s="104">
        <f t="shared" si="10"/>
        <v>0</v>
      </c>
      <c r="R72" s="104" t="str">
        <f t="shared" si="11"/>
        <v>Not Applicable</v>
      </c>
      <c r="S72" s="149" t="s">
        <v>815</v>
      </c>
      <c r="T72" s="149">
        <f>IF(O72=0,0,IF(S72="N",0,VLOOKUP(B72,'Enrollment 25-26'!$B$8:$K$332,9,FALSE)))</f>
        <v>0</v>
      </c>
      <c r="U72" s="64">
        <f t="shared" si="12"/>
        <v>55521</v>
      </c>
      <c r="V72" s="128">
        <f t="shared" si="13"/>
        <v>117.13126397659666</v>
      </c>
      <c r="W72" s="150"/>
      <c r="X72" s="64">
        <f>IFERROR(VLOOKUP($B72,#REF!,14,FALSE),0)</f>
        <v>0</v>
      </c>
      <c r="Y72" s="99">
        <f t="shared" si="14"/>
        <v>55521</v>
      </c>
      <c r="Z72" s="132">
        <f t="shared" si="15"/>
        <v>0</v>
      </c>
      <c r="AA72" s="151" t="str">
        <f t="shared" si="17"/>
        <v>Y</v>
      </c>
      <c r="AC72" s="64"/>
      <c r="AE72" s="152"/>
      <c r="AH72" s="153"/>
      <c r="AI72" s="153"/>
      <c r="AJ72" s="153"/>
      <c r="AK72" s="154"/>
    </row>
    <row r="73" spans="1:37" x14ac:dyDescent="0.25">
      <c r="A73" s="142" t="s">
        <v>481</v>
      </c>
      <c r="B73" t="s">
        <v>536</v>
      </c>
      <c r="C73" t="s">
        <v>74</v>
      </c>
      <c r="D73" s="143">
        <f>IFERROR(VLOOKUP(B73,'Enrollment 25-26'!$B$5:$I$332,8,FALSE),0)</f>
        <v>1176.8399999999999</v>
      </c>
      <c r="E73" s="64">
        <f t="shared" ref="E73:E136" si="18">ROUND($D73/$D$7*$E$6,0)</f>
        <v>136831</v>
      </c>
      <c r="F73" s="144">
        <v>0</v>
      </c>
      <c r="G73" s="144">
        <v>0</v>
      </c>
      <c r="H73" s="64">
        <f t="shared" ref="H73:H136" si="19">SUM(E73:G73)</f>
        <v>136831</v>
      </c>
      <c r="I73" s="64">
        <f t="shared" ref="I73:I136" si="20">ROUND($D73/$D$7*$I$6,0)</f>
        <v>0</v>
      </c>
      <c r="J73" s="145">
        <f t="shared" ref="J73:J136" si="21">+H73+I73</f>
        <v>136831</v>
      </c>
      <c r="K73" s="146" t="str">
        <f t="shared" si="16"/>
        <v>Y</v>
      </c>
      <c r="L73" s="147">
        <f t="shared" ref="L73:L136" si="22">IF(OR(K73="N",K73="NR",AND(J73&lt;$L$6,K73&lt;&gt;"C")),J73,0)</f>
        <v>0</v>
      </c>
      <c r="M73" s="148">
        <f t="shared" ref="M73:M136" si="23">IF(L73=0,D73,0)</f>
        <v>1176.8399999999999</v>
      </c>
      <c r="N73" s="64">
        <f t="shared" ref="N73:N136" si="24">ROUND(M73/$M$7*$L$3,0)</f>
        <v>1012</v>
      </c>
      <c r="O73" s="64">
        <f t="shared" ref="O73:O136" si="25">J73-L73+N73</f>
        <v>137843</v>
      </c>
      <c r="Q73" s="104">
        <f t="shared" ref="Q73:Q136" si="26">-ROUND(IF(P73&gt;0,O73*(0.9-P73),0),0)</f>
        <v>0</v>
      </c>
      <c r="R73" s="104" t="str">
        <f t="shared" ref="R73:R136" si="27">IF($R$7=0,"Not Applicable",T73*($R$7/$T$7))</f>
        <v>Not Applicable</v>
      </c>
      <c r="S73" s="149" t="s">
        <v>815</v>
      </c>
      <c r="T73" s="149">
        <f>IF(O73=0,0,IF(S73="N",0,VLOOKUP(B73,'Enrollment 25-26'!$B$8:$K$332,9,FALSE)))</f>
        <v>0</v>
      </c>
      <c r="U73" s="64">
        <f t="shared" ref="U73:U136" si="28">IF(ISNUMBER(R73),O73+R73,O73)</f>
        <v>137843</v>
      </c>
      <c r="V73" s="128">
        <f t="shared" ref="V73:V136" si="29">IF(M73=0,0,O73/M73)</f>
        <v>117.12977125182694</v>
      </c>
      <c r="W73" s="150"/>
      <c r="X73" s="64">
        <f>IFERROR(VLOOKUP($B73,#REF!,14,FALSE),0)</f>
        <v>0</v>
      </c>
      <c r="Y73" s="99">
        <f t="shared" ref="Y73:Y136" si="30">O73-X73</f>
        <v>137843</v>
      </c>
      <c r="Z73" s="132">
        <f t="shared" ref="Z73:Z136" si="31">IFERROR(IF(X73&gt;0,Y73/X73,0),0)</f>
        <v>0</v>
      </c>
      <c r="AA73" s="151" t="str">
        <f t="shared" si="17"/>
        <v>Y</v>
      </c>
      <c r="AC73" s="64"/>
      <c r="AE73" s="152"/>
      <c r="AH73" s="153"/>
      <c r="AI73" s="153"/>
      <c r="AJ73" s="153"/>
      <c r="AK73" s="154"/>
    </row>
    <row r="74" spans="1:37" x14ac:dyDescent="0.25">
      <c r="A74" s="142" t="s">
        <v>471</v>
      </c>
      <c r="B74" t="s">
        <v>537</v>
      </c>
      <c r="C74" t="s">
        <v>75</v>
      </c>
      <c r="D74" s="143">
        <f>IFERROR(VLOOKUP(B74,'Enrollment 25-26'!$B$5:$I$332,8,FALSE),0)</f>
        <v>4</v>
      </c>
      <c r="E74" s="64">
        <f t="shared" si="18"/>
        <v>465</v>
      </c>
      <c r="F74" s="144">
        <v>0</v>
      </c>
      <c r="G74" s="144">
        <v>0</v>
      </c>
      <c r="H74" s="64">
        <f t="shared" si="19"/>
        <v>465</v>
      </c>
      <c r="I74" s="64">
        <f t="shared" si="20"/>
        <v>0</v>
      </c>
      <c r="J74" s="145">
        <f t="shared" si="21"/>
        <v>465</v>
      </c>
      <c r="K74" s="146" t="str">
        <f t="shared" ref="K74:K137" si="32">IF(ISERROR(VLOOKUP(B74,$AC$9:$AC$50,1,0)),IF(J74&gt;10000,"Y","N"), "C")</f>
        <v>N</v>
      </c>
      <c r="L74" s="147">
        <f t="shared" si="22"/>
        <v>465</v>
      </c>
      <c r="M74" s="148">
        <f t="shared" si="23"/>
        <v>0</v>
      </c>
      <c r="N74" s="64">
        <f t="shared" si="24"/>
        <v>0</v>
      </c>
      <c r="O74" s="64">
        <f t="shared" si="25"/>
        <v>0</v>
      </c>
      <c r="Q74" s="104">
        <f t="shared" si="26"/>
        <v>0</v>
      </c>
      <c r="R74" s="104" t="str">
        <f t="shared" si="27"/>
        <v>Not Applicable</v>
      </c>
      <c r="S74" s="149" t="s">
        <v>815</v>
      </c>
      <c r="T74" s="149">
        <f>IF(O74=0,0,IF(S74="N",0,VLOOKUP(B74,'Enrollment 25-26'!$B$8:$K$332,9,FALSE)))</f>
        <v>0</v>
      </c>
      <c r="U74" s="64">
        <f t="shared" si="28"/>
        <v>0</v>
      </c>
      <c r="V74" s="128">
        <f t="shared" si="29"/>
        <v>0</v>
      </c>
      <c r="W74" s="150"/>
      <c r="X74" s="64">
        <f>IFERROR(VLOOKUP($B74,#REF!,14,FALSE),0)</f>
        <v>0</v>
      </c>
      <c r="Y74" s="99">
        <f t="shared" si="30"/>
        <v>0</v>
      </c>
      <c r="Z74" s="132">
        <f t="shared" si="31"/>
        <v>0</v>
      </c>
      <c r="AA74" s="151" t="str">
        <f t="shared" ref="AA74:AA137" si="33">K74</f>
        <v>N</v>
      </c>
      <c r="AC74" s="64"/>
      <c r="AE74" s="152"/>
      <c r="AH74" s="153"/>
      <c r="AI74" s="153"/>
      <c r="AJ74" s="153"/>
      <c r="AK74" s="154"/>
    </row>
    <row r="75" spans="1:37" x14ac:dyDescent="0.25">
      <c r="A75" s="142" t="s">
        <v>454</v>
      </c>
      <c r="B75" t="s">
        <v>538</v>
      </c>
      <c r="C75" t="s">
        <v>76</v>
      </c>
      <c r="D75" s="143">
        <f>IFERROR(VLOOKUP(B75,'Enrollment 25-26'!$B$5:$I$332,8,FALSE),0)</f>
        <v>20.329999999999998</v>
      </c>
      <c r="E75" s="64">
        <f t="shared" si="18"/>
        <v>2364</v>
      </c>
      <c r="F75" s="144">
        <v>0</v>
      </c>
      <c r="G75" s="144">
        <v>0</v>
      </c>
      <c r="H75" s="64">
        <f t="shared" si="19"/>
        <v>2364</v>
      </c>
      <c r="I75" s="64">
        <f t="shared" si="20"/>
        <v>0</v>
      </c>
      <c r="J75" s="145">
        <f t="shared" si="21"/>
        <v>2364</v>
      </c>
      <c r="K75" s="146" t="str">
        <f t="shared" si="32"/>
        <v>C</v>
      </c>
      <c r="L75" s="147">
        <f t="shared" si="22"/>
        <v>0</v>
      </c>
      <c r="M75" s="148">
        <f t="shared" si="23"/>
        <v>20.329999999999998</v>
      </c>
      <c r="N75" s="64">
        <f t="shared" si="24"/>
        <v>17</v>
      </c>
      <c r="O75" s="64">
        <f t="shared" si="25"/>
        <v>2381</v>
      </c>
      <c r="Q75" s="104">
        <f t="shared" si="26"/>
        <v>0</v>
      </c>
      <c r="R75" s="104" t="str">
        <f t="shared" si="27"/>
        <v>Not Applicable</v>
      </c>
      <c r="S75" s="149" t="s">
        <v>815</v>
      </c>
      <c r="T75" s="149">
        <f>IF(O75=0,0,IF(S75="N",0,VLOOKUP(B75,'Enrollment 25-26'!$B$8:$K$332,9,FALSE)))</f>
        <v>0</v>
      </c>
      <c r="U75" s="64">
        <f t="shared" si="28"/>
        <v>2381</v>
      </c>
      <c r="V75" s="128">
        <f t="shared" si="29"/>
        <v>117.11756025577965</v>
      </c>
      <c r="W75" s="150"/>
      <c r="X75" s="64">
        <f>IFERROR(VLOOKUP($B75,#REF!,14,FALSE),0)</f>
        <v>0</v>
      </c>
      <c r="Y75" s="99">
        <f t="shared" si="30"/>
        <v>2381</v>
      </c>
      <c r="Z75" s="132">
        <f t="shared" si="31"/>
        <v>0</v>
      </c>
      <c r="AA75" s="151" t="str">
        <f t="shared" si="33"/>
        <v>C</v>
      </c>
      <c r="AC75" s="64"/>
      <c r="AE75" s="152"/>
      <c r="AH75" s="153"/>
      <c r="AI75" s="153"/>
      <c r="AJ75" s="153"/>
      <c r="AK75" s="154"/>
    </row>
    <row r="76" spans="1:37" x14ac:dyDescent="0.25">
      <c r="A76" s="142" t="s">
        <v>446</v>
      </c>
      <c r="B76" t="s">
        <v>539</v>
      </c>
      <c r="C76" t="s">
        <v>77</v>
      </c>
      <c r="D76" s="143">
        <f>IFERROR(VLOOKUP(B76,'Enrollment 25-26'!$B$5:$I$332,8,FALSE),0)</f>
        <v>4247.5</v>
      </c>
      <c r="E76" s="64">
        <f t="shared" si="18"/>
        <v>493857</v>
      </c>
      <c r="F76" s="144">
        <v>0</v>
      </c>
      <c r="G76" s="144">
        <v>0</v>
      </c>
      <c r="H76" s="64">
        <f t="shared" si="19"/>
        <v>493857</v>
      </c>
      <c r="I76" s="64">
        <f t="shared" si="20"/>
        <v>0</v>
      </c>
      <c r="J76" s="145">
        <f t="shared" si="21"/>
        <v>493857</v>
      </c>
      <c r="K76" s="146" t="str">
        <f t="shared" si="32"/>
        <v>Y</v>
      </c>
      <c r="L76" s="147">
        <f t="shared" si="22"/>
        <v>0</v>
      </c>
      <c r="M76" s="148">
        <f t="shared" si="23"/>
        <v>4247.5</v>
      </c>
      <c r="N76" s="64">
        <f t="shared" si="24"/>
        <v>3652</v>
      </c>
      <c r="O76" s="64">
        <f t="shared" si="25"/>
        <v>497509</v>
      </c>
      <c r="Q76" s="104">
        <f t="shared" si="26"/>
        <v>0</v>
      </c>
      <c r="R76" s="104" t="str">
        <f t="shared" si="27"/>
        <v>Not Applicable</v>
      </c>
      <c r="S76" s="149" t="s">
        <v>815</v>
      </c>
      <c r="T76" s="149">
        <f>IF(O76=0,0,IF(S76="N",0,VLOOKUP(B76,'Enrollment 25-26'!$B$8:$K$332,9,FALSE)))</f>
        <v>0</v>
      </c>
      <c r="U76" s="64">
        <f t="shared" si="28"/>
        <v>497509</v>
      </c>
      <c r="V76" s="128">
        <f t="shared" si="29"/>
        <v>117.12984108299</v>
      </c>
      <c r="W76" s="150"/>
      <c r="X76" s="64">
        <f>IFERROR(VLOOKUP($B76,#REF!,14,FALSE),0)</f>
        <v>0</v>
      </c>
      <c r="Y76" s="99">
        <f t="shared" si="30"/>
        <v>497509</v>
      </c>
      <c r="Z76" s="132">
        <f t="shared" si="31"/>
        <v>0</v>
      </c>
      <c r="AA76" s="151" t="str">
        <f t="shared" si="33"/>
        <v>Y</v>
      </c>
      <c r="AC76" s="64"/>
      <c r="AE76" s="152"/>
      <c r="AH76" s="153"/>
      <c r="AI76" s="153"/>
      <c r="AJ76" s="153"/>
      <c r="AK76" s="154"/>
    </row>
    <row r="77" spans="1:37" x14ac:dyDescent="0.25">
      <c r="A77" s="142" t="s">
        <v>471</v>
      </c>
      <c r="B77" t="s">
        <v>540</v>
      </c>
      <c r="C77" t="s">
        <v>78</v>
      </c>
      <c r="D77" s="143">
        <f>IFERROR(VLOOKUP(B77,'Enrollment 25-26'!$B$5:$I$332,8,FALSE),0)</f>
        <v>265.67333333333329</v>
      </c>
      <c r="E77" s="64">
        <f t="shared" si="18"/>
        <v>30890</v>
      </c>
      <c r="F77" s="144">
        <v>0</v>
      </c>
      <c r="G77" s="144">
        <v>0</v>
      </c>
      <c r="H77" s="64">
        <f t="shared" si="19"/>
        <v>30890</v>
      </c>
      <c r="I77" s="64">
        <f t="shared" si="20"/>
        <v>0</v>
      </c>
      <c r="J77" s="145">
        <f t="shared" si="21"/>
        <v>30890</v>
      </c>
      <c r="K77" s="146" t="str">
        <f t="shared" si="32"/>
        <v>Y</v>
      </c>
      <c r="L77" s="147">
        <f t="shared" si="22"/>
        <v>0</v>
      </c>
      <c r="M77" s="148">
        <f t="shared" si="23"/>
        <v>265.67333333333329</v>
      </c>
      <c r="N77" s="64">
        <f t="shared" si="24"/>
        <v>228</v>
      </c>
      <c r="O77" s="64">
        <f t="shared" si="25"/>
        <v>31118</v>
      </c>
      <c r="Q77" s="104">
        <f t="shared" si="26"/>
        <v>0</v>
      </c>
      <c r="R77" s="104" t="str">
        <f t="shared" si="27"/>
        <v>Not Applicable</v>
      </c>
      <c r="S77" s="149" t="s">
        <v>815</v>
      </c>
      <c r="T77" s="149">
        <f>IF(O77=0,0,IF(S77="N",0,VLOOKUP(B77,'Enrollment 25-26'!$B$8:$K$332,9,FALSE)))</f>
        <v>0</v>
      </c>
      <c r="U77" s="64">
        <f t="shared" si="28"/>
        <v>31118</v>
      </c>
      <c r="V77" s="128">
        <f t="shared" si="29"/>
        <v>117.12880479787209</v>
      </c>
      <c r="W77" s="150"/>
      <c r="X77" s="64">
        <f>IFERROR(VLOOKUP($B77,#REF!,14,FALSE),0)</f>
        <v>0</v>
      </c>
      <c r="Y77" s="99">
        <f t="shared" si="30"/>
        <v>31118</v>
      </c>
      <c r="Z77" s="132">
        <f t="shared" si="31"/>
        <v>0</v>
      </c>
      <c r="AA77" s="151" t="str">
        <f t="shared" si="33"/>
        <v>Y</v>
      </c>
      <c r="AC77" s="64"/>
      <c r="AE77" s="152"/>
      <c r="AH77" s="153"/>
      <c r="AI77" s="153"/>
      <c r="AJ77" s="153"/>
      <c r="AK77" s="154"/>
    </row>
    <row r="78" spans="1:37" x14ac:dyDescent="0.25">
      <c r="A78" s="142" t="s">
        <v>438</v>
      </c>
      <c r="B78" t="s">
        <v>541</v>
      </c>
      <c r="C78" t="s">
        <v>79</v>
      </c>
      <c r="D78" s="143">
        <f>IFERROR(VLOOKUP(B78,'Enrollment 25-26'!$B$5:$I$332,8,FALSE),0)</f>
        <v>140.82999999999998</v>
      </c>
      <c r="E78" s="64">
        <f t="shared" si="18"/>
        <v>16374</v>
      </c>
      <c r="F78" s="144">
        <v>0</v>
      </c>
      <c r="G78" s="144">
        <v>0</v>
      </c>
      <c r="H78" s="64">
        <f t="shared" si="19"/>
        <v>16374</v>
      </c>
      <c r="I78" s="64">
        <f t="shared" si="20"/>
        <v>0</v>
      </c>
      <c r="J78" s="145">
        <f t="shared" si="21"/>
        <v>16374</v>
      </c>
      <c r="K78" s="146" t="str">
        <f t="shared" si="32"/>
        <v>Y</v>
      </c>
      <c r="L78" s="147">
        <f t="shared" si="22"/>
        <v>0</v>
      </c>
      <c r="M78" s="148">
        <f t="shared" si="23"/>
        <v>140.82999999999998</v>
      </c>
      <c r="N78" s="64">
        <f t="shared" si="24"/>
        <v>121</v>
      </c>
      <c r="O78" s="64">
        <f t="shared" si="25"/>
        <v>16495</v>
      </c>
      <c r="Q78" s="104">
        <f t="shared" si="26"/>
        <v>0</v>
      </c>
      <c r="R78" s="104" t="str">
        <f t="shared" si="27"/>
        <v>Not Applicable</v>
      </c>
      <c r="S78" s="149" t="s">
        <v>815</v>
      </c>
      <c r="T78" s="149">
        <f>IF(O78=0,0,IF(S78="N",0,VLOOKUP(B78,'Enrollment 25-26'!$B$8:$K$332,9,FALSE)))</f>
        <v>0</v>
      </c>
      <c r="U78" s="64">
        <f t="shared" si="28"/>
        <v>16495</v>
      </c>
      <c r="V78" s="128">
        <f t="shared" si="29"/>
        <v>117.12703259248741</v>
      </c>
      <c r="W78" s="150"/>
      <c r="X78" s="64">
        <f>IFERROR(VLOOKUP($B78,#REF!,14,FALSE),0)</f>
        <v>0</v>
      </c>
      <c r="Y78" s="99">
        <f t="shared" si="30"/>
        <v>16495</v>
      </c>
      <c r="Z78" s="132">
        <f t="shared" si="31"/>
        <v>0</v>
      </c>
      <c r="AA78" s="151" t="str">
        <f t="shared" si="33"/>
        <v>Y</v>
      </c>
      <c r="AC78" s="64"/>
      <c r="AE78" s="152"/>
      <c r="AH78" s="153"/>
      <c r="AI78" s="153"/>
      <c r="AJ78" s="153"/>
      <c r="AK78" s="154"/>
    </row>
    <row r="79" spans="1:37" x14ac:dyDescent="0.25">
      <c r="A79" s="142" t="s">
        <v>443</v>
      </c>
      <c r="B79" t="s">
        <v>542</v>
      </c>
      <c r="C79" t="s">
        <v>80</v>
      </c>
      <c r="D79" s="143">
        <f>IFERROR(VLOOKUP(B79,'Enrollment 25-26'!$B$5:$I$332,8,FALSE),0)</f>
        <v>0</v>
      </c>
      <c r="E79" s="64">
        <f t="shared" si="18"/>
        <v>0</v>
      </c>
      <c r="F79" s="144">
        <v>0</v>
      </c>
      <c r="G79" s="144">
        <v>0</v>
      </c>
      <c r="H79" s="64">
        <f t="shared" si="19"/>
        <v>0</v>
      </c>
      <c r="I79" s="64">
        <f t="shared" si="20"/>
        <v>0</v>
      </c>
      <c r="J79" s="145">
        <f t="shared" si="21"/>
        <v>0</v>
      </c>
      <c r="K79" s="146" t="str">
        <f t="shared" si="32"/>
        <v>N</v>
      </c>
      <c r="L79" s="147">
        <f t="shared" si="22"/>
        <v>0</v>
      </c>
      <c r="M79" s="148">
        <f t="shared" si="23"/>
        <v>0</v>
      </c>
      <c r="N79" s="64">
        <f t="shared" si="24"/>
        <v>0</v>
      </c>
      <c r="O79" s="64">
        <f t="shared" si="25"/>
        <v>0</v>
      </c>
      <c r="Q79" s="104">
        <f t="shared" si="26"/>
        <v>0</v>
      </c>
      <c r="R79" s="104" t="str">
        <f t="shared" si="27"/>
        <v>Not Applicable</v>
      </c>
      <c r="S79" s="149" t="s">
        <v>815</v>
      </c>
      <c r="T79" s="149">
        <f>IF(O79=0,0,IF(S79="N",0,VLOOKUP(B79,'Enrollment 25-26'!$B$8:$K$332,9,FALSE)))</f>
        <v>0</v>
      </c>
      <c r="U79" s="64">
        <f t="shared" si="28"/>
        <v>0</v>
      </c>
      <c r="V79" s="128">
        <f t="shared" si="29"/>
        <v>0</v>
      </c>
      <c r="W79" s="150"/>
      <c r="X79" s="64">
        <f>IFERROR(VLOOKUP($B79,#REF!,14,FALSE),0)</f>
        <v>0</v>
      </c>
      <c r="Y79" s="99">
        <f t="shared" si="30"/>
        <v>0</v>
      </c>
      <c r="Z79" s="132">
        <f t="shared" si="31"/>
        <v>0</v>
      </c>
      <c r="AA79" s="151" t="str">
        <f t="shared" si="33"/>
        <v>N</v>
      </c>
      <c r="AC79" s="64"/>
      <c r="AE79" s="152"/>
      <c r="AH79" s="153"/>
      <c r="AI79" s="153"/>
      <c r="AJ79" s="153"/>
      <c r="AK79" s="154"/>
    </row>
    <row r="80" spans="1:37" x14ac:dyDescent="0.25">
      <c r="A80" s="142" t="s">
        <v>481</v>
      </c>
      <c r="B80" t="s">
        <v>543</v>
      </c>
      <c r="C80" t="s">
        <v>81</v>
      </c>
      <c r="D80" s="143">
        <f>IFERROR(VLOOKUP(B80,'Enrollment 25-26'!$B$5:$I$332,8,FALSE),0)</f>
        <v>130.5</v>
      </c>
      <c r="E80" s="64">
        <f t="shared" si="18"/>
        <v>15173</v>
      </c>
      <c r="F80" s="144">
        <v>0</v>
      </c>
      <c r="G80" s="144">
        <v>0</v>
      </c>
      <c r="H80" s="64">
        <f t="shared" si="19"/>
        <v>15173</v>
      </c>
      <c r="I80" s="64">
        <f t="shared" si="20"/>
        <v>0</v>
      </c>
      <c r="J80" s="145">
        <f t="shared" si="21"/>
        <v>15173</v>
      </c>
      <c r="K80" s="146" t="str">
        <f t="shared" si="32"/>
        <v>Y</v>
      </c>
      <c r="L80" s="147">
        <f t="shared" si="22"/>
        <v>0</v>
      </c>
      <c r="M80" s="148">
        <f t="shared" si="23"/>
        <v>130.5</v>
      </c>
      <c r="N80" s="64">
        <f t="shared" si="24"/>
        <v>112</v>
      </c>
      <c r="O80" s="64">
        <f t="shared" si="25"/>
        <v>15285</v>
      </c>
      <c r="Q80" s="104">
        <f t="shared" si="26"/>
        <v>0</v>
      </c>
      <c r="R80" s="104" t="str">
        <f t="shared" si="27"/>
        <v>Not Applicable</v>
      </c>
      <c r="S80" s="149" t="s">
        <v>815</v>
      </c>
      <c r="T80" s="149">
        <f>IF(O80=0,0,IF(S80="N",0,VLOOKUP(B80,'Enrollment 25-26'!$B$8:$K$332,9,FALSE)))</f>
        <v>0</v>
      </c>
      <c r="U80" s="64">
        <f t="shared" si="28"/>
        <v>15285</v>
      </c>
      <c r="V80" s="128">
        <f t="shared" si="29"/>
        <v>117.1264367816092</v>
      </c>
      <c r="W80" s="150"/>
      <c r="X80" s="64">
        <f>IFERROR(VLOOKUP($B80,#REF!,14,FALSE),0)</f>
        <v>0</v>
      </c>
      <c r="Y80" s="99">
        <f t="shared" si="30"/>
        <v>15285</v>
      </c>
      <c r="Z80" s="132">
        <f t="shared" si="31"/>
        <v>0</v>
      </c>
      <c r="AA80" s="151" t="str">
        <f t="shared" si="33"/>
        <v>Y</v>
      </c>
      <c r="AC80" s="64"/>
      <c r="AE80" s="152"/>
      <c r="AH80" s="153"/>
      <c r="AI80" s="153"/>
      <c r="AJ80" s="153"/>
      <c r="AK80" s="154"/>
    </row>
    <row r="81" spans="1:37" x14ac:dyDescent="0.25">
      <c r="A81" s="142" t="s">
        <v>454</v>
      </c>
      <c r="B81" t="s">
        <v>544</v>
      </c>
      <c r="C81" t="s">
        <v>82</v>
      </c>
      <c r="D81" s="143">
        <f>IFERROR(VLOOKUP(B81,'Enrollment 25-26'!$B$5:$I$332,8,FALSE),0)</f>
        <v>329.16999999999996</v>
      </c>
      <c r="E81" s="64">
        <f t="shared" si="18"/>
        <v>38273</v>
      </c>
      <c r="F81" s="144">
        <v>0</v>
      </c>
      <c r="G81" s="144">
        <v>0</v>
      </c>
      <c r="H81" s="64">
        <f t="shared" si="19"/>
        <v>38273</v>
      </c>
      <c r="I81" s="64">
        <f t="shared" si="20"/>
        <v>0</v>
      </c>
      <c r="J81" s="145">
        <f t="shared" si="21"/>
        <v>38273</v>
      </c>
      <c r="K81" s="146" t="str">
        <f t="shared" si="32"/>
        <v>Y</v>
      </c>
      <c r="L81" s="147">
        <f t="shared" si="22"/>
        <v>0</v>
      </c>
      <c r="M81" s="148">
        <f t="shared" si="23"/>
        <v>329.16999999999996</v>
      </c>
      <c r="N81" s="64">
        <f t="shared" si="24"/>
        <v>283</v>
      </c>
      <c r="O81" s="64">
        <f t="shared" si="25"/>
        <v>38556</v>
      </c>
      <c r="Q81" s="104">
        <f t="shared" si="26"/>
        <v>0</v>
      </c>
      <c r="R81" s="104" t="str">
        <f t="shared" si="27"/>
        <v>Not Applicable</v>
      </c>
      <c r="S81" s="149" t="s">
        <v>815</v>
      </c>
      <c r="T81" s="149">
        <f>IF(O81=0,0,IF(S81="N",0,VLOOKUP(B81,'Enrollment 25-26'!$B$8:$K$332,9,FALSE)))</f>
        <v>0</v>
      </c>
      <c r="U81" s="64">
        <f t="shared" si="28"/>
        <v>38556</v>
      </c>
      <c r="V81" s="128">
        <f t="shared" si="29"/>
        <v>117.13096576237204</v>
      </c>
      <c r="W81" s="150"/>
      <c r="X81" s="64">
        <f>IFERROR(VLOOKUP($B81,#REF!,14,FALSE),0)</f>
        <v>0</v>
      </c>
      <c r="Y81" s="99">
        <f t="shared" si="30"/>
        <v>38556</v>
      </c>
      <c r="Z81" s="132">
        <f t="shared" si="31"/>
        <v>0</v>
      </c>
      <c r="AA81" s="151" t="str">
        <f t="shared" si="33"/>
        <v>Y</v>
      </c>
      <c r="AC81" s="64"/>
      <c r="AE81" s="152"/>
      <c r="AH81" s="153"/>
      <c r="AI81" s="153"/>
      <c r="AJ81" s="153"/>
      <c r="AK81" s="154"/>
    </row>
    <row r="82" spans="1:37" x14ac:dyDescent="0.25">
      <c r="A82" s="142" t="s">
        <v>481</v>
      </c>
      <c r="B82" t="s">
        <v>545</v>
      </c>
      <c r="C82" t="s">
        <v>83</v>
      </c>
      <c r="D82" s="143">
        <f>IFERROR(VLOOKUP(B82,'Enrollment 25-26'!$B$5:$I$332,8,FALSE),0)</f>
        <v>482.83</v>
      </c>
      <c r="E82" s="64">
        <f t="shared" si="18"/>
        <v>56139</v>
      </c>
      <c r="F82" s="144">
        <v>0</v>
      </c>
      <c r="G82" s="144">
        <v>0</v>
      </c>
      <c r="H82" s="64">
        <f t="shared" si="19"/>
        <v>56139</v>
      </c>
      <c r="I82" s="64">
        <f t="shared" si="20"/>
        <v>0</v>
      </c>
      <c r="J82" s="145">
        <f t="shared" si="21"/>
        <v>56139</v>
      </c>
      <c r="K82" s="146" t="str">
        <f t="shared" si="32"/>
        <v>Y</v>
      </c>
      <c r="L82" s="147">
        <f t="shared" si="22"/>
        <v>0</v>
      </c>
      <c r="M82" s="148">
        <f t="shared" si="23"/>
        <v>482.83</v>
      </c>
      <c r="N82" s="64">
        <f t="shared" si="24"/>
        <v>415</v>
      </c>
      <c r="O82" s="64">
        <f t="shared" si="25"/>
        <v>56554</v>
      </c>
      <c r="Q82" s="104">
        <f t="shared" si="26"/>
        <v>0</v>
      </c>
      <c r="R82" s="104" t="str">
        <f t="shared" si="27"/>
        <v>Not Applicable</v>
      </c>
      <c r="S82" s="149" t="s">
        <v>815</v>
      </c>
      <c r="T82" s="149">
        <f>IF(O82=0,0,IF(S82="N",0,VLOOKUP(B82,'Enrollment 25-26'!$B$8:$K$332,9,FALSE)))</f>
        <v>0</v>
      </c>
      <c r="U82" s="64">
        <f t="shared" si="28"/>
        <v>56554</v>
      </c>
      <c r="V82" s="128">
        <f t="shared" si="29"/>
        <v>117.13025288403786</v>
      </c>
      <c r="W82" s="150"/>
      <c r="X82" s="64">
        <f>IFERROR(VLOOKUP($B82,#REF!,14,FALSE),0)</f>
        <v>0</v>
      </c>
      <c r="Y82" s="99">
        <f t="shared" si="30"/>
        <v>56554</v>
      </c>
      <c r="Z82" s="132">
        <f t="shared" si="31"/>
        <v>0</v>
      </c>
      <c r="AA82" s="151" t="str">
        <f t="shared" si="33"/>
        <v>Y</v>
      </c>
      <c r="AC82" s="64"/>
      <c r="AE82" s="152"/>
      <c r="AH82" s="153"/>
      <c r="AI82" s="153"/>
      <c r="AJ82" s="153"/>
      <c r="AK82" s="154"/>
    </row>
    <row r="83" spans="1:37" x14ac:dyDescent="0.25">
      <c r="A83" s="142" t="s">
        <v>497</v>
      </c>
      <c r="B83" s="142" t="s">
        <v>546</v>
      </c>
      <c r="C83" t="s">
        <v>547</v>
      </c>
      <c r="D83" s="143">
        <f>IFERROR(VLOOKUP(B83,'Enrollment 25-26'!$B$5:$I$332,8,FALSE),0)</f>
        <v>0</v>
      </c>
      <c r="E83" s="64">
        <f t="shared" si="18"/>
        <v>0</v>
      </c>
      <c r="F83" s="144">
        <v>0</v>
      </c>
      <c r="G83" s="144">
        <v>0</v>
      </c>
      <c r="H83" s="64">
        <f t="shared" si="19"/>
        <v>0</v>
      </c>
      <c r="I83" s="64">
        <f t="shared" si="20"/>
        <v>0</v>
      </c>
      <c r="J83" s="145">
        <f t="shared" si="21"/>
        <v>0</v>
      </c>
      <c r="K83" s="146" t="str">
        <f t="shared" si="32"/>
        <v>N</v>
      </c>
      <c r="L83" s="147">
        <f t="shared" si="22"/>
        <v>0</v>
      </c>
      <c r="M83" s="148">
        <f t="shared" si="23"/>
        <v>0</v>
      </c>
      <c r="N83" s="64">
        <f t="shared" si="24"/>
        <v>0</v>
      </c>
      <c r="O83" s="64">
        <f t="shared" si="25"/>
        <v>0</v>
      </c>
      <c r="Q83" s="104">
        <f t="shared" si="26"/>
        <v>0</v>
      </c>
      <c r="R83" s="104" t="str">
        <f t="shared" si="27"/>
        <v>Not Applicable</v>
      </c>
      <c r="S83" s="149" t="s">
        <v>815</v>
      </c>
      <c r="T83" s="149">
        <f>IF(O83=0,0,IF(S83="N",0,VLOOKUP(B83,'Enrollment 25-26'!$B$8:$K$332,9,FALSE)))</f>
        <v>0</v>
      </c>
      <c r="U83" s="64">
        <f t="shared" si="28"/>
        <v>0</v>
      </c>
      <c r="V83" s="128">
        <f t="shared" si="29"/>
        <v>0</v>
      </c>
      <c r="W83" s="150"/>
      <c r="X83" s="64">
        <f>IFERROR(VLOOKUP($B83,#REF!,14,FALSE),0)</f>
        <v>0</v>
      </c>
      <c r="Y83" s="99">
        <f t="shared" si="30"/>
        <v>0</v>
      </c>
      <c r="Z83" s="132">
        <f t="shared" si="31"/>
        <v>0</v>
      </c>
      <c r="AA83" s="151" t="str">
        <f t="shared" si="33"/>
        <v>N</v>
      </c>
      <c r="AC83" s="64"/>
      <c r="AE83" s="152"/>
      <c r="AH83" s="153"/>
      <c r="AI83" s="153"/>
      <c r="AJ83" s="153"/>
      <c r="AK83" s="154"/>
    </row>
    <row r="84" spans="1:37" x14ac:dyDescent="0.25">
      <c r="A84" s="142" t="s">
        <v>497</v>
      </c>
      <c r="B84" t="s">
        <v>548</v>
      </c>
      <c r="C84" t="s">
        <v>549</v>
      </c>
      <c r="D84" s="143">
        <f>IFERROR(VLOOKUP(B84,'Enrollment 25-26'!$B$5:$I$332,8,FALSE),0)</f>
        <v>0</v>
      </c>
      <c r="E84" s="64">
        <f t="shared" si="18"/>
        <v>0</v>
      </c>
      <c r="F84" s="144">
        <v>0</v>
      </c>
      <c r="G84" s="144">
        <v>0</v>
      </c>
      <c r="H84" s="64">
        <f t="shared" si="19"/>
        <v>0</v>
      </c>
      <c r="I84" s="64">
        <f t="shared" si="20"/>
        <v>0</v>
      </c>
      <c r="J84" s="145">
        <f t="shared" si="21"/>
        <v>0</v>
      </c>
      <c r="K84" s="146" t="str">
        <f t="shared" si="32"/>
        <v>N</v>
      </c>
      <c r="L84" s="147">
        <f t="shared" si="22"/>
        <v>0</v>
      </c>
      <c r="M84" s="148">
        <f t="shared" si="23"/>
        <v>0</v>
      </c>
      <c r="N84" s="64">
        <f t="shared" si="24"/>
        <v>0</v>
      </c>
      <c r="O84" s="64">
        <f t="shared" si="25"/>
        <v>0</v>
      </c>
      <c r="Q84" s="104">
        <f t="shared" si="26"/>
        <v>0</v>
      </c>
      <c r="R84" s="104" t="str">
        <f t="shared" si="27"/>
        <v>Not Applicable</v>
      </c>
      <c r="S84" s="149" t="s">
        <v>815</v>
      </c>
      <c r="T84" s="149">
        <f>IF(O84=0,0,IF(S84="N",0,VLOOKUP(B84,'Enrollment 25-26'!$B$8:$K$332,9,FALSE)))</f>
        <v>0</v>
      </c>
      <c r="U84" s="64">
        <f t="shared" si="28"/>
        <v>0</v>
      </c>
      <c r="V84" s="128">
        <f t="shared" si="29"/>
        <v>0</v>
      </c>
      <c r="W84" s="150"/>
      <c r="X84" s="64">
        <f>IFERROR(VLOOKUP($B84,#REF!,14,FALSE),0)</f>
        <v>0</v>
      </c>
      <c r="Y84" s="99">
        <f t="shared" si="30"/>
        <v>0</v>
      </c>
      <c r="Z84" s="132">
        <f t="shared" si="31"/>
        <v>0</v>
      </c>
      <c r="AA84" s="151" t="str">
        <f t="shared" si="33"/>
        <v>N</v>
      </c>
      <c r="AC84" s="64"/>
      <c r="AE84" s="152"/>
      <c r="AH84" s="153"/>
      <c r="AI84" s="153"/>
      <c r="AJ84" s="153"/>
      <c r="AK84" s="154"/>
    </row>
    <row r="85" spans="1:37" x14ac:dyDescent="0.25">
      <c r="A85" s="142" t="s">
        <v>497</v>
      </c>
      <c r="B85" t="s">
        <v>550</v>
      </c>
      <c r="C85" t="s">
        <v>551</v>
      </c>
      <c r="D85" s="143">
        <f>IFERROR(VLOOKUP(B85,'Enrollment 25-26'!$B$5:$I$332,8,FALSE),0)</f>
        <v>0</v>
      </c>
      <c r="E85" s="64">
        <f t="shared" si="18"/>
        <v>0</v>
      </c>
      <c r="F85" s="144">
        <v>0</v>
      </c>
      <c r="G85" s="144">
        <v>0</v>
      </c>
      <c r="H85" s="64">
        <f t="shared" si="19"/>
        <v>0</v>
      </c>
      <c r="I85" s="64">
        <f t="shared" si="20"/>
        <v>0</v>
      </c>
      <c r="J85" s="145">
        <f t="shared" si="21"/>
        <v>0</v>
      </c>
      <c r="K85" s="146" t="str">
        <f t="shared" si="32"/>
        <v>N</v>
      </c>
      <c r="L85" s="147">
        <f t="shared" si="22"/>
        <v>0</v>
      </c>
      <c r="M85" s="148">
        <f t="shared" si="23"/>
        <v>0</v>
      </c>
      <c r="N85" s="64">
        <f t="shared" si="24"/>
        <v>0</v>
      </c>
      <c r="O85" s="64">
        <f t="shared" si="25"/>
        <v>0</v>
      </c>
      <c r="Q85" s="104">
        <f t="shared" si="26"/>
        <v>0</v>
      </c>
      <c r="R85" s="104" t="str">
        <f t="shared" si="27"/>
        <v>Not Applicable</v>
      </c>
      <c r="S85" s="149" t="s">
        <v>815</v>
      </c>
      <c r="T85" s="149">
        <f>IF(O85=0,0,IF(S85="N",0,VLOOKUP(B85,'Enrollment 25-26'!$B$8:$K$332,9,FALSE)))</f>
        <v>0</v>
      </c>
      <c r="U85" s="64">
        <f t="shared" si="28"/>
        <v>0</v>
      </c>
      <c r="V85" s="128">
        <f t="shared" si="29"/>
        <v>0</v>
      </c>
      <c r="W85" s="150"/>
      <c r="X85" s="64">
        <f>IFERROR(VLOOKUP($B85,#REF!,14,FALSE),0)</f>
        <v>0</v>
      </c>
      <c r="Y85" s="99">
        <f t="shared" si="30"/>
        <v>0</v>
      </c>
      <c r="Z85" s="132">
        <f t="shared" si="31"/>
        <v>0</v>
      </c>
      <c r="AA85" s="151" t="str">
        <f t="shared" si="33"/>
        <v>N</v>
      </c>
      <c r="AC85" s="64"/>
      <c r="AE85" s="152"/>
      <c r="AH85" s="153"/>
      <c r="AI85" s="153"/>
      <c r="AJ85" s="153"/>
      <c r="AK85" s="154"/>
    </row>
    <row r="86" spans="1:37" x14ac:dyDescent="0.25">
      <c r="A86" s="142" t="s">
        <v>438</v>
      </c>
      <c r="B86" t="s">
        <v>552</v>
      </c>
      <c r="C86" t="s">
        <v>85</v>
      </c>
      <c r="D86" s="143">
        <f>IFERROR(VLOOKUP(B86,'Enrollment 25-26'!$B$5:$I$332,8,FALSE),0)</f>
        <v>2</v>
      </c>
      <c r="E86" s="64">
        <f t="shared" si="18"/>
        <v>233</v>
      </c>
      <c r="F86" s="144">
        <v>0</v>
      </c>
      <c r="G86" s="144">
        <v>0</v>
      </c>
      <c r="H86" s="64">
        <f t="shared" si="19"/>
        <v>233</v>
      </c>
      <c r="I86" s="64">
        <f t="shared" si="20"/>
        <v>0</v>
      </c>
      <c r="J86" s="145">
        <f t="shared" si="21"/>
        <v>233</v>
      </c>
      <c r="K86" s="146" t="str">
        <f t="shared" si="32"/>
        <v>N</v>
      </c>
      <c r="L86" s="147">
        <f t="shared" si="22"/>
        <v>233</v>
      </c>
      <c r="M86" s="148">
        <f t="shared" si="23"/>
        <v>0</v>
      </c>
      <c r="N86" s="64">
        <f t="shared" si="24"/>
        <v>0</v>
      </c>
      <c r="O86" s="64">
        <f t="shared" si="25"/>
        <v>0</v>
      </c>
      <c r="Q86" s="104">
        <f t="shared" si="26"/>
        <v>0</v>
      </c>
      <c r="R86" s="104" t="str">
        <f t="shared" si="27"/>
        <v>Not Applicable</v>
      </c>
      <c r="S86" s="149" t="s">
        <v>815</v>
      </c>
      <c r="T86" s="149">
        <f>IF(O86=0,0,IF(S86="N",0,VLOOKUP(B86,'Enrollment 25-26'!$B$8:$K$332,9,FALSE)))</f>
        <v>0</v>
      </c>
      <c r="U86" s="64">
        <f t="shared" si="28"/>
        <v>0</v>
      </c>
      <c r="V86" s="128">
        <f t="shared" si="29"/>
        <v>0</v>
      </c>
      <c r="W86" s="150"/>
      <c r="X86" s="64">
        <f>IFERROR(VLOOKUP($B86,#REF!,14,FALSE),0)</f>
        <v>0</v>
      </c>
      <c r="Y86" s="99">
        <f t="shared" si="30"/>
        <v>0</v>
      </c>
      <c r="Z86" s="132">
        <f t="shared" si="31"/>
        <v>0</v>
      </c>
      <c r="AA86" s="151" t="str">
        <f t="shared" si="33"/>
        <v>N</v>
      </c>
      <c r="AC86" s="64"/>
      <c r="AE86" s="152"/>
      <c r="AH86" s="153"/>
      <c r="AI86" s="153"/>
      <c r="AJ86" s="153"/>
      <c r="AK86" s="154"/>
    </row>
    <row r="87" spans="1:37" x14ac:dyDescent="0.25">
      <c r="A87" s="142" t="s">
        <v>446</v>
      </c>
      <c r="B87" t="s">
        <v>553</v>
      </c>
      <c r="C87" t="s">
        <v>86</v>
      </c>
      <c r="D87" s="143">
        <f>IFERROR(VLOOKUP(B87,'Enrollment 25-26'!$B$5:$I$332,8,FALSE),0)</f>
        <v>4095.4933333333329</v>
      </c>
      <c r="E87" s="64">
        <f t="shared" si="18"/>
        <v>476184</v>
      </c>
      <c r="F87" s="144">
        <v>0</v>
      </c>
      <c r="G87" s="144">
        <v>0</v>
      </c>
      <c r="H87" s="64">
        <f t="shared" si="19"/>
        <v>476184</v>
      </c>
      <c r="I87" s="64">
        <f t="shared" si="20"/>
        <v>0</v>
      </c>
      <c r="J87" s="145">
        <f t="shared" si="21"/>
        <v>476184</v>
      </c>
      <c r="K87" s="146" t="str">
        <f t="shared" si="32"/>
        <v>Y</v>
      </c>
      <c r="L87" s="147">
        <f t="shared" si="22"/>
        <v>0</v>
      </c>
      <c r="M87" s="148">
        <f t="shared" si="23"/>
        <v>4095.4933333333329</v>
      </c>
      <c r="N87" s="64">
        <f t="shared" si="24"/>
        <v>3521</v>
      </c>
      <c r="O87" s="64">
        <f t="shared" si="25"/>
        <v>479705</v>
      </c>
      <c r="Q87" s="104">
        <f t="shared" si="26"/>
        <v>0</v>
      </c>
      <c r="R87" s="104" t="str">
        <f t="shared" si="27"/>
        <v>Not Applicable</v>
      </c>
      <c r="S87" s="149" t="s">
        <v>815</v>
      </c>
      <c r="T87" s="149">
        <f>IF(O87=0,0,IF(S87="N",0,VLOOKUP(B87,'Enrollment 25-26'!$B$8:$K$332,9,FALSE)))</f>
        <v>0</v>
      </c>
      <c r="U87" s="64">
        <f t="shared" si="28"/>
        <v>479705</v>
      </c>
      <c r="V87" s="128">
        <f t="shared" si="29"/>
        <v>117.12996724855289</v>
      </c>
      <c r="W87" s="150"/>
      <c r="X87" s="64">
        <f>IFERROR(VLOOKUP($B87,#REF!,14,FALSE),0)</f>
        <v>0</v>
      </c>
      <c r="Y87" s="99">
        <f t="shared" si="30"/>
        <v>479705</v>
      </c>
      <c r="Z87" s="132">
        <f t="shared" si="31"/>
        <v>0</v>
      </c>
      <c r="AA87" s="151" t="str">
        <f t="shared" si="33"/>
        <v>Y</v>
      </c>
      <c r="AC87" s="64"/>
      <c r="AE87" s="152"/>
      <c r="AH87" s="153"/>
      <c r="AI87" s="153"/>
      <c r="AJ87" s="153"/>
      <c r="AK87" s="154"/>
    </row>
    <row r="88" spans="1:37" x14ac:dyDescent="0.25">
      <c r="A88" s="142" t="s">
        <v>459</v>
      </c>
      <c r="B88" t="s">
        <v>554</v>
      </c>
      <c r="C88" t="s">
        <v>87</v>
      </c>
      <c r="D88" s="143">
        <f>IFERROR(VLOOKUP(B88,'Enrollment 25-26'!$B$5:$I$332,8,FALSE),0)</f>
        <v>4043</v>
      </c>
      <c r="E88" s="64">
        <f t="shared" si="18"/>
        <v>470080</v>
      </c>
      <c r="F88" s="144">
        <v>0</v>
      </c>
      <c r="G88" s="144">
        <v>0</v>
      </c>
      <c r="H88" s="64">
        <f t="shared" si="19"/>
        <v>470080</v>
      </c>
      <c r="I88" s="64">
        <f t="shared" si="20"/>
        <v>0</v>
      </c>
      <c r="J88" s="145">
        <f t="shared" si="21"/>
        <v>470080</v>
      </c>
      <c r="K88" s="146" t="str">
        <f t="shared" si="32"/>
        <v>Y</v>
      </c>
      <c r="L88" s="147">
        <f t="shared" si="22"/>
        <v>0</v>
      </c>
      <c r="M88" s="148">
        <f t="shared" si="23"/>
        <v>4043</v>
      </c>
      <c r="N88" s="64">
        <f t="shared" si="24"/>
        <v>3476</v>
      </c>
      <c r="O88" s="64">
        <f t="shared" si="25"/>
        <v>473556</v>
      </c>
      <c r="Q88" s="104">
        <f t="shared" si="26"/>
        <v>0</v>
      </c>
      <c r="R88" s="104" t="str">
        <f t="shared" si="27"/>
        <v>Not Applicable</v>
      </c>
      <c r="S88" s="149" t="s">
        <v>815</v>
      </c>
      <c r="T88" s="149">
        <f>IF(O88=0,0,IF(S88="N",0,VLOOKUP(B88,'Enrollment 25-26'!$B$8:$K$332,9,FALSE)))</f>
        <v>0</v>
      </c>
      <c r="U88" s="64">
        <f t="shared" si="28"/>
        <v>473556</v>
      </c>
      <c r="V88" s="128">
        <f t="shared" si="29"/>
        <v>117.12985406876082</v>
      </c>
      <c r="W88" s="150"/>
      <c r="X88" s="64">
        <f>IFERROR(VLOOKUP($B88,#REF!,14,FALSE),0)</f>
        <v>0</v>
      </c>
      <c r="Y88" s="99">
        <f t="shared" si="30"/>
        <v>473556</v>
      </c>
      <c r="Z88" s="132">
        <f t="shared" si="31"/>
        <v>0</v>
      </c>
      <c r="AA88" s="151" t="str">
        <f t="shared" si="33"/>
        <v>Y</v>
      </c>
      <c r="AC88" s="64"/>
      <c r="AE88" s="152"/>
      <c r="AH88" s="153"/>
      <c r="AI88" s="153"/>
      <c r="AJ88" s="153"/>
      <c r="AK88" s="154"/>
    </row>
    <row r="89" spans="1:37" x14ac:dyDescent="0.25">
      <c r="A89" s="142" t="s">
        <v>443</v>
      </c>
      <c r="B89" t="s">
        <v>555</v>
      </c>
      <c r="C89" t="s">
        <v>88</v>
      </c>
      <c r="D89" s="143">
        <f>IFERROR(VLOOKUP(B89,'Enrollment 25-26'!$B$5:$I$332,8,FALSE),0)</f>
        <v>0</v>
      </c>
      <c r="E89" s="64">
        <f t="shared" si="18"/>
        <v>0</v>
      </c>
      <c r="F89" s="144">
        <v>0</v>
      </c>
      <c r="G89" s="144">
        <v>0</v>
      </c>
      <c r="H89" s="64">
        <f t="shared" si="19"/>
        <v>0</v>
      </c>
      <c r="I89" s="64">
        <f t="shared" si="20"/>
        <v>0</v>
      </c>
      <c r="J89" s="145">
        <f t="shared" si="21"/>
        <v>0</v>
      </c>
      <c r="K89" s="146" t="str">
        <f t="shared" si="32"/>
        <v>N</v>
      </c>
      <c r="L89" s="147">
        <f t="shared" si="22"/>
        <v>0</v>
      </c>
      <c r="M89" s="148">
        <f t="shared" si="23"/>
        <v>0</v>
      </c>
      <c r="N89" s="64">
        <f t="shared" si="24"/>
        <v>0</v>
      </c>
      <c r="O89" s="64">
        <f t="shared" si="25"/>
        <v>0</v>
      </c>
      <c r="Q89" s="104">
        <f t="shared" si="26"/>
        <v>0</v>
      </c>
      <c r="R89" s="104" t="str">
        <f t="shared" si="27"/>
        <v>Not Applicable</v>
      </c>
      <c r="S89" s="149" t="s">
        <v>815</v>
      </c>
      <c r="T89" s="149">
        <f>IF(O89=0,0,IF(S89="N",0,VLOOKUP(B89,'Enrollment 25-26'!$B$8:$K$332,9,FALSE)))</f>
        <v>0</v>
      </c>
      <c r="U89" s="64">
        <f t="shared" si="28"/>
        <v>0</v>
      </c>
      <c r="V89" s="128">
        <f t="shared" si="29"/>
        <v>0</v>
      </c>
      <c r="W89" s="150"/>
      <c r="X89" s="64">
        <f>IFERROR(VLOOKUP($B89,#REF!,14,FALSE),0)</f>
        <v>0</v>
      </c>
      <c r="Y89" s="99">
        <f t="shared" si="30"/>
        <v>0</v>
      </c>
      <c r="Z89" s="132">
        <f t="shared" si="31"/>
        <v>0</v>
      </c>
      <c r="AA89" s="151" t="str">
        <f t="shared" si="33"/>
        <v>N</v>
      </c>
      <c r="AC89" s="64"/>
      <c r="AE89" s="152"/>
      <c r="AH89" s="153"/>
      <c r="AI89" s="153"/>
      <c r="AJ89" s="153"/>
      <c r="AK89" s="154"/>
    </row>
    <row r="90" spans="1:37" x14ac:dyDescent="0.25">
      <c r="A90" s="142" t="s">
        <v>454</v>
      </c>
      <c r="B90" t="s">
        <v>556</v>
      </c>
      <c r="C90" t="s">
        <v>89</v>
      </c>
      <c r="D90" s="143">
        <f>IFERROR(VLOOKUP(B90,'Enrollment 25-26'!$B$5:$I$332,8,FALSE),0)</f>
        <v>7288.9933333333329</v>
      </c>
      <c r="E90" s="64">
        <f t="shared" si="18"/>
        <v>847492</v>
      </c>
      <c r="F90" s="144">
        <v>0</v>
      </c>
      <c r="G90" s="144">
        <v>0</v>
      </c>
      <c r="H90" s="64">
        <f t="shared" si="19"/>
        <v>847492</v>
      </c>
      <c r="I90" s="64">
        <f t="shared" si="20"/>
        <v>0</v>
      </c>
      <c r="J90" s="145">
        <f t="shared" si="21"/>
        <v>847492</v>
      </c>
      <c r="K90" s="146" t="str">
        <f t="shared" si="32"/>
        <v>Y</v>
      </c>
      <c r="L90" s="147">
        <f t="shared" si="22"/>
        <v>0</v>
      </c>
      <c r="M90" s="148">
        <f t="shared" si="23"/>
        <v>7288.9933333333329</v>
      </c>
      <c r="N90" s="64">
        <f t="shared" si="24"/>
        <v>6266</v>
      </c>
      <c r="O90" s="64">
        <f t="shared" si="25"/>
        <v>853758</v>
      </c>
      <c r="Q90" s="104">
        <f t="shared" si="26"/>
        <v>0</v>
      </c>
      <c r="R90" s="104" t="str">
        <f t="shared" si="27"/>
        <v>Not Applicable</v>
      </c>
      <c r="S90" s="149" t="s">
        <v>815</v>
      </c>
      <c r="T90" s="149">
        <f>IF(O90=0,0,IF(S90="N",0,VLOOKUP(B90,'Enrollment 25-26'!$B$8:$K$332,9,FALSE)))</f>
        <v>0</v>
      </c>
      <c r="U90" s="64">
        <f t="shared" si="28"/>
        <v>853758</v>
      </c>
      <c r="V90" s="128">
        <f t="shared" si="29"/>
        <v>117.12975454315136</v>
      </c>
      <c r="W90" s="150"/>
      <c r="X90" s="64">
        <f>IFERROR(VLOOKUP($B90,#REF!,14,FALSE),0)</f>
        <v>0</v>
      </c>
      <c r="Y90" s="99">
        <f t="shared" si="30"/>
        <v>853758</v>
      </c>
      <c r="Z90" s="132">
        <f t="shared" si="31"/>
        <v>0</v>
      </c>
      <c r="AA90" s="151" t="str">
        <f t="shared" si="33"/>
        <v>Y</v>
      </c>
      <c r="AC90" s="64"/>
      <c r="AE90" s="152"/>
      <c r="AH90" s="153"/>
      <c r="AI90" s="153"/>
      <c r="AJ90" s="153"/>
      <c r="AK90" s="154"/>
    </row>
    <row r="91" spans="1:37" x14ac:dyDescent="0.25">
      <c r="A91" s="142" t="s">
        <v>446</v>
      </c>
      <c r="B91" t="s">
        <v>557</v>
      </c>
      <c r="C91" t="s">
        <v>90</v>
      </c>
      <c r="D91" s="143">
        <f>IFERROR(VLOOKUP(B91,'Enrollment 25-26'!$B$5:$I$332,8,FALSE),0)</f>
        <v>541.16666666666663</v>
      </c>
      <c r="E91" s="64">
        <f t="shared" si="18"/>
        <v>62922</v>
      </c>
      <c r="F91" s="144">
        <v>0</v>
      </c>
      <c r="G91" s="144">
        <v>0</v>
      </c>
      <c r="H91" s="64">
        <f t="shared" si="19"/>
        <v>62922</v>
      </c>
      <c r="I91" s="64">
        <f t="shared" si="20"/>
        <v>0</v>
      </c>
      <c r="J91" s="145">
        <f t="shared" si="21"/>
        <v>62922</v>
      </c>
      <c r="K91" s="146" t="str">
        <f t="shared" si="32"/>
        <v>Y</v>
      </c>
      <c r="L91" s="147">
        <f t="shared" si="22"/>
        <v>0</v>
      </c>
      <c r="M91" s="148">
        <f t="shared" si="23"/>
        <v>541.16666666666663</v>
      </c>
      <c r="N91" s="64">
        <f t="shared" si="24"/>
        <v>465</v>
      </c>
      <c r="O91" s="64">
        <f t="shared" si="25"/>
        <v>63387</v>
      </c>
      <c r="Q91" s="104">
        <f t="shared" si="26"/>
        <v>0</v>
      </c>
      <c r="R91" s="104" t="str">
        <f t="shared" si="27"/>
        <v>Not Applicable</v>
      </c>
      <c r="S91" s="149" t="s">
        <v>815</v>
      </c>
      <c r="T91" s="149">
        <f>IF(O91=0,0,IF(S91="N",0,VLOOKUP(B91,'Enrollment 25-26'!$B$8:$K$332,9,FALSE)))</f>
        <v>0</v>
      </c>
      <c r="U91" s="64">
        <f t="shared" si="28"/>
        <v>63387</v>
      </c>
      <c r="V91" s="128">
        <f t="shared" si="29"/>
        <v>117.13027409916847</v>
      </c>
      <c r="W91" s="150"/>
      <c r="X91" s="64">
        <f>IFERROR(VLOOKUP($B91,#REF!,14,FALSE),0)</f>
        <v>0</v>
      </c>
      <c r="Y91" s="99">
        <f t="shared" si="30"/>
        <v>63387</v>
      </c>
      <c r="Z91" s="132">
        <f t="shared" si="31"/>
        <v>0</v>
      </c>
      <c r="AA91" s="151" t="str">
        <f t="shared" si="33"/>
        <v>Y</v>
      </c>
      <c r="AC91" s="64"/>
      <c r="AE91" s="152"/>
      <c r="AH91" s="153"/>
      <c r="AI91" s="153"/>
      <c r="AJ91" s="153"/>
      <c r="AK91" s="154"/>
    </row>
    <row r="92" spans="1:37" x14ac:dyDescent="0.25">
      <c r="A92" s="142" t="s">
        <v>454</v>
      </c>
      <c r="B92" t="s">
        <v>558</v>
      </c>
      <c r="C92" t="s">
        <v>91</v>
      </c>
      <c r="D92" s="143">
        <f>IFERROR(VLOOKUP(B92,'Enrollment 25-26'!$B$5:$I$332,8,FALSE),0)</f>
        <v>805.99666666666667</v>
      </c>
      <c r="E92" s="64">
        <f t="shared" si="18"/>
        <v>93713</v>
      </c>
      <c r="F92" s="144">
        <v>0</v>
      </c>
      <c r="G92" s="144">
        <v>0</v>
      </c>
      <c r="H92" s="64">
        <f t="shared" si="19"/>
        <v>93713</v>
      </c>
      <c r="I92" s="64">
        <f t="shared" si="20"/>
        <v>0</v>
      </c>
      <c r="J92" s="145">
        <f t="shared" si="21"/>
        <v>93713</v>
      </c>
      <c r="K92" s="146" t="str">
        <f t="shared" si="32"/>
        <v>Y</v>
      </c>
      <c r="L92" s="147">
        <f t="shared" si="22"/>
        <v>0</v>
      </c>
      <c r="M92" s="148">
        <f t="shared" si="23"/>
        <v>805.99666666666667</v>
      </c>
      <c r="N92" s="64">
        <f t="shared" si="24"/>
        <v>693</v>
      </c>
      <c r="O92" s="64">
        <f t="shared" si="25"/>
        <v>94406</v>
      </c>
      <c r="Q92" s="104">
        <f t="shared" si="26"/>
        <v>0</v>
      </c>
      <c r="R92" s="104" t="str">
        <f t="shared" si="27"/>
        <v>Not Applicable</v>
      </c>
      <c r="S92" s="149" t="s">
        <v>815</v>
      </c>
      <c r="T92" s="149">
        <f>IF(O92=0,0,IF(S92="N",0,VLOOKUP(B92,'Enrollment 25-26'!$B$8:$K$332,9,FALSE)))</f>
        <v>0</v>
      </c>
      <c r="U92" s="64">
        <f t="shared" si="28"/>
        <v>94406</v>
      </c>
      <c r="V92" s="128">
        <f t="shared" si="29"/>
        <v>117.12951666466776</v>
      </c>
      <c r="W92" s="150"/>
      <c r="X92" s="64">
        <f>IFERROR(VLOOKUP($B92,#REF!,14,FALSE),0)</f>
        <v>0</v>
      </c>
      <c r="Y92" s="99">
        <f t="shared" si="30"/>
        <v>94406</v>
      </c>
      <c r="Z92" s="132">
        <f t="shared" si="31"/>
        <v>0</v>
      </c>
      <c r="AA92" s="151" t="str">
        <f t="shared" si="33"/>
        <v>Y</v>
      </c>
      <c r="AC92" s="64"/>
      <c r="AE92" s="152"/>
      <c r="AH92" s="153"/>
      <c r="AI92" s="153"/>
      <c r="AJ92" s="153"/>
      <c r="AK92" s="154"/>
    </row>
    <row r="93" spans="1:37" x14ac:dyDescent="0.25">
      <c r="A93" s="142" t="s">
        <v>451</v>
      </c>
      <c r="B93" t="s">
        <v>559</v>
      </c>
      <c r="C93" t="s">
        <v>92</v>
      </c>
      <c r="D93" s="143">
        <f>IFERROR(VLOOKUP(B93,'Enrollment 25-26'!$B$5:$I$332,8,FALSE),0)</f>
        <v>191.33333333333334</v>
      </c>
      <c r="E93" s="64">
        <f t="shared" si="18"/>
        <v>22246</v>
      </c>
      <c r="F93" s="144">
        <v>0</v>
      </c>
      <c r="G93" s="144">
        <v>0</v>
      </c>
      <c r="H93" s="64">
        <f t="shared" si="19"/>
        <v>22246</v>
      </c>
      <c r="I93" s="64">
        <f t="shared" si="20"/>
        <v>0</v>
      </c>
      <c r="J93" s="145">
        <f t="shared" si="21"/>
        <v>22246</v>
      </c>
      <c r="K93" s="146" t="str">
        <f t="shared" si="32"/>
        <v>Y</v>
      </c>
      <c r="L93" s="147">
        <f t="shared" si="22"/>
        <v>0</v>
      </c>
      <c r="M93" s="148">
        <f t="shared" si="23"/>
        <v>191.33333333333334</v>
      </c>
      <c r="N93" s="64">
        <f t="shared" si="24"/>
        <v>164</v>
      </c>
      <c r="O93" s="64">
        <f t="shared" si="25"/>
        <v>22410</v>
      </c>
      <c r="Q93" s="104">
        <f t="shared" si="26"/>
        <v>0</v>
      </c>
      <c r="R93" s="104" t="str">
        <f t="shared" si="27"/>
        <v>Not Applicable</v>
      </c>
      <c r="S93" s="149" t="s">
        <v>815</v>
      </c>
      <c r="T93" s="149">
        <f>IF(O93=0,0,IF(S93="N",0,VLOOKUP(B93,'Enrollment 25-26'!$B$8:$K$332,9,FALSE)))</f>
        <v>0</v>
      </c>
      <c r="U93" s="64">
        <f t="shared" si="28"/>
        <v>22410</v>
      </c>
      <c r="V93" s="128">
        <f t="shared" si="29"/>
        <v>117.12543554006967</v>
      </c>
      <c r="W93" s="150"/>
      <c r="X93" s="64">
        <f>IFERROR(VLOOKUP($B93,#REF!,14,FALSE),0)</f>
        <v>0</v>
      </c>
      <c r="Y93" s="99">
        <f t="shared" si="30"/>
        <v>22410</v>
      </c>
      <c r="Z93" s="132">
        <f t="shared" si="31"/>
        <v>0</v>
      </c>
      <c r="AA93" s="151" t="str">
        <f t="shared" si="33"/>
        <v>Y</v>
      </c>
      <c r="AC93" s="64"/>
      <c r="AE93" s="152"/>
      <c r="AH93" s="153"/>
      <c r="AI93" s="153"/>
      <c r="AJ93" s="153"/>
      <c r="AK93" s="154"/>
    </row>
    <row r="94" spans="1:37" x14ac:dyDescent="0.25">
      <c r="A94" s="142" t="s">
        <v>454</v>
      </c>
      <c r="B94" t="s">
        <v>560</v>
      </c>
      <c r="C94" t="s">
        <v>93</v>
      </c>
      <c r="D94" s="143">
        <f>IFERROR(VLOOKUP(B94,'Enrollment 25-26'!$B$5:$I$332,8,FALSE),0)</f>
        <v>1246.17</v>
      </c>
      <c r="E94" s="64">
        <f t="shared" si="18"/>
        <v>144892</v>
      </c>
      <c r="F94" s="144">
        <v>0</v>
      </c>
      <c r="G94" s="144">
        <v>0</v>
      </c>
      <c r="H94" s="64">
        <f t="shared" si="19"/>
        <v>144892</v>
      </c>
      <c r="I94" s="64">
        <f t="shared" si="20"/>
        <v>0</v>
      </c>
      <c r="J94" s="145">
        <f t="shared" si="21"/>
        <v>144892</v>
      </c>
      <c r="K94" s="146" t="str">
        <f t="shared" si="32"/>
        <v>Y</v>
      </c>
      <c r="L94" s="147">
        <f t="shared" si="22"/>
        <v>0</v>
      </c>
      <c r="M94" s="148">
        <f t="shared" si="23"/>
        <v>1246.17</v>
      </c>
      <c r="N94" s="64">
        <f t="shared" si="24"/>
        <v>1071</v>
      </c>
      <c r="O94" s="64">
        <f t="shared" si="25"/>
        <v>145963</v>
      </c>
      <c r="Q94" s="104">
        <f t="shared" si="26"/>
        <v>0</v>
      </c>
      <c r="R94" s="104" t="str">
        <f t="shared" si="27"/>
        <v>Not Applicable</v>
      </c>
      <c r="S94" s="149" t="s">
        <v>815</v>
      </c>
      <c r="T94" s="149">
        <f>IF(O94=0,0,IF(S94="N",0,VLOOKUP(B94,'Enrollment 25-26'!$B$8:$K$332,9,FALSE)))</f>
        <v>0</v>
      </c>
      <c r="U94" s="64">
        <f t="shared" si="28"/>
        <v>145963</v>
      </c>
      <c r="V94" s="128">
        <f t="shared" si="29"/>
        <v>117.12928412656379</v>
      </c>
      <c r="W94" s="150"/>
      <c r="X94" s="64">
        <f>IFERROR(VLOOKUP($B94,#REF!,14,FALSE),0)</f>
        <v>0</v>
      </c>
      <c r="Y94" s="99">
        <f t="shared" si="30"/>
        <v>145963</v>
      </c>
      <c r="Z94" s="132">
        <f t="shared" si="31"/>
        <v>0</v>
      </c>
      <c r="AA94" s="151" t="str">
        <f t="shared" si="33"/>
        <v>Y</v>
      </c>
      <c r="AC94" s="64"/>
      <c r="AE94" s="152"/>
      <c r="AH94" s="153"/>
      <c r="AI94" s="153"/>
      <c r="AJ94" s="153"/>
      <c r="AK94" s="154"/>
    </row>
    <row r="95" spans="1:37" x14ac:dyDescent="0.25">
      <c r="A95" s="142" t="s">
        <v>443</v>
      </c>
      <c r="B95" t="s">
        <v>561</v>
      </c>
      <c r="C95" t="s">
        <v>94</v>
      </c>
      <c r="D95" s="143">
        <f>IFERROR(VLOOKUP(B95,'Enrollment 25-26'!$B$5:$I$332,8,FALSE),0)</f>
        <v>4</v>
      </c>
      <c r="E95" s="64">
        <f t="shared" si="18"/>
        <v>465</v>
      </c>
      <c r="F95" s="144">
        <v>0</v>
      </c>
      <c r="G95" s="144">
        <v>0</v>
      </c>
      <c r="H95" s="64">
        <f t="shared" si="19"/>
        <v>465</v>
      </c>
      <c r="I95" s="64">
        <f t="shared" si="20"/>
        <v>0</v>
      </c>
      <c r="J95" s="145">
        <f t="shared" si="21"/>
        <v>465</v>
      </c>
      <c r="K95" s="146" t="str">
        <f t="shared" si="32"/>
        <v>N</v>
      </c>
      <c r="L95" s="147">
        <f t="shared" si="22"/>
        <v>465</v>
      </c>
      <c r="M95" s="148">
        <f t="shared" si="23"/>
        <v>0</v>
      </c>
      <c r="N95" s="64">
        <f t="shared" si="24"/>
        <v>0</v>
      </c>
      <c r="O95" s="64">
        <f t="shared" si="25"/>
        <v>0</v>
      </c>
      <c r="Q95" s="104">
        <f t="shared" si="26"/>
        <v>0</v>
      </c>
      <c r="R95" s="104" t="str">
        <f t="shared" si="27"/>
        <v>Not Applicable</v>
      </c>
      <c r="S95" s="149" t="s">
        <v>815</v>
      </c>
      <c r="T95" s="149">
        <f>IF(O95=0,0,IF(S95="N",0,VLOOKUP(B95,'Enrollment 25-26'!$B$8:$K$332,9,FALSE)))</f>
        <v>0</v>
      </c>
      <c r="U95" s="64">
        <f t="shared" si="28"/>
        <v>0</v>
      </c>
      <c r="V95" s="128">
        <f t="shared" si="29"/>
        <v>0</v>
      </c>
      <c r="W95" s="150"/>
      <c r="X95" s="64">
        <f>IFERROR(VLOOKUP($B95,#REF!,14,FALSE),0)</f>
        <v>0</v>
      </c>
      <c r="Y95" s="99">
        <f t="shared" si="30"/>
        <v>0</v>
      </c>
      <c r="Z95" s="132">
        <f t="shared" si="31"/>
        <v>0</v>
      </c>
      <c r="AA95" s="151" t="str">
        <f t="shared" si="33"/>
        <v>N</v>
      </c>
      <c r="AC95" s="64"/>
      <c r="AE95" s="152"/>
      <c r="AH95" s="153"/>
      <c r="AI95" s="153"/>
      <c r="AJ95" s="153"/>
      <c r="AK95" s="154"/>
    </row>
    <row r="96" spans="1:37" x14ac:dyDescent="0.25">
      <c r="A96" s="142" t="s">
        <v>443</v>
      </c>
      <c r="B96" t="s">
        <v>562</v>
      </c>
      <c r="C96" t="s">
        <v>95</v>
      </c>
      <c r="D96" s="143">
        <f>IFERROR(VLOOKUP(B96,'Enrollment 25-26'!$B$5:$I$332,8,FALSE),0)</f>
        <v>0</v>
      </c>
      <c r="E96" s="64">
        <f t="shared" si="18"/>
        <v>0</v>
      </c>
      <c r="F96" s="144">
        <v>0</v>
      </c>
      <c r="G96" s="144">
        <v>0</v>
      </c>
      <c r="H96" s="64">
        <f t="shared" si="19"/>
        <v>0</v>
      </c>
      <c r="I96" s="64">
        <f t="shared" si="20"/>
        <v>0</v>
      </c>
      <c r="J96" s="145">
        <f t="shared" si="21"/>
        <v>0</v>
      </c>
      <c r="K96" s="146" t="str">
        <f t="shared" si="32"/>
        <v>N</v>
      </c>
      <c r="L96" s="147">
        <f t="shared" si="22"/>
        <v>0</v>
      </c>
      <c r="M96" s="148">
        <f t="shared" si="23"/>
        <v>0</v>
      </c>
      <c r="N96" s="64">
        <f t="shared" si="24"/>
        <v>0</v>
      </c>
      <c r="O96" s="64">
        <f t="shared" si="25"/>
        <v>0</v>
      </c>
      <c r="Q96" s="104">
        <f t="shared" si="26"/>
        <v>0</v>
      </c>
      <c r="R96" s="104" t="str">
        <f t="shared" si="27"/>
        <v>Not Applicable</v>
      </c>
      <c r="S96" s="149" t="s">
        <v>815</v>
      </c>
      <c r="T96" s="149">
        <f>IF(O96=0,0,IF(S96="N",0,VLOOKUP(B96,'Enrollment 25-26'!$B$8:$K$332,9,FALSE)))</f>
        <v>0</v>
      </c>
      <c r="U96" s="64">
        <f t="shared" si="28"/>
        <v>0</v>
      </c>
      <c r="V96" s="128">
        <f t="shared" si="29"/>
        <v>0</v>
      </c>
      <c r="W96" s="150"/>
      <c r="X96" s="64">
        <f>IFERROR(VLOOKUP($B96,#REF!,14,FALSE),0)</f>
        <v>0</v>
      </c>
      <c r="Y96" s="99">
        <f t="shared" si="30"/>
        <v>0</v>
      </c>
      <c r="Z96" s="132">
        <f t="shared" si="31"/>
        <v>0</v>
      </c>
      <c r="AA96" s="151" t="str">
        <f t="shared" si="33"/>
        <v>N</v>
      </c>
      <c r="AC96" s="64"/>
      <c r="AE96" s="152"/>
      <c r="AH96" s="153"/>
      <c r="AI96" s="153"/>
      <c r="AJ96" s="153"/>
      <c r="AK96" s="154"/>
    </row>
    <row r="97" spans="1:37" x14ac:dyDescent="0.25">
      <c r="A97" s="142" t="s">
        <v>459</v>
      </c>
      <c r="B97" t="s">
        <v>563</v>
      </c>
      <c r="C97" t="s">
        <v>96</v>
      </c>
      <c r="D97" s="143">
        <f>IFERROR(VLOOKUP(B97,'Enrollment 25-26'!$B$5:$I$332,8,FALSE),0)</f>
        <v>0</v>
      </c>
      <c r="E97" s="64">
        <f t="shared" si="18"/>
        <v>0</v>
      </c>
      <c r="F97" s="144">
        <v>0</v>
      </c>
      <c r="G97" s="144">
        <v>0</v>
      </c>
      <c r="H97" s="64">
        <f t="shared" si="19"/>
        <v>0</v>
      </c>
      <c r="I97" s="64">
        <f t="shared" si="20"/>
        <v>0</v>
      </c>
      <c r="J97" s="145">
        <f t="shared" si="21"/>
        <v>0</v>
      </c>
      <c r="K97" s="146" t="str">
        <f t="shared" si="32"/>
        <v>N</v>
      </c>
      <c r="L97" s="147">
        <f t="shared" si="22"/>
        <v>0</v>
      </c>
      <c r="M97" s="148">
        <f t="shared" si="23"/>
        <v>0</v>
      </c>
      <c r="N97" s="64">
        <f t="shared" si="24"/>
        <v>0</v>
      </c>
      <c r="O97" s="64">
        <f t="shared" si="25"/>
        <v>0</v>
      </c>
      <c r="Q97" s="104">
        <f t="shared" si="26"/>
        <v>0</v>
      </c>
      <c r="R97" s="104" t="str">
        <f t="shared" si="27"/>
        <v>Not Applicable</v>
      </c>
      <c r="S97" s="149" t="s">
        <v>815</v>
      </c>
      <c r="T97" s="149">
        <f>IF(O97=0,0,IF(S97="N",0,VLOOKUP(B97,'Enrollment 25-26'!$B$8:$K$332,9,FALSE)))</f>
        <v>0</v>
      </c>
      <c r="U97" s="64">
        <f t="shared" si="28"/>
        <v>0</v>
      </c>
      <c r="V97" s="128">
        <f t="shared" si="29"/>
        <v>0</v>
      </c>
      <c r="W97" s="150"/>
      <c r="X97" s="64">
        <f>IFERROR(VLOOKUP($B97,#REF!,14,FALSE),0)</f>
        <v>0</v>
      </c>
      <c r="Y97" s="99">
        <f t="shared" si="30"/>
        <v>0</v>
      </c>
      <c r="Z97" s="132">
        <f t="shared" si="31"/>
        <v>0</v>
      </c>
      <c r="AA97" s="151" t="str">
        <f t="shared" si="33"/>
        <v>N</v>
      </c>
      <c r="AC97" s="64"/>
      <c r="AE97" s="152"/>
      <c r="AH97" s="153"/>
      <c r="AI97" s="153"/>
      <c r="AJ97" s="153"/>
      <c r="AK97" s="154"/>
    </row>
    <row r="98" spans="1:37" x14ac:dyDescent="0.25">
      <c r="A98" s="142" t="s">
        <v>471</v>
      </c>
      <c r="B98" t="s">
        <v>564</v>
      </c>
      <c r="C98" t="s">
        <v>97</v>
      </c>
      <c r="D98" s="143">
        <f>IFERROR(VLOOKUP(B98,'Enrollment 25-26'!$B$5:$I$332,8,FALSE),0)</f>
        <v>131.67000000000002</v>
      </c>
      <c r="E98" s="64">
        <f t="shared" si="18"/>
        <v>15309</v>
      </c>
      <c r="F98" s="144">
        <v>0</v>
      </c>
      <c r="G98" s="144">
        <v>0</v>
      </c>
      <c r="H98" s="64">
        <f t="shared" si="19"/>
        <v>15309</v>
      </c>
      <c r="I98" s="64">
        <f t="shared" si="20"/>
        <v>0</v>
      </c>
      <c r="J98" s="145">
        <f t="shared" si="21"/>
        <v>15309</v>
      </c>
      <c r="K98" s="146" t="str">
        <f t="shared" si="32"/>
        <v>Y</v>
      </c>
      <c r="L98" s="147">
        <f t="shared" si="22"/>
        <v>0</v>
      </c>
      <c r="M98" s="148">
        <f t="shared" si="23"/>
        <v>131.67000000000002</v>
      </c>
      <c r="N98" s="64">
        <f t="shared" si="24"/>
        <v>113</v>
      </c>
      <c r="O98" s="64">
        <f t="shared" si="25"/>
        <v>15422</v>
      </c>
      <c r="Q98" s="104">
        <f t="shared" si="26"/>
        <v>0</v>
      </c>
      <c r="R98" s="104" t="str">
        <f t="shared" si="27"/>
        <v>Not Applicable</v>
      </c>
      <c r="S98" s="149" t="s">
        <v>815</v>
      </c>
      <c r="T98" s="149">
        <f>IF(O98=0,0,IF(S98="N",0,VLOOKUP(B98,'Enrollment 25-26'!$B$8:$K$332,9,FALSE)))</f>
        <v>0</v>
      </c>
      <c r="U98" s="64">
        <f t="shared" si="28"/>
        <v>15422</v>
      </c>
      <c r="V98" s="128">
        <f t="shared" si="29"/>
        <v>117.12614870509606</v>
      </c>
      <c r="W98" s="150"/>
      <c r="X98" s="64">
        <f>IFERROR(VLOOKUP($B98,#REF!,14,FALSE),0)</f>
        <v>0</v>
      </c>
      <c r="Y98" s="99">
        <f t="shared" si="30"/>
        <v>15422</v>
      </c>
      <c r="Z98" s="132">
        <f t="shared" si="31"/>
        <v>0</v>
      </c>
      <c r="AA98" s="151" t="str">
        <f t="shared" si="33"/>
        <v>Y</v>
      </c>
      <c r="AC98" s="64"/>
      <c r="AE98" s="152"/>
      <c r="AH98" s="153"/>
      <c r="AI98" s="153"/>
      <c r="AJ98" s="153"/>
      <c r="AK98" s="154"/>
    </row>
    <row r="99" spans="1:37" x14ac:dyDescent="0.25">
      <c r="A99" s="142" t="s">
        <v>481</v>
      </c>
      <c r="B99" t="s">
        <v>565</v>
      </c>
      <c r="C99" t="s">
        <v>98</v>
      </c>
      <c r="D99" s="143">
        <f>IFERROR(VLOOKUP(B99,'Enrollment 25-26'!$B$5:$I$332,8,FALSE),0)</f>
        <v>153.5</v>
      </c>
      <c r="E99" s="64">
        <f t="shared" si="18"/>
        <v>17847</v>
      </c>
      <c r="F99" s="144">
        <v>0</v>
      </c>
      <c r="G99" s="144">
        <v>0</v>
      </c>
      <c r="H99" s="64">
        <f t="shared" si="19"/>
        <v>17847</v>
      </c>
      <c r="I99" s="64">
        <f t="shared" si="20"/>
        <v>0</v>
      </c>
      <c r="J99" s="145">
        <f t="shared" si="21"/>
        <v>17847</v>
      </c>
      <c r="K99" s="146" t="str">
        <f t="shared" si="32"/>
        <v>Y</v>
      </c>
      <c r="L99" s="147">
        <f t="shared" si="22"/>
        <v>0</v>
      </c>
      <c r="M99" s="148">
        <f t="shared" si="23"/>
        <v>153.5</v>
      </c>
      <c r="N99" s="64">
        <f t="shared" si="24"/>
        <v>132</v>
      </c>
      <c r="O99" s="64">
        <f t="shared" si="25"/>
        <v>17979</v>
      </c>
      <c r="Q99" s="104">
        <f t="shared" si="26"/>
        <v>0</v>
      </c>
      <c r="R99" s="104" t="str">
        <f t="shared" si="27"/>
        <v>Not Applicable</v>
      </c>
      <c r="S99" s="149" t="s">
        <v>815</v>
      </c>
      <c r="T99" s="149">
        <f>IF(O99=0,0,IF(S99="N",0,VLOOKUP(B99,'Enrollment 25-26'!$B$8:$K$332,9,FALSE)))</f>
        <v>0</v>
      </c>
      <c r="U99" s="64">
        <f t="shared" si="28"/>
        <v>17979</v>
      </c>
      <c r="V99" s="128">
        <f t="shared" si="29"/>
        <v>117.12703583061889</v>
      </c>
      <c r="W99" s="150"/>
      <c r="X99" s="64">
        <f>IFERROR(VLOOKUP($B99,#REF!,14,FALSE),0)</f>
        <v>0</v>
      </c>
      <c r="Y99" s="99">
        <f t="shared" si="30"/>
        <v>17979</v>
      </c>
      <c r="Z99" s="132">
        <f t="shared" si="31"/>
        <v>0</v>
      </c>
      <c r="AA99" s="151" t="str">
        <f t="shared" si="33"/>
        <v>Y</v>
      </c>
      <c r="AC99" s="64"/>
      <c r="AE99" s="152"/>
      <c r="AH99" s="153"/>
      <c r="AI99" s="153"/>
      <c r="AJ99" s="153"/>
      <c r="AK99" s="154"/>
    </row>
    <row r="100" spans="1:37" x14ac:dyDescent="0.25">
      <c r="A100" s="142" t="s">
        <v>471</v>
      </c>
      <c r="B100" t="s">
        <v>566</v>
      </c>
      <c r="C100" t="s">
        <v>99</v>
      </c>
      <c r="D100" s="143">
        <f>IFERROR(VLOOKUP(B100,'Enrollment 25-26'!$B$5:$I$332,8,FALSE),0)</f>
        <v>1115.1600000000001</v>
      </c>
      <c r="E100" s="64">
        <f t="shared" si="18"/>
        <v>129660</v>
      </c>
      <c r="F100" s="144">
        <v>0</v>
      </c>
      <c r="G100" s="144">
        <v>0</v>
      </c>
      <c r="H100" s="64">
        <f t="shared" si="19"/>
        <v>129660</v>
      </c>
      <c r="I100" s="64">
        <f t="shared" si="20"/>
        <v>0</v>
      </c>
      <c r="J100" s="145">
        <f t="shared" si="21"/>
        <v>129660</v>
      </c>
      <c r="K100" s="146" t="str">
        <f t="shared" si="32"/>
        <v>Y</v>
      </c>
      <c r="L100" s="147">
        <f t="shared" si="22"/>
        <v>0</v>
      </c>
      <c r="M100" s="148">
        <f t="shared" si="23"/>
        <v>1115.1600000000001</v>
      </c>
      <c r="N100" s="64">
        <f t="shared" si="24"/>
        <v>959</v>
      </c>
      <c r="O100" s="64">
        <f t="shared" si="25"/>
        <v>130619</v>
      </c>
      <c r="Q100" s="104">
        <f t="shared" si="26"/>
        <v>0</v>
      </c>
      <c r="R100" s="104" t="str">
        <f t="shared" si="27"/>
        <v>Not Applicable</v>
      </c>
      <c r="S100" s="149" t="s">
        <v>815</v>
      </c>
      <c r="T100" s="149">
        <f>IF(O100=0,0,IF(S100="N",0,VLOOKUP(B100,'Enrollment 25-26'!$B$8:$K$332,9,FALSE)))</f>
        <v>0</v>
      </c>
      <c r="U100" s="64">
        <f t="shared" si="28"/>
        <v>130619</v>
      </c>
      <c r="V100" s="128">
        <f t="shared" si="29"/>
        <v>117.13027726962946</v>
      </c>
      <c r="W100" s="150"/>
      <c r="X100" s="64">
        <f>IFERROR(VLOOKUP($B100,#REF!,14,FALSE),0)</f>
        <v>0</v>
      </c>
      <c r="Y100" s="99">
        <f t="shared" si="30"/>
        <v>130619</v>
      </c>
      <c r="Z100" s="132">
        <f t="shared" si="31"/>
        <v>0</v>
      </c>
      <c r="AA100" s="151" t="str">
        <f t="shared" si="33"/>
        <v>Y</v>
      </c>
      <c r="AC100" s="64"/>
      <c r="AE100" s="152"/>
      <c r="AH100" s="153"/>
      <c r="AI100" s="153"/>
      <c r="AJ100" s="153"/>
      <c r="AK100" s="154"/>
    </row>
    <row r="101" spans="1:37" x14ac:dyDescent="0.25">
      <c r="A101" s="142" t="s">
        <v>471</v>
      </c>
      <c r="B101" t="s">
        <v>567</v>
      </c>
      <c r="C101" t="s">
        <v>100</v>
      </c>
      <c r="D101" s="143">
        <f>IFERROR(VLOOKUP(B101,'Enrollment 25-26'!$B$5:$I$332,8,FALSE),0)</f>
        <v>690.17000000000007</v>
      </c>
      <c r="E101" s="64">
        <f t="shared" si="18"/>
        <v>80246</v>
      </c>
      <c r="F101" s="144">
        <v>0</v>
      </c>
      <c r="G101" s="144">
        <v>0</v>
      </c>
      <c r="H101" s="64">
        <f t="shared" si="19"/>
        <v>80246</v>
      </c>
      <c r="I101" s="64">
        <f t="shared" si="20"/>
        <v>0</v>
      </c>
      <c r="J101" s="145">
        <f t="shared" si="21"/>
        <v>80246</v>
      </c>
      <c r="K101" s="146" t="str">
        <f t="shared" si="32"/>
        <v>Y</v>
      </c>
      <c r="L101" s="147">
        <f t="shared" si="22"/>
        <v>0</v>
      </c>
      <c r="M101" s="148">
        <f t="shared" si="23"/>
        <v>690.17000000000007</v>
      </c>
      <c r="N101" s="64">
        <f t="shared" si="24"/>
        <v>593</v>
      </c>
      <c r="O101" s="64">
        <f t="shared" si="25"/>
        <v>80839</v>
      </c>
      <c r="Q101" s="104">
        <f t="shared" si="26"/>
        <v>0</v>
      </c>
      <c r="R101" s="104" t="str">
        <f t="shared" si="27"/>
        <v>Not Applicable</v>
      </c>
      <c r="S101" s="149" t="s">
        <v>815</v>
      </c>
      <c r="T101" s="149">
        <f>IF(O101=0,0,IF(S101="N",0,VLOOKUP(B101,'Enrollment 25-26'!$B$8:$K$332,9,FALSE)))</f>
        <v>0</v>
      </c>
      <c r="U101" s="64">
        <f t="shared" si="28"/>
        <v>80839</v>
      </c>
      <c r="V101" s="128">
        <f t="shared" si="29"/>
        <v>117.1291131170581</v>
      </c>
      <c r="W101" s="150"/>
      <c r="X101" s="64">
        <f>IFERROR(VLOOKUP($B101,#REF!,14,FALSE),0)</f>
        <v>0</v>
      </c>
      <c r="Y101" s="99">
        <f t="shared" si="30"/>
        <v>80839</v>
      </c>
      <c r="Z101" s="132">
        <f t="shared" si="31"/>
        <v>0</v>
      </c>
      <c r="AA101" s="151" t="str">
        <f t="shared" si="33"/>
        <v>Y</v>
      </c>
      <c r="AC101" s="64"/>
      <c r="AE101" s="152"/>
      <c r="AH101" s="153"/>
      <c r="AI101" s="153"/>
      <c r="AJ101" s="153"/>
      <c r="AK101" s="154"/>
    </row>
    <row r="102" spans="1:37" x14ac:dyDescent="0.25">
      <c r="A102" s="142" t="s">
        <v>446</v>
      </c>
      <c r="B102" t="s">
        <v>568</v>
      </c>
      <c r="C102" t="s">
        <v>101</v>
      </c>
      <c r="D102" s="143">
        <f>IFERROR(VLOOKUP(B102,'Enrollment 25-26'!$B$5:$I$332,8,FALSE),0)</f>
        <v>102.16</v>
      </c>
      <c r="E102" s="64">
        <f t="shared" si="18"/>
        <v>11878</v>
      </c>
      <c r="F102" s="144">
        <v>0</v>
      </c>
      <c r="G102" s="144">
        <v>0</v>
      </c>
      <c r="H102" s="64">
        <f t="shared" si="19"/>
        <v>11878</v>
      </c>
      <c r="I102" s="64">
        <f t="shared" si="20"/>
        <v>0</v>
      </c>
      <c r="J102" s="145">
        <f t="shared" si="21"/>
        <v>11878</v>
      </c>
      <c r="K102" s="146" t="str">
        <f t="shared" si="32"/>
        <v>Y</v>
      </c>
      <c r="L102" s="147">
        <f t="shared" si="22"/>
        <v>0</v>
      </c>
      <c r="M102" s="148">
        <f t="shared" si="23"/>
        <v>102.16</v>
      </c>
      <c r="N102" s="64">
        <f t="shared" si="24"/>
        <v>88</v>
      </c>
      <c r="O102" s="64">
        <f t="shared" si="25"/>
        <v>11966</v>
      </c>
      <c r="Q102" s="104">
        <f t="shared" si="26"/>
        <v>0</v>
      </c>
      <c r="R102" s="104" t="str">
        <f t="shared" si="27"/>
        <v>Not Applicable</v>
      </c>
      <c r="S102" s="149" t="s">
        <v>815</v>
      </c>
      <c r="T102" s="149">
        <f>IF(O102=0,0,IF(S102="N",0,VLOOKUP(B102,'Enrollment 25-26'!$B$8:$K$332,9,FALSE)))</f>
        <v>0</v>
      </c>
      <c r="U102" s="64">
        <f t="shared" si="28"/>
        <v>11966</v>
      </c>
      <c r="V102" s="128">
        <f t="shared" si="29"/>
        <v>117.12999216914645</v>
      </c>
      <c r="W102" s="150"/>
      <c r="X102" s="64">
        <f>IFERROR(VLOOKUP($B102,#REF!,14,FALSE),0)</f>
        <v>0</v>
      </c>
      <c r="Y102" s="99">
        <f t="shared" si="30"/>
        <v>11966</v>
      </c>
      <c r="Z102" s="132">
        <f t="shared" si="31"/>
        <v>0</v>
      </c>
      <c r="AA102" s="151" t="str">
        <f t="shared" si="33"/>
        <v>Y</v>
      </c>
      <c r="AC102" s="64"/>
      <c r="AE102" s="152"/>
      <c r="AH102" s="153"/>
      <c r="AI102" s="153"/>
      <c r="AJ102" s="153"/>
      <c r="AK102" s="154"/>
    </row>
    <row r="103" spans="1:37" x14ac:dyDescent="0.25">
      <c r="A103" s="142" t="s">
        <v>438</v>
      </c>
      <c r="B103" t="s">
        <v>569</v>
      </c>
      <c r="C103" t="s">
        <v>102</v>
      </c>
      <c r="D103" s="143">
        <f>IFERROR(VLOOKUP(B103,'Enrollment 25-26'!$B$5:$I$332,8,FALSE),0)</f>
        <v>0</v>
      </c>
      <c r="E103" s="64">
        <f t="shared" si="18"/>
        <v>0</v>
      </c>
      <c r="F103" s="144">
        <v>0</v>
      </c>
      <c r="G103" s="144">
        <v>0</v>
      </c>
      <c r="H103" s="64">
        <f t="shared" si="19"/>
        <v>0</v>
      </c>
      <c r="I103" s="64">
        <f t="shared" si="20"/>
        <v>0</v>
      </c>
      <c r="J103" s="145">
        <f t="shared" si="21"/>
        <v>0</v>
      </c>
      <c r="K103" s="146" t="str">
        <f t="shared" si="32"/>
        <v>N</v>
      </c>
      <c r="L103" s="147">
        <f t="shared" si="22"/>
        <v>0</v>
      </c>
      <c r="M103" s="148">
        <f t="shared" si="23"/>
        <v>0</v>
      </c>
      <c r="N103" s="64">
        <f t="shared" si="24"/>
        <v>0</v>
      </c>
      <c r="O103" s="64">
        <f t="shared" si="25"/>
        <v>0</v>
      </c>
      <c r="Q103" s="104">
        <f t="shared" si="26"/>
        <v>0</v>
      </c>
      <c r="R103" s="104" t="str">
        <f t="shared" si="27"/>
        <v>Not Applicable</v>
      </c>
      <c r="S103" s="149" t="s">
        <v>815</v>
      </c>
      <c r="T103" s="149">
        <f>IF(O103=0,0,IF(S103="N",0,VLOOKUP(B103,'Enrollment 25-26'!$B$8:$K$332,9,FALSE)))</f>
        <v>0</v>
      </c>
      <c r="U103" s="64">
        <f t="shared" si="28"/>
        <v>0</v>
      </c>
      <c r="V103" s="128">
        <f t="shared" si="29"/>
        <v>0</v>
      </c>
      <c r="W103" s="150"/>
      <c r="X103" s="64">
        <f>IFERROR(VLOOKUP($B103,#REF!,14,FALSE),0)</f>
        <v>0</v>
      </c>
      <c r="Y103" s="99">
        <f t="shared" si="30"/>
        <v>0</v>
      </c>
      <c r="Z103" s="132">
        <f t="shared" si="31"/>
        <v>0</v>
      </c>
      <c r="AA103" s="151" t="str">
        <f t="shared" si="33"/>
        <v>N</v>
      </c>
      <c r="AC103" s="64"/>
      <c r="AE103" s="152"/>
      <c r="AH103" s="153"/>
      <c r="AI103" s="153"/>
      <c r="AJ103" s="153"/>
      <c r="AK103" s="154"/>
    </row>
    <row r="104" spans="1:37" x14ac:dyDescent="0.25">
      <c r="A104" s="142" t="s">
        <v>443</v>
      </c>
      <c r="B104" t="s">
        <v>570</v>
      </c>
      <c r="C104" t="s">
        <v>103</v>
      </c>
      <c r="D104" s="143">
        <f>IFERROR(VLOOKUP(B104,'Enrollment 25-26'!$B$5:$I$332,8,FALSE),0)</f>
        <v>4.33</v>
      </c>
      <c r="E104" s="64">
        <f t="shared" si="18"/>
        <v>503</v>
      </c>
      <c r="F104" s="144">
        <v>0</v>
      </c>
      <c r="G104" s="144">
        <v>0</v>
      </c>
      <c r="H104" s="64">
        <f t="shared" si="19"/>
        <v>503</v>
      </c>
      <c r="I104" s="64">
        <f t="shared" si="20"/>
        <v>0</v>
      </c>
      <c r="J104" s="145">
        <f t="shared" si="21"/>
        <v>503</v>
      </c>
      <c r="K104" s="146" t="str">
        <f t="shared" si="32"/>
        <v>N</v>
      </c>
      <c r="L104" s="147">
        <f t="shared" si="22"/>
        <v>503</v>
      </c>
      <c r="M104" s="148">
        <f t="shared" si="23"/>
        <v>0</v>
      </c>
      <c r="N104" s="64">
        <f t="shared" si="24"/>
        <v>0</v>
      </c>
      <c r="O104" s="64">
        <f t="shared" si="25"/>
        <v>0</v>
      </c>
      <c r="Q104" s="104">
        <f t="shared" si="26"/>
        <v>0</v>
      </c>
      <c r="R104" s="104" t="str">
        <f t="shared" si="27"/>
        <v>Not Applicable</v>
      </c>
      <c r="S104" s="149" t="s">
        <v>815</v>
      </c>
      <c r="T104" s="149">
        <f>IF(O104=0,0,IF(S104="N",0,VLOOKUP(B104,'Enrollment 25-26'!$B$8:$K$332,9,FALSE)))</f>
        <v>0</v>
      </c>
      <c r="U104" s="64">
        <f t="shared" si="28"/>
        <v>0</v>
      </c>
      <c r="V104" s="128">
        <f t="shared" si="29"/>
        <v>0</v>
      </c>
      <c r="W104" s="150"/>
      <c r="X104" s="64">
        <f>IFERROR(VLOOKUP($B104,#REF!,14,FALSE),0)</f>
        <v>0</v>
      </c>
      <c r="Y104" s="99">
        <f t="shared" si="30"/>
        <v>0</v>
      </c>
      <c r="Z104" s="132">
        <f t="shared" si="31"/>
        <v>0</v>
      </c>
      <c r="AA104" s="151" t="str">
        <f t="shared" si="33"/>
        <v>N</v>
      </c>
      <c r="AC104" s="64"/>
      <c r="AE104" s="152"/>
      <c r="AH104" s="153"/>
      <c r="AI104" s="153"/>
      <c r="AJ104" s="153"/>
      <c r="AK104" s="154"/>
    </row>
    <row r="105" spans="1:37" x14ac:dyDescent="0.25">
      <c r="A105" s="142" t="s">
        <v>459</v>
      </c>
      <c r="B105" t="s">
        <v>571</v>
      </c>
      <c r="C105" t="s">
        <v>104</v>
      </c>
      <c r="D105" s="143">
        <f>IFERROR(VLOOKUP(B105,'Enrollment 25-26'!$B$5:$I$332,8,FALSE),0)</f>
        <v>2</v>
      </c>
      <c r="E105" s="64">
        <f t="shared" si="18"/>
        <v>233</v>
      </c>
      <c r="F105" s="144">
        <v>0</v>
      </c>
      <c r="G105" s="144">
        <v>0</v>
      </c>
      <c r="H105" s="64">
        <f t="shared" si="19"/>
        <v>233</v>
      </c>
      <c r="I105" s="64">
        <f t="shared" si="20"/>
        <v>0</v>
      </c>
      <c r="J105" s="145">
        <f t="shared" si="21"/>
        <v>233</v>
      </c>
      <c r="K105" s="146" t="str">
        <f t="shared" si="32"/>
        <v>N</v>
      </c>
      <c r="L105" s="147">
        <f t="shared" si="22"/>
        <v>233</v>
      </c>
      <c r="M105" s="148">
        <f t="shared" si="23"/>
        <v>0</v>
      </c>
      <c r="N105" s="64">
        <f t="shared" si="24"/>
        <v>0</v>
      </c>
      <c r="O105" s="64">
        <f t="shared" si="25"/>
        <v>0</v>
      </c>
      <c r="Q105" s="104">
        <f t="shared" si="26"/>
        <v>0</v>
      </c>
      <c r="R105" s="104" t="str">
        <f t="shared" si="27"/>
        <v>Not Applicable</v>
      </c>
      <c r="S105" s="149" t="s">
        <v>815</v>
      </c>
      <c r="T105" s="149">
        <f>IF(O105=0,0,IF(S105="N",0,VLOOKUP(B105,'Enrollment 25-26'!$B$8:$K$332,9,FALSE)))</f>
        <v>0</v>
      </c>
      <c r="U105" s="64">
        <f t="shared" si="28"/>
        <v>0</v>
      </c>
      <c r="V105" s="128">
        <f t="shared" si="29"/>
        <v>0</v>
      </c>
      <c r="W105" s="150"/>
      <c r="X105" s="64">
        <f>IFERROR(VLOOKUP($B105,#REF!,14,FALSE),0)</f>
        <v>0</v>
      </c>
      <c r="Y105" s="99">
        <f t="shared" si="30"/>
        <v>0</v>
      </c>
      <c r="Z105" s="132">
        <f t="shared" si="31"/>
        <v>0</v>
      </c>
      <c r="AA105" s="151" t="str">
        <f t="shared" si="33"/>
        <v>N</v>
      </c>
      <c r="AC105" s="64"/>
      <c r="AE105" s="152"/>
      <c r="AH105" s="153"/>
      <c r="AI105" s="153"/>
      <c r="AJ105" s="153"/>
      <c r="AK105" s="154"/>
    </row>
    <row r="106" spans="1:37" x14ac:dyDescent="0.25">
      <c r="A106" s="142" t="s">
        <v>438</v>
      </c>
      <c r="B106" t="s">
        <v>572</v>
      </c>
      <c r="C106" t="s">
        <v>105</v>
      </c>
      <c r="D106" s="143">
        <f>IFERROR(VLOOKUP(B106,'Enrollment 25-26'!$B$5:$I$332,8,FALSE),0)</f>
        <v>0</v>
      </c>
      <c r="E106" s="64">
        <f t="shared" si="18"/>
        <v>0</v>
      </c>
      <c r="F106" s="144">
        <v>0</v>
      </c>
      <c r="G106" s="144">
        <v>0</v>
      </c>
      <c r="H106" s="64">
        <f t="shared" si="19"/>
        <v>0</v>
      </c>
      <c r="I106" s="64">
        <f t="shared" si="20"/>
        <v>0</v>
      </c>
      <c r="J106" s="145">
        <f t="shared" si="21"/>
        <v>0</v>
      </c>
      <c r="K106" s="146" t="str">
        <f t="shared" si="32"/>
        <v>N</v>
      </c>
      <c r="L106" s="147">
        <f t="shared" si="22"/>
        <v>0</v>
      </c>
      <c r="M106" s="148">
        <f t="shared" si="23"/>
        <v>0</v>
      </c>
      <c r="N106" s="64">
        <f t="shared" si="24"/>
        <v>0</v>
      </c>
      <c r="O106" s="64">
        <f t="shared" si="25"/>
        <v>0</v>
      </c>
      <c r="Q106" s="104">
        <f t="shared" si="26"/>
        <v>0</v>
      </c>
      <c r="R106" s="104" t="str">
        <f t="shared" si="27"/>
        <v>Not Applicable</v>
      </c>
      <c r="S106" s="149" t="s">
        <v>815</v>
      </c>
      <c r="T106" s="149">
        <f>IF(O106=0,0,IF(S106="N",0,VLOOKUP(B106,'Enrollment 25-26'!$B$8:$K$332,9,FALSE)))</f>
        <v>0</v>
      </c>
      <c r="U106" s="64">
        <f t="shared" si="28"/>
        <v>0</v>
      </c>
      <c r="V106" s="128">
        <f t="shared" si="29"/>
        <v>0</v>
      </c>
      <c r="W106" s="150"/>
      <c r="X106" s="64">
        <f>IFERROR(VLOOKUP($B106,#REF!,14,FALSE),0)</f>
        <v>0</v>
      </c>
      <c r="Y106" s="99">
        <f t="shared" si="30"/>
        <v>0</v>
      </c>
      <c r="Z106" s="132">
        <f t="shared" si="31"/>
        <v>0</v>
      </c>
      <c r="AA106" s="151" t="str">
        <f t="shared" si="33"/>
        <v>N</v>
      </c>
      <c r="AC106" s="64"/>
      <c r="AE106" s="152"/>
      <c r="AH106" s="153"/>
      <c r="AI106" s="153"/>
      <c r="AJ106" s="153"/>
      <c r="AK106" s="154"/>
    </row>
    <row r="107" spans="1:37" x14ac:dyDescent="0.25">
      <c r="A107" s="142" t="s">
        <v>443</v>
      </c>
      <c r="B107" t="s">
        <v>573</v>
      </c>
      <c r="C107" t="s">
        <v>106</v>
      </c>
      <c r="D107" s="143">
        <f>IFERROR(VLOOKUP(B107,'Enrollment 25-26'!$B$5:$I$332,8,FALSE),0)</f>
        <v>0</v>
      </c>
      <c r="E107" s="64">
        <f t="shared" si="18"/>
        <v>0</v>
      </c>
      <c r="F107" s="144">
        <v>0</v>
      </c>
      <c r="G107" s="144">
        <v>0</v>
      </c>
      <c r="H107" s="64">
        <f t="shared" si="19"/>
        <v>0</v>
      </c>
      <c r="I107" s="64">
        <f t="shared" si="20"/>
        <v>0</v>
      </c>
      <c r="J107" s="145">
        <f t="shared" si="21"/>
        <v>0</v>
      </c>
      <c r="K107" s="146" t="str">
        <f t="shared" si="32"/>
        <v>N</v>
      </c>
      <c r="L107" s="147">
        <f t="shared" si="22"/>
        <v>0</v>
      </c>
      <c r="M107" s="148">
        <f t="shared" si="23"/>
        <v>0</v>
      </c>
      <c r="N107" s="64">
        <f t="shared" si="24"/>
        <v>0</v>
      </c>
      <c r="O107" s="64">
        <f t="shared" si="25"/>
        <v>0</v>
      </c>
      <c r="Q107" s="104">
        <f t="shared" si="26"/>
        <v>0</v>
      </c>
      <c r="R107" s="104" t="str">
        <f t="shared" si="27"/>
        <v>Not Applicable</v>
      </c>
      <c r="S107" s="149" t="s">
        <v>815</v>
      </c>
      <c r="T107" s="149">
        <f>IF(O107=0,0,IF(S107="N",0,VLOOKUP(B107,'Enrollment 25-26'!$B$8:$K$332,9,FALSE)))</f>
        <v>0</v>
      </c>
      <c r="U107" s="64">
        <f t="shared" si="28"/>
        <v>0</v>
      </c>
      <c r="V107" s="128">
        <f t="shared" si="29"/>
        <v>0</v>
      </c>
      <c r="W107" s="150"/>
      <c r="X107" s="64">
        <f>IFERROR(VLOOKUP($B107,#REF!,14,FALSE),0)</f>
        <v>0</v>
      </c>
      <c r="Y107" s="99">
        <f t="shared" si="30"/>
        <v>0</v>
      </c>
      <c r="Z107" s="132">
        <f t="shared" si="31"/>
        <v>0</v>
      </c>
      <c r="AA107" s="151" t="str">
        <f t="shared" si="33"/>
        <v>N</v>
      </c>
      <c r="AC107" s="64"/>
      <c r="AE107" s="152"/>
      <c r="AH107" s="153"/>
      <c r="AI107" s="153"/>
      <c r="AJ107" s="153"/>
      <c r="AK107" s="154"/>
    </row>
    <row r="108" spans="1:37" x14ac:dyDescent="0.25">
      <c r="A108" s="142" t="s">
        <v>471</v>
      </c>
      <c r="B108" t="s">
        <v>574</v>
      </c>
      <c r="C108" t="s">
        <v>107</v>
      </c>
      <c r="D108" s="143">
        <f>IFERROR(VLOOKUP(B108,'Enrollment 25-26'!$B$5:$I$332,8,FALSE),0)</f>
        <v>312.00666666666666</v>
      </c>
      <c r="E108" s="64">
        <f t="shared" si="18"/>
        <v>36277</v>
      </c>
      <c r="F108" s="144">
        <v>0</v>
      </c>
      <c r="G108" s="144">
        <v>0</v>
      </c>
      <c r="H108" s="64">
        <f t="shared" si="19"/>
        <v>36277</v>
      </c>
      <c r="I108" s="64">
        <f t="shared" si="20"/>
        <v>0</v>
      </c>
      <c r="J108" s="145">
        <f t="shared" si="21"/>
        <v>36277</v>
      </c>
      <c r="K108" s="146" t="str">
        <f t="shared" si="32"/>
        <v>Y</v>
      </c>
      <c r="L108" s="147">
        <f t="shared" si="22"/>
        <v>0</v>
      </c>
      <c r="M108" s="148">
        <f t="shared" si="23"/>
        <v>312.00666666666666</v>
      </c>
      <c r="N108" s="64">
        <f t="shared" si="24"/>
        <v>268</v>
      </c>
      <c r="O108" s="64">
        <f t="shared" si="25"/>
        <v>36545</v>
      </c>
      <c r="Q108" s="104">
        <f t="shared" si="26"/>
        <v>0</v>
      </c>
      <c r="R108" s="104" t="str">
        <f t="shared" si="27"/>
        <v>Not Applicable</v>
      </c>
      <c r="S108" s="149" t="s">
        <v>815</v>
      </c>
      <c r="T108" s="149">
        <f>IF(O108=0,0,IF(S108="N",0,VLOOKUP(B108,'Enrollment 25-26'!$B$8:$K$332,9,FALSE)))</f>
        <v>0</v>
      </c>
      <c r="U108" s="64">
        <f t="shared" si="28"/>
        <v>36545</v>
      </c>
      <c r="V108" s="128">
        <f t="shared" si="29"/>
        <v>117.12890750197646</v>
      </c>
      <c r="W108" s="150"/>
      <c r="X108" s="64">
        <f>IFERROR(VLOOKUP($B108,#REF!,14,FALSE),0)</f>
        <v>0</v>
      </c>
      <c r="Y108" s="99">
        <f t="shared" si="30"/>
        <v>36545</v>
      </c>
      <c r="Z108" s="132">
        <f t="shared" si="31"/>
        <v>0</v>
      </c>
      <c r="AA108" s="151" t="str">
        <f t="shared" si="33"/>
        <v>Y</v>
      </c>
      <c r="AC108" s="64"/>
      <c r="AE108" s="152"/>
      <c r="AH108" s="153"/>
      <c r="AI108" s="153"/>
      <c r="AJ108" s="153"/>
      <c r="AK108" s="154"/>
    </row>
    <row r="109" spans="1:37" x14ac:dyDescent="0.25">
      <c r="A109" s="142" t="s">
        <v>454</v>
      </c>
      <c r="B109" t="s">
        <v>575</v>
      </c>
      <c r="C109" t="s">
        <v>108</v>
      </c>
      <c r="D109" s="143">
        <f>IFERROR(VLOOKUP(B109,'Enrollment 25-26'!$B$5:$I$332,8,FALSE),0)</f>
        <v>7164.67</v>
      </c>
      <c r="E109" s="64">
        <f t="shared" si="18"/>
        <v>833037</v>
      </c>
      <c r="F109" s="144">
        <v>0</v>
      </c>
      <c r="G109" s="144">
        <v>0</v>
      </c>
      <c r="H109" s="64">
        <f t="shared" si="19"/>
        <v>833037</v>
      </c>
      <c r="I109" s="64">
        <f t="shared" si="20"/>
        <v>0</v>
      </c>
      <c r="J109" s="145">
        <f t="shared" si="21"/>
        <v>833037</v>
      </c>
      <c r="K109" s="146" t="str">
        <f t="shared" si="32"/>
        <v>Y</v>
      </c>
      <c r="L109" s="147">
        <f t="shared" si="22"/>
        <v>0</v>
      </c>
      <c r="M109" s="148">
        <f t="shared" si="23"/>
        <v>7164.67</v>
      </c>
      <c r="N109" s="64">
        <f t="shared" si="24"/>
        <v>6160</v>
      </c>
      <c r="O109" s="64">
        <f t="shared" si="25"/>
        <v>839197</v>
      </c>
      <c r="Q109" s="104">
        <f t="shared" si="26"/>
        <v>0</v>
      </c>
      <c r="R109" s="104" t="str">
        <f t="shared" si="27"/>
        <v>Not Applicable</v>
      </c>
      <c r="S109" s="149" t="s">
        <v>815</v>
      </c>
      <c r="T109" s="149">
        <f>IF(O109=0,0,IF(S109="N",0,VLOOKUP(B109,'Enrollment 25-26'!$B$8:$K$332,9,FALSE)))</f>
        <v>0</v>
      </c>
      <c r="U109" s="64">
        <f t="shared" si="28"/>
        <v>839197</v>
      </c>
      <c r="V109" s="128">
        <f t="shared" si="29"/>
        <v>117.12988874574823</v>
      </c>
      <c r="W109" s="150"/>
      <c r="X109" s="64">
        <f>IFERROR(VLOOKUP($B109,#REF!,14,FALSE),0)</f>
        <v>0</v>
      </c>
      <c r="Y109" s="99">
        <f t="shared" si="30"/>
        <v>839197</v>
      </c>
      <c r="Z109" s="132">
        <f t="shared" si="31"/>
        <v>0</v>
      </c>
      <c r="AA109" s="151" t="str">
        <f t="shared" si="33"/>
        <v>Y</v>
      </c>
      <c r="AC109" s="64"/>
      <c r="AE109" s="152"/>
      <c r="AH109" s="153"/>
      <c r="AI109" s="153"/>
      <c r="AJ109" s="153"/>
      <c r="AK109" s="154"/>
    </row>
    <row r="110" spans="1:37" x14ac:dyDescent="0.25">
      <c r="A110" s="142" t="s">
        <v>459</v>
      </c>
      <c r="B110" t="s">
        <v>445</v>
      </c>
      <c r="C110" t="s">
        <v>109</v>
      </c>
      <c r="D110" s="143">
        <f>IFERROR(VLOOKUP(B110,'Enrollment 25-26'!$B$5:$I$332,8,FALSE),0)</f>
        <v>96.67</v>
      </c>
      <c r="E110" s="64">
        <f t="shared" si="18"/>
        <v>11240</v>
      </c>
      <c r="F110" s="144">
        <v>0</v>
      </c>
      <c r="G110" s="144">
        <v>0</v>
      </c>
      <c r="H110" s="64">
        <f t="shared" si="19"/>
        <v>11240</v>
      </c>
      <c r="I110" s="64">
        <f t="shared" si="20"/>
        <v>0</v>
      </c>
      <c r="J110" s="145">
        <f t="shared" si="21"/>
        <v>11240</v>
      </c>
      <c r="K110" s="146" t="str">
        <f t="shared" si="32"/>
        <v>Y</v>
      </c>
      <c r="L110" s="147">
        <f t="shared" si="22"/>
        <v>0</v>
      </c>
      <c r="M110" s="148">
        <f t="shared" si="23"/>
        <v>96.67</v>
      </c>
      <c r="N110" s="64">
        <f t="shared" si="24"/>
        <v>83</v>
      </c>
      <c r="O110" s="64">
        <f t="shared" si="25"/>
        <v>11323</v>
      </c>
      <c r="Q110" s="104">
        <f t="shared" si="26"/>
        <v>0</v>
      </c>
      <c r="R110" s="104" t="str">
        <f t="shared" si="27"/>
        <v>Not Applicable</v>
      </c>
      <c r="S110" s="149" t="s">
        <v>815</v>
      </c>
      <c r="T110" s="149">
        <f>IF(O110=0,0,IF(S110="N",0,VLOOKUP(B110,'Enrollment 25-26'!$B$8:$K$332,9,FALSE)))</f>
        <v>0</v>
      </c>
      <c r="U110" s="64">
        <f t="shared" si="28"/>
        <v>11323</v>
      </c>
      <c r="V110" s="128">
        <f t="shared" si="29"/>
        <v>117.13044377780076</v>
      </c>
      <c r="W110" s="150"/>
      <c r="X110" s="64">
        <f>IFERROR(VLOOKUP($B110,#REF!,14,FALSE),0)</f>
        <v>0</v>
      </c>
      <c r="Y110" s="99">
        <f t="shared" si="30"/>
        <v>11323</v>
      </c>
      <c r="Z110" s="132">
        <f t="shared" si="31"/>
        <v>0</v>
      </c>
      <c r="AA110" s="151" t="str">
        <f t="shared" si="33"/>
        <v>Y</v>
      </c>
      <c r="AC110" s="64"/>
      <c r="AE110" s="152"/>
      <c r="AH110" s="153"/>
      <c r="AI110" s="153"/>
      <c r="AJ110" s="153"/>
      <c r="AK110" s="154"/>
    </row>
    <row r="111" spans="1:37" x14ac:dyDescent="0.25">
      <c r="A111" s="142" t="s">
        <v>438</v>
      </c>
      <c r="B111" t="s">
        <v>576</v>
      </c>
      <c r="C111" t="s">
        <v>110</v>
      </c>
      <c r="D111" s="143">
        <f>IFERROR(VLOOKUP(B111,'Enrollment 25-26'!$B$5:$I$332,8,FALSE),0)</f>
        <v>19.670000000000002</v>
      </c>
      <c r="E111" s="64">
        <f t="shared" si="18"/>
        <v>2287</v>
      </c>
      <c r="F111" s="144">
        <v>0</v>
      </c>
      <c r="G111" s="144">
        <v>0</v>
      </c>
      <c r="H111" s="64">
        <f t="shared" si="19"/>
        <v>2287</v>
      </c>
      <c r="I111" s="64">
        <f t="shared" si="20"/>
        <v>0</v>
      </c>
      <c r="J111" s="145">
        <f t="shared" si="21"/>
        <v>2287</v>
      </c>
      <c r="K111" s="146" t="str">
        <f t="shared" si="32"/>
        <v>N</v>
      </c>
      <c r="L111" s="147">
        <f t="shared" si="22"/>
        <v>2287</v>
      </c>
      <c r="M111" s="148">
        <f t="shared" si="23"/>
        <v>0</v>
      </c>
      <c r="N111" s="64">
        <f t="shared" si="24"/>
        <v>0</v>
      </c>
      <c r="O111" s="64">
        <f t="shared" si="25"/>
        <v>0</v>
      </c>
      <c r="Q111" s="104">
        <f t="shared" si="26"/>
        <v>0</v>
      </c>
      <c r="R111" s="104" t="str">
        <f t="shared" si="27"/>
        <v>Not Applicable</v>
      </c>
      <c r="S111" s="149" t="s">
        <v>815</v>
      </c>
      <c r="T111" s="149">
        <f>IF(O111=0,0,IF(S111="N",0,VLOOKUP(B111,'Enrollment 25-26'!$B$8:$K$332,9,FALSE)))</f>
        <v>0</v>
      </c>
      <c r="U111" s="64">
        <f t="shared" si="28"/>
        <v>0</v>
      </c>
      <c r="V111" s="128">
        <f t="shared" si="29"/>
        <v>0</v>
      </c>
      <c r="W111" s="150"/>
      <c r="X111" s="64">
        <f>IFERROR(VLOOKUP($B111,#REF!,14,FALSE),0)</f>
        <v>0</v>
      </c>
      <c r="Y111" s="99">
        <f t="shared" si="30"/>
        <v>0</v>
      </c>
      <c r="Z111" s="132">
        <f t="shared" si="31"/>
        <v>0</v>
      </c>
      <c r="AA111" s="151" t="str">
        <f t="shared" si="33"/>
        <v>N</v>
      </c>
      <c r="AC111" s="64"/>
      <c r="AE111" s="152"/>
      <c r="AH111" s="153"/>
      <c r="AI111" s="153"/>
      <c r="AJ111" s="153"/>
      <c r="AK111" s="154"/>
    </row>
    <row r="112" spans="1:37" x14ac:dyDescent="0.25">
      <c r="A112" s="142" t="s">
        <v>438</v>
      </c>
      <c r="B112" t="s">
        <v>577</v>
      </c>
      <c r="C112" t="s">
        <v>111</v>
      </c>
      <c r="D112" s="143">
        <f>IFERROR(VLOOKUP(B112,'Enrollment 25-26'!$B$5:$I$332,8,FALSE),0)</f>
        <v>135</v>
      </c>
      <c r="E112" s="64">
        <f t="shared" si="18"/>
        <v>15696</v>
      </c>
      <c r="F112" s="144">
        <v>0</v>
      </c>
      <c r="G112" s="144">
        <v>0</v>
      </c>
      <c r="H112" s="64">
        <f t="shared" si="19"/>
        <v>15696</v>
      </c>
      <c r="I112" s="64">
        <f t="shared" si="20"/>
        <v>0</v>
      </c>
      <c r="J112" s="145">
        <f t="shared" si="21"/>
        <v>15696</v>
      </c>
      <c r="K112" s="146" t="str">
        <f t="shared" si="32"/>
        <v>Y</v>
      </c>
      <c r="L112" s="147">
        <f t="shared" si="22"/>
        <v>0</v>
      </c>
      <c r="M112" s="148">
        <f t="shared" si="23"/>
        <v>135</v>
      </c>
      <c r="N112" s="64">
        <f t="shared" si="24"/>
        <v>116</v>
      </c>
      <c r="O112" s="64">
        <f t="shared" si="25"/>
        <v>15812</v>
      </c>
      <c r="Q112" s="104">
        <f t="shared" si="26"/>
        <v>0</v>
      </c>
      <c r="R112" s="104" t="str">
        <f t="shared" si="27"/>
        <v>Not Applicable</v>
      </c>
      <c r="S112" s="149" t="s">
        <v>815</v>
      </c>
      <c r="T112" s="149">
        <f>IF(O112=0,0,IF(S112="N",0,VLOOKUP(B112,'Enrollment 25-26'!$B$8:$K$332,9,FALSE)))</f>
        <v>0</v>
      </c>
      <c r="U112" s="64">
        <f t="shared" si="28"/>
        <v>15812</v>
      </c>
      <c r="V112" s="128">
        <f t="shared" si="29"/>
        <v>117.12592592592593</v>
      </c>
      <c r="W112" s="150"/>
      <c r="X112" s="64">
        <f>IFERROR(VLOOKUP($B112,#REF!,14,FALSE),0)</f>
        <v>0</v>
      </c>
      <c r="Y112" s="99">
        <f t="shared" si="30"/>
        <v>15812</v>
      </c>
      <c r="Z112" s="132">
        <f t="shared" si="31"/>
        <v>0</v>
      </c>
      <c r="AA112" s="151" t="str">
        <f t="shared" si="33"/>
        <v>Y</v>
      </c>
      <c r="AC112" s="64"/>
      <c r="AE112" s="152"/>
      <c r="AH112" s="153"/>
      <c r="AI112" s="153"/>
      <c r="AJ112" s="153"/>
      <c r="AK112" s="154"/>
    </row>
    <row r="113" spans="1:37" x14ac:dyDescent="0.25">
      <c r="A113" s="142" t="s">
        <v>497</v>
      </c>
      <c r="B113" s="1" t="s">
        <v>483</v>
      </c>
      <c r="C113" t="s">
        <v>484</v>
      </c>
      <c r="D113" s="143">
        <f>IFERROR(VLOOKUP(B113,'Enrollment 25-26'!$B$5:$I$332,8,FALSE),0)</f>
        <v>24.241016949152545</v>
      </c>
      <c r="E113" s="64">
        <f t="shared" si="18"/>
        <v>2819</v>
      </c>
      <c r="F113" s="144">
        <v>0</v>
      </c>
      <c r="G113" s="144">
        <v>0</v>
      </c>
      <c r="H113" s="64">
        <f t="shared" si="19"/>
        <v>2819</v>
      </c>
      <c r="I113" s="64">
        <f t="shared" si="20"/>
        <v>0</v>
      </c>
      <c r="J113" s="145">
        <f t="shared" si="21"/>
        <v>2819</v>
      </c>
      <c r="K113" s="146" t="str">
        <f t="shared" si="32"/>
        <v>C</v>
      </c>
      <c r="L113" s="147">
        <f t="shared" si="22"/>
        <v>0</v>
      </c>
      <c r="M113" s="148">
        <f t="shared" si="23"/>
        <v>24.241016949152545</v>
      </c>
      <c r="N113" s="64">
        <f t="shared" si="24"/>
        <v>21</v>
      </c>
      <c r="O113" s="64">
        <f t="shared" si="25"/>
        <v>2840</v>
      </c>
      <c r="Q113" s="104">
        <f t="shared" si="26"/>
        <v>0</v>
      </c>
      <c r="R113" s="104" t="str">
        <f t="shared" si="27"/>
        <v>Not Applicable</v>
      </c>
      <c r="S113" s="149" t="s">
        <v>815</v>
      </c>
      <c r="T113" s="149">
        <f>IF(O113=0,0,IF(S113="N",0,VLOOKUP(B113,'Enrollment 25-26'!$B$8:$K$332,9,FALSE)))</f>
        <v>0</v>
      </c>
      <c r="U113" s="64">
        <f t="shared" si="28"/>
        <v>2840</v>
      </c>
      <c r="V113" s="128">
        <f t="shared" si="29"/>
        <v>117.15680105158646</v>
      </c>
      <c r="W113" s="150"/>
      <c r="X113" s="64">
        <f>IFERROR(VLOOKUP($B113,#REF!,14,FALSE),0)</f>
        <v>0</v>
      </c>
      <c r="Y113" s="99">
        <f t="shared" si="30"/>
        <v>2840</v>
      </c>
      <c r="Z113" s="132">
        <f t="shared" si="31"/>
        <v>0</v>
      </c>
      <c r="AA113" s="151" t="str">
        <f t="shared" si="33"/>
        <v>C</v>
      </c>
      <c r="AC113" s="64"/>
      <c r="AE113" s="152"/>
      <c r="AH113" s="153"/>
      <c r="AI113" s="153"/>
      <c r="AJ113" s="153"/>
      <c r="AK113" s="154"/>
    </row>
    <row r="114" spans="1:37" x14ac:dyDescent="0.25">
      <c r="A114" s="142" t="s">
        <v>497</v>
      </c>
      <c r="B114" t="s">
        <v>578</v>
      </c>
      <c r="C114" t="s">
        <v>579</v>
      </c>
      <c r="D114" s="143">
        <f>IFERROR(VLOOKUP(B114,'Enrollment 25-26'!$B$5:$I$332,8,FALSE),0)</f>
        <v>161.66999999999999</v>
      </c>
      <c r="E114" s="64">
        <f t="shared" si="18"/>
        <v>18797</v>
      </c>
      <c r="F114" s="144">
        <v>0</v>
      </c>
      <c r="G114" s="144">
        <v>0</v>
      </c>
      <c r="H114" s="64">
        <f t="shared" si="19"/>
        <v>18797</v>
      </c>
      <c r="I114" s="64">
        <f t="shared" si="20"/>
        <v>0</v>
      </c>
      <c r="J114" s="145">
        <f t="shared" si="21"/>
        <v>18797</v>
      </c>
      <c r="K114" s="146" t="str">
        <f t="shared" si="32"/>
        <v>C</v>
      </c>
      <c r="L114" s="147">
        <f t="shared" si="22"/>
        <v>0</v>
      </c>
      <c r="M114" s="148">
        <f t="shared" si="23"/>
        <v>161.66999999999999</v>
      </c>
      <c r="N114" s="64">
        <f t="shared" si="24"/>
        <v>139</v>
      </c>
      <c r="O114" s="64">
        <f t="shared" si="25"/>
        <v>18936</v>
      </c>
      <c r="Q114" s="104">
        <f t="shared" si="26"/>
        <v>0</v>
      </c>
      <c r="R114" s="104" t="str">
        <f t="shared" si="27"/>
        <v>Not Applicable</v>
      </c>
      <c r="S114" s="149" t="s">
        <v>815</v>
      </c>
      <c r="T114" s="149">
        <f>IF(O114=0,0,IF(S114="N",0,VLOOKUP(B114,'Enrollment 25-26'!$B$8:$K$332,9,FALSE)))</f>
        <v>0</v>
      </c>
      <c r="U114" s="64">
        <f t="shared" si="28"/>
        <v>18936</v>
      </c>
      <c r="V114" s="128">
        <f t="shared" si="29"/>
        <v>117.12748190758954</v>
      </c>
      <c r="W114" s="150"/>
      <c r="X114" s="64">
        <f>IFERROR(VLOOKUP($B114,#REF!,14,FALSE),0)</f>
        <v>0</v>
      </c>
      <c r="Y114" s="99">
        <f t="shared" si="30"/>
        <v>18936</v>
      </c>
      <c r="Z114" s="132">
        <f t="shared" si="31"/>
        <v>0</v>
      </c>
      <c r="AA114" s="151" t="str">
        <f t="shared" si="33"/>
        <v>C</v>
      </c>
      <c r="AC114" s="64"/>
      <c r="AE114" s="152"/>
      <c r="AH114" s="153"/>
      <c r="AI114" s="153"/>
      <c r="AJ114" s="153"/>
      <c r="AK114" s="154"/>
    </row>
    <row r="115" spans="1:37" x14ac:dyDescent="0.25">
      <c r="A115" s="142" t="s">
        <v>497</v>
      </c>
      <c r="B115" t="s">
        <v>464</v>
      </c>
      <c r="C115" t="s">
        <v>113</v>
      </c>
      <c r="D115" s="143">
        <f>IFERROR(VLOOKUP(B115,'Enrollment 25-26'!$B$5:$I$332,8,FALSE),0)</f>
        <v>101.83</v>
      </c>
      <c r="E115" s="64">
        <f t="shared" si="18"/>
        <v>11840</v>
      </c>
      <c r="F115" s="144">
        <v>0</v>
      </c>
      <c r="G115" s="144">
        <v>0</v>
      </c>
      <c r="H115" s="64">
        <f t="shared" si="19"/>
        <v>11840</v>
      </c>
      <c r="I115" s="64">
        <f t="shared" si="20"/>
        <v>0</v>
      </c>
      <c r="J115" s="145">
        <f t="shared" si="21"/>
        <v>11840</v>
      </c>
      <c r="K115" s="146" t="str">
        <f t="shared" si="32"/>
        <v>C</v>
      </c>
      <c r="L115" s="147">
        <f t="shared" si="22"/>
        <v>0</v>
      </c>
      <c r="M115" s="148">
        <f t="shared" si="23"/>
        <v>101.83</v>
      </c>
      <c r="N115" s="64">
        <f t="shared" si="24"/>
        <v>88</v>
      </c>
      <c r="O115" s="64">
        <f t="shared" si="25"/>
        <v>11928</v>
      </c>
      <c r="Q115" s="104">
        <f t="shared" si="26"/>
        <v>0</v>
      </c>
      <c r="R115" s="104" t="str">
        <f t="shared" si="27"/>
        <v>Not Applicable</v>
      </c>
      <c r="S115" s="149" t="s">
        <v>815</v>
      </c>
      <c r="T115" s="149">
        <f>IF(O115=0,0,IF(S115="N",0,VLOOKUP(B115,'Enrollment 25-26'!$B$8:$K$332,9,FALSE)))</f>
        <v>0</v>
      </c>
      <c r="U115" s="64">
        <f t="shared" si="28"/>
        <v>11928</v>
      </c>
      <c r="V115" s="128">
        <f t="shared" si="29"/>
        <v>117.13640381027203</v>
      </c>
      <c r="W115" s="150"/>
      <c r="X115" s="64">
        <f>IFERROR(VLOOKUP($B115,#REF!,14,FALSE),0)</f>
        <v>0</v>
      </c>
      <c r="Y115" s="99">
        <f t="shared" si="30"/>
        <v>11928</v>
      </c>
      <c r="Z115" s="132">
        <f t="shared" si="31"/>
        <v>0</v>
      </c>
      <c r="AA115" s="151" t="str">
        <f t="shared" si="33"/>
        <v>C</v>
      </c>
      <c r="AC115" s="64"/>
      <c r="AE115" s="152"/>
      <c r="AH115" s="153"/>
      <c r="AI115" s="153"/>
      <c r="AJ115" s="153"/>
      <c r="AK115" s="154"/>
    </row>
    <row r="116" spans="1:37" x14ac:dyDescent="0.25">
      <c r="A116" s="142" t="s">
        <v>443</v>
      </c>
      <c r="B116" t="s">
        <v>580</v>
      </c>
      <c r="C116" t="s">
        <v>114</v>
      </c>
      <c r="D116" s="143">
        <f>IFERROR(VLOOKUP(B116,'Enrollment 25-26'!$B$5:$I$332,8,FALSE),0)</f>
        <v>41</v>
      </c>
      <c r="E116" s="64">
        <f t="shared" si="18"/>
        <v>4767</v>
      </c>
      <c r="F116" s="144">
        <v>0</v>
      </c>
      <c r="G116" s="144">
        <v>0</v>
      </c>
      <c r="H116" s="64">
        <f t="shared" si="19"/>
        <v>4767</v>
      </c>
      <c r="I116" s="64">
        <f t="shared" si="20"/>
        <v>0</v>
      </c>
      <c r="J116" s="145">
        <f t="shared" si="21"/>
        <v>4767</v>
      </c>
      <c r="K116" s="146" t="str">
        <f t="shared" si="32"/>
        <v>N</v>
      </c>
      <c r="L116" s="147">
        <f t="shared" si="22"/>
        <v>4767</v>
      </c>
      <c r="M116" s="148">
        <f t="shared" si="23"/>
        <v>0</v>
      </c>
      <c r="N116" s="64">
        <f t="shared" si="24"/>
        <v>0</v>
      </c>
      <c r="O116" s="64">
        <f t="shared" si="25"/>
        <v>0</v>
      </c>
      <c r="Q116" s="104">
        <f t="shared" si="26"/>
        <v>0</v>
      </c>
      <c r="R116" s="104" t="str">
        <f t="shared" si="27"/>
        <v>Not Applicable</v>
      </c>
      <c r="S116" s="149" t="s">
        <v>815</v>
      </c>
      <c r="T116" s="149">
        <f>IF(O116=0,0,IF(S116="N",0,VLOOKUP(B116,'Enrollment 25-26'!$B$8:$K$332,9,FALSE)))</f>
        <v>0</v>
      </c>
      <c r="U116" s="64">
        <f t="shared" si="28"/>
        <v>0</v>
      </c>
      <c r="V116" s="128">
        <f t="shared" si="29"/>
        <v>0</v>
      </c>
      <c r="W116" s="150"/>
      <c r="X116" s="64">
        <f>IFERROR(VLOOKUP($B116,#REF!,14,FALSE),0)</f>
        <v>0</v>
      </c>
      <c r="Y116" s="99">
        <f t="shared" si="30"/>
        <v>0</v>
      </c>
      <c r="Z116" s="132">
        <f t="shared" si="31"/>
        <v>0</v>
      </c>
      <c r="AA116" s="151" t="str">
        <f t="shared" si="33"/>
        <v>N</v>
      </c>
      <c r="AC116" s="64"/>
      <c r="AE116" s="152"/>
      <c r="AH116" s="153"/>
      <c r="AI116" s="153"/>
      <c r="AJ116" s="153"/>
      <c r="AK116" s="154"/>
    </row>
    <row r="117" spans="1:37" x14ac:dyDescent="0.25">
      <c r="A117" s="142" t="s">
        <v>446</v>
      </c>
      <c r="B117" t="s">
        <v>581</v>
      </c>
      <c r="C117" t="s">
        <v>115</v>
      </c>
      <c r="D117" s="143">
        <f>IFERROR(VLOOKUP(B117,'Enrollment 25-26'!$B$5:$I$332,8,FALSE),0)</f>
        <v>0</v>
      </c>
      <c r="E117" s="64">
        <f t="shared" si="18"/>
        <v>0</v>
      </c>
      <c r="F117" s="144">
        <v>0</v>
      </c>
      <c r="G117" s="144">
        <v>0</v>
      </c>
      <c r="H117" s="64">
        <f t="shared" si="19"/>
        <v>0</v>
      </c>
      <c r="I117" s="64">
        <f t="shared" si="20"/>
        <v>0</v>
      </c>
      <c r="J117" s="145">
        <f t="shared" si="21"/>
        <v>0</v>
      </c>
      <c r="K117" s="146" t="str">
        <f t="shared" si="32"/>
        <v>N</v>
      </c>
      <c r="L117" s="147">
        <f t="shared" si="22"/>
        <v>0</v>
      </c>
      <c r="M117" s="148">
        <f t="shared" si="23"/>
        <v>0</v>
      </c>
      <c r="N117" s="64">
        <f t="shared" si="24"/>
        <v>0</v>
      </c>
      <c r="O117" s="64">
        <f t="shared" si="25"/>
        <v>0</v>
      </c>
      <c r="Q117" s="104">
        <f t="shared" si="26"/>
        <v>0</v>
      </c>
      <c r="R117" s="104" t="str">
        <f t="shared" si="27"/>
        <v>Not Applicable</v>
      </c>
      <c r="S117" s="149" t="s">
        <v>815</v>
      </c>
      <c r="T117" s="149">
        <f>IF(O117=0,0,IF(S117="N",0,VLOOKUP(B117,'Enrollment 25-26'!$B$8:$K$332,9,FALSE)))</f>
        <v>0</v>
      </c>
      <c r="U117" s="64">
        <f t="shared" si="28"/>
        <v>0</v>
      </c>
      <c r="V117" s="128">
        <f t="shared" si="29"/>
        <v>0</v>
      </c>
      <c r="W117" s="150"/>
      <c r="X117" s="64">
        <f>IFERROR(VLOOKUP($B117,#REF!,14,FALSE),0)</f>
        <v>0</v>
      </c>
      <c r="Y117" s="99">
        <f t="shared" si="30"/>
        <v>0</v>
      </c>
      <c r="Z117" s="132">
        <f t="shared" si="31"/>
        <v>0</v>
      </c>
      <c r="AA117" s="151" t="str">
        <f t="shared" si="33"/>
        <v>N</v>
      </c>
      <c r="AC117" s="64"/>
      <c r="AE117" s="152"/>
      <c r="AH117" s="153"/>
      <c r="AI117" s="153"/>
      <c r="AJ117" s="153"/>
      <c r="AK117" s="154"/>
    </row>
    <row r="118" spans="1:37" x14ac:dyDescent="0.25">
      <c r="A118" s="142" t="s">
        <v>497</v>
      </c>
      <c r="B118" s="160" t="s">
        <v>769</v>
      </c>
      <c r="C118" s="13" t="s">
        <v>770</v>
      </c>
      <c r="D118" s="143">
        <f>IFERROR(VLOOKUP(B118,'Enrollment 25-26'!$B$5:$I$332,8,FALSE),0)</f>
        <v>0</v>
      </c>
      <c r="E118" s="64">
        <f t="shared" si="18"/>
        <v>0</v>
      </c>
      <c r="F118" s="144">
        <v>0</v>
      </c>
      <c r="G118" s="144">
        <v>0</v>
      </c>
      <c r="H118" s="64">
        <f t="shared" si="19"/>
        <v>0</v>
      </c>
      <c r="I118" s="64">
        <f t="shared" si="20"/>
        <v>0</v>
      </c>
      <c r="J118" s="145">
        <f t="shared" si="21"/>
        <v>0</v>
      </c>
      <c r="K118" s="146" t="str">
        <f t="shared" si="32"/>
        <v>N</v>
      </c>
      <c r="L118" s="147">
        <f t="shared" si="22"/>
        <v>0</v>
      </c>
      <c r="M118" s="148">
        <f t="shared" si="23"/>
        <v>0</v>
      </c>
      <c r="N118" s="64">
        <f t="shared" si="24"/>
        <v>0</v>
      </c>
      <c r="O118" s="64">
        <f t="shared" si="25"/>
        <v>0</v>
      </c>
      <c r="Q118" s="104">
        <f t="shared" si="26"/>
        <v>0</v>
      </c>
      <c r="R118" s="104" t="str">
        <f t="shared" si="27"/>
        <v>Not Applicable</v>
      </c>
      <c r="S118" s="149" t="s">
        <v>815</v>
      </c>
      <c r="T118" s="149">
        <f>IF(O118=0,0,IF(S118="N",0,VLOOKUP(B118,'Enrollment 25-26'!$B$8:$K$332,9,FALSE)))</f>
        <v>0</v>
      </c>
      <c r="U118" s="64">
        <f t="shared" si="28"/>
        <v>0</v>
      </c>
      <c r="V118" s="128">
        <f t="shared" si="29"/>
        <v>0</v>
      </c>
      <c r="W118" s="150"/>
      <c r="X118" s="64">
        <f>IFERROR(VLOOKUP($B118,#REF!,14,FALSE),0)</f>
        <v>0</v>
      </c>
      <c r="Y118" s="99">
        <f t="shared" si="30"/>
        <v>0</v>
      </c>
      <c r="Z118" s="132">
        <f t="shared" si="31"/>
        <v>0</v>
      </c>
      <c r="AA118" s="151" t="str">
        <f t="shared" si="33"/>
        <v>N</v>
      </c>
      <c r="AC118" s="64"/>
      <c r="AE118" s="152"/>
      <c r="AH118" s="153"/>
      <c r="AI118" s="153"/>
      <c r="AJ118" s="153"/>
      <c r="AK118" s="154"/>
    </row>
    <row r="119" spans="1:37" x14ac:dyDescent="0.25">
      <c r="A119" s="142" t="s">
        <v>454</v>
      </c>
      <c r="B119" t="s">
        <v>582</v>
      </c>
      <c r="C119" t="s">
        <v>116</v>
      </c>
      <c r="D119" s="143">
        <f>IFERROR(VLOOKUP(B119,'Enrollment 25-26'!$B$5:$I$332,8,FALSE),0)</f>
        <v>1372.8266666666668</v>
      </c>
      <c r="E119" s="64">
        <f t="shared" si="18"/>
        <v>159619</v>
      </c>
      <c r="F119" s="144">
        <v>0</v>
      </c>
      <c r="G119" s="144">
        <v>0</v>
      </c>
      <c r="H119" s="64">
        <f t="shared" si="19"/>
        <v>159619</v>
      </c>
      <c r="I119" s="64">
        <f t="shared" si="20"/>
        <v>0</v>
      </c>
      <c r="J119" s="145">
        <f t="shared" si="21"/>
        <v>159619</v>
      </c>
      <c r="K119" s="146" t="str">
        <f t="shared" si="32"/>
        <v>Y</v>
      </c>
      <c r="L119" s="147">
        <f t="shared" si="22"/>
        <v>0</v>
      </c>
      <c r="M119" s="148">
        <f t="shared" si="23"/>
        <v>1372.8266666666668</v>
      </c>
      <c r="N119" s="64">
        <f t="shared" si="24"/>
        <v>1180</v>
      </c>
      <c r="O119" s="64">
        <f t="shared" si="25"/>
        <v>160799</v>
      </c>
      <c r="Q119" s="104">
        <f t="shared" si="26"/>
        <v>0</v>
      </c>
      <c r="R119" s="104" t="str">
        <f t="shared" si="27"/>
        <v>Not Applicable</v>
      </c>
      <c r="S119" s="149" t="s">
        <v>815</v>
      </c>
      <c r="T119" s="149">
        <f>IF(O119=0,0,IF(S119="N",0,VLOOKUP(B119,'Enrollment 25-26'!$B$8:$K$332,9,FALSE)))</f>
        <v>0</v>
      </c>
      <c r="U119" s="64">
        <f t="shared" si="28"/>
        <v>160799</v>
      </c>
      <c r="V119" s="128">
        <f t="shared" si="29"/>
        <v>117.12986344476602</v>
      </c>
      <c r="W119" s="150"/>
      <c r="X119" s="64">
        <f>IFERROR(VLOOKUP($B119,#REF!,14,FALSE),0)</f>
        <v>0</v>
      </c>
      <c r="Y119" s="99">
        <f t="shared" si="30"/>
        <v>160799</v>
      </c>
      <c r="Z119" s="132">
        <f t="shared" si="31"/>
        <v>0</v>
      </c>
      <c r="AA119" s="151" t="str">
        <f t="shared" si="33"/>
        <v>Y</v>
      </c>
      <c r="AC119" s="64"/>
      <c r="AE119" s="152"/>
      <c r="AH119" s="153"/>
      <c r="AI119" s="153"/>
      <c r="AJ119" s="153"/>
      <c r="AK119" s="154"/>
    </row>
    <row r="120" spans="1:37" x14ac:dyDescent="0.25">
      <c r="A120" s="142" t="s">
        <v>451</v>
      </c>
      <c r="B120" t="s">
        <v>583</v>
      </c>
      <c r="C120" t="s">
        <v>117</v>
      </c>
      <c r="D120" s="143">
        <f>IFERROR(VLOOKUP(B120,'Enrollment 25-26'!$B$5:$I$332,8,FALSE),0)</f>
        <v>0</v>
      </c>
      <c r="E120" s="64">
        <f t="shared" si="18"/>
        <v>0</v>
      </c>
      <c r="F120" s="144">
        <v>0</v>
      </c>
      <c r="G120" s="144">
        <v>0</v>
      </c>
      <c r="H120" s="64">
        <f t="shared" si="19"/>
        <v>0</v>
      </c>
      <c r="I120" s="64">
        <f t="shared" si="20"/>
        <v>0</v>
      </c>
      <c r="J120" s="145">
        <f t="shared" si="21"/>
        <v>0</v>
      </c>
      <c r="K120" s="146" t="str">
        <f t="shared" si="32"/>
        <v>N</v>
      </c>
      <c r="L120" s="147">
        <f t="shared" si="22"/>
        <v>0</v>
      </c>
      <c r="M120" s="148">
        <f t="shared" si="23"/>
        <v>0</v>
      </c>
      <c r="N120" s="64">
        <f t="shared" si="24"/>
        <v>0</v>
      </c>
      <c r="O120" s="64">
        <f t="shared" si="25"/>
        <v>0</v>
      </c>
      <c r="Q120" s="104">
        <f t="shared" si="26"/>
        <v>0</v>
      </c>
      <c r="R120" s="104" t="str">
        <f t="shared" si="27"/>
        <v>Not Applicable</v>
      </c>
      <c r="S120" s="149" t="s">
        <v>815</v>
      </c>
      <c r="T120" s="149">
        <f>IF(O120=0,0,IF(S120="N",0,VLOOKUP(B120,'Enrollment 25-26'!$B$8:$K$332,9,FALSE)))</f>
        <v>0</v>
      </c>
      <c r="U120" s="64">
        <f t="shared" si="28"/>
        <v>0</v>
      </c>
      <c r="V120" s="128">
        <f t="shared" si="29"/>
        <v>0</v>
      </c>
      <c r="W120" s="150"/>
      <c r="X120" s="64">
        <f>IFERROR(VLOOKUP($B120,#REF!,14,FALSE),0)</f>
        <v>0</v>
      </c>
      <c r="Y120" s="99">
        <f t="shared" si="30"/>
        <v>0</v>
      </c>
      <c r="Z120" s="132">
        <f t="shared" si="31"/>
        <v>0</v>
      </c>
      <c r="AA120" s="151" t="str">
        <f t="shared" si="33"/>
        <v>N</v>
      </c>
      <c r="AC120" s="64"/>
      <c r="AE120" s="152"/>
      <c r="AH120" s="153"/>
      <c r="AI120" s="153"/>
      <c r="AJ120" s="153"/>
      <c r="AK120" s="154"/>
    </row>
    <row r="121" spans="1:37" x14ac:dyDescent="0.25">
      <c r="A121" s="142" t="s">
        <v>459</v>
      </c>
      <c r="B121" t="s">
        <v>584</v>
      </c>
      <c r="C121" t="s">
        <v>118</v>
      </c>
      <c r="D121" s="143">
        <f>IFERROR(VLOOKUP(B121,'Enrollment 25-26'!$B$5:$I$332,8,FALSE),0)</f>
        <v>35.159999999999997</v>
      </c>
      <c r="E121" s="64">
        <f t="shared" si="18"/>
        <v>4088</v>
      </c>
      <c r="F121" s="144">
        <v>0</v>
      </c>
      <c r="G121" s="144">
        <v>0</v>
      </c>
      <c r="H121" s="64">
        <f t="shared" si="19"/>
        <v>4088</v>
      </c>
      <c r="I121" s="64">
        <f t="shared" si="20"/>
        <v>0</v>
      </c>
      <c r="J121" s="145">
        <f t="shared" si="21"/>
        <v>4088</v>
      </c>
      <c r="K121" s="146" t="str">
        <f t="shared" si="32"/>
        <v>N</v>
      </c>
      <c r="L121" s="147">
        <f t="shared" si="22"/>
        <v>4088</v>
      </c>
      <c r="M121" s="148">
        <f t="shared" si="23"/>
        <v>0</v>
      </c>
      <c r="N121" s="64">
        <f t="shared" si="24"/>
        <v>0</v>
      </c>
      <c r="O121" s="64">
        <f t="shared" si="25"/>
        <v>0</v>
      </c>
      <c r="Q121" s="104">
        <f t="shared" si="26"/>
        <v>0</v>
      </c>
      <c r="R121" s="104" t="str">
        <f t="shared" si="27"/>
        <v>Not Applicable</v>
      </c>
      <c r="S121" s="149" t="s">
        <v>815</v>
      </c>
      <c r="T121" s="149">
        <f>IF(O121=0,0,IF(S121="N",0,VLOOKUP(B121,'Enrollment 25-26'!$B$8:$K$332,9,FALSE)))</f>
        <v>0</v>
      </c>
      <c r="U121" s="64">
        <f t="shared" si="28"/>
        <v>0</v>
      </c>
      <c r="V121" s="128">
        <f t="shared" si="29"/>
        <v>0</v>
      </c>
      <c r="W121" s="150"/>
      <c r="X121" s="64">
        <f>IFERROR(VLOOKUP($B121,#REF!,14,FALSE),0)</f>
        <v>0</v>
      </c>
      <c r="Y121" s="99">
        <f t="shared" si="30"/>
        <v>0</v>
      </c>
      <c r="Z121" s="132">
        <f t="shared" si="31"/>
        <v>0</v>
      </c>
      <c r="AA121" s="151" t="str">
        <f t="shared" si="33"/>
        <v>N</v>
      </c>
      <c r="AC121" s="64"/>
      <c r="AE121" s="152"/>
      <c r="AH121" s="153"/>
      <c r="AI121" s="153"/>
      <c r="AJ121" s="153"/>
      <c r="AK121" s="154"/>
    </row>
    <row r="122" spans="1:37" x14ac:dyDescent="0.25">
      <c r="A122" s="142" t="s">
        <v>443</v>
      </c>
      <c r="B122" t="s">
        <v>585</v>
      </c>
      <c r="C122" t="s">
        <v>119</v>
      </c>
      <c r="D122" s="143">
        <f>IFERROR(VLOOKUP(B122,'Enrollment 25-26'!$B$5:$I$332,8,FALSE),0)</f>
        <v>0</v>
      </c>
      <c r="E122" s="64">
        <f t="shared" si="18"/>
        <v>0</v>
      </c>
      <c r="F122" s="144">
        <v>0</v>
      </c>
      <c r="G122" s="144">
        <v>0</v>
      </c>
      <c r="H122" s="64">
        <f t="shared" si="19"/>
        <v>0</v>
      </c>
      <c r="I122" s="64">
        <f t="shared" si="20"/>
        <v>0</v>
      </c>
      <c r="J122" s="145">
        <f t="shared" si="21"/>
        <v>0</v>
      </c>
      <c r="K122" s="146" t="str">
        <f t="shared" si="32"/>
        <v>N</v>
      </c>
      <c r="L122" s="147">
        <f t="shared" si="22"/>
        <v>0</v>
      </c>
      <c r="M122" s="148">
        <f t="shared" si="23"/>
        <v>0</v>
      </c>
      <c r="N122" s="64">
        <f t="shared" si="24"/>
        <v>0</v>
      </c>
      <c r="O122" s="64">
        <f t="shared" si="25"/>
        <v>0</v>
      </c>
      <c r="Q122" s="104">
        <f t="shared" si="26"/>
        <v>0</v>
      </c>
      <c r="R122" s="104" t="str">
        <f t="shared" si="27"/>
        <v>Not Applicable</v>
      </c>
      <c r="S122" s="149" t="s">
        <v>815</v>
      </c>
      <c r="T122" s="149">
        <f>IF(O122=0,0,IF(S122="N",0,VLOOKUP(B122,'Enrollment 25-26'!$B$8:$K$332,9,FALSE)))</f>
        <v>0</v>
      </c>
      <c r="U122" s="64">
        <f t="shared" si="28"/>
        <v>0</v>
      </c>
      <c r="V122" s="128">
        <f t="shared" si="29"/>
        <v>0</v>
      </c>
      <c r="W122" s="150"/>
      <c r="X122" s="64">
        <f>IFERROR(VLOOKUP($B122,#REF!,14,FALSE),0)</f>
        <v>0</v>
      </c>
      <c r="Y122" s="99">
        <f t="shared" si="30"/>
        <v>0</v>
      </c>
      <c r="Z122" s="132">
        <f t="shared" si="31"/>
        <v>0</v>
      </c>
      <c r="AA122" s="151" t="str">
        <f t="shared" si="33"/>
        <v>N</v>
      </c>
      <c r="AC122" s="64"/>
      <c r="AE122" s="152"/>
      <c r="AH122" s="153"/>
      <c r="AI122" s="153"/>
      <c r="AJ122" s="153"/>
      <c r="AK122" s="154"/>
    </row>
    <row r="123" spans="1:37" x14ac:dyDescent="0.25">
      <c r="A123" s="142" t="s">
        <v>459</v>
      </c>
      <c r="B123" t="s">
        <v>586</v>
      </c>
      <c r="C123" t="s">
        <v>120</v>
      </c>
      <c r="D123" s="143">
        <f>IFERROR(VLOOKUP(B123,'Enrollment 25-26'!$B$5:$I$332,8,FALSE),0)</f>
        <v>349.49666666666673</v>
      </c>
      <c r="E123" s="64">
        <f t="shared" si="18"/>
        <v>40636</v>
      </c>
      <c r="F123" s="144">
        <v>0</v>
      </c>
      <c r="G123" s="144">
        <v>0</v>
      </c>
      <c r="H123" s="64">
        <f t="shared" si="19"/>
        <v>40636</v>
      </c>
      <c r="I123" s="64">
        <f t="shared" si="20"/>
        <v>0</v>
      </c>
      <c r="J123" s="145">
        <f t="shared" si="21"/>
        <v>40636</v>
      </c>
      <c r="K123" s="146" t="str">
        <f t="shared" si="32"/>
        <v>Y</v>
      </c>
      <c r="L123" s="147">
        <f t="shared" si="22"/>
        <v>0</v>
      </c>
      <c r="M123" s="148">
        <f t="shared" si="23"/>
        <v>349.49666666666673</v>
      </c>
      <c r="N123" s="64">
        <f t="shared" si="24"/>
        <v>300</v>
      </c>
      <c r="O123" s="64">
        <f t="shared" si="25"/>
        <v>40936</v>
      </c>
      <c r="Q123" s="104">
        <f t="shared" si="26"/>
        <v>0</v>
      </c>
      <c r="R123" s="104" t="str">
        <f t="shared" si="27"/>
        <v>Not Applicable</v>
      </c>
      <c r="S123" s="149" t="s">
        <v>815</v>
      </c>
      <c r="T123" s="149">
        <f>IF(O123=0,0,IF(S123="N",0,VLOOKUP(B123,'Enrollment 25-26'!$B$8:$K$332,9,FALSE)))</f>
        <v>0</v>
      </c>
      <c r="U123" s="64">
        <f t="shared" si="28"/>
        <v>40936</v>
      </c>
      <c r="V123" s="128">
        <f t="shared" si="29"/>
        <v>117.12844185447642</v>
      </c>
      <c r="W123" s="150"/>
      <c r="X123" s="64">
        <f>IFERROR(VLOOKUP($B123,#REF!,14,FALSE),0)</f>
        <v>0</v>
      </c>
      <c r="Y123" s="99">
        <f t="shared" si="30"/>
        <v>40936</v>
      </c>
      <c r="Z123" s="132">
        <f t="shared" si="31"/>
        <v>0</v>
      </c>
      <c r="AA123" s="151" t="str">
        <f t="shared" si="33"/>
        <v>Y</v>
      </c>
      <c r="AC123" s="64"/>
      <c r="AE123" s="152"/>
      <c r="AH123" s="153"/>
      <c r="AI123" s="153"/>
      <c r="AJ123" s="153"/>
      <c r="AK123" s="154"/>
    </row>
    <row r="124" spans="1:37" x14ac:dyDescent="0.25">
      <c r="A124" s="142" t="s">
        <v>451</v>
      </c>
      <c r="B124" t="s">
        <v>587</v>
      </c>
      <c r="C124" t="s">
        <v>121</v>
      </c>
      <c r="D124" s="143">
        <f>IFERROR(VLOOKUP(B124,'Enrollment 25-26'!$B$5:$I$332,8,FALSE),0)</f>
        <v>3578.17</v>
      </c>
      <c r="E124" s="64">
        <f t="shared" si="18"/>
        <v>416034</v>
      </c>
      <c r="F124" s="144">
        <v>0</v>
      </c>
      <c r="G124" s="144">
        <v>0</v>
      </c>
      <c r="H124" s="64">
        <f t="shared" si="19"/>
        <v>416034</v>
      </c>
      <c r="I124" s="64">
        <f t="shared" si="20"/>
        <v>0</v>
      </c>
      <c r="J124" s="145">
        <f t="shared" si="21"/>
        <v>416034</v>
      </c>
      <c r="K124" s="146" t="str">
        <f t="shared" si="32"/>
        <v>Y</v>
      </c>
      <c r="L124" s="147">
        <f t="shared" si="22"/>
        <v>0</v>
      </c>
      <c r="M124" s="148">
        <f t="shared" si="23"/>
        <v>3578.17</v>
      </c>
      <c r="N124" s="64">
        <f t="shared" si="24"/>
        <v>3076</v>
      </c>
      <c r="O124" s="64">
        <f t="shared" si="25"/>
        <v>419110</v>
      </c>
      <c r="Q124" s="104">
        <f t="shared" si="26"/>
        <v>0</v>
      </c>
      <c r="R124" s="104" t="str">
        <f t="shared" si="27"/>
        <v>Not Applicable</v>
      </c>
      <c r="S124" s="149" t="s">
        <v>815</v>
      </c>
      <c r="T124" s="149">
        <f>IF(O124=0,0,IF(S124="N",0,VLOOKUP(B124,'Enrollment 25-26'!$B$8:$K$332,9,FALSE)))</f>
        <v>0</v>
      </c>
      <c r="U124" s="64">
        <f t="shared" si="28"/>
        <v>419110</v>
      </c>
      <c r="V124" s="128">
        <f t="shared" si="29"/>
        <v>117.12970596701666</v>
      </c>
      <c r="W124" s="150"/>
      <c r="X124" s="64">
        <f>IFERROR(VLOOKUP($B124,#REF!,14,FALSE),0)</f>
        <v>0</v>
      </c>
      <c r="Y124" s="99">
        <f t="shared" si="30"/>
        <v>419110</v>
      </c>
      <c r="Z124" s="132">
        <f t="shared" si="31"/>
        <v>0</v>
      </c>
      <c r="AA124" s="151" t="str">
        <f t="shared" si="33"/>
        <v>Y</v>
      </c>
      <c r="AC124" s="64"/>
      <c r="AE124" s="152"/>
      <c r="AH124" s="153"/>
      <c r="AI124" s="153"/>
      <c r="AJ124" s="153"/>
      <c r="AK124" s="154"/>
    </row>
    <row r="125" spans="1:37" x14ac:dyDescent="0.25">
      <c r="A125" s="142" t="s">
        <v>454</v>
      </c>
      <c r="B125" t="s">
        <v>588</v>
      </c>
      <c r="C125" t="s">
        <v>122</v>
      </c>
      <c r="D125" s="143">
        <f>IFERROR(VLOOKUP(B125,'Enrollment 25-26'!$B$5:$I$332,8,FALSE),0)</f>
        <v>7857.67</v>
      </c>
      <c r="E125" s="64">
        <f t="shared" si="18"/>
        <v>913613</v>
      </c>
      <c r="F125" s="144">
        <v>0</v>
      </c>
      <c r="G125" s="144">
        <v>0</v>
      </c>
      <c r="H125" s="64">
        <f t="shared" si="19"/>
        <v>913613</v>
      </c>
      <c r="I125" s="64">
        <f t="shared" si="20"/>
        <v>0</v>
      </c>
      <c r="J125" s="145">
        <f t="shared" si="21"/>
        <v>913613</v>
      </c>
      <c r="K125" s="146" t="str">
        <f t="shared" si="32"/>
        <v>Y</v>
      </c>
      <c r="L125" s="147">
        <f t="shared" si="22"/>
        <v>0</v>
      </c>
      <c r="M125" s="148">
        <f t="shared" si="23"/>
        <v>7857.67</v>
      </c>
      <c r="N125" s="64">
        <f t="shared" si="24"/>
        <v>6755</v>
      </c>
      <c r="O125" s="64">
        <f t="shared" si="25"/>
        <v>920368</v>
      </c>
      <c r="Q125" s="104">
        <f t="shared" si="26"/>
        <v>0</v>
      </c>
      <c r="R125" s="104" t="str">
        <f t="shared" si="27"/>
        <v>Not Applicable</v>
      </c>
      <c r="S125" s="149" t="s">
        <v>815</v>
      </c>
      <c r="T125" s="149">
        <f>IF(O125=0,0,IF(S125="N",0,VLOOKUP(B125,'Enrollment 25-26'!$B$8:$K$332,9,FALSE)))</f>
        <v>0</v>
      </c>
      <c r="U125" s="64">
        <f t="shared" si="28"/>
        <v>920368</v>
      </c>
      <c r="V125" s="128">
        <f t="shared" si="29"/>
        <v>117.12988710393793</v>
      </c>
      <c r="W125" s="150"/>
      <c r="X125" s="64">
        <f>IFERROR(VLOOKUP($B125,#REF!,14,FALSE),0)</f>
        <v>0</v>
      </c>
      <c r="Y125" s="99">
        <f t="shared" si="30"/>
        <v>920368</v>
      </c>
      <c r="Z125" s="132">
        <f t="shared" si="31"/>
        <v>0</v>
      </c>
      <c r="AA125" s="151" t="str">
        <f t="shared" si="33"/>
        <v>Y</v>
      </c>
      <c r="AC125" s="64"/>
      <c r="AE125" s="152"/>
      <c r="AH125" s="153"/>
      <c r="AI125" s="153"/>
      <c r="AJ125" s="153"/>
      <c r="AK125" s="154"/>
    </row>
    <row r="126" spans="1:37" x14ac:dyDescent="0.25">
      <c r="A126" s="142" t="s">
        <v>443</v>
      </c>
      <c r="B126" t="s">
        <v>589</v>
      </c>
      <c r="C126" t="s">
        <v>123</v>
      </c>
      <c r="D126" s="143">
        <f>IFERROR(VLOOKUP(B126,'Enrollment 25-26'!$B$5:$I$332,8,FALSE),0)</f>
        <v>0</v>
      </c>
      <c r="E126" s="64">
        <f t="shared" si="18"/>
        <v>0</v>
      </c>
      <c r="F126" s="144">
        <v>0</v>
      </c>
      <c r="G126" s="144">
        <v>0</v>
      </c>
      <c r="H126" s="64">
        <f t="shared" si="19"/>
        <v>0</v>
      </c>
      <c r="I126" s="64">
        <f t="shared" si="20"/>
        <v>0</v>
      </c>
      <c r="J126" s="145">
        <f t="shared" si="21"/>
        <v>0</v>
      </c>
      <c r="K126" s="146" t="str">
        <f t="shared" si="32"/>
        <v>N</v>
      </c>
      <c r="L126" s="147">
        <f t="shared" si="22"/>
        <v>0</v>
      </c>
      <c r="M126" s="148">
        <f t="shared" si="23"/>
        <v>0</v>
      </c>
      <c r="N126" s="64">
        <f t="shared" si="24"/>
        <v>0</v>
      </c>
      <c r="O126" s="64">
        <f t="shared" si="25"/>
        <v>0</v>
      </c>
      <c r="Q126" s="104">
        <f t="shared" si="26"/>
        <v>0</v>
      </c>
      <c r="R126" s="104" t="str">
        <f t="shared" si="27"/>
        <v>Not Applicable</v>
      </c>
      <c r="S126" s="149" t="s">
        <v>815</v>
      </c>
      <c r="T126" s="149">
        <f>IF(O126=0,0,IF(S126="N",0,VLOOKUP(B126,'Enrollment 25-26'!$B$8:$K$332,9,FALSE)))</f>
        <v>0</v>
      </c>
      <c r="U126" s="64">
        <f t="shared" si="28"/>
        <v>0</v>
      </c>
      <c r="V126" s="128">
        <f t="shared" si="29"/>
        <v>0</v>
      </c>
      <c r="W126" s="150"/>
      <c r="X126" s="64">
        <f>IFERROR(VLOOKUP($B126,#REF!,14,FALSE),0)</f>
        <v>0</v>
      </c>
      <c r="Y126" s="99">
        <f t="shared" si="30"/>
        <v>0</v>
      </c>
      <c r="Z126" s="132">
        <f t="shared" si="31"/>
        <v>0</v>
      </c>
      <c r="AA126" s="151" t="str">
        <f t="shared" si="33"/>
        <v>N</v>
      </c>
      <c r="AC126" s="64"/>
      <c r="AE126" s="152"/>
      <c r="AH126" s="153"/>
      <c r="AI126" s="153"/>
      <c r="AJ126" s="153"/>
      <c r="AK126" s="154"/>
    </row>
    <row r="127" spans="1:37" x14ac:dyDescent="0.25">
      <c r="A127" s="142" t="s">
        <v>451</v>
      </c>
      <c r="B127" t="s">
        <v>590</v>
      </c>
      <c r="C127" t="s">
        <v>124</v>
      </c>
      <c r="D127" s="143">
        <f>IFERROR(VLOOKUP(B127,'Enrollment 25-26'!$B$5:$I$332,8,FALSE),0)</f>
        <v>347.33000000000004</v>
      </c>
      <c r="E127" s="64">
        <f t="shared" si="18"/>
        <v>40384</v>
      </c>
      <c r="F127" s="144">
        <v>0</v>
      </c>
      <c r="G127" s="144">
        <v>0</v>
      </c>
      <c r="H127" s="64">
        <f t="shared" si="19"/>
        <v>40384</v>
      </c>
      <c r="I127" s="64">
        <f t="shared" si="20"/>
        <v>0</v>
      </c>
      <c r="J127" s="145">
        <f t="shared" si="21"/>
        <v>40384</v>
      </c>
      <c r="K127" s="146" t="str">
        <f t="shared" si="32"/>
        <v>Y</v>
      </c>
      <c r="L127" s="147">
        <f t="shared" si="22"/>
        <v>0</v>
      </c>
      <c r="M127" s="148">
        <f t="shared" si="23"/>
        <v>347.33000000000004</v>
      </c>
      <c r="N127" s="64">
        <f t="shared" si="24"/>
        <v>299</v>
      </c>
      <c r="O127" s="64">
        <f t="shared" si="25"/>
        <v>40683</v>
      </c>
      <c r="Q127" s="104">
        <f t="shared" si="26"/>
        <v>0</v>
      </c>
      <c r="R127" s="104" t="str">
        <f t="shared" si="27"/>
        <v>Not Applicable</v>
      </c>
      <c r="S127" s="149" t="s">
        <v>815</v>
      </c>
      <c r="T127" s="149">
        <f>IF(O127=0,0,IF(S127="N",0,VLOOKUP(B127,'Enrollment 25-26'!$B$8:$K$332,9,FALSE)))</f>
        <v>0</v>
      </c>
      <c r="U127" s="64">
        <f t="shared" si="28"/>
        <v>40683</v>
      </c>
      <c r="V127" s="128">
        <f t="shared" si="29"/>
        <v>117.13068263610974</v>
      </c>
      <c r="W127" s="150"/>
      <c r="X127" s="64">
        <f>IFERROR(VLOOKUP($B127,#REF!,14,FALSE),0)</f>
        <v>0</v>
      </c>
      <c r="Y127" s="99">
        <f t="shared" si="30"/>
        <v>40683</v>
      </c>
      <c r="Z127" s="132">
        <f t="shared" si="31"/>
        <v>0</v>
      </c>
      <c r="AA127" s="151" t="str">
        <f t="shared" si="33"/>
        <v>Y</v>
      </c>
      <c r="AC127" s="64"/>
      <c r="AE127" s="152"/>
      <c r="AH127" s="153"/>
      <c r="AI127" s="153"/>
      <c r="AJ127" s="153"/>
      <c r="AK127" s="154"/>
    </row>
    <row r="128" spans="1:37" x14ac:dyDescent="0.25">
      <c r="A128" s="142" t="s">
        <v>471</v>
      </c>
      <c r="B128" t="s">
        <v>591</v>
      </c>
      <c r="C128" t="s">
        <v>125</v>
      </c>
      <c r="D128" s="143">
        <f>IFERROR(VLOOKUP(B128,'Enrollment 25-26'!$B$5:$I$332,8,FALSE),0)</f>
        <v>45</v>
      </c>
      <c r="E128" s="64">
        <f t="shared" si="18"/>
        <v>5232</v>
      </c>
      <c r="F128" s="144">
        <v>0</v>
      </c>
      <c r="G128" s="144">
        <v>0</v>
      </c>
      <c r="H128" s="64">
        <f t="shared" si="19"/>
        <v>5232</v>
      </c>
      <c r="I128" s="64">
        <f t="shared" si="20"/>
        <v>0</v>
      </c>
      <c r="J128" s="145">
        <f t="shared" si="21"/>
        <v>5232</v>
      </c>
      <c r="K128" s="146" t="str">
        <f t="shared" si="32"/>
        <v>N</v>
      </c>
      <c r="L128" s="147">
        <f t="shared" si="22"/>
        <v>5232</v>
      </c>
      <c r="M128" s="148">
        <f t="shared" si="23"/>
        <v>0</v>
      </c>
      <c r="N128" s="64">
        <f t="shared" si="24"/>
        <v>0</v>
      </c>
      <c r="O128" s="64">
        <f t="shared" si="25"/>
        <v>0</v>
      </c>
      <c r="Q128" s="104">
        <f t="shared" si="26"/>
        <v>0</v>
      </c>
      <c r="R128" s="104" t="str">
        <f t="shared" si="27"/>
        <v>Not Applicable</v>
      </c>
      <c r="S128" s="149" t="s">
        <v>815</v>
      </c>
      <c r="T128" s="149">
        <f>IF(O128=0,0,IF(S128="N",0,VLOOKUP(B128,'Enrollment 25-26'!$B$8:$K$332,9,FALSE)))</f>
        <v>0</v>
      </c>
      <c r="U128" s="64">
        <f t="shared" si="28"/>
        <v>0</v>
      </c>
      <c r="V128" s="128">
        <f t="shared" si="29"/>
        <v>0</v>
      </c>
      <c r="W128" s="150"/>
      <c r="X128" s="64">
        <f>IFERROR(VLOOKUP($B128,#REF!,14,FALSE),0)</f>
        <v>0</v>
      </c>
      <c r="Y128" s="99">
        <f t="shared" si="30"/>
        <v>0</v>
      </c>
      <c r="Z128" s="132">
        <f t="shared" si="31"/>
        <v>0</v>
      </c>
      <c r="AA128" s="151" t="str">
        <f t="shared" si="33"/>
        <v>N</v>
      </c>
      <c r="AC128" s="64"/>
      <c r="AE128" s="152"/>
      <c r="AH128" s="153"/>
      <c r="AI128" s="153"/>
      <c r="AJ128" s="153"/>
      <c r="AK128" s="154"/>
    </row>
    <row r="129" spans="1:37" x14ac:dyDescent="0.25">
      <c r="A129" s="142" t="s">
        <v>459</v>
      </c>
      <c r="B129" t="s">
        <v>592</v>
      </c>
      <c r="C129" t="s">
        <v>126</v>
      </c>
      <c r="D129" s="143">
        <f>IFERROR(VLOOKUP(B129,'Enrollment 25-26'!$B$5:$I$332,8,FALSE),0)</f>
        <v>0</v>
      </c>
      <c r="E129" s="64">
        <f t="shared" si="18"/>
        <v>0</v>
      </c>
      <c r="F129" s="144">
        <v>0</v>
      </c>
      <c r="G129" s="144">
        <v>0</v>
      </c>
      <c r="H129" s="64">
        <f t="shared" si="19"/>
        <v>0</v>
      </c>
      <c r="I129" s="64">
        <f t="shared" si="20"/>
        <v>0</v>
      </c>
      <c r="J129" s="145">
        <f t="shared" si="21"/>
        <v>0</v>
      </c>
      <c r="K129" s="146" t="str">
        <f t="shared" si="32"/>
        <v>N</v>
      </c>
      <c r="L129" s="147">
        <f t="shared" si="22"/>
        <v>0</v>
      </c>
      <c r="M129" s="148">
        <f t="shared" si="23"/>
        <v>0</v>
      </c>
      <c r="N129" s="64">
        <f t="shared" si="24"/>
        <v>0</v>
      </c>
      <c r="O129" s="64">
        <f t="shared" si="25"/>
        <v>0</v>
      </c>
      <c r="Q129" s="104">
        <f t="shared" si="26"/>
        <v>0</v>
      </c>
      <c r="R129" s="104" t="str">
        <f t="shared" si="27"/>
        <v>Not Applicable</v>
      </c>
      <c r="S129" s="149" t="s">
        <v>815</v>
      </c>
      <c r="T129" s="149">
        <f>IF(O129=0,0,IF(S129="N",0,VLOOKUP(B129,'Enrollment 25-26'!$B$8:$K$332,9,FALSE)))</f>
        <v>0</v>
      </c>
      <c r="U129" s="64">
        <f t="shared" si="28"/>
        <v>0</v>
      </c>
      <c r="V129" s="128">
        <f t="shared" si="29"/>
        <v>0</v>
      </c>
      <c r="W129" s="150"/>
      <c r="X129" s="64">
        <f>IFERROR(VLOOKUP($B129,#REF!,14,FALSE),0)</f>
        <v>0</v>
      </c>
      <c r="Y129" s="99">
        <f t="shared" si="30"/>
        <v>0</v>
      </c>
      <c r="Z129" s="132">
        <f t="shared" si="31"/>
        <v>0</v>
      </c>
      <c r="AA129" s="151" t="str">
        <f t="shared" si="33"/>
        <v>N</v>
      </c>
      <c r="AC129" s="64"/>
      <c r="AE129" s="152"/>
      <c r="AH129" s="153"/>
      <c r="AI129" s="153"/>
      <c r="AJ129" s="153"/>
      <c r="AK129" s="154"/>
    </row>
    <row r="130" spans="1:37" x14ac:dyDescent="0.25">
      <c r="A130" s="142" t="s">
        <v>446</v>
      </c>
      <c r="B130" t="s">
        <v>593</v>
      </c>
      <c r="C130" t="s">
        <v>127</v>
      </c>
      <c r="D130" s="143">
        <f>IFERROR(VLOOKUP(B130,'Enrollment 25-26'!$B$5:$I$332,8,FALSE),0)</f>
        <v>139.66666666666669</v>
      </c>
      <c r="E130" s="64">
        <f t="shared" si="18"/>
        <v>16239</v>
      </c>
      <c r="F130" s="144">
        <v>0</v>
      </c>
      <c r="G130" s="144">
        <v>0</v>
      </c>
      <c r="H130" s="64">
        <f t="shared" si="19"/>
        <v>16239</v>
      </c>
      <c r="I130" s="64">
        <f t="shared" si="20"/>
        <v>0</v>
      </c>
      <c r="J130" s="145">
        <f t="shared" si="21"/>
        <v>16239</v>
      </c>
      <c r="K130" s="146" t="str">
        <f t="shared" si="32"/>
        <v>Y</v>
      </c>
      <c r="L130" s="147">
        <f t="shared" si="22"/>
        <v>0</v>
      </c>
      <c r="M130" s="148">
        <f t="shared" si="23"/>
        <v>139.66666666666669</v>
      </c>
      <c r="N130" s="64">
        <f t="shared" si="24"/>
        <v>120</v>
      </c>
      <c r="O130" s="64">
        <f t="shared" si="25"/>
        <v>16359</v>
      </c>
      <c r="Q130" s="104">
        <f t="shared" si="26"/>
        <v>0</v>
      </c>
      <c r="R130" s="104" t="str">
        <f t="shared" si="27"/>
        <v>Not Applicable</v>
      </c>
      <c r="S130" s="149" t="s">
        <v>815</v>
      </c>
      <c r="T130" s="149">
        <f>IF(O130=0,0,IF(S130="N",0,VLOOKUP(B130,'Enrollment 25-26'!$B$8:$K$332,9,FALSE)))</f>
        <v>0</v>
      </c>
      <c r="U130" s="64">
        <f t="shared" si="28"/>
        <v>16359</v>
      </c>
      <c r="V130" s="128">
        <f t="shared" si="29"/>
        <v>117.12887828162289</v>
      </c>
      <c r="W130" s="150"/>
      <c r="X130" s="64">
        <f>IFERROR(VLOOKUP($B130,#REF!,14,FALSE),0)</f>
        <v>0</v>
      </c>
      <c r="Y130" s="99">
        <f t="shared" si="30"/>
        <v>16359</v>
      </c>
      <c r="Z130" s="132">
        <f t="shared" si="31"/>
        <v>0</v>
      </c>
      <c r="AA130" s="151" t="str">
        <f t="shared" si="33"/>
        <v>Y</v>
      </c>
      <c r="AC130" s="64"/>
      <c r="AE130" s="152"/>
      <c r="AH130" s="153"/>
      <c r="AI130" s="153"/>
      <c r="AJ130" s="153"/>
      <c r="AK130" s="154"/>
    </row>
    <row r="131" spans="1:37" x14ac:dyDescent="0.25">
      <c r="A131" s="142" t="s">
        <v>459</v>
      </c>
      <c r="B131" t="s">
        <v>594</v>
      </c>
      <c r="C131" t="s">
        <v>128</v>
      </c>
      <c r="D131" s="143">
        <f>IFERROR(VLOOKUP(B131,'Enrollment 25-26'!$B$5:$I$332,8,FALSE),0)</f>
        <v>50.67</v>
      </c>
      <c r="E131" s="64">
        <f t="shared" si="18"/>
        <v>5891</v>
      </c>
      <c r="F131" s="144">
        <v>0</v>
      </c>
      <c r="G131" s="144">
        <v>0</v>
      </c>
      <c r="H131" s="64">
        <f t="shared" si="19"/>
        <v>5891</v>
      </c>
      <c r="I131" s="64">
        <f t="shared" si="20"/>
        <v>0</v>
      </c>
      <c r="J131" s="145">
        <f t="shared" si="21"/>
        <v>5891</v>
      </c>
      <c r="K131" s="146" t="str">
        <f t="shared" si="32"/>
        <v>C</v>
      </c>
      <c r="L131" s="147">
        <f t="shared" si="22"/>
        <v>0</v>
      </c>
      <c r="M131" s="148">
        <f t="shared" si="23"/>
        <v>50.67</v>
      </c>
      <c r="N131" s="64">
        <f t="shared" si="24"/>
        <v>44</v>
      </c>
      <c r="O131" s="64">
        <f t="shared" si="25"/>
        <v>5935</v>
      </c>
      <c r="Q131" s="104">
        <f t="shared" si="26"/>
        <v>0</v>
      </c>
      <c r="R131" s="104" t="str">
        <f t="shared" si="27"/>
        <v>Not Applicable</v>
      </c>
      <c r="S131" s="149" t="s">
        <v>815</v>
      </c>
      <c r="T131" s="149">
        <f>IF(O131=0,0,IF(S131="N",0,VLOOKUP(B131,'Enrollment 25-26'!$B$8:$K$332,9,FALSE)))</f>
        <v>0</v>
      </c>
      <c r="U131" s="64">
        <f t="shared" si="28"/>
        <v>5935</v>
      </c>
      <c r="V131" s="128">
        <f t="shared" si="29"/>
        <v>117.13045194395106</v>
      </c>
      <c r="W131" s="150"/>
      <c r="X131" s="64">
        <f>IFERROR(VLOOKUP($B131,#REF!,14,FALSE),0)</f>
        <v>0</v>
      </c>
      <c r="Y131" s="99">
        <f t="shared" si="30"/>
        <v>5935</v>
      </c>
      <c r="Z131" s="132">
        <f t="shared" si="31"/>
        <v>0</v>
      </c>
      <c r="AA131" s="151" t="str">
        <f t="shared" si="33"/>
        <v>C</v>
      </c>
      <c r="AC131" s="64"/>
      <c r="AE131" s="152"/>
      <c r="AH131" s="153"/>
      <c r="AI131" s="153"/>
      <c r="AJ131" s="153"/>
      <c r="AK131" s="154"/>
    </row>
    <row r="132" spans="1:37" x14ac:dyDescent="0.25">
      <c r="A132" s="142" t="s">
        <v>443</v>
      </c>
      <c r="B132" t="s">
        <v>595</v>
      </c>
      <c r="C132" t="s">
        <v>129</v>
      </c>
      <c r="D132" s="143">
        <f>IFERROR(VLOOKUP(B132,'Enrollment 25-26'!$B$5:$I$332,8,FALSE),0)</f>
        <v>0</v>
      </c>
      <c r="E132" s="64">
        <f t="shared" si="18"/>
        <v>0</v>
      </c>
      <c r="F132" s="144">
        <v>0</v>
      </c>
      <c r="G132" s="144">
        <v>0</v>
      </c>
      <c r="H132" s="64">
        <f t="shared" si="19"/>
        <v>0</v>
      </c>
      <c r="I132" s="64">
        <f t="shared" si="20"/>
        <v>0</v>
      </c>
      <c r="J132" s="145">
        <f t="shared" si="21"/>
        <v>0</v>
      </c>
      <c r="K132" s="146" t="str">
        <f t="shared" si="32"/>
        <v>N</v>
      </c>
      <c r="L132" s="147">
        <f t="shared" si="22"/>
        <v>0</v>
      </c>
      <c r="M132" s="148">
        <f t="shared" si="23"/>
        <v>0</v>
      </c>
      <c r="N132" s="64">
        <f t="shared" si="24"/>
        <v>0</v>
      </c>
      <c r="O132" s="64">
        <f t="shared" si="25"/>
        <v>0</v>
      </c>
      <c r="Q132" s="104">
        <f t="shared" si="26"/>
        <v>0</v>
      </c>
      <c r="R132" s="104" t="str">
        <f t="shared" si="27"/>
        <v>Not Applicable</v>
      </c>
      <c r="S132" s="149" t="s">
        <v>815</v>
      </c>
      <c r="T132" s="149">
        <f>IF(O132=0,0,IF(S132="N",0,VLOOKUP(B132,'Enrollment 25-26'!$B$8:$K$332,9,FALSE)))</f>
        <v>0</v>
      </c>
      <c r="U132" s="64">
        <f t="shared" si="28"/>
        <v>0</v>
      </c>
      <c r="V132" s="128">
        <f t="shared" si="29"/>
        <v>0</v>
      </c>
      <c r="W132" s="150"/>
      <c r="X132" s="64">
        <f>IFERROR(VLOOKUP($B132,#REF!,14,FALSE),0)</f>
        <v>0</v>
      </c>
      <c r="Y132" s="99">
        <f t="shared" si="30"/>
        <v>0</v>
      </c>
      <c r="Z132" s="132">
        <f t="shared" si="31"/>
        <v>0</v>
      </c>
      <c r="AA132" s="151" t="str">
        <f t="shared" si="33"/>
        <v>N</v>
      </c>
      <c r="AC132" s="64"/>
      <c r="AE132" s="152"/>
      <c r="AH132" s="153"/>
      <c r="AI132" s="153"/>
      <c r="AJ132" s="153"/>
      <c r="AK132" s="154"/>
    </row>
    <row r="133" spans="1:37" x14ac:dyDescent="0.25">
      <c r="A133" s="142" t="s">
        <v>481</v>
      </c>
      <c r="B133" t="s">
        <v>596</v>
      </c>
      <c r="C133" t="s">
        <v>130</v>
      </c>
      <c r="D133" s="143">
        <f>IFERROR(VLOOKUP(B133,'Enrollment 25-26'!$B$5:$I$332,8,FALSE),0)</f>
        <v>369</v>
      </c>
      <c r="E133" s="64">
        <f t="shared" si="18"/>
        <v>42904</v>
      </c>
      <c r="F133" s="144">
        <v>0</v>
      </c>
      <c r="G133" s="144">
        <v>0</v>
      </c>
      <c r="H133" s="64">
        <f t="shared" si="19"/>
        <v>42904</v>
      </c>
      <c r="I133" s="64">
        <f t="shared" si="20"/>
        <v>0</v>
      </c>
      <c r="J133" s="145">
        <f t="shared" si="21"/>
        <v>42904</v>
      </c>
      <c r="K133" s="146" t="str">
        <f t="shared" si="32"/>
        <v>Y</v>
      </c>
      <c r="L133" s="147">
        <f t="shared" si="22"/>
        <v>0</v>
      </c>
      <c r="M133" s="148">
        <f t="shared" si="23"/>
        <v>369</v>
      </c>
      <c r="N133" s="64">
        <f t="shared" si="24"/>
        <v>317</v>
      </c>
      <c r="O133" s="64">
        <f t="shared" si="25"/>
        <v>43221</v>
      </c>
      <c r="Q133" s="104">
        <f t="shared" si="26"/>
        <v>0</v>
      </c>
      <c r="R133" s="104" t="str">
        <f t="shared" si="27"/>
        <v>Not Applicable</v>
      </c>
      <c r="S133" s="149" t="s">
        <v>815</v>
      </c>
      <c r="T133" s="149">
        <f>IF(O133=0,0,IF(S133="N",0,VLOOKUP(B133,'Enrollment 25-26'!$B$8:$K$332,9,FALSE)))</f>
        <v>0</v>
      </c>
      <c r="U133" s="64">
        <f t="shared" si="28"/>
        <v>43221</v>
      </c>
      <c r="V133" s="128">
        <f t="shared" si="29"/>
        <v>117.130081300813</v>
      </c>
      <c r="W133" s="150"/>
      <c r="X133" s="64">
        <f>IFERROR(VLOOKUP($B133,#REF!,14,FALSE),0)</f>
        <v>0</v>
      </c>
      <c r="Y133" s="99">
        <f t="shared" si="30"/>
        <v>43221</v>
      </c>
      <c r="Z133" s="132">
        <f t="shared" si="31"/>
        <v>0</v>
      </c>
      <c r="AA133" s="151" t="str">
        <f t="shared" si="33"/>
        <v>Y</v>
      </c>
      <c r="AC133" s="64"/>
      <c r="AE133" s="152"/>
      <c r="AH133" s="153"/>
      <c r="AI133" s="153"/>
      <c r="AJ133" s="153"/>
      <c r="AK133" s="154"/>
    </row>
    <row r="134" spans="1:37" x14ac:dyDescent="0.25">
      <c r="A134" s="142" t="s">
        <v>446</v>
      </c>
      <c r="B134" t="s">
        <v>597</v>
      </c>
      <c r="C134" t="s">
        <v>131</v>
      </c>
      <c r="D134" s="143">
        <f>IFERROR(VLOOKUP(B134,'Enrollment 25-26'!$B$5:$I$332,8,FALSE),0)</f>
        <v>752</v>
      </c>
      <c r="E134" s="64">
        <f t="shared" si="18"/>
        <v>87435</v>
      </c>
      <c r="F134" s="144">
        <v>0</v>
      </c>
      <c r="G134" s="144">
        <v>0</v>
      </c>
      <c r="H134" s="64">
        <f t="shared" si="19"/>
        <v>87435</v>
      </c>
      <c r="I134" s="64">
        <f t="shared" si="20"/>
        <v>0</v>
      </c>
      <c r="J134" s="145">
        <f t="shared" si="21"/>
        <v>87435</v>
      </c>
      <c r="K134" s="146" t="str">
        <f t="shared" si="32"/>
        <v>Y</v>
      </c>
      <c r="L134" s="147">
        <f t="shared" si="22"/>
        <v>0</v>
      </c>
      <c r="M134" s="148">
        <f t="shared" si="23"/>
        <v>752</v>
      </c>
      <c r="N134" s="64">
        <f t="shared" si="24"/>
        <v>646</v>
      </c>
      <c r="O134" s="64">
        <f t="shared" si="25"/>
        <v>88081</v>
      </c>
      <c r="Q134" s="104">
        <f t="shared" si="26"/>
        <v>0</v>
      </c>
      <c r="R134" s="104" t="str">
        <f t="shared" si="27"/>
        <v>Not Applicable</v>
      </c>
      <c r="S134" s="149" t="s">
        <v>815</v>
      </c>
      <c r="T134" s="149">
        <f>IF(O134=0,0,IF(S134="N",0,VLOOKUP(B134,'Enrollment 25-26'!$B$8:$K$332,9,FALSE)))</f>
        <v>0</v>
      </c>
      <c r="U134" s="64">
        <f t="shared" si="28"/>
        <v>88081</v>
      </c>
      <c r="V134" s="128">
        <f t="shared" si="29"/>
        <v>117.12898936170212</v>
      </c>
      <c r="W134" s="150"/>
      <c r="X134" s="64">
        <f>IFERROR(VLOOKUP($B134,#REF!,14,FALSE),0)</f>
        <v>0</v>
      </c>
      <c r="Y134" s="99">
        <f t="shared" si="30"/>
        <v>88081</v>
      </c>
      <c r="Z134" s="132">
        <f t="shared" si="31"/>
        <v>0</v>
      </c>
      <c r="AA134" s="151" t="str">
        <f t="shared" si="33"/>
        <v>Y</v>
      </c>
      <c r="AC134" s="64"/>
      <c r="AE134" s="152"/>
      <c r="AH134" s="153"/>
      <c r="AI134" s="153"/>
      <c r="AJ134" s="153"/>
      <c r="AK134" s="154"/>
    </row>
    <row r="135" spans="1:37" x14ac:dyDescent="0.25">
      <c r="A135" s="142" t="s">
        <v>454</v>
      </c>
      <c r="B135" t="s">
        <v>598</v>
      </c>
      <c r="C135" t="s">
        <v>133</v>
      </c>
      <c r="D135" s="143">
        <f>IFERROR(VLOOKUP(B135,'Enrollment 25-26'!$B$5:$I$332,8,FALSE),0)</f>
        <v>3690.5</v>
      </c>
      <c r="E135" s="64">
        <f t="shared" si="18"/>
        <v>429095</v>
      </c>
      <c r="F135" s="144">
        <v>0</v>
      </c>
      <c r="G135" s="144">
        <v>0</v>
      </c>
      <c r="H135" s="64">
        <f t="shared" si="19"/>
        <v>429095</v>
      </c>
      <c r="I135" s="64">
        <f t="shared" si="20"/>
        <v>0</v>
      </c>
      <c r="J135" s="145">
        <f t="shared" si="21"/>
        <v>429095</v>
      </c>
      <c r="K135" s="146" t="str">
        <f t="shared" si="32"/>
        <v>Y</v>
      </c>
      <c r="L135" s="147">
        <f t="shared" si="22"/>
        <v>0</v>
      </c>
      <c r="M135" s="148">
        <f t="shared" si="23"/>
        <v>3690.5</v>
      </c>
      <c r="N135" s="64">
        <f t="shared" si="24"/>
        <v>3173</v>
      </c>
      <c r="O135" s="64">
        <f t="shared" si="25"/>
        <v>432268</v>
      </c>
      <c r="Q135" s="104">
        <f t="shared" si="26"/>
        <v>0</v>
      </c>
      <c r="R135" s="104" t="str">
        <f t="shared" si="27"/>
        <v>Not Applicable</v>
      </c>
      <c r="S135" s="149" t="s">
        <v>815</v>
      </c>
      <c r="T135" s="149">
        <f>IF(O135=0,0,IF(S135="N",0,VLOOKUP(B135,'Enrollment 25-26'!$B$8:$K$332,9,FALSE)))</f>
        <v>0</v>
      </c>
      <c r="U135" s="64">
        <f t="shared" si="28"/>
        <v>432268</v>
      </c>
      <c r="V135" s="128">
        <f t="shared" si="29"/>
        <v>117.12992819401165</v>
      </c>
      <c r="W135" s="150"/>
      <c r="X135" s="64">
        <f>IFERROR(VLOOKUP($B135,#REF!,14,FALSE),0)</f>
        <v>0</v>
      </c>
      <c r="Y135" s="99">
        <f t="shared" si="30"/>
        <v>432268</v>
      </c>
      <c r="Z135" s="132">
        <f t="shared" si="31"/>
        <v>0</v>
      </c>
      <c r="AA135" s="151" t="str">
        <f t="shared" si="33"/>
        <v>Y</v>
      </c>
      <c r="AC135" s="64"/>
      <c r="AE135" s="152"/>
      <c r="AH135" s="153"/>
      <c r="AI135" s="153"/>
      <c r="AJ135" s="153"/>
      <c r="AK135" s="154"/>
    </row>
    <row r="136" spans="1:37" x14ac:dyDescent="0.25">
      <c r="A136" s="142" t="s">
        <v>446</v>
      </c>
      <c r="B136" t="s">
        <v>599</v>
      </c>
      <c r="C136" t="s">
        <v>134</v>
      </c>
      <c r="D136" s="143">
        <f>IFERROR(VLOOKUP(B136,'Enrollment 25-26'!$B$5:$I$332,8,FALSE),0)</f>
        <v>318.66000000000003</v>
      </c>
      <c r="E136" s="64">
        <f t="shared" si="18"/>
        <v>37051</v>
      </c>
      <c r="F136" s="144">
        <v>0</v>
      </c>
      <c r="G136" s="144">
        <v>0</v>
      </c>
      <c r="H136" s="64">
        <f t="shared" si="19"/>
        <v>37051</v>
      </c>
      <c r="I136" s="64">
        <f t="shared" si="20"/>
        <v>0</v>
      </c>
      <c r="J136" s="145">
        <f t="shared" si="21"/>
        <v>37051</v>
      </c>
      <c r="K136" s="146" t="str">
        <f t="shared" si="32"/>
        <v>Y</v>
      </c>
      <c r="L136" s="147">
        <f t="shared" si="22"/>
        <v>0</v>
      </c>
      <c r="M136" s="148">
        <f t="shared" si="23"/>
        <v>318.66000000000003</v>
      </c>
      <c r="N136" s="64">
        <f t="shared" si="24"/>
        <v>274</v>
      </c>
      <c r="O136" s="64">
        <f t="shared" si="25"/>
        <v>37325</v>
      </c>
      <c r="Q136" s="104">
        <f t="shared" si="26"/>
        <v>0</v>
      </c>
      <c r="R136" s="104" t="str">
        <f t="shared" si="27"/>
        <v>Not Applicable</v>
      </c>
      <c r="S136" s="149" t="s">
        <v>815</v>
      </c>
      <c r="T136" s="149">
        <f>IF(O136=0,0,IF(S136="N",0,VLOOKUP(B136,'Enrollment 25-26'!$B$8:$K$332,9,FALSE)))</f>
        <v>0</v>
      </c>
      <c r="U136" s="64">
        <f t="shared" si="28"/>
        <v>37325</v>
      </c>
      <c r="V136" s="128">
        <f t="shared" si="29"/>
        <v>117.1311115295299</v>
      </c>
      <c r="W136" s="150"/>
      <c r="X136" s="64">
        <f>IFERROR(VLOOKUP($B136,#REF!,14,FALSE),0)</f>
        <v>0</v>
      </c>
      <c r="Y136" s="99">
        <f t="shared" si="30"/>
        <v>37325</v>
      </c>
      <c r="Z136" s="132">
        <f t="shared" si="31"/>
        <v>0</v>
      </c>
      <c r="AA136" s="151" t="str">
        <f t="shared" si="33"/>
        <v>Y</v>
      </c>
      <c r="AC136" s="64"/>
      <c r="AE136" s="152"/>
      <c r="AH136" s="153"/>
      <c r="AI136" s="153"/>
      <c r="AJ136" s="153"/>
      <c r="AK136" s="154"/>
    </row>
    <row r="137" spans="1:37" x14ac:dyDescent="0.25">
      <c r="A137" s="142" t="s">
        <v>443</v>
      </c>
      <c r="B137" t="s">
        <v>600</v>
      </c>
      <c r="C137" t="s">
        <v>135</v>
      </c>
      <c r="D137" s="143">
        <f>IFERROR(VLOOKUP(B137,'Enrollment 25-26'!$B$5:$I$332,8,FALSE),0)</f>
        <v>0</v>
      </c>
      <c r="E137" s="64">
        <f t="shared" ref="E137:E200" si="34">ROUND($D137/$D$7*$E$6,0)</f>
        <v>0</v>
      </c>
      <c r="F137" s="144">
        <v>0</v>
      </c>
      <c r="G137" s="144">
        <v>0</v>
      </c>
      <c r="H137" s="64">
        <f t="shared" ref="H137:H200" si="35">SUM(E137:G137)</f>
        <v>0</v>
      </c>
      <c r="I137" s="64">
        <f t="shared" ref="I137:I200" si="36">ROUND($D137/$D$7*$I$6,0)</f>
        <v>0</v>
      </c>
      <c r="J137" s="145">
        <f t="shared" ref="J137:J200" si="37">+H137+I137</f>
        <v>0</v>
      </c>
      <c r="K137" s="146" t="str">
        <f t="shared" si="32"/>
        <v>N</v>
      </c>
      <c r="L137" s="147">
        <f t="shared" ref="L137:L200" si="38">IF(OR(K137="N",K137="NR",AND(J137&lt;$L$6,K137&lt;&gt;"C")),J137,0)</f>
        <v>0</v>
      </c>
      <c r="M137" s="148">
        <f t="shared" ref="M137:M200" si="39">IF(L137=0,D137,0)</f>
        <v>0</v>
      </c>
      <c r="N137" s="64">
        <f t="shared" ref="N137:N200" si="40">ROUND(M137/$M$7*$L$3,0)</f>
        <v>0</v>
      </c>
      <c r="O137" s="64">
        <f t="shared" ref="O137:O200" si="41">J137-L137+N137</f>
        <v>0</v>
      </c>
      <c r="Q137" s="104">
        <f t="shared" ref="Q137:Q200" si="42">-ROUND(IF(P137&gt;0,O137*(0.9-P137),0),0)</f>
        <v>0</v>
      </c>
      <c r="R137" s="104" t="str">
        <f t="shared" ref="R137:R200" si="43">IF($R$7=0,"Not Applicable",T137*($R$7/$T$7))</f>
        <v>Not Applicable</v>
      </c>
      <c r="S137" s="149" t="s">
        <v>815</v>
      </c>
      <c r="T137" s="149">
        <f>IF(O137=0,0,IF(S137="N",0,VLOOKUP(B137,'Enrollment 25-26'!$B$8:$K$332,9,FALSE)))</f>
        <v>0</v>
      </c>
      <c r="U137" s="64">
        <f t="shared" ref="U137:U200" si="44">IF(ISNUMBER(R137),O137+R137,O137)</f>
        <v>0</v>
      </c>
      <c r="V137" s="128">
        <f t="shared" ref="V137:V200" si="45">IF(M137=0,0,O137/M137)</f>
        <v>0</v>
      </c>
      <c r="W137" s="150"/>
      <c r="X137" s="64">
        <f>IFERROR(VLOOKUP($B137,#REF!,14,FALSE),0)</f>
        <v>0</v>
      </c>
      <c r="Y137" s="99">
        <f t="shared" ref="Y137:Y200" si="46">O137-X137</f>
        <v>0</v>
      </c>
      <c r="Z137" s="132">
        <f t="shared" ref="Z137:Z200" si="47">IFERROR(IF(X137&gt;0,Y137/X137,0),0)</f>
        <v>0</v>
      </c>
      <c r="AA137" s="151" t="str">
        <f t="shared" si="33"/>
        <v>N</v>
      </c>
      <c r="AC137" s="64"/>
      <c r="AE137" s="152"/>
      <c r="AH137" s="153"/>
      <c r="AI137" s="153"/>
      <c r="AJ137" s="153"/>
      <c r="AK137" s="154"/>
    </row>
    <row r="138" spans="1:37" x14ac:dyDescent="0.25">
      <c r="A138" s="142" t="s">
        <v>443</v>
      </c>
      <c r="B138" t="s">
        <v>601</v>
      </c>
      <c r="C138" t="s">
        <v>136</v>
      </c>
      <c r="D138" s="143">
        <f>IFERROR(VLOOKUP(B138,'Enrollment 25-26'!$B$5:$I$332,8,FALSE),0)</f>
        <v>5</v>
      </c>
      <c r="E138" s="64">
        <f t="shared" si="34"/>
        <v>581</v>
      </c>
      <c r="F138" s="144">
        <v>0</v>
      </c>
      <c r="G138" s="144">
        <v>0</v>
      </c>
      <c r="H138" s="64">
        <f t="shared" si="35"/>
        <v>581</v>
      </c>
      <c r="I138" s="64">
        <f t="shared" si="36"/>
        <v>0</v>
      </c>
      <c r="J138" s="145">
        <f t="shared" si="37"/>
        <v>581</v>
      </c>
      <c r="K138" s="146" t="str">
        <f t="shared" ref="K138:K201" si="48">IF(ISERROR(VLOOKUP(B138,$AC$9:$AC$50,1,0)),IF(J138&gt;10000,"Y","N"), "C")</f>
        <v>N</v>
      </c>
      <c r="L138" s="147">
        <f t="shared" si="38"/>
        <v>581</v>
      </c>
      <c r="M138" s="148">
        <f t="shared" si="39"/>
        <v>0</v>
      </c>
      <c r="N138" s="64">
        <f t="shared" si="40"/>
        <v>0</v>
      </c>
      <c r="O138" s="64">
        <f t="shared" si="41"/>
        <v>0</v>
      </c>
      <c r="Q138" s="104">
        <f t="shared" si="42"/>
        <v>0</v>
      </c>
      <c r="R138" s="104" t="str">
        <f t="shared" si="43"/>
        <v>Not Applicable</v>
      </c>
      <c r="S138" s="149" t="s">
        <v>815</v>
      </c>
      <c r="T138" s="149">
        <f>IF(O138=0,0,IF(S138="N",0,VLOOKUP(B138,'Enrollment 25-26'!$B$8:$K$332,9,FALSE)))</f>
        <v>0</v>
      </c>
      <c r="U138" s="64">
        <f t="shared" si="44"/>
        <v>0</v>
      </c>
      <c r="V138" s="128">
        <f t="shared" si="45"/>
        <v>0</v>
      </c>
      <c r="W138" s="150"/>
      <c r="X138" s="64">
        <f>IFERROR(VLOOKUP($B138,#REF!,14,FALSE),0)</f>
        <v>0</v>
      </c>
      <c r="Y138" s="99">
        <f t="shared" si="46"/>
        <v>0</v>
      </c>
      <c r="Z138" s="132">
        <f t="shared" si="47"/>
        <v>0</v>
      </c>
      <c r="AA138" s="151" t="str">
        <f t="shared" ref="AA138:AA201" si="49">K138</f>
        <v>N</v>
      </c>
      <c r="AC138" s="64"/>
      <c r="AE138" s="152"/>
      <c r="AH138" s="153"/>
      <c r="AI138" s="153"/>
      <c r="AJ138" s="153"/>
      <c r="AK138" s="154"/>
    </row>
    <row r="139" spans="1:37" x14ac:dyDescent="0.25">
      <c r="A139" s="142" t="s">
        <v>443</v>
      </c>
      <c r="B139" t="s">
        <v>440</v>
      </c>
      <c r="C139" t="s">
        <v>137</v>
      </c>
      <c r="D139" s="143">
        <f>IFERROR(VLOOKUP(B139,'Enrollment 25-26'!$B$5:$I$332,8,FALSE),0)</f>
        <v>23</v>
      </c>
      <c r="E139" s="64">
        <f t="shared" si="34"/>
        <v>2674</v>
      </c>
      <c r="F139" s="144">
        <v>0</v>
      </c>
      <c r="G139" s="144">
        <v>0</v>
      </c>
      <c r="H139" s="64">
        <f t="shared" si="35"/>
        <v>2674</v>
      </c>
      <c r="I139" s="64">
        <f t="shared" si="36"/>
        <v>0</v>
      </c>
      <c r="J139" s="145">
        <f t="shared" si="37"/>
        <v>2674</v>
      </c>
      <c r="K139" s="146" t="str">
        <f t="shared" si="48"/>
        <v>C</v>
      </c>
      <c r="L139" s="147">
        <f t="shared" si="38"/>
        <v>0</v>
      </c>
      <c r="M139" s="148">
        <f t="shared" si="39"/>
        <v>23</v>
      </c>
      <c r="N139" s="64">
        <f t="shared" si="40"/>
        <v>20</v>
      </c>
      <c r="O139" s="64">
        <f t="shared" si="41"/>
        <v>2694</v>
      </c>
      <c r="Q139" s="104">
        <f t="shared" si="42"/>
        <v>0</v>
      </c>
      <c r="R139" s="104" t="str">
        <f t="shared" si="43"/>
        <v>Not Applicable</v>
      </c>
      <c r="S139" s="149" t="s">
        <v>815</v>
      </c>
      <c r="T139" s="149">
        <f>IF(O139=0,0,IF(S139="N",0,VLOOKUP(B139,'Enrollment 25-26'!$B$8:$K$332,9,FALSE)))</f>
        <v>0</v>
      </c>
      <c r="U139" s="64">
        <f t="shared" si="44"/>
        <v>2694</v>
      </c>
      <c r="V139" s="128">
        <f t="shared" si="45"/>
        <v>117.1304347826087</v>
      </c>
      <c r="W139" s="150"/>
      <c r="X139" s="64">
        <f>IFERROR(VLOOKUP($B139,#REF!,14,FALSE),0)</f>
        <v>0</v>
      </c>
      <c r="Y139" s="99">
        <f t="shared" si="46"/>
        <v>2694</v>
      </c>
      <c r="Z139" s="132">
        <f t="shared" si="47"/>
        <v>0</v>
      </c>
      <c r="AA139" s="151" t="str">
        <f t="shared" si="49"/>
        <v>C</v>
      </c>
      <c r="AC139" s="64"/>
      <c r="AE139" s="152"/>
      <c r="AH139" s="153"/>
      <c r="AI139" s="153"/>
      <c r="AJ139" s="153"/>
      <c r="AK139" s="154"/>
    </row>
    <row r="140" spans="1:37" x14ac:dyDescent="0.25">
      <c r="A140" s="142" t="s">
        <v>459</v>
      </c>
      <c r="B140" t="s">
        <v>602</v>
      </c>
      <c r="C140" t="s">
        <v>138</v>
      </c>
      <c r="D140" s="143">
        <f>IFERROR(VLOOKUP(B140,'Enrollment 25-26'!$B$5:$I$332,8,FALSE),0)</f>
        <v>566.3366666666667</v>
      </c>
      <c r="E140" s="64">
        <f t="shared" si="34"/>
        <v>65848</v>
      </c>
      <c r="F140" s="144">
        <v>0</v>
      </c>
      <c r="G140" s="144">
        <v>0</v>
      </c>
      <c r="H140" s="64">
        <f t="shared" si="35"/>
        <v>65848</v>
      </c>
      <c r="I140" s="64">
        <f t="shared" si="36"/>
        <v>0</v>
      </c>
      <c r="J140" s="145">
        <f t="shared" si="37"/>
        <v>65848</v>
      </c>
      <c r="K140" s="146" t="str">
        <f t="shared" si="48"/>
        <v>Y</v>
      </c>
      <c r="L140" s="147">
        <f t="shared" si="38"/>
        <v>0</v>
      </c>
      <c r="M140" s="148">
        <f t="shared" si="39"/>
        <v>566.3366666666667</v>
      </c>
      <c r="N140" s="64">
        <f t="shared" si="40"/>
        <v>487</v>
      </c>
      <c r="O140" s="64">
        <f t="shared" si="41"/>
        <v>66335</v>
      </c>
      <c r="Q140" s="104">
        <f t="shared" si="42"/>
        <v>0</v>
      </c>
      <c r="R140" s="104" t="str">
        <f t="shared" si="43"/>
        <v>Not Applicable</v>
      </c>
      <c r="S140" s="149" t="s">
        <v>815</v>
      </c>
      <c r="T140" s="149">
        <f>IF(O140=0,0,IF(S140="N",0,VLOOKUP(B140,'Enrollment 25-26'!$B$8:$K$332,9,FALSE)))</f>
        <v>0</v>
      </c>
      <c r="U140" s="64">
        <f t="shared" si="44"/>
        <v>66335</v>
      </c>
      <c r="V140" s="128">
        <f t="shared" si="45"/>
        <v>117.12997569172636</v>
      </c>
      <c r="W140" s="150"/>
      <c r="X140" s="64">
        <f>IFERROR(VLOOKUP($B140,#REF!,14,FALSE),0)</f>
        <v>0</v>
      </c>
      <c r="Y140" s="99">
        <f t="shared" si="46"/>
        <v>66335</v>
      </c>
      <c r="Z140" s="132">
        <f t="shared" si="47"/>
        <v>0</v>
      </c>
      <c r="AA140" s="151" t="str">
        <f t="shared" si="49"/>
        <v>Y</v>
      </c>
      <c r="AC140" s="64"/>
      <c r="AE140" s="152"/>
      <c r="AH140" s="153"/>
      <c r="AI140" s="153"/>
      <c r="AJ140" s="153"/>
      <c r="AK140" s="154"/>
    </row>
    <row r="141" spans="1:37" x14ac:dyDescent="0.25">
      <c r="A141" s="142" t="s">
        <v>443</v>
      </c>
      <c r="B141" t="s">
        <v>603</v>
      </c>
      <c r="C141" t="s">
        <v>139</v>
      </c>
      <c r="D141" s="143">
        <f>IFERROR(VLOOKUP(B141,'Enrollment 25-26'!$B$5:$I$332,8,FALSE),0)</f>
        <v>0</v>
      </c>
      <c r="E141" s="64">
        <f t="shared" si="34"/>
        <v>0</v>
      </c>
      <c r="F141" s="144">
        <v>0</v>
      </c>
      <c r="G141" s="144">
        <v>0</v>
      </c>
      <c r="H141" s="64">
        <f t="shared" si="35"/>
        <v>0</v>
      </c>
      <c r="I141" s="64">
        <f t="shared" si="36"/>
        <v>0</v>
      </c>
      <c r="J141" s="145">
        <f t="shared" si="37"/>
        <v>0</v>
      </c>
      <c r="K141" s="146" t="str">
        <f t="shared" si="48"/>
        <v>N</v>
      </c>
      <c r="L141" s="147">
        <f t="shared" si="38"/>
        <v>0</v>
      </c>
      <c r="M141" s="148">
        <f t="shared" si="39"/>
        <v>0</v>
      </c>
      <c r="N141" s="64">
        <f t="shared" si="40"/>
        <v>0</v>
      </c>
      <c r="O141" s="64">
        <f t="shared" si="41"/>
        <v>0</v>
      </c>
      <c r="Q141" s="104">
        <f t="shared" si="42"/>
        <v>0</v>
      </c>
      <c r="R141" s="104" t="str">
        <f t="shared" si="43"/>
        <v>Not Applicable</v>
      </c>
      <c r="S141" s="149" t="s">
        <v>815</v>
      </c>
      <c r="T141" s="149">
        <f>IF(O141=0,0,IF(S141="N",0,VLOOKUP(B141,'Enrollment 25-26'!$B$8:$K$332,9,FALSE)))</f>
        <v>0</v>
      </c>
      <c r="U141" s="64">
        <f t="shared" si="44"/>
        <v>0</v>
      </c>
      <c r="V141" s="128">
        <f t="shared" si="45"/>
        <v>0</v>
      </c>
      <c r="W141" s="150"/>
      <c r="X141" s="64">
        <f>IFERROR(VLOOKUP($B141,#REF!,14,FALSE),0)</f>
        <v>0</v>
      </c>
      <c r="Y141" s="99">
        <f t="shared" si="46"/>
        <v>0</v>
      </c>
      <c r="Z141" s="132">
        <f t="shared" si="47"/>
        <v>0</v>
      </c>
      <c r="AA141" s="151" t="str">
        <f t="shared" si="49"/>
        <v>N</v>
      </c>
      <c r="AC141" s="64"/>
      <c r="AE141" s="152"/>
      <c r="AH141" s="153"/>
      <c r="AI141" s="153"/>
      <c r="AJ141" s="153"/>
      <c r="AK141" s="154"/>
    </row>
    <row r="142" spans="1:37" x14ac:dyDescent="0.25">
      <c r="A142" s="142" t="s">
        <v>446</v>
      </c>
      <c r="B142" t="s">
        <v>488</v>
      </c>
      <c r="C142" t="s">
        <v>140</v>
      </c>
      <c r="D142" s="143">
        <f>IFERROR(VLOOKUP(B142,'Enrollment 25-26'!$B$5:$I$332,8,FALSE),0)</f>
        <v>22.84</v>
      </c>
      <c r="E142" s="64">
        <f t="shared" si="34"/>
        <v>2656</v>
      </c>
      <c r="F142" s="144">
        <v>0</v>
      </c>
      <c r="G142" s="144">
        <v>0</v>
      </c>
      <c r="H142" s="64">
        <f t="shared" si="35"/>
        <v>2656</v>
      </c>
      <c r="I142" s="64">
        <f t="shared" si="36"/>
        <v>0</v>
      </c>
      <c r="J142" s="145">
        <f t="shared" si="37"/>
        <v>2656</v>
      </c>
      <c r="K142" s="146" t="str">
        <f t="shared" si="48"/>
        <v>C</v>
      </c>
      <c r="L142" s="147">
        <f t="shared" si="38"/>
        <v>0</v>
      </c>
      <c r="M142" s="148">
        <f t="shared" si="39"/>
        <v>22.84</v>
      </c>
      <c r="N142" s="64">
        <f t="shared" si="40"/>
        <v>20</v>
      </c>
      <c r="O142" s="64">
        <f t="shared" si="41"/>
        <v>2676</v>
      </c>
      <c r="Q142" s="104">
        <f t="shared" si="42"/>
        <v>0</v>
      </c>
      <c r="R142" s="104" t="str">
        <f t="shared" si="43"/>
        <v>Not Applicable</v>
      </c>
      <c r="S142" s="149" t="s">
        <v>815</v>
      </c>
      <c r="T142" s="149">
        <f>IF(O142=0,0,IF(S142="N",0,VLOOKUP(B142,'Enrollment 25-26'!$B$8:$K$332,9,FALSE)))</f>
        <v>0</v>
      </c>
      <c r="U142" s="64">
        <f t="shared" si="44"/>
        <v>2676</v>
      </c>
      <c r="V142" s="128">
        <f t="shared" si="45"/>
        <v>117.16287215411559</v>
      </c>
      <c r="W142" s="150"/>
      <c r="X142" s="64">
        <f>IFERROR(VLOOKUP($B142,#REF!,14,FALSE),0)</f>
        <v>0</v>
      </c>
      <c r="Y142" s="99">
        <f t="shared" si="46"/>
        <v>2676</v>
      </c>
      <c r="Z142" s="132">
        <f t="shared" si="47"/>
        <v>0</v>
      </c>
      <c r="AA142" s="151" t="str">
        <f t="shared" si="49"/>
        <v>C</v>
      </c>
      <c r="AC142" s="64"/>
      <c r="AE142" s="152"/>
      <c r="AH142" s="153"/>
      <c r="AI142" s="153"/>
      <c r="AJ142" s="153"/>
      <c r="AK142" s="154"/>
    </row>
    <row r="143" spans="1:37" x14ac:dyDescent="0.25">
      <c r="A143" s="142" t="s">
        <v>497</v>
      </c>
      <c r="B143" t="s">
        <v>604</v>
      </c>
      <c r="C143" t="s">
        <v>141</v>
      </c>
      <c r="D143" s="143">
        <f>IFERROR(VLOOKUP(B143,'Enrollment 25-26'!$B$5:$I$332,8,FALSE),0)</f>
        <v>2.67</v>
      </c>
      <c r="E143" s="64">
        <f t="shared" si="34"/>
        <v>310</v>
      </c>
      <c r="F143" s="144">
        <v>0</v>
      </c>
      <c r="G143" s="144">
        <v>0</v>
      </c>
      <c r="H143" s="64">
        <f t="shared" si="35"/>
        <v>310</v>
      </c>
      <c r="I143" s="64">
        <f t="shared" si="36"/>
        <v>0</v>
      </c>
      <c r="J143" s="145">
        <f t="shared" si="37"/>
        <v>310</v>
      </c>
      <c r="K143" s="146" t="str">
        <f t="shared" si="48"/>
        <v>C</v>
      </c>
      <c r="L143" s="147">
        <f t="shared" si="38"/>
        <v>0</v>
      </c>
      <c r="M143" s="148">
        <f t="shared" si="39"/>
        <v>2.67</v>
      </c>
      <c r="N143" s="64">
        <f t="shared" si="40"/>
        <v>2</v>
      </c>
      <c r="O143" s="64">
        <f t="shared" si="41"/>
        <v>312</v>
      </c>
      <c r="Q143" s="104">
        <f t="shared" si="42"/>
        <v>0</v>
      </c>
      <c r="R143" s="104" t="str">
        <f t="shared" si="43"/>
        <v>Not Applicable</v>
      </c>
      <c r="S143" s="149" t="s">
        <v>815</v>
      </c>
      <c r="T143" s="149">
        <f>IF(O143=0,0,IF(S143="N",0,VLOOKUP(B143,'Enrollment 25-26'!$B$8:$K$332,9,FALSE)))</f>
        <v>0</v>
      </c>
      <c r="U143" s="64">
        <f t="shared" si="44"/>
        <v>312</v>
      </c>
      <c r="V143" s="128">
        <f t="shared" si="45"/>
        <v>116.85393258426967</v>
      </c>
      <c r="W143" s="150"/>
      <c r="X143" s="64">
        <f>IFERROR(VLOOKUP($B143,#REF!,14,FALSE),0)</f>
        <v>0</v>
      </c>
      <c r="Y143" s="99">
        <f t="shared" si="46"/>
        <v>312</v>
      </c>
      <c r="Z143" s="132">
        <f t="shared" si="47"/>
        <v>0</v>
      </c>
      <c r="AA143" s="151" t="str">
        <f t="shared" si="49"/>
        <v>C</v>
      </c>
      <c r="AC143" s="64"/>
      <c r="AE143" s="152"/>
      <c r="AH143" s="153"/>
      <c r="AI143" s="153"/>
      <c r="AJ143" s="153"/>
      <c r="AK143" s="154"/>
    </row>
    <row r="144" spans="1:37" x14ac:dyDescent="0.25">
      <c r="A144" s="142" t="s">
        <v>459</v>
      </c>
      <c r="B144" t="s">
        <v>605</v>
      </c>
      <c r="C144" t="s">
        <v>143</v>
      </c>
      <c r="D144" s="143">
        <f>IFERROR(VLOOKUP(B144,'Enrollment 25-26'!$B$5:$I$332,8,FALSE),0)</f>
        <v>10.17</v>
      </c>
      <c r="E144" s="64">
        <f t="shared" si="34"/>
        <v>1182</v>
      </c>
      <c r="F144" s="144">
        <v>0</v>
      </c>
      <c r="G144" s="144">
        <v>0</v>
      </c>
      <c r="H144" s="64">
        <f t="shared" si="35"/>
        <v>1182</v>
      </c>
      <c r="I144" s="64">
        <f t="shared" si="36"/>
        <v>0</v>
      </c>
      <c r="J144" s="145">
        <f t="shared" si="37"/>
        <v>1182</v>
      </c>
      <c r="K144" s="146" t="str">
        <f t="shared" si="48"/>
        <v>N</v>
      </c>
      <c r="L144" s="147">
        <f t="shared" si="38"/>
        <v>1182</v>
      </c>
      <c r="M144" s="148">
        <f t="shared" si="39"/>
        <v>0</v>
      </c>
      <c r="N144" s="64">
        <f t="shared" si="40"/>
        <v>0</v>
      </c>
      <c r="O144" s="64">
        <f t="shared" si="41"/>
        <v>0</v>
      </c>
      <c r="Q144" s="104">
        <f t="shared" si="42"/>
        <v>0</v>
      </c>
      <c r="R144" s="104" t="str">
        <f t="shared" si="43"/>
        <v>Not Applicable</v>
      </c>
      <c r="S144" s="149" t="s">
        <v>815</v>
      </c>
      <c r="T144" s="149">
        <f>IF(O144=0,0,IF(S144="N",0,VLOOKUP(B144,'Enrollment 25-26'!$B$8:$K$332,9,FALSE)))</f>
        <v>0</v>
      </c>
      <c r="U144" s="64">
        <f t="shared" si="44"/>
        <v>0</v>
      </c>
      <c r="V144" s="128">
        <f t="shared" si="45"/>
        <v>0</v>
      </c>
      <c r="W144" s="150"/>
      <c r="X144" s="64">
        <f>IFERROR(VLOOKUP($B144,#REF!,14,FALSE),0)</f>
        <v>0</v>
      </c>
      <c r="Y144" s="99">
        <f t="shared" si="46"/>
        <v>0</v>
      </c>
      <c r="Z144" s="132">
        <f t="shared" si="47"/>
        <v>0</v>
      </c>
      <c r="AA144" s="151" t="str">
        <f t="shared" si="49"/>
        <v>N</v>
      </c>
      <c r="AE144" s="152"/>
      <c r="AH144" s="153"/>
      <c r="AI144" s="153"/>
      <c r="AJ144" s="153"/>
      <c r="AK144" s="154"/>
    </row>
    <row r="145" spans="1:37" x14ac:dyDescent="0.25">
      <c r="A145" s="142" t="s">
        <v>446</v>
      </c>
      <c r="B145" t="s">
        <v>606</v>
      </c>
      <c r="C145" t="s">
        <v>144</v>
      </c>
      <c r="D145" s="143">
        <f>IFERROR(VLOOKUP(B145,'Enrollment 25-26'!$B$5:$I$332,8,FALSE),0)</f>
        <v>458.5</v>
      </c>
      <c r="E145" s="64">
        <f t="shared" si="34"/>
        <v>53310</v>
      </c>
      <c r="F145" s="144">
        <v>0</v>
      </c>
      <c r="G145" s="144">
        <v>0</v>
      </c>
      <c r="H145" s="64">
        <f t="shared" si="35"/>
        <v>53310</v>
      </c>
      <c r="I145" s="64">
        <f t="shared" si="36"/>
        <v>0</v>
      </c>
      <c r="J145" s="145">
        <f t="shared" si="37"/>
        <v>53310</v>
      </c>
      <c r="K145" s="146" t="str">
        <f t="shared" si="48"/>
        <v>Y</v>
      </c>
      <c r="L145" s="147">
        <f t="shared" si="38"/>
        <v>0</v>
      </c>
      <c r="M145" s="148">
        <f t="shared" si="39"/>
        <v>458.5</v>
      </c>
      <c r="N145" s="64">
        <f t="shared" si="40"/>
        <v>394</v>
      </c>
      <c r="O145" s="64">
        <f t="shared" si="41"/>
        <v>53704</v>
      </c>
      <c r="Q145" s="104">
        <f t="shared" si="42"/>
        <v>0</v>
      </c>
      <c r="R145" s="104" t="str">
        <f t="shared" si="43"/>
        <v>Not Applicable</v>
      </c>
      <c r="S145" s="149" t="s">
        <v>815</v>
      </c>
      <c r="T145" s="149">
        <f>IF(O145=0,0,IF(S145="N",0,VLOOKUP(B145,'Enrollment 25-26'!$B$8:$K$332,9,FALSE)))</f>
        <v>0</v>
      </c>
      <c r="U145" s="64">
        <f t="shared" si="44"/>
        <v>53704</v>
      </c>
      <c r="V145" s="128">
        <f t="shared" si="45"/>
        <v>117.12977099236642</v>
      </c>
      <c r="W145" s="150"/>
      <c r="X145" s="64">
        <f>IFERROR(VLOOKUP($B145,#REF!,14,FALSE),0)</f>
        <v>0</v>
      </c>
      <c r="Y145" s="99">
        <f t="shared" si="46"/>
        <v>53704</v>
      </c>
      <c r="Z145" s="132">
        <f t="shared" si="47"/>
        <v>0</v>
      </c>
      <c r="AA145" s="151" t="str">
        <f t="shared" si="49"/>
        <v>Y</v>
      </c>
      <c r="AC145" s="64"/>
      <c r="AE145" s="152"/>
      <c r="AH145" s="153"/>
      <c r="AI145" s="153"/>
      <c r="AJ145" s="153"/>
      <c r="AK145" s="154"/>
    </row>
    <row r="146" spans="1:37" x14ac:dyDescent="0.25">
      <c r="A146" s="142" t="s">
        <v>471</v>
      </c>
      <c r="B146" t="s">
        <v>607</v>
      </c>
      <c r="C146" t="s">
        <v>145</v>
      </c>
      <c r="D146" s="143">
        <f>IFERROR(VLOOKUP(B146,'Enrollment 25-26'!$B$5:$I$332,8,FALSE),0)</f>
        <v>295.83999999999997</v>
      </c>
      <c r="E146" s="64">
        <f t="shared" si="34"/>
        <v>34397</v>
      </c>
      <c r="F146" s="144">
        <v>0</v>
      </c>
      <c r="G146" s="144">
        <v>0</v>
      </c>
      <c r="H146" s="64">
        <f t="shared" si="35"/>
        <v>34397</v>
      </c>
      <c r="I146" s="64">
        <f t="shared" si="36"/>
        <v>0</v>
      </c>
      <c r="J146" s="145">
        <f t="shared" si="37"/>
        <v>34397</v>
      </c>
      <c r="K146" s="146" t="str">
        <f t="shared" si="48"/>
        <v>Y</v>
      </c>
      <c r="L146" s="147">
        <f t="shared" si="38"/>
        <v>0</v>
      </c>
      <c r="M146" s="148">
        <f t="shared" si="39"/>
        <v>295.83999999999997</v>
      </c>
      <c r="N146" s="64">
        <f t="shared" si="40"/>
        <v>254</v>
      </c>
      <c r="O146" s="64">
        <f t="shared" si="41"/>
        <v>34651</v>
      </c>
      <c r="Q146" s="104">
        <f t="shared" si="42"/>
        <v>0</v>
      </c>
      <c r="R146" s="104" t="str">
        <f t="shared" si="43"/>
        <v>Not Applicable</v>
      </c>
      <c r="S146" s="149" t="s">
        <v>815</v>
      </c>
      <c r="T146" s="149">
        <f>IF(O146=0,0,IF(S146="N",0,VLOOKUP(B146,'Enrollment 25-26'!$B$8:$K$332,9,FALSE)))</f>
        <v>0</v>
      </c>
      <c r="U146" s="64">
        <f t="shared" si="44"/>
        <v>34651</v>
      </c>
      <c r="V146" s="128">
        <f t="shared" si="45"/>
        <v>117.12750135208222</v>
      </c>
      <c r="W146" s="150"/>
      <c r="X146" s="64">
        <f>IFERROR(VLOOKUP($B146,#REF!,14,FALSE),0)</f>
        <v>0</v>
      </c>
      <c r="Y146" s="99">
        <f t="shared" si="46"/>
        <v>34651</v>
      </c>
      <c r="Z146" s="132">
        <f t="shared" si="47"/>
        <v>0</v>
      </c>
      <c r="AA146" s="151" t="str">
        <f t="shared" si="49"/>
        <v>Y</v>
      </c>
      <c r="AC146" s="64"/>
      <c r="AE146" s="152"/>
      <c r="AH146" s="153"/>
      <c r="AI146" s="153"/>
      <c r="AJ146" s="153"/>
      <c r="AK146" s="154"/>
    </row>
    <row r="147" spans="1:37" x14ac:dyDescent="0.25">
      <c r="A147" s="142" t="s">
        <v>481</v>
      </c>
      <c r="B147" t="s">
        <v>608</v>
      </c>
      <c r="C147" t="s">
        <v>146</v>
      </c>
      <c r="D147" s="143">
        <f>IFERROR(VLOOKUP(B147,'Enrollment 25-26'!$B$5:$I$332,8,FALSE),0)</f>
        <v>3</v>
      </c>
      <c r="E147" s="64">
        <f t="shared" si="34"/>
        <v>349</v>
      </c>
      <c r="F147" s="144">
        <v>0</v>
      </c>
      <c r="G147" s="144">
        <v>0</v>
      </c>
      <c r="H147" s="64">
        <f t="shared" si="35"/>
        <v>349</v>
      </c>
      <c r="I147" s="64">
        <f t="shared" si="36"/>
        <v>0</v>
      </c>
      <c r="J147" s="145">
        <f t="shared" si="37"/>
        <v>349</v>
      </c>
      <c r="K147" s="146" t="str">
        <f t="shared" si="48"/>
        <v>N</v>
      </c>
      <c r="L147" s="147">
        <f t="shared" si="38"/>
        <v>349</v>
      </c>
      <c r="M147" s="148">
        <f t="shared" si="39"/>
        <v>0</v>
      </c>
      <c r="N147" s="64">
        <f t="shared" si="40"/>
        <v>0</v>
      </c>
      <c r="O147" s="64">
        <f t="shared" si="41"/>
        <v>0</v>
      </c>
      <c r="Q147" s="104">
        <f t="shared" si="42"/>
        <v>0</v>
      </c>
      <c r="R147" s="104" t="str">
        <f t="shared" si="43"/>
        <v>Not Applicable</v>
      </c>
      <c r="S147" s="149" t="s">
        <v>815</v>
      </c>
      <c r="T147" s="149">
        <f>IF(O147=0,0,IF(S147="N",0,VLOOKUP(B147,'Enrollment 25-26'!$B$8:$K$332,9,FALSE)))</f>
        <v>0</v>
      </c>
      <c r="U147" s="64">
        <f t="shared" si="44"/>
        <v>0</v>
      </c>
      <c r="V147" s="128">
        <f t="shared" si="45"/>
        <v>0</v>
      </c>
      <c r="W147" s="150"/>
      <c r="X147" s="64">
        <f>IFERROR(VLOOKUP($B147,#REF!,14,FALSE),0)</f>
        <v>0</v>
      </c>
      <c r="Y147" s="99">
        <f t="shared" si="46"/>
        <v>0</v>
      </c>
      <c r="Z147" s="132">
        <f t="shared" si="47"/>
        <v>0</v>
      </c>
      <c r="AA147" s="151" t="str">
        <f t="shared" si="49"/>
        <v>N</v>
      </c>
      <c r="AC147" s="64"/>
      <c r="AE147" s="152"/>
      <c r="AH147" s="153"/>
      <c r="AI147" s="153"/>
      <c r="AJ147" s="153"/>
      <c r="AK147" s="154"/>
    </row>
    <row r="148" spans="1:37" x14ac:dyDescent="0.25">
      <c r="A148" s="142" t="s">
        <v>481</v>
      </c>
      <c r="B148" t="s">
        <v>609</v>
      </c>
      <c r="C148" t="s">
        <v>147</v>
      </c>
      <c r="D148" s="143">
        <f>IFERROR(VLOOKUP(B148,'Enrollment 25-26'!$B$5:$I$332,8,FALSE),0)</f>
        <v>232.17</v>
      </c>
      <c r="E148" s="64">
        <f t="shared" si="34"/>
        <v>26994</v>
      </c>
      <c r="F148" s="144">
        <v>0</v>
      </c>
      <c r="G148" s="144">
        <v>0</v>
      </c>
      <c r="H148" s="64">
        <f t="shared" si="35"/>
        <v>26994</v>
      </c>
      <c r="I148" s="64">
        <f t="shared" si="36"/>
        <v>0</v>
      </c>
      <c r="J148" s="145">
        <f t="shared" si="37"/>
        <v>26994</v>
      </c>
      <c r="K148" s="146" t="str">
        <f t="shared" si="48"/>
        <v>Y</v>
      </c>
      <c r="L148" s="147">
        <f t="shared" si="38"/>
        <v>0</v>
      </c>
      <c r="M148" s="148">
        <f t="shared" si="39"/>
        <v>232.17</v>
      </c>
      <c r="N148" s="64">
        <f t="shared" si="40"/>
        <v>200</v>
      </c>
      <c r="O148" s="64">
        <f t="shared" si="41"/>
        <v>27194</v>
      </c>
      <c r="Q148" s="104">
        <f t="shared" si="42"/>
        <v>0</v>
      </c>
      <c r="R148" s="104" t="str">
        <f t="shared" si="43"/>
        <v>Not Applicable</v>
      </c>
      <c r="S148" s="149" t="s">
        <v>815</v>
      </c>
      <c r="T148" s="149">
        <f>IF(O148=0,0,IF(S148="N",0,VLOOKUP(B148,'Enrollment 25-26'!$B$8:$K$332,9,FALSE)))</f>
        <v>0</v>
      </c>
      <c r="U148" s="64">
        <f t="shared" si="44"/>
        <v>27194</v>
      </c>
      <c r="V148" s="128">
        <f t="shared" si="45"/>
        <v>117.12968945169489</v>
      </c>
      <c r="W148" s="150"/>
      <c r="X148" s="64">
        <f>IFERROR(VLOOKUP($B148,#REF!,14,FALSE),0)</f>
        <v>0</v>
      </c>
      <c r="Y148" s="99">
        <f t="shared" si="46"/>
        <v>27194</v>
      </c>
      <c r="Z148" s="132">
        <f t="shared" si="47"/>
        <v>0</v>
      </c>
      <c r="AA148" s="151" t="str">
        <f t="shared" si="49"/>
        <v>Y</v>
      </c>
      <c r="AE148" s="152"/>
      <c r="AH148" s="153"/>
      <c r="AI148" s="153"/>
      <c r="AJ148" s="153"/>
      <c r="AK148" s="154"/>
    </row>
    <row r="149" spans="1:37" x14ac:dyDescent="0.25">
      <c r="A149" s="142" t="s">
        <v>438</v>
      </c>
      <c r="B149" t="s">
        <v>610</v>
      </c>
      <c r="C149" t="s">
        <v>148</v>
      </c>
      <c r="D149" s="143">
        <f>IFERROR(VLOOKUP(B149,'Enrollment 25-26'!$B$5:$I$332,8,FALSE),0)</f>
        <v>14.17</v>
      </c>
      <c r="E149" s="64">
        <f t="shared" si="34"/>
        <v>1648</v>
      </c>
      <c r="F149" s="144">
        <v>0</v>
      </c>
      <c r="G149" s="144">
        <v>0</v>
      </c>
      <c r="H149" s="64">
        <f t="shared" si="35"/>
        <v>1648</v>
      </c>
      <c r="I149" s="64">
        <f t="shared" si="36"/>
        <v>0</v>
      </c>
      <c r="J149" s="145">
        <f t="shared" si="37"/>
        <v>1648</v>
      </c>
      <c r="K149" s="146" t="str">
        <f t="shared" si="48"/>
        <v>N</v>
      </c>
      <c r="L149" s="147">
        <f t="shared" si="38"/>
        <v>1648</v>
      </c>
      <c r="M149" s="148">
        <f t="shared" si="39"/>
        <v>0</v>
      </c>
      <c r="N149" s="64">
        <f t="shared" si="40"/>
        <v>0</v>
      </c>
      <c r="O149" s="64">
        <f t="shared" si="41"/>
        <v>0</v>
      </c>
      <c r="Q149" s="104">
        <f t="shared" si="42"/>
        <v>0</v>
      </c>
      <c r="R149" s="104" t="str">
        <f t="shared" si="43"/>
        <v>Not Applicable</v>
      </c>
      <c r="S149" s="149" t="s">
        <v>815</v>
      </c>
      <c r="T149" s="149">
        <f>IF(O149=0,0,IF(S149="N",0,VLOOKUP(B149,'Enrollment 25-26'!$B$8:$K$332,9,FALSE)))</f>
        <v>0</v>
      </c>
      <c r="U149" s="64">
        <f t="shared" si="44"/>
        <v>0</v>
      </c>
      <c r="V149" s="128">
        <f t="shared" si="45"/>
        <v>0</v>
      </c>
      <c r="W149" s="150"/>
      <c r="X149" s="64">
        <f>IFERROR(VLOOKUP($B149,#REF!,14,FALSE),0)</f>
        <v>0</v>
      </c>
      <c r="Y149" s="99">
        <f t="shared" si="46"/>
        <v>0</v>
      </c>
      <c r="Z149" s="132">
        <f t="shared" si="47"/>
        <v>0</v>
      </c>
      <c r="AA149" s="151" t="str">
        <f t="shared" si="49"/>
        <v>N</v>
      </c>
      <c r="AC149" s="64"/>
      <c r="AE149" s="152"/>
      <c r="AH149" s="153"/>
      <c r="AI149" s="153"/>
      <c r="AJ149" s="153"/>
      <c r="AK149" s="154"/>
    </row>
    <row r="150" spans="1:37" x14ac:dyDescent="0.25">
      <c r="A150" s="142" t="s">
        <v>443</v>
      </c>
      <c r="B150" t="s">
        <v>611</v>
      </c>
      <c r="C150" t="s">
        <v>149</v>
      </c>
      <c r="D150" s="143">
        <f>IFERROR(VLOOKUP(B150,'Enrollment 25-26'!$B$5:$I$332,8,FALSE),0)</f>
        <v>0</v>
      </c>
      <c r="E150" s="64">
        <f t="shared" si="34"/>
        <v>0</v>
      </c>
      <c r="F150" s="144">
        <v>0</v>
      </c>
      <c r="G150" s="144">
        <v>0</v>
      </c>
      <c r="H150" s="64">
        <f t="shared" si="35"/>
        <v>0</v>
      </c>
      <c r="I150" s="64">
        <f t="shared" si="36"/>
        <v>0</v>
      </c>
      <c r="J150" s="145">
        <f t="shared" si="37"/>
        <v>0</v>
      </c>
      <c r="K150" s="146" t="str">
        <f t="shared" si="48"/>
        <v>N</v>
      </c>
      <c r="L150" s="147">
        <f t="shared" si="38"/>
        <v>0</v>
      </c>
      <c r="M150" s="148">
        <f t="shared" si="39"/>
        <v>0</v>
      </c>
      <c r="N150" s="64">
        <f t="shared" si="40"/>
        <v>0</v>
      </c>
      <c r="O150" s="64">
        <f t="shared" si="41"/>
        <v>0</v>
      </c>
      <c r="Q150" s="104">
        <f t="shared" si="42"/>
        <v>0</v>
      </c>
      <c r="R150" s="104" t="str">
        <f t="shared" si="43"/>
        <v>Not Applicable</v>
      </c>
      <c r="S150" s="149" t="s">
        <v>815</v>
      </c>
      <c r="T150" s="149">
        <f>IF(O150=0,0,IF(S150="N",0,VLOOKUP(B150,'Enrollment 25-26'!$B$8:$K$332,9,FALSE)))</f>
        <v>0</v>
      </c>
      <c r="U150" s="64">
        <f t="shared" si="44"/>
        <v>0</v>
      </c>
      <c r="V150" s="128">
        <f t="shared" si="45"/>
        <v>0</v>
      </c>
      <c r="W150" s="150"/>
      <c r="X150" s="64">
        <f>IFERROR(VLOOKUP($B150,#REF!,14,FALSE),0)</f>
        <v>0</v>
      </c>
      <c r="Y150" s="99">
        <f t="shared" si="46"/>
        <v>0</v>
      </c>
      <c r="Z150" s="132">
        <f t="shared" si="47"/>
        <v>0</v>
      </c>
      <c r="AA150" s="151" t="str">
        <f t="shared" si="49"/>
        <v>N</v>
      </c>
      <c r="AC150" s="64"/>
      <c r="AE150" s="152"/>
      <c r="AH150" s="153"/>
      <c r="AI150" s="153"/>
      <c r="AJ150" s="153"/>
      <c r="AK150" s="154"/>
    </row>
    <row r="151" spans="1:37" x14ac:dyDescent="0.25">
      <c r="A151" s="142" t="s">
        <v>446</v>
      </c>
      <c r="B151" t="s">
        <v>612</v>
      </c>
      <c r="C151" t="s">
        <v>150</v>
      </c>
      <c r="D151" s="143">
        <f>IFERROR(VLOOKUP(B151,'Enrollment 25-26'!$B$5:$I$332,8,FALSE),0)</f>
        <v>1300.0066666666667</v>
      </c>
      <c r="E151" s="64">
        <f t="shared" si="34"/>
        <v>151152</v>
      </c>
      <c r="F151" s="144">
        <v>0</v>
      </c>
      <c r="G151" s="144">
        <v>0</v>
      </c>
      <c r="H151" s="64">
        <f t="shared" si="35"/>
        <v>151152</v>
      </c>
      <c r="I151" s="64">
        <f t="shared" si="36"/>
        <v>0</v>
      </c>
      <c r="J151" s="145">
        <f t="shared" si="37"/>
        <v>151152</v>
      </c>
      <c r="K151" s="146" t="str">
        <f t="shared" si="48"/>
        <v>Y</v>
      </c>
      <c r="L151" s="147">
        <f t="shared" si="38"/>
        <v>0</v>
      </c>
      <c r="M151" s="148">
        <f t="shared" si="39"/>
        <v>1300.0066666666667</v>
      </c>
      <c r="N151" s="64">
        <f t="shared" si="40"/>
        <v>1118</v>
      </c>
      <c r="O151" s="64">
        <f t="shared" si="41"/>
        <v>152270</v>
      </c>
      <c r="Q151" s="104">
        <f t="shared" si="42"/>
        <v>0</v>
      </c>
      <c r="R151" s="104" t="str">
        <f t="shared" si="43"/>
        <v>Not Applicable</v>
      </c>
      <c r="S151" s="149" t="s">
        <v>815</v>
      </c>
      <c r="T151" s="149">
        <f>IF(O151=0,0,IF(S151="N",0,VLOOKUP(B151,'Enrollment 25-26'!$B$8:$K$332,9,FALSE)))</f>
        <v>0</v>
      </c>
      <c r="U151" s="64">
        <f t="shared" si="44"/>
        <v>152270</v>
      </c>
      <c r="V151" s="128">
        <f t="shared" si="45"/>
        <v>117.13016856323814</v>
      </c>
      <c r="W151" s="150"/>
      <c r="X151" s="64">
        <f>IFERROR(VLOOKUP($B151,#REF!,14,FALSE),0)</f>
        <v>0</v>
      </c>
      <c r="Y151" s="99">
        <f t="shared" si="46"/>
        <v>152270</v>
      </c>
      <c r="Z151" s="132">
        <f t="shared" si="47"/>
        <v>0</v>
      </c>
      <c r="AA151" s="151" t="str">
        <f t="shared" si="49"/>
        <v>Y</v>
      </c>
      <c r="AC151" s="64"/>
      <c r="AE151" s="152"/>
      <c r="AH151" s="153"/>
      <c r="AI151" s="153"/>
      <c r="AJ151" s="153"/>
      <c r="AK151" s="154"/>
    </row>
    <row r="152" spans="1:37" x14ac:dyDescent="0.25">
      <c r="A152" s="142" t="s">
        <v>438</v>
      </c>
      <c r="B152" t="s">
        <v>613</v>
      </c>
      <c r="C152" t="s">
        <v>151</v>
      </c>
      <c r="D152" s="143">
        <f>IFERROR(VLOOKUP(B152,'Enrollment 25-26'!$B$5:$I$332,8,FALSE),0)</f>
        <v>1</v>
      </c>
      <c r="E152" s="64">
        <f t="shared" si="34"/>
        <v>116</v>
      </c>
      <c r="F152" s="144">
        <v>0</v>
      </c>
      <c r="G152" s="144">
        <v>0</v>
      </c>
      <c r="H152" s="64">
        <f t="shared" si="35"/>
        <v>116</v>
      </c>
      <c r="I152" s="64">
        <f t="shared" si="36"/>
        <v>0</v>
      </c>
      <c r="J152" s="145">
        <f t="shared" si="37"/>
        <v>116</v>
      </c>
      <c r="K152" s="146" t="str">
        <f t="shared" si="48"/>
        <v>N</v>
      </c>
      <c r="L152" s="147">
        <f t="shared" si="38"/>
        <v>116</v>
      </c>
      <c r="M152" s="148">
        <f t="shared" si="39"/>
        <v>0</v>
      </c>
      <c r="N152" s="64">
        <f t="shared" si="40"/>
        <v>0</v>
      </c>
      <c r="O152" s="64">
        <f t="shared" si="41"/>
        <v>0</v>
      </c>
      <c r="Q152" s="104">
        <f t="shared" si="42"/>
        <v>0</v>
      </c>
      <c r="R152" s="104" t="str">
        <f t="shared" si="43"/>
        <v>Not Applicable</v>
      </c>
      <c r="S152" s="149" t="s">
        <v>815</v>
      </c>
      <c r="T152" s="149">
        <f>IF(O152=0,0,IF(S152="N",0,VLOOKUP(B152,'Enrollment 25-26'!$B$8:$K$332,9,FALSE)))</f>
        <v>0</v>
      </c>
      <c r="U152" s="64">
        <f t="shared" si="44"/>
        <v>0</v>
      </c>
      <c r="V152" s="128">
        <f t="shared" si="45"/>
        <v>0</v>
      </c>
      <c r="W152" s="150"/>
      <c r="X152" s="64">
        <f>IFERROR(VLOOKUP($B152,#REF!,14,FALSE),0)</f>
        <v>0</v>
      </c>
      <c r="Y152" s="99">
        <f t="shared" si="46"/>
        <v>0</v>
      </c>
      <c r="Z152" s="132">
        <f t="shared" si="47"/>
        <v>0</v>
      </c>
      <c r="AA152" s="151" t="str">
        <f t="shared" si="49"/>
        <v>N</v>
      </c>
      <c r="AC152" s="64"/>
      <c r="AE152" s="152"/>
      <c r="AH152" s="153"/>
      <c r="AI152" s="153"/>
      <c r="AJ152" s="153"/>
      <c r="AK152" s="154"/>
    </row>
    <row r="153" spans="1:37" x14ac:dyDescent="0.25">
      <c r="A153" s="142" t="s">
        <v>443</v>
      </c>
      <c r="B153" t="s">
        <v>614</v>
      </c>
      <c r="C153" t="s">
        <v>152</v>
      </c>
      <c r="D153" s="143">
        <f>IFERROR(VLOOKUP(B153,'Enrollment 25-26'!$B$5:$I$332,8,FALSE),0)</f>
        <v>472.00333333333333</v>
      </c>
      <c r="E153" s="64">
        <f t="shared" si="34"/>
        <v>54880</v>
      </c>
      <c r="F153" s="144">
        <v>0</v>
      </c>
      <c r="G153" s="144">
        <v>0</v>
      </c>
      <c r="H153" s="64">
        <f t="shared" si="35"/>
        <v>54880</v>
      </c>
      <c r="I153" s="64">
        <f t="shared" si="36"/>
        <v>0</v>
      </c>
      <c r="J153" s="145">
        <f t="shared" si="37"/>
        <v>54880</v>
      </c>
      <c r="K153" s="146" t="str">
        <f t="shared" si="48"/>
        <v>Y</v>
      </c>
      <c r="L153" s="147">
        <f t="shared" si="38"/>
        <v>0</v>
      </c>
      <c r="M153" s="148">
        <f t="shared" si="39"/>
        <v>472.00333333333333</v>
      </c>
      <c r="N153" s="64">
        <f t="shared" si="40"/>
        <v>406</v>
      </c>
      <c r="O153" s="64">
        <f t="shared" si="41"/>
        <v>55286</v>
      </c>
      <c r="Q153" s="104">
        <f t="shared" si="42"/>
        <v>0</v>
      </c>
      <c r="R153" s="104" t="str">
        <f t="shared" si="43"/>
        <v>Not Applicable</v>
      </c>
      <c r="S153" s="149" t="s">
        <v>815</v>
      </c>
      <c r="T153" s="149">
        <f>IF(O153=0,0,IF(S153="N",0,VLOOKUP(B153,'Enrollment 25-26'!$B$8:$K$332,9,FALSE)))</f>
        <v>0</v>
      </c>
      <c r="U153" s="64">
        <f t="shared" si="44"/>
        <v>55286</v>
      </c>
      <c r="V153" s="128">
        <f t="shared" si="45"/>
        <v>117.13052873920383</v>
      </c>
      <c r="W153" s="150"/>
      <c r="X153" s="64">
        <f>IFERROR(VLOOKUP($B153,#REF!,14,FALSE),0)</f>
        <v>0</v>
      </c>
      <c r="Y153" s="99">
        <f t="shared" si="46"/>
        <v>55286</v>
      </c>
      <c r="Z153" s="132">
        <f t="shared" si="47"/>
        <v>0</v>
      </c>
      <c r="AA153" s="151" t="str">
        <f t="shared" si="49"/>
        <v>Y</v>
      </c>
      <c r="AC153" s="64"/>
      <c r="AE153" s="152"/>
      <c r="AH153" s="153"/>
      <c r="AI153" s="153"/>
      <c r="AJ153" s="153"/>
      <c r="AK153" s="154"/>
    </row>
    <row r="154" spans="1:37" x14ac:dyDescent="0.25">
      <c r="A154" s="142" t="s">
        <v>443</v>
      </c>
      <c r="B154" t="s">
        <v>615</v>
      </c>
      <c r="C154" t="s">
        <v>153</v>
      </c>
      <c r="D154" s="143">
        <f>IFERROR(VLOOKUP(B154,'Enrollment 25-26'!$B$5:$I$332,8,FALSE),0)</f>
        <v>25.83</v>
      </c>
      <c r="E154" s="64">
        <f t="shared" si="34"/>
        <v>3003</v>
      </c>
      <c r="F154" s="144">
        <v>0</v>
      </c>
      <c r="G154" s="144">
        <v>0</v>
      </c>
      <c r="H154" s="64">
        <f t="shared" si="35"/>
        <v>3003</v>
      </c>
      <c r="I154" s="64">
        <f t="shared" si="36"/>
        <v>0</v>
      </c>
      <c r="J154" s="145">
        <f t="shared" si="37"/>
        <v>3003</v>
      </c>
      <c r="K154" s="146" t="str">
        <f t="shared" si="48"/>
        <v>N</v>
      </c>
      <c r="L154" s="147">
        <f t="shared" si="38"/>
        <v>3003</v>
      </c>
      <c r="M154" s="148">
        <f t="shared" si="39"/>
        <v>0</v>
      </c>
      <c r="N154" s="64">
        <f t="shared" si="40"/>
        <v>0</v>
      </c>
      <c r="O154" s="64">
        <f t="shared" si="41"/>
        <v>0</v>
      </c>
      <c r="Q154" s="104">
        <f t="shared" si="42"/>
        <v>0</v>
      </c>
      <c r="R154" s="104" t="str">
        <f t="shared" si="43"/>
        <v>Not Applicable</v>
      </c>
      <c r="S154" s="149" t="s">
        <v>815</v>
      </c>
      <c r="T154" s="149">
        <f>IF(O154=0,0,IF(S154="N",0,VLOOKUP(B154,'Enrollment 25-26'!$B$8:$K$332,9,FALSE)))</f>
        <v>0</v>
      </c>
      <c r="U154" s="64">
        <f t="shared" si="44"/>
        <v>0</v>
      </c>
      <c r="V154" s="128">
        <f t="shared" si="45"/>
        <v>0</v>
      </c>
      <c r="W154" s="150"/>
      <c r="X154" s="64">
        <f>IFERROR(VLOOKUP($B154,#REF!,14,FALSE),0)</f>
        <v>0</v>
      </c>
      <c r="Y154" s="99">
        <f t="shared" si="46"/>
        <v>0</v>
      </c>
      <c r="Z154" s="132">
        <f t="shared" si="47"/>
        <v>0</v>
      </c>
      <c r="AA154" s="151" t="str">
        <f t="shared" si="49"/>
        <v>N</v>
      </c>
      <c r="AC154" s="64"/>
      <c r="AE154" s="152"/>
      <c r="AH154" s="153"/>
      <c r="AI154" s="153"/>
      <c r="AJ154" s="153"/>
      <c r="AK154" s="154"/>
    </row>
    <row r="155" spans="1:37" x14ac:dyDescent="0.25">
      <c r="A155" s="142" t="s">
        <v>454</v>
      </c>
      <c r="B155" t="s">
        <v>616</v>
      </c>
      <c r="C155" t="s">
        <v>154</v>
      </c>
      <c r="D155" s="143">
        <f>IFERROR(VLOOKUP(B155,'Enrollment 25-26'!$B$5:$I$332,8,FALSE),0)</f>
        <v>142.82999999999998</v>
      </c>
      <c r="E155" s="64">
        <f t="shared" si="34"/>
        <v>16607</v>
      </c>
      <c r="F155" s="144">
        <v>0</v>
      </c>
      <c r="G155" s="144">
        <v>0</v>
      </c>
      <c r="H155" s="64">
        <f t="shared" si="35"/>
        <v>16607</v>
      </c>
      <c r="I155" s="64">
        <f t="shared" si="36"/>
        <v>0</v>
      </c>
      <c r="J155" s="145">
        <f t="shared" si="37"/>
        <v>16607</v>
      </c>
      <c r="K155" s="146" t="str">
        <f t="shared" si="48"/>
        <v>Y</v>
      </c>
      <c r="L155" s="147">
        <f t="shared" si="38"/>
        <v>0</v>
      </c>
      <c r="M155" s="148">
        <f t="shared" si="39"/>
        <v>142.82999999999998</v>
      </c>
      <c r="N155" s="64">
        <f t="shared" si="40"/>
        <v>123</v>
      </c>
      <c r="O155" s="64">
        <f t="shared" si="41"/>
        <v>16730</v>
      </c>
      <c r="Q155" s="104">
        <f t="shared" si="42"/>
        <v>0</v>
      </c>
      <c r="R155" s="104" t="str">
        <f t="shared" si="43"/>
        <v>Not Applicable</v>
      </c>
      <c r="S155" s="149" t="s">
        <v>815</v>
      </c>
      <c r="T155" s="149">
        <f>IF(O155=0,0,IF(S155="N",0,VLOOKUP(B155,'Enrollment 25-26'!$B$8:$K$332,9,FALSE)))</f>
        <v>0</v>
      </c>
      <c r="U155" s="64">
        <f t="shared" si="44"/>
        <v>16730</v>
      </c>
      <c r="V155" s="128">
        <f t="shared" si="45"/>
        <v>117.13225512847443</v>
      </c>
      <c r="W155" s="150"/>
      <c r="X155" s="64">
        <f>IFERROR(VLOOKUP($B155,#REF!,14,FALSE),0)</f>
        <v>0</v>
      </c>
      <c r="Y155" s="99">
        <f t="shared" si="46"/>
        <v>16730</v>
      </c>
      <c r="Z155" s="132">
        <f t="shared" si="47"/>
        <v>0</v>
      </c>
      <c r="AA155" s="151" t="str">
        <f t="shared" si="49"/>
        <v>Y</v>
      </c>
      <c r="AC155" s="64"/>
      <c r="AE155" s="152"/>
      <c r="AH155" s="153"/>
      <c r="AI155" s="153"/>
      <c r="AJ155" s="153"/>
      <c r="AK155" s="154"/>
    </row>
    <row r="156" spans="1:37" x14ac:dyDescent="0.25">
      <c r="A156" s="142" t="s">
        <v>446</v>
      </c>
      <c r="B156" t="s">
        <v>617</v>
      </c>
      <c r="C156" t="s">
        <v>155</v>
      </c>
      <c r="D156" s="143">
        <f>IFERROR(VLOOKUP(B156,'Enrollment 25-26'!$B$5:$I$332,8,FALSE),0)</f>
        <v>282.83</v>
      </c>
      <c r="E156" s="64">
        <f t="shared" si="34"/>
        <v>32885</v>
      </c>
      <c r="F156" s="144">
        <v>0</v>
      </c>
      <c r="G156" s="144">
        <v>0</v>
      </c>
      <c r="H156" s="64">
        <f t="shared" si="35"/>
        <v>32885</v>
      </c>
      <c r="I156" s="64">
        <f t="shared" si="36"/>
        <v>0</v>
      </c>
      <c r="J156" s="145">
        <f t="shared" si="37"/>
        <v>32885</v>
      </c>
      <c r="K156" s="146" t="str">
        <f t="shared" si="48"/>
        <v>Y</v>
      </c>
      <c r="L156" s="147">
        <f t="shared" si="38"/>
        <v>0</v>
      </c>
      <c r="M156" s="148">
        <f t="shared" si="39"/>
        <v>282.83</v>
      </c>
      <c r="N156" s="64">
        <f t="shared" si="40"/>
        <v>243</v>
      </c>
      <c r="O156" s="64">
        <f t="shared" si="41"/>
        <v>33128</v>
      </c>
      <c r="Q156" s="104">
        <f t="shared" si="42"/>
        <v>0</v>
      </c>
      <c r="R156" s="104" t="str">
        <f t="shared" si="43"/>
        <v>Not Applicable</v>
      </c>
      <c r="S156" s="149" t="s">
        <v>815</v>
      </c>
      <c r="T156" s="149">
        <f>IF(O156=0,0,IF(S156="N",0,VLOOKUP(B156,'Enrollment 25-26'!$B$8:$K$332,9,FALSE)))</f>
        <v>0</v>
      </c>
      <c r="U156" s="64">
        <f t="shared" si="44"/>
        <v>33128</v>
      </c>
      <c r="V156" s="128">
        <f t="shared" si="45"/>
        <v>117.13043170809321</v>
      </c>
      <c r="W156" s="150"/>
      <c r="X156" s="64">
        <f>IFERROR(VLOOKUP($B156,#REF!,14,FALSE),0)</f>
        <v>0</v>
      </c>
      <c r="Y156" s="99">
        <f t="shared" si="46"/>
        <v>33128</v>
      </c>
      <c r="Z156" s="132">
        <f t="shared" si="47"/>
        <v>0</v>
      </c>
      <c r="AA156" s="151" t="str">
        <f t="shared" si="49"/>
        <v>Y</v>
      </c>
      <c r="AC156" s="64"/>
      <c r="AE156" s="152"/>
      <c r="AH156" s="153"/>
      <c r="AI156" s="153"/>
      <c r="AJ156" s="153"/>
      <c r="AK156" s="154"/>
    </row>
    <row r="157" spans="1:37" x14ac:dyDescent="0.25">
      <c r="A157" s="142" t="s">
        <v>481</v>
      </c>
      <c r="B157" t="s">
        <v>618</v>
      </c>
      <c r="C157" t="s">
        <v>156</v>
      </c>
      <c r="D157" s="143">
        <f>IFERROR(VLOOKUP(B157,'Enrollment 25-26'!$B$5:$I$332,8,FALSE),0)</f>
        <v>28.67</v>
      </c>
      <c r="E157" s="64">
        <f t="shared" si="34"/>
        <v>3333</v>
      </c>
      <c r="F157" s="144">
        <v>0</v>
      </c>
      <c r="G157" s="144">
        <v>0</v>
      </c>
      <c r="H157" s="64">
        <f t="shared" si="35"/>
        <v>3333</v>
      </c>
      <c r="I157" s="64">
        <f t="shared" si="36"/>
        <v>0</v>
      </c>
      <c r="J157" s="145">
        <f t="shared" si="37"/>
        <v>3333</v>
      </c>
      <c r="K157" s="146" t="str">
        <f t="shared" si="48"/>
        <v>C</v>
      </c>
      <c r="L157" s="147">
        <f t="shared" si="38"/>
        <v>0</v>
      </c>
      <c r="M157" s="148">
        <f t="shared" si="39"/>
        <v>28.67</v>
      </c>
      <c r="N157" s="64">
        <f t="shared" si="40"/>
        <v>25</v>
      </c>
      <c r="O157" s="64">
        <f t="shared" si="41"/>
        <v>3358</v>
      </c>
      <c r="Q157" s="104">
        <f t="shared" si="42"/>
        <v>0</v>
      </c>
      <c r="R157" s="104" t="str">
        <f t="shared" si="43"/>
        <v>Not Applicable</v>
      </c>
      <c r="S157" s="149" t="s">
        <v>815</v>
      </c>
      <c r="T157" s="149">
        <f>IF(O157=0,0,IF(S157="N",0,VLOOKUP(B157,'Enrollment 25-26'!$B$8:$K$332,9,FALSE)))</f>
        <v>0</v>
      </c>
      <c r="U157" s="64">
        <f t="shared" si="44"/>
        <v>3358</v>
      </c>
      <c r="V157" s="128">
        <f t="shared" si="45"/>
        <v>117.12591559121032</v>
      </c>
      <c r="W157" s="150"/>
      <c r="X157" s="64">
        <f>IFERROR(VLOOKUP($B157,#REF!,14,FALSE),0)</f>
        <v>0</v>
      </c>
      <c r="Y157" s="99">
        <f t="shared" si="46"/>
        <v>3358</v>
      </c>
      <c r="Z157" s="132">
        <f t="shared" si="47"/>
        <v>0</v>
      </c>
      <c r="AA157" s="151" t="str">
        <f t="shared" si="49"/>
        <v>C</v>
      </c>
      <c r="AC157" s="64"/>
      <c r="AE157" s="152"/>
      <c r="AH157" s="153"/>
      <c r="AI157" s="153"/>
      <c r="AJ157" s="153"/>
      <c r="AK157" s="154"/>
    </row>
    <row r="158" spans="1:37" x14ac:dyDescent="0.25">
      <c r="A158" s="142" t="s">
        <v>459</v>
      </c>
      <c r="B158" t="s">
        <v>619</v>
      </c>
      <c r="C158" t="s">
        <v>157</v>
      </c>
      <c r="D158" s="143">
        <f>IFERROR(VLOOKUP(B158,'Enrollment 25-26'!$B$5:$I$332,8,FALSE),0)</f>
        <v>0</v>
      </c>
      <c r="E158" s="64">
        <f t="shared" si="34"/>
        <v>0</v>
      </c>
      <c r="F158" s="144">
        <v>0</v>
      </c>
      <c r="G158" s="144">
        <v>0</v>
      </c>
      <c r="H158" s="64">
        <f t="shared" si="35"/>
        <v>0</v>
      </c>
      <c r="I158" s="64">
        <f t="shared" si="36"/>
        <v>0</v>
      </c>
      <c r="J158" s="145">
        <f t="shared" si="37"/>
        <v>0</v>
      </c>
      <c r="K158" s="146" t="str">
        <f t="shared" si="48"/>
        <v>N</v>
      </c>
      <c r="L158" s="147">
        <f t="shared" si="38"/>
        <v>0</v>
      </c>
      <c r="M158" s="148">
        <f t="shared" si="39"/>
        <v>0</v>
      </c>
      <c r="N158" s="64">
        <f t="shared" si="40"/>
        <v>0</v>
      </c>
      <c r="O158" s="64">
        <f t="shared" si="41"/>
        <v>0</v>
      </c>
      <c r="Q158" s="104">
        <f t="shared" si="42"/>
        <v>0</v>
      </c>
      <c r="R158" s="104" t="str">
        <f t="shared" si="43"/>
        <v>Not Applicable</v>
      </c>
      <c r="S158" s="149" t="s">
        <v>815</v>
      </c>
      <c r="T158" s="149">
        <f>IF(O158=0,0,IF(S158="N",0,VLOOKUP(B158,'Enrollment 25-26'!$B$8:$K$332,9,FALSE)))</f>
        <v>0</v>
      </c>
      <c r="U158" s="64">
        <f t="shared" si="44"/>
        <v>0</v>
      </c>
      <c r="V158" s="128">
        <f t="shared" si="45"/>
        <v>0</v>
      </c>
      <c r="W158" s="150"/>
      <c r="X158" s="64">
        <f>IFERROR(VLOOKUP($B158,#REF!,14,FALSE),0)</f>
        <v>0</v>
      </c>
      <c r="Y158" s="99">
        <f t="shared" si="46"/>
        <v>0</v>
      </c>
      <c r="Z158" s="132">
        <f t="shared" si="47"/>
        <v>0</v>
      </c>
      <c r="AA158" s="151" t="str">
        <f t="shared" si="49"/>
        <v>N</v>
      </c>
      <c r="AC158" s="64"/>
      <c r="AE158" s="152"/>
      <c r="AH158" s="153"/>
      <c r="AI158" s="153"/>
      <c r="AJ158" s="153"/>
      <c r="AK158" s="154"/>
    </row>
    <row r="159" spans="1:37" x14ac:dyDescent="0.25">
      <c r="A159" s="142" t="s">
        <v>446</v>
      </c>
      <c r="B159" t="s">
        <v>620</v>
      </c>
      <c r="C159" t="s">
        <v>158</v>
      </c>
      <c r="D159" s="143">
        <f>IFERROR(VLOOKUP(B159,'Enrollment 25-26'!$B$5:$I$332,8,FALSE),0)</f>
        <v>838.16</v>
      </c>
      <c r="E159" s="64">
        <f t="shared" si="34"/>
        <v>97453</v>
      </c>
      <c r="F159" s="144">
        <v>0</v>
      </c>
      <c r="G159" s="144">
        <v>0</v>
      </c>
      <c r="H159" s="64">
        <f t="shared" si="35"/>
        <v>97453</v>
      </c>
      <c r="I159" s="64">
        <f t="shared" si="36"/>
        <v>0</v>
      </c>
      <c r="J159" s="145">
        <f t="shared" si="37"/>
        <v>97453</v>
      </c>
      <c r="K159" s="146" t="str">
        <f t="shared" si="48"/>
        <v>Y</v>
      </c>
      <c r="L159" s="147">
        <f t="shared" si="38"/>
        <v>0</v>
      </c>
      <c r="M159" s="148">
        <f t="shared" si="39"/>
        <v>838.16</v>
      </c>
      <c r="N159" s="64">
        <f t="shared" si="40"/>
        <v>721</v>
      </c>
      <c r="O159" s="64">
        <f t="shared" si="41"/>
        <v>98174</v>
      </c>
      <c r="Q159" s="104">
        <f t="shared" si="42"/>
        <v>0</v>
      </c>
      <c r="R159" s="104" t="str">
        <f t="shared" si="43"/>
        <v>Not Applicable</v>
      </c>
      <c r="S159" s="149" t="s">
        <v>815</v>
      </c>
      <c r="T159" s="149">
        <f>IF(O159=0,0,IF(S159="N",0,VLOOKUP(B159,'Enrollment 25-26'!$B$8:$K$332,9,FALSE)))</f>
        <v>0</v>
      </c>
      <c r="U159" s="64">
        <f t="shared" si="44"/>
        <v>98174</v>
      </c>
      <c r="V159" s="128">
        <f t="shared" si="45"/>
        <v>117.13038083420827</v>
      </c>
      <c r="W159" s="150"/>
      <c r="X159" s="64">
        <f>IFERROR(VLOOKUP($B159,#REF!,14,FALSE),0)</f>
        <v>0</v>
      </c>
      <c r="Y159" s="99">
        <f t="shared" si="46"/>
        <v>98174</v>
      </c>
      <c r="Z159" s="132">
        <f t="shared" si="47"/>
        <v>0</v>
      </c>
      <c r="AA159" s="151" t="str">
        <f t="shared" si="49"/>
        <v>Y</v>
      </c>
      <c r="AC159" s="64"/>
      <c r="AE159" s="152"/>
      <c r="AH159" s="153"/>
      <c r="AI159" s="153"/>
      <c r="AJ159" s="153"/>
      <c r="AK159" s="154"/>
    </row>
    <row r="160" spans="1:37" x14ac:dyDescent="0.25">
      <c r="A160" s="142" t="s">
        <v>438</v>
      </c>
      <c r="B160" t="s">
        <v>621</v>
      </c>
      <c r="C160" t="s">
        <v>159</v>
      </c>
      <c r="D160" s="143">
        <f>IFERROR(VLOOKUP(B160,'Enrollment 25-26'!$B$5:$I$332,8,FALSE),0)</f>
        <v>37.67</v>
      </c>
      <c r="E160" s="64">
        <f t="shared" si="34"/>
        <v>4380</v>
      </c>
      <c r="F160" s="144">
        <v>0</v>
      </c>
      <c r="G160" s="144">
        <v>0</v>
      </c>
      <c r="H160" s="64">
        <f t="shared" si="35"/>
        <v>4380</v>
      </c>
      <c r="I160" s="64">
        <f t="shared" si="36"/>
        <v>0</v>
      </c>
      <c r="J160" s="145">
        <f t="shared" si="37"/>
        <v>4380</v>
      </c>
      <c r="K160" s="146" t="str">
        <f t="shared" si="48"/>
        <v>N</v>
      </c>
      <c r="L160" s="147">
        <f t="shared" si="38"/>
        <v>4380</v>
      </c>
      <c r="M160" s="148">
        <f t="shared" si="39"/>
        <v>0</v>
      </c>
      <c r="N160" s="64">
        <f t="shared" si="40"/>
        <v>0</v>
      </c>
      <c r="O160" s="64">
        <f t="shared" si="41"/>
        <v>0</v>
      </c>
      <c r="Q160" s="104">
        <f t="shared" si="42"/>
        <v>0</v>
      </c>
      <c r="R160" s="104" t="str">
        <f t="shared" si="43"/>
        <v>Not Applicable</v>
      </c>
      <c r="S160" s="149" t="s">
        <v>815</v>
      </c>
      <c r="T160" s="149">
        <f>IF(O160=0,0,IF(S160="N",0,VLOOKUP(B160,'Enrollment 25-26'!$B$8:$K$332,9,FALSE)))</f>
        <v>0</v>
      </c>
      <c r="U160" s="64">
        <f t="shared" si="44"/>
        <v>0</v>
      </c>
      <c r="V160" s="128">
        <f t="shared" si="45"/>
        <v>0</v>
      </c>
      <c r="W160" s="150"/>
      <c r="X160" s="64">
        <f>IFERROR(VLOOKUP($B160,#REF!,14,FALSE),0)</f>
        <v>0</v>
      </c>
      <c r="Y160" s="99">
        <f t="shared" si="46"/>
        <v>0</v>
      </c>
      <c r="Z160" s="132">
        <f t="shared" si="47"/>
        <v>0</v>
      </c>
      <c r="AA160" s="151" t="str">
        <f t="shared" si="49"/>
        <v>N</v>
      </c>
      <c r="AC160" s="64"/>
      <c r="AE160" s="152"/>
      <c r="AH160" s="153"/>
      <c r="AI160" s="153"/>
      <c r="AJ160" s="153"/>
      <c r="AK160" s="154"/>
    </row>
    <row r="161" spans="1:37" x14ac:dyDescent="0.25">
      <c r="A161" s="142" t="s">
        <v>438</v>
      </c>
      <c r="B161" t="s">
        <v>622</v>
      </c>
      <c r="C161" t="s">
        <v>160</v>
      </c>
      <c r="D161" s="143">
        <f>IFERROR(VLOOKUP(B161,'Enrollment 25-26'!$B$5:$I$332,8,FALSE),0)</f>
        <v>0</v>
      </c>
      <c r="E161" s="64">
        <f t="shared" si="34"/>
        <v>0</v>
      </c>
      <c r="F161" s="144">
        <v>0</v>
      </c>
      <c r="G161" s="144">
        <v>0</v>
      </c>
      <c r="H161" s="64">
        <f t="shared" si="35"/>
        <v>0</v>
      </c>
      <c r="I161" s="64">
        <f t="shared" si="36"/>
        <v>0</v>
      </c>
      <c r="J161" s="145">
        <f t="shared" si="37"/>
        <v>0</v>
      </c>
      <c r="K161" s="146" t="str">
        <f t="shared" si="48"/>
        <v>N</v>
      </c>
      <c r="L161" s="147">
        <f t="shared" si="38"/>
        <v>0</v>
      </c>
      <c r="M161" s="148">
        <f t="shared" si="39"/>
        <v>0</v>
      </c>
      <c r="N161" s="64">
        <f t="shared" si="40"/>
        <v>0</v>
      </c>
      <c r="O161" s="64">
        <f t="shared" si="41"/>
        <v>0</v>
      </c>
      <c r="Q161" s="104">
        <f t="shared" si="42"/>
        <v>0</v>
      </c>
      <c r="R161" s="104" t="str">
        <f t="shared" si="43"/>
        <v>Not Applicable</v>
      </c>
      <c r="S161" s="149" t="s">
        <v>815</v>
      </c>
      <c r="T161" s="149">
        <f>IF(O161=0,0,IF(S161="N",0,VLOOKUP(B161,'Enrollment 25-26'!$B$8:$K$332,9,FALSE)))</f>
        <v>0</v>
      </c>
      <c r="U161" s="64">
        <f t="shared" si="44"/>
        <v>0</v>
      </c>
      <c r="V161" s="128">
        <f t="shared" si="45"/>
        <v>0</v>
      </c>
      <c r="W161" s="150"/>
      <c r="X161" s="64">
        <f>IFERROR(VLOOKUP($B161,#REF!,14,FALSE),0)</f>
        <v>0</v>
      </c>
      <c r="Y161" s="99">
        <f t="shared" si="46"/>
        <v>0</v>
      </c>
      <c r="Z161" s="132">
        <f t="shared" si="47"/>
        <v>0</v>
      </c>
      <c r="AA161" s="151" t="str">
        <f t="shared" si="49"/>
        <v>N</v>
      </c>
      <c r="AC161" s="64"/>
      <c r="AE161" s="152"/>
      <c r="AH161" s="153"/>
      <c r="AI161" s="153"/>
      <c r="AJ161" s="153"/>
      <c r="AK161" s="154"/>
    </row>
    <row r="162" spans="1:37" x14ac:dyDescent="0.25">
      <c r="A162" s="142" t="s">
        <v>481</v>
      </c>
      <c r="B162" t="s">
        <v>623</v>
      </c>
      <c r="C162" t="s">
        <v>161</v>
      </c>
      <c r="D162" s="143">
        <f>IFERROR(VLOOKUP(B162,'Enrollment 25-26'!$B$5:$I$332,8,FALSE),0)</f>
        <v>1261.5</v>
      </c>
      <c r="E162" s="64">
        <f t="shared" si="34"/>
        <v>146675</v>
      </c>
      <c r="F162" s="144">
        <v>0</v>
      </c>
      <c r="G162" s="144">
        <v>0</v>
      </c>
      <c r="H162" s="64">
        <f t="shared" si="35"/>
        <v>146675</v>
      </c>
      <c r="I162" s="64">
        <f t="shared" si="36"/>
        <v>0</v>
      </c>
      <c r="J162" s="145">
        <f t="shared" si="37"/>
        <v>146675</v>
      </c>
      <c r="K162" s="146" t="str">
        <f t="shared" si="48"/>
        <v>Y</v>
      </c>
      <c r="L162" s="147">
        <f t="shared" si="38"/>
        <v>0</v>
      </c>
      <c r="M162" s="148">
        <f t="shared" si="39"/>
        <v>1261.5</v>
      </c>
      <c r="N162" s="64">
        <f t="shared" si="40"/>
        <v>1085</v>
      </c>
      <c r="O162" s="64">
        <f t="shared" si="41"/>
        <v>147760</v>
      </c>
      <c r="Q162" s="104">
        <f t="shared" si="42"/>
        <v>0</v>
      </c>
      <c r="R162" s="104" t="str">
        <f t="shared" si="43"/>
        <v>Not Applicable</v>
      </c>
      <c r="S162" s="149" t="s">
        <v>815</v>
      </c>
      <c r="T162" s="149">
        <f>IF(O162=0,0,IF(S162="N",0,VLOOKUP(B162,'Enrollment 25-26'!$B$8:$K$332,9,FALSE)))</f>
        <v>0</v>
      </c>
      <c r="U162" s="64">
        <f t="shared" si="44"/>
        <v>147760</v>
      </c>
      <c r="V162" s="128">
        <f t="shared" si="45"/>
        <v>117.13040031708283</v>
      </c>
      <c r="W162" s="150"/>
      <c r="X162" s="64">
        <f>IFERROR(VLOOKUP($B162,#REF!,14,FALSE),0)</f>
        <v>0</v>
      </c>
      <c r="Y162" s="99">
        <f t="shared" si="46"/>
        <v>147760</v>
      </c>
      <c r="Z162" s="132">
        <f t="shared" si="47"/>
        <v>0</v>
      </c>
      <c r="AA162" s="151" t="str">
        <f t="shared" si="49"/>
        <v>Y</v>
      </c>
      <c r="AC162" s="64"/>
      <c r="AE162" s="152"/>
      <c r="AH162" s="153"/>
      <c r="AI162" s="153"/>
      <c r="AJ162" s="153"/>
      <c r="AK162" s="154"/>
    </row>
    <row r="163" spans="1:37" x14ac:dyDescent="0.25">
      <c r="A163" s="142" t="s">
        <v>438</v>
      </c>
      <c r="B163" t="s">
        <v>468</v>
      </c>
      <c r="C163" t="s">
        <v>162</v>
      </c>
      <c r="D163" s="143">
        <f>IFERROR(VLOOKUP(B163,'Enrollment 25-26'!$B$5:$I$332,8,FALSE),0)</f>
        <v>68.17</v>
      </c>
      <c r="E163" s="64">
        <f t="shared" si="34"/>
        <v>7926</v>
      </c>
      <c r="F163" s="144">
        <v>0</v>
      </c>
      <c r="G163" s="144">
        <v>0</v>
      </c>
      <c r="H163" s="64">
        <f t="shared" si="35"/>
        <v>7926</v>
      </c>
      <c r="I163" s="64">
        <f t="shared" si="36"/>
        <v>0</v>
      </c>
      <c r="J163" s="145">
        <f t="shared" si="37"/>
        <v>7926</v>
      </c>
      <c r="K163" s="146" t="str">
        <f t="shared" si="48"/>
        <v>C</v>
      </c>
      <c r="L163" s="147">
        <f t="shared" si="38"/>
        <v>0</v>
      </c>
      <c r="M163" s="148">
        <f t="shared" si="39"/>
        <v>68.17</v>
      </c>
      <c r="N163" s="64">
        <f t="shared" si="40"/>
        <v>59</v>
      </c>
      <c r="O163" s="64">
        <f t="shared" si="41"/>
        <v>7985</v>
      </c>
      <c r="Q163" s="104">
        <f t="shared" si="42"/>
        <v>0</v>
      </c>
      <c r="R163" s="104" t="str">
        <f t="shared" si="43"/>
        <v>Not Applicable</v>
      </c>
      <c r="S163" s="149" t="s">
        <v>815</v>
      </c>
      <c r="T163" s="149">
        <f>IF(O163=0,0,IF(S163="N",0,VLOOKUP(B163,'Enrollment 25-26'!$B$8:$K$332,9,FALSE)))</f>
        <v>0</v>
      </c>
      <c r="U163" s="64">
        <f t="shared" si="44"/>
        <v>7985</v>
      </c>
      <c r="V163" s="128">
        <f t="shared" si="45"/>
        <v>117.13363649699281</v>
      </c>
      <c r="W163" s="150"/>
      <c r="X163" s="64">
        <f>IFERROR(VLOOKUP($B163,#REF!,14,FALSE),0)</f>
        <v>0</v>
      </c>
      <c r="Y163" s="99">
        <f t="shared" si="46"/>
        <v>7985</v>
      </c>
      <c r="Z163" s="132">
        <f t="shared" si="47"/>
        <v>0</v>
      </c>
      <c r="AA163" s="151" t="str">
        <f t="shared" si="49"/>
        <v>C</v>
      </c>
      <c r="AC163" s="64"/>
      <c r="AE163" s="152"/>
      <c r="AH163" s="153"/>
      <c r="AI163" s="153"/>
      <c r="AJ163" s="153"/>
      <c r="AK163" s="154"/>
    </row>
    <row r="164" spans="1:37" x14ac:dyDescent="0.25">
      <c r="A164" s="142" t="s">
        <v>471</v>
      </c>
      <c r="B164" t="s">
        <v>624</v>
      </c>
      <c r="C164" t="s">
        <v>163</v>
      </c>
      <c r="D164" s="143">
        <f>IFERROR(VLOOKUP(B164,'Enrollment 25-26'!$B$5:$I$332,8,FALSE),0)</f>
        <v>399.32666666666671</v>
      </c>
      <c r="E164" s="64">
        <f t="shared" si="34"/>
        <v>46430</v>
      </c>
      <c r="F164" s="144">
        <v>0</v>
      </c>
      <c r="G164" s="144">
        <v>0</v>
      </c>
      <c r="H164" s="64">
        <f t="shared" si="35"/>
        <v>46430</v>
      </c>
      <c r="I164" s="64">
        <f t="shared" si="36"/>
        <v>0</v>
      </c>
      <c r="J164" s="145">
        <f t="shared" si="37"/>
        <v>46430</v>
      </c>
      <c r="K164" s="146" t="str">
        <f t="shared" si="48"/>
        <v>Y</v>
      </c>
      <c r="L164" s="147">
        <f t="shared" si="38"/>
        <v>0</v>
      </c>
      <c r="M164" s="148">
        <f t="shared" si="39"/>
        <v>399.32666666666671</v>
      </c>
      <c r="N164" s="64">
        <f t="shared" si="40"/>
        <v>343</v>
      </c>
      <c r="O164" s="64">
        <f t="shared" si="41"/>
        <v>46773</v>
      </c>
      <c r="Q164" s="104">
        <f t="shared" si="42"/>
        <v>0</v>
      </c>
      <c r="R164" s="104" t="str">
        <f t="shared" si="43"/>
        <v>Not Applicable</v>
      </c>
      <c r="S164" s="149" t="s">
        <v>815</v>
      </c>
      <c r="T164" s="149">
        <f>IF(O164=0,0,IF(S164="N",0,VLOOKUP(B164,'Enrollment 25-26'!$B$8:$K$332,9,FALSE)))</f>
        <v>0</v>
      </c>
      <c r="U164" s="64">
        <f t="shared" si="44"/>
        <v>46773</v>
      </c>
      <c r="V164" s="128">
        <f t="shared" si="45"/>
        <v>117.12966827492946</v>
      </c>
      <c r="W164" s="150"/>
      <c r="X164" s="64">
        <f>IFERROR(VLOOKUP($B164,#REF!,14,FALSE),0)</f>
        <v>0</v>
      </c>
      <c r="Y164" s="99">
        <f t="shared" si="46"/>
        <v>46773</v>
      </c>
      <c r="Z164" s="132">
        <f t="shared" si="47"/>
        <v>0</v>
      </c>
      <c r="AA164" s="151" t="str">
        <f t="shared" si="49"/>
        <v>Y</v>
      </c>
      <c r="AC164" s="64"/>
      <c r="AE164" s="152"/>
      <c r="AH164" s="153"/>
      <c r="AI164" s="153"/>
      <c r="AJ164" s="153"/>
      <c r="AK164" s="154"/>
    </row>
    <row r="165" spans="1:37" x14ac:dyDescent="0.25">
      <c r="A165" s="142" t="s">
        <v>446</v>
      </c>
      <c r="B165" t="s">
        <v>625</v>
      </c>
      <c r="C165" t="s">
        <v>164</v>
      </c>
      <c r="D165" s="143">
        <f>IFERROR(VLOOKUP(B165,'Enrollment 25-26'!$B$5:$I$332,8,FALSE),0)</f>
        <v>138</v>
      </c>
      <c r="E165" s="64">
        <f t="shared" si="34"/>
        <v>16045</v>
      </c>
      <c r="F165" s="144">
        <v>0</v>
      </c>
      <c r="G165" s="144">
        <v>0</v>
      </c>
      <c r="H165" s="64">
        <f t="shared" si="35"/>
        <v>16045</v>
      </c>
      <c r="I165" s="64">
        <f t="shared" si="36"/>
        <v>0</v>
      </c>
      <c r="J165" s="145">
        <f t="shared" si="37"/>
        <v>16045</v>
      </c>
      <c r="K165" s="146" t="str">
        <f t="shared" si="48"/>
        <v>Y</v>
      </c>
      <c r="L165" s="147">
        <f t="shared" si="38"/>
        <v>0</v>
      </c>
      <c r="M165" s="148">
        <f t="shared" si="39"/>
        <v>138</v>
      </c>
      <c r="N165" s="64">
        <f t="shared" si="40"/>
        <v>119</v>
      </c>
      <c r="O165" s="64">
        <f t="shared" si="41"/>
        <v>16164</v>
      </c>
      <c r="Q165" s="104">
        <f t="shared" si="42"/>
        <v>0</v>
      </c>
      <c r="R165" s="104" t="str">
        <f t="shared" si="43"/>
        <v>Not Applicable</v>
      </c>
      <c r="S165" s="149" t="s">
        <v>815</v>
      </c>
      <c r="T165" s="149">
        <f>IF(O165=0,0,IF(S165="N",0,VLOOKUP(B165,'Enrollment 25-26'!$B$8:$K$332,9,FALSE)))</f>
        <v>0</v>
      </c>
      <c r="U165" s="64">
        <f t="shared" si="44"/>
        <v>16164</v>
      </c>
      <c r="V165" s="128">
        <f t="shared" si="45"/>
        <v>117.1304347826087</v>
      </c>
      <c r="W165" s="150"/>
      <c r="X165" s="64">
        <f>IFERROR(VLOOKUP($B165,#REF!,14,FALSE),0)</f>
        <v>0</v>
      </c>
      <c r="Y165" s="99">
        <f t="shared" si="46"/>
        <v>16164</v>
      </c>
      <c r="Z165" s="132">
        <f t="shared" si="47"/>
        <v>0</v>
      </c>
      <c r="AA165" s="151" t="str">
        <f t="shared" si="49"/>
        <v>Y</v>
      </c>
      <c r="AC165" s="64"/>
      <c r="AE165" s="152"/>
      <c r="AH165" s="153"/>
      <c r="AI165" s="153"/>
      <c r="AJ165" s="153"/>
      <c r="AK165" s="154"/>
    </row>
    <row r="166" spans="1:37" x14ac:dyDescent="0.25">
      <c r="A166" s="142" t="s">
        <v>459</v>
      </c>
      <c r="B166" t="s">
        <v>626</v>
      </c>
      <c r="C166" t="s">
        <v>165</v>
      </c>
      <c r="D166" s="143">
        <f>IFERROR(VLOOKUP(B166,'Enrollment 25-26'!$B$5:$I$332,8,FALSE),0)</f>
        <v>0</v>
      </c>
      <c r="E166" s="64">
        <f t="shared" si="34"/>
        <v>0</v>
      </c>
      <c r="F166" s="144">
        <v>0</v>
      </c>
      <c r="G166" s="144">
        <v>0</v>
      </c>
      <c r="H166" s="64">
        <f t="shared" si="35"/>
        <v>0</v>
      </c>
      <c r="I166" s="64">
        <f t="shared" si="36"/>
        <v>0</v>
      </c>
      <c r="J166" s="145">
        <f t="shared" si="37"/>
        <v>0</v>
      </c>
      <c r="K166" s="146" t="str">
        <f t="shared" si="48"/>
        <v>N</v>
      </c>
      <c r="L166" s="147">
        <f t="shared" si="38"/>
        <v>0</v>
      </c>
      <c r="M166" s="148">
        <f t="shared" si="39"/>
        <v>0</v>
      </c>
      <c r="N166" s="64">
        <f t="shared" si="40"/>
        <v>0</v>
      </c>
      <c r="O166" s="64">
        <f t="shared" si="41"/>
        <v>0</v>
      </c>
      <c r="Q166" s="104">
        <f t="shared" si="42"/>
        <v>0</v>
      </c>
      <c r="R166" s="104" t="str">
        <f t="shared" si="43"/>
        <v>Not Applicable</v>
      </c>
      <c r="S166" s="149" t="s">
        <v>815</v>
      </c>
      <c r="T166" s="149">
        <f>IF(O166=0,0,IF(S166="N",0,VLOOKUP(B166,'Enrollment 25-26'!$B$8:$K$332,9,FALSE)))</f>
        <v>0</v>
      </c>
      <c r="U166" s="64">
        <f t="shared" si="44"/>
        <v>0</v>
      </c>
      <c r="V166" s="128">
        <f t="shared" si="45"/>
        <v>0</v>
      </c>
      <c r="W166" s="150"/>
      <c r="X166" s="64">
        <f>IFERROR(VLOOKUP($B166,#REF!,14,FALSE),0)</f>
        <v>0</v>
      </c>
      <c r="Y166" s="99">
        <f t="shared" si="46"/>
        <v>0</v>
      </c>
      <c r="Z166" s="132">
        <f t="shared" si="47"/>
        <v>0</v>
      </c>
      <c r="AA166" s="151" t="str">
        <f t="shared" si="49"/>
        <v>N</v>
      </c>
      <c r="AC166" s="64"/>
      <c r="AE166" s="152"/>
      <c r="AH166" s="153"/>
      <c r="AI166" s="153"/>
      <c r="AJ166" s="153"/>
      <c r="AK166" s="154"/>
    </row>
    <row r="167" spans="1:37" x14ac:dyDescent="0.25">
      <c r="A167" s="142" t="s">
        <v>446</v>
      </c>
      <c r="B167" t="s">
        <v>627</v>
      </c>
      <c r="C167" t="s">
        <v>166</v>
      </c>
      <c r="D167" s="143">
        <f>IFERROR(VLOOKUP(B167,'Enrollment 25-26'!$B$5:$I$332,8,FALSE),0)</f>
        <v>1869.5033333333333</v>
      </c>
      <c r="E167" s="64">
        <f t="shared" si="34"/>
        <v>217367</v>
      </c>
      <c r="F167" s="144">
        <v>0</v>
      </c>
      <c r="G167" s="144">
        <v>0</v>
      </c>
      <c r="H167" s="64">
        <f t="shared" si="35"/>
        <v>217367</v>
      </c>
      <c r="I167" s="64">
        <f t="shared" si="36"/>
        <v>0</v>
      </c>
      <c r="J167" s="145">
        <f t="shared" si="37"/>
        <v>217367</v>
      </c>
      <c r="K167" s="146" t="str">
        <f t="shared" si="48"/>
        <v>C</v>
      </c>
      <c r="L167" s="147">
        <f t="shared" si="38"/>
        <v>0</v>
      </c>
      <c r="M167" s="148">
        <f t="shared" si="39"/>
        <v>1869.5033333333333</v>
      </c>
      <c r="N167" s="64">
        <f t="shared" si="40"/>
        <v>1607</v>
      </c>
      <c r="O167" s="64">
        <f t="shared" si="41"/>
        <v>218974</v>
      </c>
      <c r="Q167" s="104">
        <f t="shared" si="42"/>
        <v>0</v>
      </c>
      <c r="R167" s="104" t="str">
        <f t="shared" si="43"/>
        <v>Not Applicable</v>
      </c>
      <c r="S167" s="149" t="s">
        <v>815</v>
      </c>
      <c r="T167" s="149">
        <f>IF(O167=0,0,IF(S167="N",0,VLOOKUP(B167,'Enrollment 25-26'!$B$8:$K$332,9,FALSE)))</f>
        <v>0</v>
      </c>
      <c r="U167" s="64">
        <f t="shared" si="44"/>
        <v>218974</v>
      </c>
      <c r="V167" s="128">
        <f t="shared" si="45"/>
        <v>117.1295049843898</v>
      </c>
      <c r="W167" s="150"/>
      <c r="X167" s="64">
        <f>IFERROR(VLOOKUP($B167,#REF!,14,FALSE),0)</f>
        <v>0</v>
      </c>
      <c r="Y167" s="99">
        <f t="shared" si="46"/>
        <v>218974</v>
      </c>
      <c r="Z167" s="132">
        <f t="shared" si="47"/>
        <v>0</v>
      </c>
      <c r="AA167" s="151" t="str">
        <f t="shared" si="49"/>
        <v>C</v>
      </c>
      <c r="AC167" s="64"/>
      <c r="AE167" s="152"/>
      <c r="AH167" s="153"/>
      <c r="AI167" s="153"/>
      <c r="AJ167" s="153"/>
      <c r="AK167" s="154"/>
    </row>
    <row r="168" spans="1:37" x14ac:dyDescent="0.25">
      <c r="A168" s="142" t="s">
        <v>446</v>
      </c>
      <c r="B168" t="s">
        <v>628</v>
      </c>
      <c r="C168" t="s">
        <v>168</v>
      </c>
      <c r="D168" s="143">
        <f>IFERROR(VLOOKUP(B168,'Enrollment 25-26'!$B$5:$I$332,8,FALSE),0)</f>
        <v>4272.336666666667</v>
      </c>
      <c r="E168" s="64">
        <f t="shared" si="34"/>
        <v>496745</v>
      </c>
      <c r="F168" s="144">
        <v>0</v>
      </c>
      <c r="G168" s="144">
        <v>0</v>
      </c>
      <c r="H168" s="64">
        <f t="shared" si="35"/>
        <v>496745</v>
      </c>
      <c r="I168" s="64">
        <f t="shared" si="36"/>
        <v>0</v>
      </c>
      <c r="J168" s="145">
        <f t="shared" si="37"/>
        <v>496745</v>
      </c>
      <c r="K168" s="146" t="str">
        <f t="shared" si="48"/>
        <v>Y</v>
      </c>
      <c r="L168" s="147">
        <f t="shared" si="38"/>
        <v>0</v>
      </c>
      <c r="M168" s="148">
        <f t="shared" si="39"/>
        <v>4272.336666666667</v>
      </c>
      <c r="N168" s="64">
        <f t="shared" si="40"/>
        <v>3673</v>
      </c>
      <c r="O168" s="64">
        <f t="shared" si="41"/>
        <v>500418</v>
      </c>
      <c r="Q168" s="104">
        <f t="shared" si="42"/>
        <v>0</v>
      </c>
      <c r="R168" s="104" t="str">
        <f t="shared" si="43"/>
        <v>Not Applicable</v>
      </c>
      <c r="S168" s="149" t="s">
        <v>815</v>
      </c>
      <c r="T168" s="149">
        <f>IF(O168=0,0,IF(S168="N",0,VLOOKUP(B168,'Enrollment 25-26'!$B$8:$K$332,9,FALSE)))</f>
        <v>0</v>
      </c>
      <c r="U168" s="64">
        <f t="shared" si="44"/>
        <v>500418</v>
      </c>
      <c r="V168" s="128">
        <f t="shared" si="45"/>
        <v>117.12981420783785</v>
      </c>
      <c r="W168" s="150"/>
      <c r="X168" s="64">
        <f>IFERROR(VLOOKUP($B168,#REF!,14,FALSE),0)</f>
        <v>0</v>
      </c>
      <c r="Y168" s="99">
        <f t="shared" si="46"/>
        <v>500418</v>
      </c>
      <c r="Z168" s="132">
        <f t="shared" si="47"/>
        <v>0</v>
      </c>
      <c r="AA168" s="151" t="str">
        <f t="shared" si="49"/>
        <v>Y</v>
      </c>
      <c r="AC168" s="64"/>
      <c r="AE168" s="152"/>
      <c r="AH168" s="153"/>
      <c r="AI168" s="153"/>
      <c r="AJ168" s="153"/>
      <c r="AK168" s="154"/>
    </row>
    <row r="169" spans="1:37" x14ac:dyDescent="0.25">
      <c r="A169" s="142" t="s">
        <v>471</v>
      </c>
      <c r="B169" t="s">
        <v>629</v>
      </c>
      <c r="C169" t="s">
        <v>169</v>
      </c>
      <c r="D169" s="143">
        <f>IFERROR(VLOOKUP(B169,'Enrollment 25-26'!$B$5:$I$332,8,FALSE),0)</f>
        <v>81.666666666666671</v>
      </c>
      <c r="E169" s="64">
        <f t="shared" si="34"/>
        <v>9495</v>
      </c>
      <c r="F169" s="144">
        <v>0</v>
      </c>
      <c r="G169" s="144">
        <v>0</v>
      </c>
      <c r="H169" s="64">
        <f t="shared" si="35"/>
        <v>9495</v>
      </c>
      <c r="I169" s="64">
        <f t="shared" si="36"/>
        <v>0</v>
      </c>
      <c r="J169" s="145">
        <f t="shared" si="37"/>
        <v>9495</v>
      </c>
      <c r="K169" s="146" t="str">
        <f t="shared" si="48"/>
        <v>C</v>
      </c>
      <c r="L169" s="147">
        <f t="shared" si="38"/>
        <v>0</v>
      </c>
      <c r="M169" s="148">
        <f t="shared" si="39"/>
        <v>81.666666666666671</v>
      </c>
      <c r="N169" s="64">
        <f t="shared" si="40"/>
        <v>70</v>
      </c>
      <c r="O169" s="64">
        <f t="shared" si="41"/>
        <v>9565</v>
      </c>
      <c r="Q169" s="104">
        <f t="shared" si="42"/>
        <v>0</v>
      </c>
      <c r="R169" s="104" t="str">
        <f t="shared" si="43"/>
        <v>Not Applicable</v>
      </c>
      <c r="S169" s="149" t="s">
        <v>815</v>
      </c>
      <c r="T169" s="149">
        <f>IF(O169=0,0,IF(S169="N",0,VLOOKUP(B169,'Enrollment 25-26'!$B$8:$K$332,9,FALSE)))</f>
        <v>0</v>
      </c>
      <c r="U169" s="64">
        <f t="shared" si="44"/>
        <v>9565</v>
      </c>
      <c r="V169" s="128">
        <f t="shared" si="45"/>
        <v>117.12244897959182</v>
      </c>
      <c r="W169" s="150"/>
      <c r="X169" s="64">
        <f>IFERROR(VLOOKUP($B169,#REF!,14,FALSE),0)</f>
        <v>0</v>
      </c>
      <c r="Y169" s="99">
        <f t="shared" si="46"/>
        <v>9565</v>
      </c>
      <c r="Z169" s="132">
        <f t="shared" si="47"/>
        <v>0</v>
      </c>
      <c r="AA169" s="151" t="str">
        <f t="shared" si="49"/>
        <v>C</v>
      </c>
      <c r="AC169" s="64"/>
      <c r="AE169" s="152"/>
      <c r="AH169" s="153"/>
      <c r="AI169" s="153"/>
      <c r="AJ169" s="153"/>
      <c r="AK169" s="154"/>
    </row>
    <row r="170" spans="1:37" x14ac:dyDescent="0.25">
      <c r="A170" s="142" t="s">
        <v>438</v>
      </c>
      <c r="B170" t="s">
        <v>630</v>
      </c>
      <c r="C170" t="s">
        <v>170</v>
      </c>
      <c r="D170" s="143">
        <f>IFERROR(VLOOKUP(B170,'Enrollment 25-26'!$B$5:$I$332,8,FALSE),0)</f>
        <v>21.33</v>
      </c>
      <c r="E170" s="64">
        <f t="shared" si="34"/>
        <v>2480</v>
      </c>
      <c r="F170" s="144">
        <v>0</v>
      </c>
      <c r="G170" s="144">
        <v>0</v>
      </c>
      <c r="H170" s="64">
        <f t="shared" si="35"/>
        <v>2480</v>
      </c>
      <c r="I170" s="64">
        <f t="shared" si="36"/>
        <v>0</v>
      </c>
      <c r="J170" s="145">
        <f t="shared" si="37"/>
        <v>2480</v>
      </c>
      <c r="K170" s="146" t="str">
        <f t="shared" si="48"/>
        <v>N</v>
      </c>
      <c r="L170" s="147">
        <f t="shared" si="38"/>
        <v>2480</v>
      </c>
      <c r="M170" s="148">
        <f t="shared" si="39"/>
        <v>0</v>
      </c>
      <c r="N170" s="64">
        <f t="shared" si="40"/>
        <v>0</v>
      </c>
      <c r="O170" s="64">
        <f t="shared" si="41"/>
        <v>0</v>
      </c>
      <c r="Q170" s="104">
        <f t="shared" si="42"/>
        <v>0</v>
      </c>
      <c r="R170" s="104" t="str">
        <f t="shared" si="43"/>
        <v>Not Applicable</v>
      </c>
      <c r="S170" s="149" t="s">
        <v>815</v>
      </c>
      <c r="T170" s="149">
        <f>IF(O170=0,0,IF(S170="N",0,VLOOKUP(B170,'Enrollment 25-26'!$B$8:$K$332,9,FALSE)))</f>
        <v>0</v>
      </c>
      <c r="U170" s="64">
        <f t="shared" si="44"/>
        <v>0</v>
      </c>
      <c r="V170" s="128">
        <f t="shared" si="45"/>
        <v>0</v>
      </c>
      <c r="W170" s="150"/>
      <c r="X170" s="64">
        <f>IFERROR(VLOOKUP($B170,#REF!,14,FALSE),0)</f>
        <v>0</v>
      </c>
      <c r="Y170" s="99">
        <f t="shared" si="46"/>
        <v>0</v>
      </c>
      <c r="Z170" s="132">
        <f t="shared" si="47"/>
        <v>0</v>
      </c>
      <c r="AA170" s="151" t="str">
        <f t="shared" si="49"/>
        <v>N</v>
      </c>
      <c r="AC170" s="64"/>
      <c r="AE170" s="152"/>
      <c r="AH170" s="153"/>
      <c r="AI170" s="153"/>
      <c r="AJ170" s="153"/>
      <c r="AK170" s="154"/>
    </row>
    <row r="171" spans="1:37" x14ac:dyDescent="0.25">
      <c r="A171" s="142" t="s">
        <v>459</v>
      </c>
      <c r="B171" t="s">
        <v>477</v>
      </c>
      <c r="C171" t="s">
        <v>171</v>
      </c>
      <c r="D171" s="143">
        <f>IFERROR(VLOOKUP(B171,'Enrollment 25-26'!$B$5:$I$332,8,FALSE),0)</f>
        <v>10.67</v>
      </c>
      <c r="E171" s="64">
        <f t="shared" si="34"/>
        <v>1241</v>
      </c>
      <c r="F171" s="144">
        <v>0</v>
      </c>
      <c r="G171" s="144">
        <v>0</v>
      </c>
      <c r="H171" s="64">
        <f t="shared" si="35"/>
        <v>1241</v>
      </c>
      <c r="I171" s="64">
        <f t="shared" si="36"/>
        <v>0</v>
      </c>
      <c r="J171" s="145">
        <f t="shared" si="37"/>
        <v>1241</v>
      </c>
      <c r="K171" s="146" t="str">
        <f t="shared" si="48"/>
        <v>C</v>
      </c>
      <c r="L171" s="147">
        <f t="shared" si="38"/>
        <v>0</v>
      </c>
      <c r="M171" s="148">
        <f t="shared" si="39"/>
        <v>10.67</v>
      </c>
      <c r="N171" s="64">
        <f t="shared" si="40"/>
        <v>9</v>
      </c>
      <c r="O171" s="64">
        <f t="shared" si="41"/>
        <v>1250</v>
      </c>
      <c r="Q171" s="104">
        <f t="shared" si="42"/>
        <v>0</v>
      </c>
      <c r="R171" s="104" t="str">
        <f t="shared" si="43"/>
        <v>Not Applicable</v>
      </c>
      <c r="S171" s="149" t="s">
        <v>815</v>
      </c>
      <c r="T171" s="149">
        <f>IF(O171=0,0,IF(S171="N",0,VLOOKUP(B171,'Enrollment 25-26'!$B$8:$K$332,9,FALSE)))</f>
        <v>0</v>
      </c>
      <c r="U171" s="64">
        <f t="shared" si="44"/>
        <v>1250</v>
      </c>
      <c r="V171" s="128">
        <f t="shared" si="45"/>
        <v>117.15089034676663</v>
      </c>
      <c r="W171" s="150"/>
      <c r="X171" s="64">
        <f>IFERROR(VLOOKUP($B171,#REF!,14,FALSE),0)</f>
        <v>0</v>
      </c>
      <c r="Y171" s="99">
        <f t="shared" si="46"/>
        <v>1250</v>
      </c>
      <c r="Z171" s="132">
        <f t="shared" si="47"/>
        <v>0</v>
      </c>
      <c r="AA171" s="151" t="str">
        <f t="shared" si="49"/>
        <v>C</v>
      </c>
      <c r="AC171" s="64"/>
      <c r="AE171" s="152"/>
      <c r="AH171" s="153"/>
      <c r="AI171" s="153"/>
      <c r="AJ171" s="153"/>
      <c r="AK171" s="154"/>
    </row>
    <row r="172" spans="1:37" x14ac:dyDescent="0.25">
      <c r="A172" s="142" t="s">
        <v>481</v>
      </c>
      <c r="B172" t="s">
        <v>631</v>
      </c>
      <c r="C172" t="s">
        <v>172</v>
      </c>
      <c r="D172" s="143">
        <f>IFERROR(VLOOKUP(B172,'Enrollment 25-26'!$B$5:$I$332,8,FALSE),0)</f>
        <v>27.5</v>
      </c>
      <c r="E172" s="64">
        <f t="shared" si="34"/>
        <v>3197</v>
      </c>
      <c r="F172" s="144">
        <v>0</v>
      </c>
      <c r="G172" s="144">
        <v>0</v>
      </c>
      <c r="H172" s="64">
        <f t="shared" si="35"/>
        <v>3197</v>
      </c>
      <c r="I172" s="64">
        <f t="shared" si="36"/>
        <v>0</v>
      </c>
      <c r="J172" s="145">
        <f t="shared" si="37"/>
        <v>3197</v>
      </c>
      <c r="K172" s="146" t="str">
        <f t="shared" si="48"/>
        <v>N</v>
      </c>
      <c r="L172" s="147">
        <f t="shared" si="38"/>
        <v>3197</v>
      </c>
      <c r="M172" s="148">
        <f t="shared" si="39"/>
        <v>0</v>
      </c>
      <c r="N172" s="64">
        <f t="shared" si="40"/>
        <v>0</v>
      </c>
      <c r="O172" s="64">
        <f t="shared" si="41"/>
        <v>0</v>
      </c>
      <c r="Q172" s="104">
        <f t="shared" si="42"/>
        <v>0</v>
      </c>
      <c r="R172" s="104" t="str">
        <f t="shared" si="43"/>
        <v>Not Applicable</v>
      </c>
      <c r="S172" s="149" t="s">
        <v>815</v>
      </c>
      <c r="T172" s="149">
        <f>IF(O172=0,0,IF(S172="N",0,VLOOKUP(B172,'Enrollment 25-26'!$B$8:$K$332,9,FALSE)))</f>
        <v>0</v>
      </c>
      <c r="U172" s="64">
        <f t="shared" si="44"/>
        <v>0</v>
      </c>
      <c r="V172" s="128">
        <f t="shared" si="45"/>
        <v>0</v>
      </c>
      <c r="W172" s="150"/>
      <c r="X172" s="64">
        <f>IFERROR(VLOOKUP($B172,#REF!,14,FALSE),0)</f>
        <v>0</v>
      </c>
      <c r="Y172" s="99">
        <f t="shared" si="46"/>
        <v>0</v>
      </c>
      <c r="Z172" s="132">
        <f t="shared" si="47"/>
        <v>0</v>
      </c>
      <c r="AA172" s="151" t="str">
        <f t="shared" si="49"/>
        <v>N</v>
      </c>
      <c r="AC172" s="64"/>
      <c r="AE172" s="152"/>
      <c r="AH172" s="153"/>
      <c r="AI172" s="153"/>
      <c r="AJ172" s="153"/>
      <c r="AK172" s="154"/>
    </row>
    <row r="173" spans="1:37" x14ac:dyDescent="0.25">
      <c r="A173" s="142" t="s">
        <v>443</v>
      </c>
      <c r="B173" t="s">
        <v>632</v>
      </c>
      <c r="C173" t="s">
        <v>173</v>
      </c>
      <c r="D173" s="143">
        <f>IFERROR(VLOOKUP(B173,'Enrollment 25-26'!$B$5:$I$332,8,FALSE),0)</f>
        <v>0</v>
      </c>
      <c r="E173" s="64">
        <f t="shared" si="34"/>
        <v>0</v>
      </c>
      <c r="F173" s="144">
        <v>0</v>
      </c>
      <c r="G173" s="144">
        <v>0</v>
      </c>
      <c r="H173" s="64">
        <f t="shared" si="35"/>
        <v>0</v>
      </c>
      <c r="I173" s="64">
        <f t="shared" si="36"/>
        <v>0</v>
      </c>
      <c r="J173" s="145">
        <f t="shared" si="37"/>
        <v>0</v>
      </c>
      <c r="K173" s="146" t="str">
        <f t="shared" si="48"/>
        <v>N</v>
      </c>
      <c r="L173" s="147">
        <f t="shared" si="38"/>
        <v>0</v>
      </c>
      <c r="M173" s="148">
        <f t="shared" si="39"/>
        <v>0</v>
      </c>
      <c r="N173" s="64">
        <f t="shared" si="40"/>
        <v>0</v>
      </c>
      <c r="O173" s="64">
        <f t="shared" si="41"/>
        <v>0</v>
      </c>
      <c r="Q173" s="104">
        <f t="shared" si="42"/>
        <v>0</v>
      </c>
      <c r="R173" s="104" t="str">
        <f t="shared" si="43"/>
        <v>Not Applicable</v>
      </c>
      <c r="S173" s="149" t="s">
        <v>815</v>
      </c>
      <c r="T173" s="149">
        <f>IF(O173=0,0,IF(S173="N",0,VLOOKUP(B173,'Enrollment 25-26'!$B$8:$K$332,9,FALSE)))</f>
        <v>0</v>
      </c>
      <c r="U173" s="64">
        <f t="shared" si="44"/>
        <v>0</v>
      </c>
      <c r="V173" s="128">
        <f t="shared" si="45"/>
        <v>0</v>
      </c>
      <c r="W173" s="150"/>
      <c r="X173" s="64">
        <f>IFERROR(VLOOKUP($B173,#REF!,14,FALSE),0)</f>
        <v>0</v>
      </c>
      <c r="Y173" s="99">
        <f t="shared" si="46"/>
        <v>0</v>
      </c>
      <c r="Z173" s="132">
        <f t="shared" si="47"/>
        <v>0</v>
      </c>
      <c r="AA173" s="151" t="str">
        <f t="shared" si="49"/>
        <v>N</v>
      </c>
      <c r="AC173" s="64"/>
      <c r="AE173" s="152"/>
      <c r="AH173" s="153"/>
      <c r="AI173" s="153"/>
      <c r="AJ173" s="153"/>
      <c r="AK173" s="154"/>
    </row>
    <row r="174" spans="1:37" x14ac:dyDescent="0.25">
      <c r="A174" s="142" t="s">
        <v>443</v>
      </c>
      <c r="B174" t="s">
        <v>633</v>
      </c>
      <c r="C174" t="s">
        <v>174</v>
      </c>
      <c r="D174" s="143">
        <f>IFERROR(VLOOKUP(B174,'Enrollment 25-26'!$B$5:$I$332,8,FALSE),0)</f>
        <v>13.17</v>
      </c>
      <c r="E174" s="64">
        <f t="shared" si="34"/>
        <v>1531</v>
      </c>
      <c r="F174" s="144">
        <v>0</v>
      </c>
      <c r="G174" s="144">
        <v>0</v>
      </c>
      <c r="H174" s="64">
        <f t="shared" si="35"/>
        <v>1531</v>
      </c>
      <c r="I174" s="64">
        <f t="shared" si="36"/>
        <v>0</v>
      </c>
      <c r="J174" s="145">
        <f t="shared" si="37"/>
        <v>1531</v>
      </c>
      <c r="K174" s="146" t="str">
        <f t="shared" si="48"/>
        <v>C</v>
      </c>
      <c r="L174" s="147">
        <f t="shared" si="38"/>
        <v>0</v>
      </c>
      <c r="M174" s="148">
        <f t="shared" si="39"/>
        <v>13.17</v>
      </c>
      <c r="N174" s="64">
        <f t="shared" si="40"/>
        <v>11</v>
      </c>
      <c r="O174" s="64">
        <f t="shared" si="41"/>
        <v>1542</v>
      </c>
      <c r="Q174" s="104">
        <f t="shared" si="42"/>
        <v>0</v>
      </c>
      <c r="R174" s="104" t="str">
        <f t="shared" si="43"/>
        <v>Not Applicable</v>
      </c>
      <c r="S174" s="149" t="s">
        <v>815</v>
      </c>
      <c r="T174" s="149">
        <f>IF(O174=0,0,IF(S174="N",0,VLOOKUP(B174,'Enrollment 25-26'!$B$8:$K$332,9,FALSE)))</f>
        <v>0</v>
      </c>
      <c r="U174" s="64">
        <f t="shared" si="44"/>
        <v>1542</v>
      </c>
      <c r="V174" s="128">
        <f t="shared" si="45"/>
        <v>117.08428246013668</v>
      </c>
      <c r="W174" s="150"/>
      <c r="X174" s="64">
        <f>IFERROR(VLOOKUP($B174,#REF!,14,FALSE),0)</f>
        <v>0</v>
      </c>
      <c r="Y174" s="99">
        <f t="shared" si="46"/>
        <v>1542</v>
      </c>
      <c r="Z174" s="132">
        <f t="shared" si="47"/>
        <v>0</v>
      </c>
      <c r="AA174" s="151" t="str">
        <f t="shared" si="49"/>
        <v>C</v>
      </c>
      <c r="AC174" s="64"/>
      <c r="AE174" s="152"/>
      <c r="AH174" s="153"/>
      <c r="AI174" s="153"/>
      <c r="AJ174" s="153"/>
      <c r="AK174" s="154"/>
    </row>
    <row r="175" spans="1:37" x14ac:dyDescent="0.25">
      <c r="A175" s="142" t="s">
        <v>446</v>
      </c>
      <c r="B175" t="s">
        <v>634</v>
      </c>
      <c r="C175" t="s">
        <v>175</v>
      </c>
      <c r="D175" s="143">
        <f>IFERROR(VLOOKUP(B175,'Enrollment 25-26'!$B$5:$I$332,8,FALSE),0)</f>
        <v>343.33</v>
      </c>
      <c r="E175" s="64">
        <f t="shared" si="34"/>
        <v>39919</v>
      </c>
      <c r="F175" s="144">
        <v>0</v>
      </c>
      <c r="G175" s="144">
        <v>0</v>
      </c>
      <c r="H175" s="64">
        <f t="shared" si="35"/>
        <v>39919</v>
      </c>
      <c r="I175" s="64">
        <f t="shared" si="36"/>
        <v>0</v>
      </c>
      <c r="J175" s="145">
        <f t="shared" si="37"/>
        <v>39919</v>
      </c>
      <c r="K175" s="146" t="str">
        <f t="shared" si="48"/>
        <v>Y</v>
      </c>
      <c r="L175" s="147">
        <f t="shared" si="38"/>
        <v>0</v>
      </c>
      <c r="M175" s="148">
        <f t="shared" si="39"/>
        <v>343.33</v>
      </c>
      <c r="N175" s="64">
        <f t="shared" si="40"/>
        <v>295</v>
      </c>
      <c r="O175" s="64">
        <f t="shared" si="41"/>
        <v>40214</v>
      </c>
      <c r="Q175" s="104">
        <f t="shared" si="42"/>
        <v>0</v>
      </c>
      <c r="R175" s="104" t="str">
        <f t="shared" si="43"/>
        <v>Not Applicable</v>
      </c>
      <c r="S175" s="149" t="s">
        <v>815</v>
      </c>
      <c r="T175" s="149">
        <f>IF(O175=0,0,IF(S175="N",0,VLOOKUP(B175,'Enrollment 25-26'!$B$8:$K$332,9,FALSE)))</f>
        <v>0</v>
      </c>
      <c r="U175" s="64">
        <f t="shared" si="44"/>
        <v>40214</v>
      </c>
      <c r="V175" s="128">
        <f t="shared" si="45"/>
        <v>117.12929251740309</v>
      </c>
      <c r="W175" s="150"/>
      <c r="X175" s="64">
        <f>IFERROR(VLOOKUP($B175,#REF!,14,FALSE),0)</f>
        <v>0</v>
      </c>
      <c r="Y175" s="99">
        <f t="shared" si="46"/>
        <v>40214</v>
      </c>
      <c r="Z175" s="132">
        <f t="shared" si="47"/>
        <v>0</v>
      </c>
      <c r="AA175" s="151" t="str">
        <f t="shared" si="49"/>
        <v>Y</v>
      </c>
      <c r="AC175" s="64"/>
      <c r="AE175" s="152"/>
      <c r="AH175" s="153"/>
      <c r="AI175" s="153"/>
      <c r="AJ175" s="153"/>
      <c r="AK175" s="154"/>
    </row>
    <row r="176" spans="1:37" x14ac:dyDescent="0.25">
      <c r="A176" s="142" t="s">
        <v>438</v>
      </c>
      <c r="B176" t="s">
        <v>635</v>
      </c>
      <c r="C176" t="s">
        <v>176</v>
      </c>
      <c r="D176" s="143">
        <f>IFERROR(VLOOKUP(B176,'Enrollment 25-26'!$B$5:$I$332,8,FALSE),0)</f>
        <v>12.17</v>
      </c>
      <c r="E176" s="64">
        <f t="shared" si="34"/>
        <v>1415</v>
      </c>
      <c r="F176" s="144">
        <v>0</v>
      </c>
      <c r="G176" s="144">
        <v>0</v>
      </c>
      <c r="H176" s="64">
        <f t="shared" si="35"/>
        <v>1415</v>
      </c>
      <c r="I176" s="64">
        <f t="shared" si="36"/>
        <v>0</v>
      </c>
      <c r="J176" s="145">
        <f t="shared" si="37"/>
        <v>1415</v>
      </c>
      <c r="K176" s="146" t="str">
        <f t="shared" si="48"/>
        <v>N</v>
      </c>
      <c r="L176" s="147">
        <f t="shared" si="38"/>
        <v>1415</v>
      </c>
      <c r="M176" s="148">
        <f t="shared" si="39"/>
        <v>0</v>
      </c>
      <c r="N176" s="64">
        <f t="shared" si="40"/>
        <v>0</v>
      </c>
      <c r="O176" s="64">
        <f t="shared" si="41"/>
        <v>0</v>
      </c>
      <c r="Q176" s="104">
        <f t="shared" si="42"/>
        <v>0</v>
      </c>
      <c r="R176" s="104" t="str">
        <f t="shared" si="43"/>
        <v>Not Applicable</v>
      </c>
      <c r="S176" s="149" t="s">
        <v>815</v>
      </c>
      <c r="T176" s="149">
        <f>IF(O176=0,0,IF(S176="N",0,VLOOKUP(B176,'Enrollment 25-26'!$B$8:$K$332,9,FALSE)))</f>
        <v>0</v>
      </c>
      <c r="U176" s="64">
        <f t="shared" si="44"/>
        <v>0</v>
      </c>
      <c r="V176" s="128">
        <f t="shared" si="45"/>
        <v>0</v>
      </c>
      <c r="W176" s="150"/>
      <c r="X176" s="64">
        <f>IFERROR(VLOOKUP($B176,#REF!,14,FALSE),0)</f>
        <v>0</v>
      </c>
      <c r="Y176" s="99">
        <f t="shared" si="46"/>
        <v>0</v>
      </c>
      <c r="Z176" s="132">
        <f t="shared" si="47"/>
        <v>0</v>
      </c>
      <c r="AA176" s="151" t="str">
        <f t="shared" si="49"/>
        <v>N</v>
      </c>
      <c r="AC176" s="64"/>
      <c r="AE176" s="152"/>
      <c r="AH176" s="153"/>
      <c r="AI176" s="153"/>
      <c r="AJ176" s="153"/>
      <c r="AK176" s="154"/>
    </row>
    <row r="177" spans="1:37" x14ac:dyDescent="0.25">
      <c r="A177" s="142" t="s">
        <v>451</v>
      </c>
      <c r="B177" t="s">
        <v>636</v>
      </c>
      <c r="C177" t="s">
        <v>177</v>
      </c>
      <c r="D177" s="143">
        <f>IFERROR(VLOOKUP(B177,'Enrollment 25-26'!$B$5:$I$332,8,FALSE),0)</f>
        <v>746.82999999999993</v>
      </c>
      <c r="E177" s="64">
        <f t="shared" si="34"/>
        <v>86834</v>
      </c>
      <c r="F177" s="144">
        <v>0</v>
      </c>
      <c r="G177" s="144">
        <v>0</v>
      </c>
      <c r="H177" s="64">
        <f t="shared" si="35"/>
        <v>86834</v>
      </c>
      <c r="I177" s="64">
        <f t="shared" si="36"/>
        <v>0</v>
      </c>
      <c r="J177" s="145">
        <f t="shared" si="37"/>
        <v>86834</v>
      </c>
      <c r="K177" s="146" t="str">
        <f t="shared" si="48"/>
        <v>Y</v>
      </c>
      <c r="L177" s="147">
        <f t="shared" si="38"/>
        <v>0</v>
      </c>
      <c r="M177" s="148">
        <f t="shared" si="39"/>
        <v>746.82999999999993</v>
      </c>
      <c r="N177" s="64">
        <f t="shared" si="40"/>
        <v>642</v>
      </c>
      <c r="O177" s="64">
        <f t="shared" si="41"/>
        <v>87476</v>
      </c>
      <c r="Q177" s="104">
        <f t="shared" si="42"/>
        <v>0</v>
      </c>
      <c r="R177" s="104" t="str">
        <f t="shared" si="43"/>
        <v>Not Applicable</v>
      </c>
      <c r="S177" s="149" t="s">
        <v>815</v>
      </c>
      <c r="T177" s="149">
        <f>IF(O177=0,0,IF(S177="N",0,VLOOKUP(B177,'Enrollment 25-26'!$B$8:$K$332,9,FALSE)))</f>
        <v>0</v>
      </c>
      <c r="U177" s="64">
        <f t="shared" si="44"/>
        <v>87476</v>
      </c>
      <c r="V177" s="128">
        <f t="shared" si="45"/>
        <v>117.12973501332299</v>
      </c>
      <c r="W177" s="150"/>
      <c r="X177" s="64">
        <f>IFERROR(VLOOKUP($B177,#REF!,14,FALSE),0)</f>
        <v>0</v>
      </c>
      <c r="Y177" s="99">
        <f t="shared" si="46"/>
        <v>87476</v>
      </c>
      <c r="Z177" s="132">
        <f t="shared" si="47"/>
        <v>0</v>
      </c>
      <c r="AA177" s="151" t="str">
        <f t="shared" si="49"/>
        <v>Y</v>
      </c>
      <c r="AC177" s="64"/>
      <c r="AE177" s="152"/>
      <c r="AH177" s="153"/>
      <c r="AI177" s="153"/>
      <c r="AJ177" s="153"/>
      <c r="AK177" s="154"/>
    </row>
    <row r="178" spans="1:37" x14ac:dyDescent="0.25">
      <c r="A178" s="142" t="s">
        <v>478</v>
      </c>
      <c r="B178" t="s">
        <v>637</v>
      </c>
      <c r="C178" t="s">
        <v>178</v>
      </c>
      <c r="D178" s="143">
        <f>IFERROR(VLOOKUP(B178,'Enrollment 25-26'!$B$5:$I$332,8,FALSE),0)</f>
        <v>333.99666666666673</v>
      </c>
      <c r="E178" s="64">
        <f t="shared" si="34"/>
        <v>38834</v>
      </c>
      <c r="F178" s="144">
        <v>0</v>
      </c>
      <c r="G178" s="144">
        <v>0</v>
      </c>
      <c r="H178" s="64">
        <f t="shared" si="35"/>
        <v>38834</v>
      </c>
      <c r="I178" s="64">
        <f t="shared" si="36"/>
        <v>0</v>
      </c>
      <c r="J178" s="145">
        <f t="shared" si="37"/>
        <v>38834</v>
      </c>
      <c r="K178" s="146" t="str">
        <f t="shared" si="48"/>
        <v>Y</v>
      </c>
      <c r="L178" s="147">
        <f t="shared" si="38"/>
        <v>0</v>
      </c>
      <c r="M178" s="148">
        <f t="shared" si="39"/>
        <v>333.99666666666673</v>
      </c>
      <c r="N178" s="64">
        <f t="shared" si="40"/>
        <v>287</v>
      </c>
      <c r="O178" s="64">
        <f t="shared" si="41"/>
        <v>39121</v>
      </c>
      <c r="Q178" s="104">
        <f t="shared" si="42"/>
        <v>0</v>
      </c>
      <c r="R178" s="104" t="str">
        <f t="shared" si="43"/>
        <v>Not Applicable</v>
      </c>
      <c r="S178" s="149" t="s">
        <v>815</v>
      </c>
      <c r="T178" s="149">
        <f>IF(O178=0,0,IF(S178="N",0,VLOOKUP(B178,'Enrollment 25-26'!$B$8:$K$332,9,FALSE)))</f>
        <v>0</v>
      </c>
      <c r="U178" s="64">
        <f t="shared" si="44"/>
        <v>39121</v>
      </c>
      <c r="V178" s="128">
        <f t="shared" si="45"/>
        <v>117.12991147616242</v>
      </c>
      <c r="W178" s="150"/>
      <c r="X178" s="64">
        <f>IFERROR(VLOOKUP($B178,#REF!,14,FALSE),0)</f>
        <v>0</v>
      </c>
      <c r="Y178" s="99">
        <f t="shared" si="46"/>
        <v>39121</v>
      </c>
      <c r="Z178" s="132">
        <f t="shared" si="47"/>
        <v>0</v>
      </c>
      <c r="AA178" s="151" t="str">
        <f t="shared" si="49"/>
        <v>Y</v>
      </c>
      <c r="AC178" s="64"/>
      <c r="AE178" s="152"/>
      <c r="AH178" s="153"/>
      <c r="AI178" s="153"/>
      <c r="AJ178" s="153"/>
      <c r="AK178" s="154"/>
    </row>
    <row r="179" spans="1:37" x14ac:dyDescent="0.25">
      <c r="A179" s="142" t="s">
        <v>478</v>
      </c>
      <c r="B179" t="s">
        <v>638</v>
      </c>
      <c r="C179" t="s">
        <v>179</v>
      </c>
      <c r="D179" s="143">
        <f>IFERROR(VLOOKUP(B179,'Enrollment 25-26'!$B$5:$I$332,8,FALSE),0)</f>
        <v>426.99666666666673</v>
      </c>
      <c r="E179" s="64">
        <f t="shared" si="34"/>
        <v>49647</v>
      </c>
      <c r="F179" s="144">
        <v>0</v>
      </c>
      <c r="G179" s="144">
        <v>0</v>
      </c>
      <c r="H179" s="64">
        <f t="shared" si="35"/>
        <v>49647</v>
      </c>
      <c r="I179" s="64">
        <f t="shared" si="36"/>
        <v>0</v>
      </c>
      <c r="J179" s="145">
        <f t="shared" si="37"/>
        <v>49647</v>
      </c>
      <c r="K179" s="146" t="str">
        <f t="shared" si="48"/>
        <v>Y</v>
      </c>
      <c r="L179" s="147">
        <f t="shared" si="38"/>
        <v>0</v>
      </c>
      <c r="M179" s="148">
        <f t="shared" si="39"/>
        <v>426.99666666666673</v>
      </c>
      <c r="N179" s="64">
        <f t="shared" si="40"/>
        <v>367</v>
      </c>
      <c r="O179" s="64">
        <f t="shared" si="41"/>
        <v>50014</v>
      </c>
      <c r="Q179" s="104">
        <f t="shared" si="42"/>
        <v>0</v>
      </c>
      <c r="R179" s="104" t="str">
        <f t="shared" si="43"/>
        <v>Not Applicable</v>
      </c>
      <c r="S179" s="149" t="s">
        <v>815</v>
      </c>
      <c r="T179" s="149">
        <f>IF(O179=0,0,IF(S179="N",0,VLOOKUP(B179,'Enrollment 25-26'!$B$8:$K$332,9,FALSE)))</f>
        <v>0</v>
      </c>
      <c r="U179" s="64">
        <f t="shared" si="44"/>
        <v>50014</v>
      </c>
      <c r="V179" s="128">
        <f t="shared" si="45"/>
        <v>117.12971998220125</v>
      </c>
      <c r="W179" s="150"/>
      <c r="X179" s="64">
        <f>IFERROR(VLOOKUP($B179,#REF!,14,FALSE),0)</f>
        <v>0</v>
      </c>
      <c r="Y179" s="99">
        <f t="shared" si="46"/>
        <v>50014</v>
      </c>
      <c r="Z179" s="132">
        <f t="shared" si="47"/>
        <v>0</v>
      </c>
      <c r="AA179" s="151" t="str">
        <f t="shared" si="49"/>
        <v>Y</v>
      </c>
      <c r="AC179" s="64"/>
      <c r="AE179" s="152"/>
      <c r="AH179" s="153"/>
      <c r="AI179" s="153"/>
      <c r="AJ179" s="153"/>
      <c r="AK179" s="154"/>
    </row>
    <row r="180" spans="1:37" x14ac:dyDescent="0.25">
      <c r="A180" s="142" t="s">
        <v>438</v>
      </c>
      <c r="B180" t="s">
        <v>639</v>
      </c>
      <c r="C180" t="s">
        <v>180</v>
      </c>
      <c r="D180" s="143">
        <f>IFERROR(VLOOKUP(B180,'Enrollment 25-26'!$B$5:$I$332,8,FALSE),0)</f>
        <v>0</v>
      </c>
      <c r="E180" s="64">
        <f t="shared" si="34"/>
        <v>0</v>
      </c>
      <c r="F180" s="144">
        <v>0</v>
      </c>
      <c r="G180" s="144">
        <v>0</v>
      </c>
      <c r="H180" s="64">
        <f t="shared" si="35"/>
        <v>0</v>
      </c>
      <c r="I180" s="64">
        <f t="shared" si="36"/>
        <v>0</v>
      </c>
      <c r="J180" s="145">
        <f t="shared" si="37"/>
        <v>0</v>
      </c>
      <c r="K180" s="146" t="str">
        <f t="shared" si="48"/>
        <v>N</v>
      </c>
      <c r="L180" s="147">
        <f t="shared" si="38"/>
        <v>0</v>
      </c>
      <c r="M180" s="148">
        <f t="shared" si="39"/>
        <v>0</v>
      </c>
      <c r="N180" s="64">
        <f t="shared" si="40"/>
        <v>0</v>
      </c>
      <c r="O180" s="64">
        <f t="shared" si="41"/>
        <v>0</v>
      </c>
      <c r="Q180" s="104">
        <f t="shared" si="42"/>
        <v>0</v>
      </c>
      <c r="R180" s="104" t="str">
        <f t="shared" si="43"/>
        <v>Not Applicable</v>
      </c>
      <c r="S180" s="149" t="s">
        <v>815</v>
      </c>
      <c r="T180" s="149">
        <f>IF(O180=0,0,IF(S180="N",0,VLOOKUP(B180,'Enrollment 25-26'!$B$8:$K$332,9,FALSE)))</f>
        <v>0</v>
      </c>
      <c r="U180" s="64">
        <f t="shared" si="44"/>
        <v>0</v>
      </c>
      <c r="V180" s="128">
        <f t="shared" si="45"/>
        <v>0</v>
      </c>
      <c r="W180" s="150"/>
      <c r="X180" s="64">
        <f>IFERROR(VLOOKUP($B180,#REF!,14,FALSE),0)</f>
        <v>0</v>
      </c>
      <c r="Y180" s="99">
        <f t="shared" si="46"/>
        <v>0</v>
      </c>
      <c r="Z180" s="132">
        <f t="shared" si="47"/>
        <v>0</v>
      </c>
      <c r="AA180" s="151" t="str">
        <f t="shared" si="49"/>
        <v>N</v>
      </c>
      <c r="AC180" s="64"/>
      <c r="AE180" s="152"/>
      <c r="AH180" s="153"/>
      <c r="AI180" s="153"/>
      <c r="AJ180" s="153"/>
      <c r="AK180" s="154"/>
    </row>
    <row r="181" spans="1:37" x14ac:dyDescent="0.25">
      <c r="A181" s="142" t="s">
        <v>438</v>
      </c>
      <c r="B181" t="s">
        <v>640</v>
      </c>
      <c r="C181" t="s">
        <v>181</v>
      </c>
      <c r="D181" s="143">
        <f>IFERROR(VLOOKUP(B181,'Enrollment 25-26'!$B$5:$I$332,8,FALSE),0)</f>
        <v>1106.8333333333333</v>
      </c>
      <c r="E181" s="64">
        <f t="shared" si="34"/>
        <v>128692</v>
      </c>
      <c r="F181" s="144">
        <v>0</v>
      </c>
      <c r="G181" s="144">
        <v>0</v>
      </c>
      <c r="H181" s="64">
        <f t="shared" si="35"/>
        <v>128692</v>
      </c>
      <c r="I181" s="64">
        <f t="shared" si="36"/>
        <v>0</v>
      </c>
      <c r="J181" s="145">
        <f t="shared" si="37"/>
        <v>128692</v>
      </c>
      <c r="K181" s="146" t="str">
        <f t="shared" si="48"/>
        <v>Y</v>
      </c>
      <c r="L181" s="147">
        <f t="shared" si="38"/>
        <v>0</v>
      </c>
      <c r="M181" s="148">
        <f t="shared" si="39"/>
        <v>1106.8333333333333</v>
      </c>
      <c r="N181" s="64">
        <f t="shared" si="40"/>
        <v>952</v>
      </c>
      <c r="O181" s="64">
        <f t="shared" si="41"/>
        <v>129644</v>
      </c>
      <c r="Q181" s="104">
        <f t="shared" si="42"/>
        <v>0</v>
      </c>
      <c r="R181" s="104" t="str">
        <f t="shared" si="43"/>
        <v>Not Applicable</v>
      </c>
      <c r="S181" s="149" t="s">
        <v>815</v>
      </c>
      <c r="T181" s="149">
        <f>IF(O181=0,0,IF(S181="N",0,VLOOKUP(B181,'Enrollment 25-26'!$B$8:$K$332,9,FALSE)))</f>
        <v>0</v>
      </c>
      <c r="U181" s="64">
        <f t="shared" si="44"/>
        <v>129644</v>
      </c>
      <c r="V181" s="128">
        <f t="shared" si="45"/>
        <v>117.13055262761632</v>
      </c>
      <c r="W181" s="150"/>
      <c r="X181" s="64">
        <f>IFERROR(VLOOKUP($B181,#REF!,14,FALSE),0)</f>
        <v>0</v>
      </c>
      <c r="Y181" s="99">
        <f t="shared" si="46"/>
        <v>129644</v>
      </c>
      <c r="Z181" s="132">
        <f t="shared" si="47"/>
        <v>0</v>
      </c>
      <c r="AA181" s="151" t="str">
        <f t="shared" si="49"/>
        <v>Y</v>
      </c>
      <c r="AC181" s="64"/>
      <c r="AE181" s="152"/>
      <c r="AH181" s="153"/>
      <c r="AI181" s="153"/>
      <c r="AJ181" s="153"/>
      <c r="AK181" s="154"/>
    </row>
    <row r="182" spans="1:37" x14ac:dyDescent="0.25">
      <c r="A182" s="142" t="s">
        <v>443</v>
      </c>
      <c r="B182" t="s">
        <v>641</v>
      </c>
      <c r="C182" t="s">
        <v>182</v>
      </c>
      <c r="D182" s="143">
        <f>IFERROR(VLOOKUP(B182,'Enrollment 25-26'!$B$5:$I$332,8,FALSE),0)</f>
        <v>0</v>
      </c>
      <c r="E182" s="64">
        <f t="shared" si="34"/>
        <v>0</v>
      </c>
      <c r="F182" s="144">
        <v>0</v>
      </c>
      <c r="G182" s="144">
        <v>0</v>
      </c>
      <c r="H182" s="64">
        <f t="shared" si="35"/>
        <v>0</v>
      </c>
      <c r="I182" s="64">
        <f t="shared" si="36"/>
        <v>0</v>
      </c>
      <c r="J182" s="145">
        <f t="shared" si="37"/>
        <v>0</v>
      </c>
      <c r="K182" s="146" t="str">
        <f t="shared" si="48"/>
        <v>N</v>
      </c>
      <c r="L182" s="147">
        <f t="shared" si="38"/>
        <v>0</v>
      </c>
      <c r="M182" s="148">
        <f t="shared" si="39"/>
        <v>0</v>
      </c>
      <c r="N182" s="64">
        <f t="shared" si="40"/>
        <v>0</v>
      </c>
      <c r="O182" s="64">
        <f t="shared" si="41"/>
        <v>0</v>
      </c>
      <c r="Q182" s="104">
        <f t="shared" si="42"/>
        <v>0</v>
      </c>
      <c r="R182" s="104" t="str">
        <f t="shared" si="43"/>
        <v>Not Applicable</v>
      </c>
      <c r="S182" s="149" t="s">
        <v>815</v>
      </c>
      <c r="T182" s="149">
        <f>IF(O182=0,0,IF(S182="N",0,VLOOKUP(B182,'Enrollment 25-26'!$B$8:$K$332,9,FALSE)))</f>
        <v>0</v>
      </c>
      <c r="U182" s="64">
        <f t="shared" si="44"/>
        <v>0</v>
      </c>
      <c r="V182" s="128">
        <f t="shared" si="45"/>
        <v>0</v>
      </c>
      <c r="W182" s="150"/>
      <c r="X182" s="64">
        <f>IFERROR(VLOOKUP($B182,#REF!,14,FALSE),0)</f>
        <v>0</v>
      </c>
      <c r="Y182" s="99">
        <f t="shared" si="46"/>
        <v>0</v>
      </c>
      <c r="Z182" s="132">
        <f t="shared" si="47"/>
        <v>0</v>
      </c>
      <c r="AA182" s="151" t="str">
        <f t="shared" si="49"/>
        <v>N</v>
      </c>
      <c r="AC182" s="64"/>
      <c r="AE182" s="152"/>
      <c r="AH182" s="153"/>
      <c r="AI182" s="153"/>
      <c r="AJ182" s="153"/>
      <c r="AK182" s="154"/>
    </row>
    <row r="183" spans="1:37" x14ac:dyDescent="0.25">
      <c r="A183" s="142" t="s">
        <v>454</v>
      </c>
      <c r="B183" t="s">
        <v>642</v>
      </c>
      <c r="C183" t="s">
        <v>183</v>
      </c>
      <c r="D183" s="143">
        <f>IFERROR(VLOOKUP(B183,'Enrollment 25-26'!$B$5:$I$332,8,FALSE),0)</f>
        <v>2453.67</v>
      </c>
      <c r="E183" s="64">
        <f t="shared" si="34"/>
        <v>285289</v>
      </c>
      <c r="F183" s="144">
        <v>0</v>
      </c>
      <c r="G183" s="144">
        <v>0</v>
      </c>
      <c r="H183" s="64">
        <f t="shared" si="35"/>
        <v>285289</v>
      </c>
      <c r="I183" s="64">
        <f t="shared" si="36"/>
        <v>0</v>
      </c>
      <c r="J183" s="145">
        <f t="shared" si="37"/>
        <v>285289</v>
      </c>
      <c r="K183" s="146" t="str">
        <f t="shared" si="48"/>
        <v>Y</v>
      </c>
      <c r="L183" s="147">
        <f t="shared" si="38"/>
        <v>0</v>
      </c>
      <c r="M183" s="148">
        <f t="shared" si="39"/>
        <v>2453.67</v>
      </c>
      <c r="N183" s="64">
        <f t="shared" si="40"/>
        <v>2109</v>
      </c>
      <c r="O183" s="64">
        <f t="shared" si="41"/>
        <v>287398</v>
      </c>
      <c r="Q183" s="104">
        <f t="shared" si="42"/>
        <v>0</v>
      </c>
      <c r="R183" s="104" t="str">
        <f t="shared" si="43"/>
        <v>Not Applicable</v>
      </c>
      <c r="S183" s="149" t="s">
        <v>815</v>
      </c>
      <c r="T183" s="149">
        <f>IF(O183=0,0,IF(S183="N",0,VLOOKUP(B183,'Enrollment 25-26'!$B$8:$K$332,9,FALSE)))</f>
        <v>0</v>
      </c>
      <c r="U183" s="64">
        <f t="shared" si="44"/>
        <v>287398</v>
      </c>
      <c r="V183" s="128">
        <f t="shared" si="45"/>
        <v>117.12985038737891</v>
      </c>
      <c r="W183" s="150"/>
      <c r="X183" s="64">
        <f>IFERROR(VLOOKUP($B183,#REF!,14,FALSE),0)</f>
        <v>0</v>
      </c>
      <c r="Y183" s="99">
        <f t="shared" si="46"/>
        <v>287398</v>
      </c>
      <c r="Z183" s="132">
        <f t="shared" si="47"/>
        <v>0</v>
      </c>
      <c r="AA183" s="151" t="str">
        <f t="shared" si="49"/>
        <v>Y</v>
      </c>
      <c r="AC183" s="64"/>
      <c r="AE183" s="152"/>
      <c r="AH183" s="153"/>
      <c r="AI183" s="153"/>
      <c r="AJ183" s="153"/>
      <c r="AK183" s="154"/>
    </row>
    <row r="184" spans="1:37" x14ac:dyDescent="0.25">
      <c r="A184" s="142" t="s">
        <v>446</v>
      </c>
      <c r="B184" t="s">
        <v>643</v>
      </c>
      <c r="C184" t="s">
        <v>184</v>
      </c>
      <c r="D184" s="143">
        <f>IFERROR(VLOOKUP(B184,'Enrollment 25-26'!$B$5:$I$332,8,FALSE),0)</f>
        <v>290.49666666666667</v>
      </c>
      <c r="E184" s="64">
        <f t="shared" si="34"/>
        <v>33776</v>
      </c>
      <c r="F184" s="144">
        <v>0</v>
      </c>
      <c r="G184" s="144">
        <v>0</v>
      </c>
      <c r="H184" s="64">
        <f t="shared" si="35"/>
        <v>33776</v>
      </c>
      <c r="I184" s="64">
        <f t="shared" si="36"/>
        <v>0</v>
      </c>
      <c r="J184" s="145">
        <f t="shared" si="37"/>
        <v>33776</v>
      </c>
      <c r="K184" s="146" t="str">
        <f t="shared" si="48"/>
        <v>Y</v>
      </c>
      <c r="L184" s="147">
        <f t="shared" si="38"/>
        <v>0</v>
      </c>
      <c r="M184" s="148">
        <f t="shared" si="39"/>
        <v>290.49666666666667</v>
      </c>
      <c r="N184" s="64">
        <f t="shared" si="40"/>
        <v>250</v>
      </c>
      <c r="O184" s="64">
        <f t="shared" si="41"/>
        <v>34026</v>
      </c>
      <c r="Q184" s="104">
        <f t="shared" si="42"/>
        <v>0</v>
      </c>
      <c r="R184" s="104" t="str">
        <f t="shared" si="43"/>
        <v>Not Applicable</v>
      </c>
      <c r="S184" s="149" t="s">
        <v>815</v>
      </c>
      <c r="T184" s="149">
        <f>IF(O184=0,0,IF(S184="N",0,VLOOKUP(B184,'Enrollment 25-26'!$B$8:$K$332,9,FALSE)))</f>
        <v>0</v>
      </c>
      <c r="U184" s="64">
        <f t="shared" si="44"/>
        <v>34026</v>
      </c>
      <c r="V184" s="128">
        <f t="shared" si="45"/>
        <v>117.13043178923454</v>
      </c>
      <c r="W184" s="150"/>
      <c r="X184" s="64">
        <f>IFERROR(VLOOKUP($B184,#REF!,14,FALSE),0)</f>
        <v>0</v>
      </c>
      <c r="Y184" s="99">
        <f t="shared" si="46"/>
        <v>34026</v>
      </c>
      <c r="Z184" s="132">
        <f t="shared" si="47"/>
        <v>0</v>
      </c>
      <c r="AA184" s="151" t="str">
        <f t="shared" si="49"/>
        <v>Y</v>
      </c>
      <c r="AC184" s="64"/>
      <c r="AE184" s="152"/>
      <c r="AH184" s="153"/>
      <c r="AI184" s="153"/>
      <c r="AJ184" s="153"/>
      <c r="AK184" s="154"/>
    </row>
    <row r="185" spans="1:37" x14ac:dyDescent="0.25">
      <c r="A185" s="142" t="s">
        <v>443</v>
      </c>
      <c r="B185" t="s">
        <v>644</v>
      </c>
      <c r="C185" t="s">
        <v>185</v>
      </c>
      <c r="D185" s="143">
        <f>IFERROR(VLOOKUP(B185,'Enrollment 25-26'!$B$5:$I$332,8,FALSE),0)</f>
        <v>0</v>
      </c>
      <c r="E185" s="64">
        <f t="shared" si="34"/>
        <v>0</v>
      </c>
      <c r="F185" s="144">
        <v>0</v>
      </c>
      <c r="G185" s="144">
        <v>0</v>
      </c>
      <c r="H185" s="64">
        <f t="shared" si="35"/>
        <v>0</v>
      </c>
      <c r="I185" s="64">
        <f t="shared" si="36"/>
        <v>0</v>
      </c>
      <c r="J185" s="145">
        <f t="shared" si="37"/>
        <v>0</v>
      </c>
      <c r="K185" s="146" t="str">
        <f t="shared" si="48"/>
        <v>N</v>
      </c>
      <c r="L185" s="147">
        <f t="shared" si="38"/>
        <v>0</v>
      </c>
      <c r="M185" s="148">
        <f t="shared" si="39"/>
        <v>0</v>
      </c>
      <c r="N185" s="64">
        <f t="shared" si="40"/>
        <v>0</v>
      </c>
      <c r="O185" s="64">
        <f t="shared" si="41"/>
        <v>0</v>
      </c>
      <c r="Q185" s="104">
        <f t="shared" si="42"/>
        <v>0</v>
      </c>
      <c r="R185" s="104" t="str">
        <f t="shared" si="43"/>
        <v>Not Applicable</v>
      </c>
      <c r="S185" s="149" t="s">
        <v>815</v>
      </c>
      <c r="T185" s="149">
        <f>IF(O185=0,0,IF(S185="N",0,VLOOKUP(B185,'Enrollment 25-26'!$B$8:$K$332,9,FALSE)))</f>
        <v>0</v>
      </c>
      <c r="U185" s="64">
        <f t="shared" si="44"/>
        <v>0</v>
      </c>
      <c r="V185" s="128">
        <f t="shared" si="45"/>
        <v>0</v>
      </c>
      <c r="W185" s="150"/>
      <c r="X185" s="64">
        <f>IFERROR(VLOOKUP($B185,#REF!,14,FALSE),0)</f>
        <v>0</v>
      </c>
      <c r="Y185" s="99">
        <f t="shared" si="46"/>
        <v>0</v>
      </c>
      <c r="Z185" s="132">
        <f t="shared" si="47"/>
        <v>0</v>
      </c>
      <c r="AA185" s="151" t="str">
        <f t="shared" si="49"/>
        <v>N</v>
      </c>
      <c r="AC185" s="64"/>
      <c r="AE185" s="152"/>
      <c r="AH185" s="153"/>
      <c r="AI185" s="153"/>
      <c r="AJ185" s="153"/>
      <c r="AK185" s="154"/>
    </row>
    <row r="186" spans="1:37" x14ac:dyDescent="0.25">
      <c r="A186" s="142" t="s">
        <v>438</v>
      </c>
      <c r="B186" t="s">
        <v>458</v>
      </c>
      <c r="C186" t="s">
        <v>186</v>
      </c>
      <c r="D186" s="143">
        <f>IFERROR(VLOOKUP(B186,'Enrollment 25-26'!$B$5:$I$332,8,FALSE),0)</f>
        <v>18</v>
      </c>
      <c r="E186" s="64">
        <f t="shared" si="34"/>
        <v>2093</v>
      </c>
      <c r="F186" s="144">
        <v>0</v>
      </c>
      <c r="G186" s="144">
        <v>0</v>
      </c>
      <c r="H186" s="64">
        <f t="shared" si="35"/>
        <v>2093</v>
      </c>
      <c r="I186" s="64">
        <f t="shared" si="36"/>
        <v>0</v>
      </c>
      <c r="J186" s="145">
        <f t="shared" si="37"/>
        <v>2093</v>
      </c>
      <c r="K186" s="146" t="str">
        <f t="shared" si="48"/>
        <v>N</v>
      </c>
      <c r="L186" s="147">
        <f t="shared" si="38"/>
        <v>2093</v>
      </c>
      <c r="M186" s="148">
        <f t="shared" si="39"/>
        <v>0</v>
      </c>
      <c r="N186" s="64">
        <f t="shared" si="40"/>
        <v>0</v>
      </c>
      <c r="O186" s="64">
        <f t="shared" si="41"/>
        <v>0</v>
      </c>
      <c r="Q186" s="104">
        <f t="shared" si="42"/>
        <v>0</v>
      </c>
      <c r="R186" s="104" t="str">
        <f t="shared" si="43"/>
        <v>Not Applicable</v>
      </c>
      <c r="S186" s="149" t="s">
        <v>815</v>
      </c>
      <c r="T186" s="149">
        <f>IF(O186=0,0,IF(S186="N",0,VLOOKUP(B186,'Enrollment 25-26'!$B$8:$K$332,9,FALSE)))</f>
        <v>0</v>
      </c>
      <c r="U186" s="64">
        <f t="shared" si="44"/>
        <v>0</v>
      </c>
      <c r="V186" s="128">
        <f t="shared" si="45"/>
        <v>0</v>
      </c>
      <c r="W186" s="150"/>
      <c r="X186" s="64">
        <f>IFERROR(VLOOKUP($B186,#REF!,14,FALSE),0)</f>
        <v>0</v>
      </c>
      <c r="Y186" s="99">
        <f t="shared" si="46"/>
        <v>0</v>
      </c>
      <c r="Z186" s="132">
        <f t="shared" si="47"/>
        <v>0</v>
      </c>
      <c r="AA186" s="151" t="str">
        <f t="shared" si="49"/>
        <v>N</v>
      </c>
      <c r="AC186" s="64"/>
      <c r="AE186" s="152"/>
      <c r="AH186" s="153"/>
      <c r="AI186" s="153"/>
      <c r="AJ186" s="153"/>
      <c r="AK186" s="154"/>
    </row>
    <row r="187" spans="1:37" x14ac:dyDescent="0.25">
      <c r="A187" s="142" t="s">
        <v>459</v>
      </c>
      <c r="B187" t="s">
        <v>473</v>
      </c>
      <c r="C187" t="s">
        <v>187</v>
      </c>
      <c r="D187" s="143">
        <f>IFERROR(VLOOKUP(B187,'Enrollment 25-26'!$B$5:$I$332,8,FALSE),0)</f>
        <v>59.33</v>
      </c>
      <c r="E187" s="64">
        <f t="shared" si="34"/>
        <v>6898</v>
      </c>
      <c r="F187" s="144">
        <v>0</v>
      </c>
      <c r="G187" s="144">
        <v>0</v>
      </c>
      <c r="H187" s="64">
        <f t="shared" si="35"/>
        <v>6898</v>
      </c>
      <c r="I187" s="64">
        <f t="shared" si="36"/>
        <v>0</v>
      </c>
      <c r="J187" s="145">
        <f t="shared" si="37"/>
        <v>6898</v>
      </c>
      <c r="K187" s="146" t="str">
        <f t="shared" si="48"/>
        <v>C</v>
      </c>
      <c r="L187" s="147">
        <f t="shared" si="38"/>
        <v>0</v>
      </c>
      <c r="M187" s="148">
        <f t="shared" si="39"/>
        <v>59.33</v>
      </c>
      <c r="N187" s="64">
        <f t="shared" si="40"/>
        <v>51</v>
      </c>
      <c r="O187" s="64">
        <f t="shared" si="41"/>
        <v>6949</v>
      </c>
      <c r="Q187" s="104">
        <f t="shared" si="42"/>
        <v>0</v>
      </c>
      <c r="R187" s="104" t="str">
        <f t="shared" si="43"/>
        <v>Not Applicable</v>
      </c>
      <c r="S187" s="149" t="s">
        <v>815</v>
      </c>
      <c r="T187" s="149">
        <f>IF(O187=0,0,IF(S187="N",0,VLOOKUP(B187,'Enrollment 25-26'!$B$8:$K$332,9,FALSE)))</f>
        <v>0</v>
      </c>
      <c r="U187" s="64">
        <f t="shared" si="44"/>
        <v>6949</v>
      </c>
      <c r="V187" s="128">
        <f t="shared" si="45"/>
        <v>117.12455755941345</v>
      </c>
      <c r="W187" s="150"/>
      <c r="X187" s="64">
        <f>IFERROR(VLOOKUP($B187,#REF!,14,FALSE),0)</f>
        <v>0</v>
      </c>
      <c r="Y187" s="99">
        <f t="shared" si="46"/>
        <v>6949</v>
      </c>
      <c r="Z187" s="132">
        <f t="shared" si="47"/>
        <v>0</v>
      </c>
      <c r="AA187" s="151" t="str">
        <f t="shared" si="49"/>
        <v>C</v>
      </c>
      <c r="AC187" s="64"/>
      <c r="AE187" s="152"/>
      <c r="AH187" s="153"/>
      <c r="AI187" s="153"/>
      <c r="AJ187" s="153"/>
      <c r="AK187" s="154"/>
    </row>
    <row r="188" spans="1:37" x14ac:dyDescent="0.25">
      <c r="A188" s="142" t="s">
        <v>438</v>
      </c>
      <c r="B188" t="s">
        <v>456</v>
      </c>
      <c r="C188" t="s">
        <v>188</v>
      </c>
      <c r="D188" s="143">
        <f>IFERROR(VLOOKUP(B188,'Enrollment 25-26'!$B$5:$I$332,8,FALSE),0)</f>
        <v>78.17</v>
      </c>
      <c r="E188" s="64">
        <f t="shared" si="34"/>
        <v>9089</v>
      </c>
      <c r="F188" s="144">
        <v>0</v>
      </c>
      <c r="G188" s="144">
        <v>0</v>
      </c>
      <c r="H188" s="64">
        <f t="shared" si="35"/>
        <v>9089</v>
      </c>
      <c r="I188" s="64">
        <f t="shared" si="36"/>
        <v>0</v>
      </c>
      <c r="J188" s="145">
        <f t="shared" si="37"/>
        <v>9089</v>
      </c>
      <c r="K188" s="146" t="str">
        <f t="shared" si="48"/>
        <v>C</v>
      </c>
      <c r="L188" s="147">
        <f t="shared" si="38"/>
        <v>0</v>
      </c>
      <c r="M188" s="148">
        <f t="shared" si="39"/>
        <v>78.17</v>
      </c>
      <c r="N188" s="64">
        <f t="shared" si="40"/>
        <v>67</v>
      </c>
      <c r="O188" s="64">
        <f t="shared" si="41"/>
        <v>9156</v>
      </c>
      <c r="Q188" s="104">
        <f t="shared" si="42"/>
        <v>0</v>
      </c>
      <c r="R188" s="104" t="str">
        <f t="shared" si="43"/>
        <v>Not Applicable</v>
      </c>
      <c r="S188" s="149" t="s">
        <v>815</v>
      </c>
      <c r="T188" s="149">
        <f>IF(O188=0,0,IF(S188="N",0,VLOOKUP(B188,'Enrollment 25-26'!$B$8:$K$332,9,FALSE)))</f>
        <v>0</v>
      </c>
      <c r="U188" s="64">
        <f t="shared" si="44"/>
        <v>9156</v>
      </c>
      <c r="V188" s="128">
        <f t="shared" si="45"/>
        <v>117.12933350390175</v>
      </c>
      <c r="W188" s="150"/>
      <c r="X188" s="64">
        <f>IFERROR(VLOOKUP($B188,#REF!,14,FALSE),0)</f>
        <v>0</v>
      </c>
      <c r="Y188" s="99">
        <f t="shared" si="46"/>
        <v>9156</v>
      </c>
      <c r="Z188" s="132">
        <f t="shared" si="47"/>
        <v>0</v>
      </c>
      <c r="AA188" s="151" t="str">
        <f t="shared" si="49"/>
        <v>C</v>
      </c>
      <c r="AC188" s="64"/>
      <c r="AE188" s="152"/>
      <c r="AH188" s="153"/>
      <c r="AI188" s="153"/>
      <c r="AJ188" s="153"/>
      <c r="AK188" s="154"/>
    </row>
    <row r="189" spans="1:37" x14ac:dyDescent="0.25">
      <c r="A189" s="142" t="s">
        <v>443</v>
      </c>
      <c r="B189" t="s">
        <v>645</v>
      </c>
      <c r="C189" t="s">
        <v>189</v>
      </c>
      <c r="D189" s="143">
        <f>IFERROR(VLOOKUP(B189,'Enrollment 25-26'!$B$5:$I$332,8,FALSE),0)</f>
        <v>0</v>
      </c>
      <c r="E189" s="64">
        <f t="shared" si="34"/>
        <v>0</v>
      </c>
      <c r="F189" s="144">
        <v>0</v>
      </c>
      <c r="G189" s="144">
        <v>0</v>
      </c>
      <c r="H189" s="64">
        <f t="shared" si="35"/>
        <v>0</v>
      </c>
      <c r="I189" s="64">
        <f t="shared" si="36"/>
        <v>0</v>
      </c>
      <c r="J189" s="145">
        <f t="shared" si="37"/>
        <v>0</v>
      </c>
      <c r="K189" s="146" t="str">
        <f t="shared" si="48"/>
        <v>N</v>
      </c>
      <c r="L189" s="147">
        <f t="shared" si="38"/>
        <v>0</v>
      </c>
      <c r="M189" s="148">
        <f t="shared" si="39"/>
        <v>0</v>
      </c>
      <c r="N189" s="64">
        <f t="shared" si="40"/>
        <v>0</v>
      </c>
      <c r="O189" s="64">
        <f t="shared" si="41"/>
        <v>0</v>
      </c>
      <c r="Q189" s="104">
        <f t="shared" si="42"/>
        <v>0</v>
      </c>
      <c r="R189" s="104" t="str">
        <f t="shared" si="43"/>
        <v>Not Applicable</v>
      </c>
      <c r="S189" s="149" t="s">
        <v>815</v>
      </c>
      <c r="T189" s="149">
        <f>IF(O189=0,0,IF(S189="N",0,VLOOKUP(B189,'Enrollment 25-26'!$B$8:$K$332,9,FALSE)))</f>
        <v>0</v>
      </c>
      <c r="U189" s="64">
        <f t="shared" si="44"/>
        <v>0</v>
      </c>
      <c r="V189" s="128">
        <f t="shared" si="45"/>
        <v>0</v>
      </c>
      <c r="W189" s="150"/>
      <c r="X189" s="64">
        <f>IFERROR(VLOOKUP($B189,#REF!,14,FALSE),0)</f>
        <v>0</v>
      </c>
      <c r="Y189" s="99">
        <f t="shared" si="46"/>
        <v>0</v>
      </c>
      <c r="Z189" s="132">
        <f t="shared" si="47"/>
        <v>0</v>
      </c>
      <c r="AA189" s="151" t="str">
        <f t="shared" si="49"/>
        <v>N</v>
      </c>
      <c r="AC189" s="64"/>
      <c r="AE189" s="152"/>
      <c r="AH189" s="153"/>
      <c r="AI189" s="153"/>
      <c r="AJ189" s="153"/>
      <c r="AK189" s="154"/>
    </row>
    <row r="190" spans="1:37" x14ac:dyDescent="0.25">
      <c r="A190" s="142" t="s">
        <v>481</v>
      </c>
      <c r="B190" t="s">
        <v>646</v>
      </c>
      <c r="C190" t="s">
        <v>190</v>
      </c>
      <c r="D190" s="143">
        <f>IFERROR(VLOOKUP(B190,'Enrollment 25-26'!$B$5:$I$332,8,FALSE),0)</f>
        <v>99.5</v>
      </c>
      <c r="E190" s="64">
        <f t="shared" si="34"/>
        <v>11569</v>
      </c>
      <c r="F190" s="144">
        <v>0</v>
      </c>
      <c r="G190" s="144">
        <v>0</v>
      </c>
      <c r="H190" s="64">
        <f t="shared" si="35"/>
        <v>11569</v>
      </c>
      <c r="I190" s="64">
        <f t="shared" si="36"/>
        <v>0</v>
      </c>
      <c r="J190" s="145">
        <f t="shared" si="37"/>
        <v>11569</v>
      </c>
      <c r="K190" s="146" t="str">
        <f t="shared" si="48"/>
        <v>Y</v>
      </c>
      <c r="L190" s="147">
        <f t="shared" si="38"/>
        <v>0</v>
      </c>
      <c r="M190" s="148">
        <f t="shared" si="39"/>
        <v>99.5</v>
      </c>
      <c r="N190" s="64">
        <f t="shared" si="40"/>
        <v>86</v>
      </c>
      <c r="O190" s="64">
        <f t="shared" si="41"/>
        <v>11655</v>
      </c>
      <c r="Q190" s="104">
        <f t="shared" si="42"/>
        <v>0</v>
      </c>
      <c r="R190" s="104" t="str">
        <f t="shared" si="43"/>
        <v>Not Applicable</v>
      </c>
      <c r="S190" s="149" t="s">
        <v>815</v>
      </c>
      <c r="T190" s="149">
        <f>IF(O190=0,0,IF(S190="N",0,VLOOKUP(B190,'Enrollment 25-26'!$B$8:$K$332,9,FALSE)))</f>
        <v>0</v>
      </c>
      <c r="U190" s="64">
        <f t="shared" si="44"/>
        <v>11655</v>
      </c>
      <c r="V190" s="128">
        <f t="shared" si="45"/>
        <v>117.1356783919598</v>
      </c>
      <c r="W190" s="150"/>
      <c r="X190" s="64">
        <f>IFERROR(VLOOKUP($B190,#REF!,14,FALSE),0)</f>
        <v>0</v>
      </c>
      <c r="Y190" s="99">
        <f t="shared" si="46"/>
        <v>11655</v>
      </c>
      <c r="Z190" s="132">
        <f t="shared" si="47"/>
        <v>0</v>
      </c>
      <c r="AA190" s="151" t="str">
        <f t="shared" si="49"/>
        <v>Y</v>
      </c>
      <c r="AC190" s="64"/>
      <c r="AE190" s="152"/>
      <c r="AH190" s="153"/>
      <c r="AI190" s="153"/>
      <c r="AJ190" s="153"/>
      <c r="AK190" s="154"/>
    </row>
    <row r="191" spans="1:37" x14ac:dyDescent="0.25">
      <c r="A191" s="142" t="s">
        <v>438</v>
      </c>
      <c r="B191" t="s">
        <v>647</v>
      </c>
      <c r="C191" t="s">
        <v>191</v>
      </c>
      <c r="D191" s="143">
        <f>IFERROR(VLOOKUP(B191,'Enrollment 25-26'!$B$5:$I$332,8,FALSE),0)</f>
        <v>417.00333333333327</v>
      </c>
      <c r="E191" s="64">
        <f t="shared" si="34"/>
        <v>48485</v>
      </c>
      <c r="F191" s="144">
        <v>0</v>
      </c>
      <c r="G191" s="144">
        <v>0</v>
      </c>
      <c r="H191" s="64">
        <f t="shared" si="35"/>
        <v>48485</v>
      </c>
      <c r="I191" s="64">
        <f t="shared" si="36"/>
        <v>0</v>
      </c>
      <c r="J191" s="145">
        <f t="shared" si="37"/>
        <v>48485</v>
      </c>
      <c r="K191" s="146" t="str">
        <f t="shared" si="48"/>
        <v>Y</v>
      </c>
      <c r="L191" s="147">
        <f t="shared" si="38"/>
        <v>0</v>
      </c>
      <c r="M191" s="148">
        <f t="shared" si="39"/>
        <v>417.00333333333327</v>
      </c>
      <c r="N191" s="64">
        <f t="shared" si="40"/>
        <v>358</v>
      </c>
      <c r="O191" s="64">
        <f t="shared" si="41"/>
        <v>48843</v>
      </c>
      <c r="Q191" s="104">
        <f t="shared" si="42"/>
        <v>0</v>
      </c>
      <c r="R191" s="104" t="str">
        <f t="shared" si="43"/>
        <v>Not Applicable</v>
      </c>
      <c r="S191" s="149" t="s">
        <v>815</v>
      </c>
      <c r="T191" s="149">
        <f>IF(O191=0,0,IF(S191="N",0,VLOOKUP(B191,'Enrollment 25-26'!$B$8:$K$332,9,FALSE)))</f>
        <v>0</v>
      </c>
      <c r="U191" s="64">
        <f t="shared" si="44"/>
        <v>48843</v>
      </c>
      <c r="V191" s="128">
        <f t="shared" si="45"/>
        <v>117.1285601234203</v>
      </c>
      <c r="W191" s="150"/>
      <c r="X191" s="64">
        <f>IFERROR(VLOOKUP($B191,#REF!,14,FALSE),0)</f>
        <v>0</v>
      </c>
      <c r="Y191" s="99">
        <f t="shared" si="46"/>
        <v>48843</v>
      </c>
      <c r="Z191" s="132">
        <f t="shared" si="47"/>
        <v>0</v>
      </c>
      <c r="AA191" s="151" t="str">
        <f t="shared" si="49"/>
        <v>Y</v>
      </c>
      <c r="AC191" s="64"/>
      <c r="AE191" s="152"/>
      <c r="AH191" s="153"/>
      <c r="AI191" s="153"/>
      <c r="AJ191" s="153"/>
      <c r="AK191" s="154"/>
    </row>
    <row r="192" spans="1:37" x14ac:dyDescent="0.25">
      <c r="A192" s="142" t="s">
        <v>481</v>
      </c>
      <c r="B192" t="s">
        <v>648</v>
      </c>
      <c r="C192" t="s">
        <v>192</v>
      </c>
      <c r="D192" s="143">
        <f>IFERROR(VLOOKUP(B192,'Enrollment 25-26'!$B$5:$I$332,8,FALSE),0)</f>
        <v>352.66666666666669</v>
      </c>
      <c r="E192" s="64">
        <f t="shared" si="34"/>
        <v>41005</v>
      </c>
      <c r="F192" s="144">
        <v>0</v>
      </c>
      <c r="G192" s="144">
        <v>0</v>
      </c>
      <c r="H192" s="64">
        <f t="shared" si="35"/>
        <v>41005</v>
      </c>
      <c r="I192" s="64">
        <f t="shared" si="36"/>
        <v>0</v>
      </c>
      <c r="J192" s="145">
        <f t="shared" si="37"/>
        <v>41005</v>
      </c>
      <c r="K192" s="146" t="str">
        <f t="shared" si="48"/>
        <v>Y</v>
      </c>
      <c r="L192" s="147">
        <f t="shared" si="38"/>
        <v>0</v>
      </c>
      <c r="M192" s="148">
        <f t="shared" si="39"/>
        <v>352.66666666666669</v>
      </c>
      <c r="N192" s="64">
        <f t="shared" si="40"/>
        <v>303</v>
      </c>
      <c r="O192" s="64">
        <f t="shared" si="41"/>
        <v>41308</v>
      </c>
      <c r="Q192" s="104">
        <f t="shared" si="42"/>
        <v>0</v>
      </c>
      <c r="R192" s="104" t="str">
        <f t="shared" si="43"/>
        <v>Not Applicable</v>
      </c>
      <c r="S192" s="149" t="s">
        <v>815</v>
      </c>
      <c r="T192" s="149">
        <f>IF(O192=0,0,IF(S192="N",0,VLOOKUP(B192,'Enrollment 25-26'!$B$8:$K$332,9,FALSE)))</f>
        <v>0</v>
      </c>
      <c r="U192" s="64">
        <f t="shared" si="44"/>
        <v>41308</v>
      </c>
      <c r="V192" s="128">
        <f t="shared" si="45"/>
        <v>117.13043478260869</v>
      </c>
      <c r="W192" s="150"/>
      <c r="X192" s="64">
        <f>IFERROR(VLOOKUP($B192,#REF!,14,FALSE),0)</f>
        <v>0</v>
      </c>
      <c r="Y192" s="99">
        <f t="shared" si="46"/>
        <v>41308</v>
      </c>
      <c r="Z192" s="132">
        <f t="shared" si="47"/>
        <v>0</v>
      </c>
      <c r="AA192" s="151" t="str">
        <f t="shared" si="49"/>
        <v>Y</v>
      </c>
      <c r="AC192" s="64"/>
      <c r="AE192" s="152"/>
      <c r="AH192" s="153"/>
      <c r="AI192" s="153"/>
      <c r="AJ192" s="153"/>
      <c r="AK192" s="154"/>
    </row>
    <row r="193" spans="1:37" x14ac:dyDescent="0.25">
      <c r="A193" s="142" t="s">
        <v>438</v>
      </c>
      <c r="B193" t="s">
        <v>649</v>
      </c>
      <c r="C193" t="s">
        <v>193</v>
      </c>
      <c r="D193" s="143">
        <f>IFERROR(VLOOKUP(B193,'Enrollment 25-26'!$B$5:$I$332,8,FALSE),0)</f>
        <v>28.17</v>
      </c>
      <c r="E193" s="64">
        <f t="shared" si="34"/>
        <v>3275</v>
      </c>
      <c r="F193" s="144">
        <v>0</v>
      </c>
      <c r="G193" s="144">
        <v>0</v>
      </c>
      <c r="H193" s="64">
        <f t="shared" si="35"/>
        <v>3275</v>
      </c>
      <c r="I193" s="64">
        <f t="shared" si="36"/>
        <v>0</v>
      </c>
      <c r="J193" s="145">
        <f t="shared" si="37"/>
        <v>3275</v>
      </c>
      <c r="K193" s="146" t="str">
        <f t="shared" si="48"/>
        <v>N</v>
      </c>
      <c r="L193" s="147">
        <f t="shared" si="38"/>
        <v>3275</v>
      </c>
      <c r="M193" s="148">
        <f t="shared" si="39"/>
        <v>0</v>
      </c>
      <c r="N193" s="64">
        <f t="shared" si="40"/>
        <v>0</v>
      </c>
      <c r="O193" s="64">
        <f t="shared" si="41"/>
        <v>0</v>
      </c>
      <c r="Q193" s="104">
        <f t="shared" si="42"/>
        <v>0</v>
      </c>
      <c r="R193" s="104" t="str">
        <f t="shared" si="43"/>
        <v>Not Applicable</v>
      </c>
      <c r="S193" s="149" t="s">
        <v>815</v>
      </c>
      <c r="T193" s="149">
        <f>IF(O193=0,0,IF(S193="N",0,VLOOKUP(B193,'Enrollment 25-26'!$B$8:$K$332,9,FALSE)))</f>
        <v>0</v>
      </c>
      <c r="U193" s="64">
        <f t="shared" si="44"/>
        <v>0</v>
      </c>
      <c r="V193" s="128">
        <f t="shared" si="45"/>
        <v>0</v>
      </c>
      <c r="W193" s="150"/>
      <c r="X193" s="64">
        <f>IFERROR(VLOOKUP($B193,#REF!,14,FALSE),0)</f>
        <v>0</v>
      </c>
      <c r="Y193" s="99">
        <f t="shared" si="46"/>
        <v>0</v>
      </c>
      <c r="Z193" s="132">
        <f t="shared" si="47"/>
        <v>0</v>
      </c>
      <c r="AA193" s="151" t="str">
        <f t="shared" si="49"/>
        <v>N</v>
      </c>
      <c r="AC193" s="64"/>
      <c r="AE193" s="152"/>
      <c r="AH193" s="153"/>
      <c r="AI193" s="153"/>
      <c r="AJ193" s="153"/>
      <c r="AK193" s="154"/>
    </row>
    <row r="194" spans="1:37" x14ac:dyDescent="0.25">
      <c r="A194" s="142" t="s">
        <v>443</v>
      </c>
      <c r="B194" t="s">
        <v>650</v>
      </c>
      <c r="C194" t="s">
        <v>194</v>
      </c>
      <c r="D194" s="143">
        <f>IFERROR(VLOOKUP(B194,'Enrollment 25-26'!$B$5:$I$332,8,FALSE),0)</f>
        <v>0</v>
      </c>
      <c r="E194" s="64">
        <f t="shared" si="34"/>
        <v>0</v>
      </c>
      <c r="F194" s="144">
        <v>0</v>
      </c>
      <c r="G194" s="144">
        <v>0</v>
      </c>
      <c r="H194" s="64">
        <f t="shared" si="35"/>
        <v>0</v>
      </c>
      <c r="I194" s="64">
        <f t="shared" si="36"/>
        <v>0</v>
      </c>
      <c r="J194" s="145">
        <f t="shared" si="37"/>
        <v>0</v>
      </c>
      <c r="K194" s="146" t="str">
        <f t="shared" si="48"/>
        <v>N</v>
      </c>
      <c r="L194" s="147">
        <f t="shared" si="38"/>
        <v>0</v>
      </c>
      <c r="M194" s="148">
        <f t="shared" si="39"/>
        <v>0</v>
      </c>
      <c r="N194" s="64">
        <f t="shared" si="40"/>
        <v>0</v>
      </c>
      <c r="O194" s="64">
        <f t="shared" si="41"/>
        <v>0</v>
      </c>
      <c r="Q194" s="104">
        <f t="shared" si="42"/>
        <v>0</v>
      </c>
      <c r="R194" s="104" t="str">
        <f t="shared" si="43"/>
        <v>Not Applicable</v>
      </c>
      <c r="S194" s="149" t="s">
        <v>815</v>
      </c>
      <c r="T194" s="149">
        <f>IF(O194=0,0,IF(S194="N",0,VLOOKUP(B194,'Enrollment 25-26'!$B$8:$K$332,9,FALSE)))</f>
        <v>0</v>
      </c>
      <c r="U194" s="64">
        <f t="shared" si="44"/>
        <v>0</v>
      </c>
      <c r="V194" s="128">
        <f t="shared" si="45"/>
        <v>0</v>
      </c>
      <c r="W194" s="150"/>
      <c r="X194" s="64">
        <f>IFERROR(VLOOKUP($B194,#REF!,14,FALSE),0)</f>
        <v>0</v>
      </c>
      <c r="Y194" s="99">
        <f t="shared" si="46"/>
        <v>0</v>
      </c>
      <c r="Z194" s="132">
        <f t="shared" si="47"/>
        <v>0</v>
      </c>
      <c r="AA194" s="151" t="str">
        <f t="shared" si="49"/>
        <v>N</v>
      </c>
      <c r="AC194" s="64"/>
      <c r="AE194" s="152"/>
      <c r="AH194" s="153"/>
      <c r="AI194" s="153"/>
      <c r="AJ194" s="153"/>
      <c r="AK194" s="154"/>
    </row>
    <row r="195" spans="1:37" x14ac:dyDescent="0.25">
      <c r="A195" s="142" t="s">
        <v>446</v>
      </c>
      <c r="B195" t="s">
        <v>486</v>
      </c>
      <c r="C195" t="s">
        <v>195</v>
      </c>
      <c r="D195" s="143">
        <f>IFERROR(VLOOKUP(B195,'Enrollment 25-26'!$B$5:$I$332,8,FALSE),0)</f>
        <v>55.17</v>
      </c>
      <c r="E195" s="64">
        <f t="shared" si="34"/>
        <v>6415</v>
      </c>
      <c r="F195" s="144">
        <v>0</v>
      </c>
      <c r="G195" s="144">
        <v>0</v>
      </c>
      <c r="H195" s="64">
        <f t="shared" si="35"/>
        <v>6415</v>
      </c>
      <c r="I195" s="64">
        <f t="shared" si="36"/>
        <v>0</v>
      </c>
      <c r="J195" s="145">
        <f t="shared" si="37"/>
        <v>6415</v>
      </c>
      <c r="K195" s="146" t="str">
        <f t="shared" si="48"/>
        <v>C</v>
      </c>
      <c r="L195" s="147">
        <f t="shared" si="38"/>
        <v>0</v>
      </c>
      <c r="M195" s="148">
        <f t="shared" si="39"/>
        <v>55.17</v>
      </c>
      <c r="N195" s="64">
        <f t="shared" si="40"/>
        <v>47</v>
      </c>
      <c r="O195" s="64">
        <f t="shared" si="41"/>
        <v>6462</v>
      </c>
      <c r="Q195" s="104">
        <f t="shared" si="42"/>
        <v>0</v>
      </c>
      <c r="R195" s="104" t="str">
        <f t="shared" si="43"/>
        <v>Not Applicable</v>
      </c>
      <c r="S195" s="149" t="s">
        <v>815</v>
      </c>
      <c r="T195" s="149">
        <f>IF(O195=0,0,IF(S195="N",0,VLOOKUP(B195,'Enrollment 25-26'!$B$8:$K$332,9,FALSE)))</f>
        <v>0</v>
      </c>
      <c r="U195" s="64">
        <f t="shared" si="44"/>
        <v>6462</v>
      </c>
      <c r="V195" s="128">
        <f t="shared" si="45"/>
        <v>117.12887438825449</v>
      </c>
      <c r="W195" s="150"/>
      <c r="X195" s="64">
        <f>IFERROR(VLOOKUP($B195,#REF!,14,FALSE),0)</f>
        <v>0</v>
      </c>
      <c r="Y195" s="99">
        <f t="shared" si="46"/>
        <v>6462</v>
      </c>
      <c r="Z195" s="132">
        <f t="shared" si="47"/>
        <v>0</v>
      </c>
      <c r="AA195" s="151" t="str">
        <f t="shared" si="49"/>
        <v>C</v>
      </c>
      <c r="AC195" s="64"/>
      <c r="AE195" s="152"/>
      <c r="AH195" s="153"/>
      <c r="AI195" s="153"/>
      <c r="AJ195" s="153"/>
      <c r="AK195" s="154"/>
    </row>
    <row r="196" spans="1:37" x14ac:dyDescent="0.25">
      <c r="A196" s="142" t="s">
        <v>443</v>
      </c>
      <c r="B196" t="s">
        <v>651</v>
      </c>
      <c r="C196" t="s">
        <v>196</v>
      </c>
      <c r="D196" s="143">
        <f>IFERROR(VLOOKUP(B196,'Enrollment 25-26'!$B$5:$I$332,8,FALSE),0)</f>
        <v>1</v>
      </c>
      <c r="E196" s="64">
        <f t="shared" si="34"/>
        <v>116</v>
      </c>
      <c r="F196" s="144">
        <v>0</v>
      </c>
      <c r="G196" s="144">
        <v>0</v>
      </c>
      <c r="H196" s="64">
        <f t="shared" si="35"/>
        <v>116</v>
      </c>
      <c r="I196" s="64">
        <f t="shared" si="36"/>
        <v>0</v>
      </c>
      <c r="J196" s="145">
        <f t="shared" si="37"/>
        <v>116</v>
      </c>
      <c r="K196" s="146" t="str">
        <f t="shared" si="48"/>
        <v>N</v>
      </c>
      <c r="L196" s="147">
        <f t="shared" si="38"/>
        <v>116</v>
      </c>
      <c r="M196" s="148">
        <f t="shared" si="39"/>
        <v>0</v>
      </c>
      <c r="N196" s="64">
        <f t="shared" si="40"/>
        <v>0</v>
      </c>
      <c r="O196" s="64">
        <f t="shared" si="41"/>
        <v>0</v>
      </c>
      <c r="Q196" s="104">
        <f t="shared" si="42"/>
        <v>0</v>
      </c>
      <c r="R196" s="104" t="str">
        <f t="shared" si="43"/>
        <v>Not Applicable</v>
      </c>
      <c r="S196" s="149" t="s">
        <v>815</v>
      </c>
      <c r="T196" s="149">
        <f>IF(O196=0,0,IF(S196="N",0,VLOOKUP(B196,'Enrollment 25-26'!$B$8:$K$332,9,FALSE)))</f>
        <v>0</v>
      </c>
      <c r="U196" s="64">
        <f t="shared" si="44"/>
        <v>0</v>
      </c>
      <c r="V196" s="128">
        <f t="shared" si="45"/>
        <v>0</v>
      </c>
      <c r="W196" s="150"/>
      <c r="X196" s="64">
        <f>IFERROR(VLOOKUP($B196,#REF!,14,FALSE),0)</f>
        <v>0</v>
      </c>
      <c r="Y196" s="99">
        <f t="shared" si="46"/>
        <v>0</v>
      </c>
      <c r="Z196" s="132">
        <f t="shared" si="47"/>
        <v>0</v>
      </c>
      <c r="AA196" s="151" t="str">
        <f t="shared" si="49"/>
        <v>N</v>
      </c>
      <c r="AC196" s="64"/>
      <c r="AE196" s="152"/>
      <c r="AH196" s="153"/>
      <c r="AI196" s="153"/>
      <c r="AJ196" s="153"/>
      <c r="AK196" s="154"/>
    </row>
    <row r="197" spans="1:37" x14ac:dyDescent="0.25">
      <c r="A197" s="142" t="s">
        <v>443</v>
      </c>
      <c r="B197" t="s">
        <v>652</v>
      </c>
      <c r="C197" t="s">
        <v>197</v>
      </c>
      <c r="D197" s="143">
        <f>IFERROR(VLOOKUP(B197,'Enrollment 25-26'!$B$5:$I$332,8,FALSE),0)</f>
        <v>0</v>
      </c>
      <c r="E197" s="64">
        <f t="shared" si="34"/>
        <v>0</v>
      </c>
      <c r="F197" s="144">
        <v>0</v>
      </c>
      <c r="G197" s="144">
        <v>0</v>
      </c>
      <c r="H197" s="64">
        <f t="shared" si="35"/>
        <v>0</v>
      </c>
      <c r="I197" s="64">
        <f t="shared" si="36"/>
        <v>0</v>
      </c>
      <c r="J197" s="145">
        <f t="shared" si="37"/>
        <v>0</v>
      </c>
      <c r="K197" s="146" t="str">
        <f t="shared" si="48"/>
        <v>N</v>
      </c>
      <c r="L197" s="147">
        <f t="shared" si="38"/>
        <v>0</v>
      </c>
      <c r="M197" s="148">
        <f t="shared" si="39"/>
        <v>0</v>
      </c>
      <c r="N197" s="64">
        <f t="shared" si="40"/>
        <v>0</v>
      </c>
      <c r="O197" s="64">
        <f t="shared" si="41"/>
        <v>0</v>
      </c>
      <c r="Q197" s="104">
        <f t="shared" si="42"/>
        <v>0</v>
      </c>
      <c r="R197" s="104" t="str">
        <f t="shared" si="43"/>
        <v>Not Applicable</v>
      </c>
      <c r="S197" s="149" t="s">
        <v>815</v>
      </c>
      <c r="T197" s="149">
        <f>IF(O197=0,0,IF(S197="N",0,VLOOKUP(B197,'Enrollment 25-26'!$B$8:$K$332,9,FALSE)))</f>
        <v>0</v>
      </c>
      <c r="U197" s="64">
        <f t="shared" si="44"/>
        <v>0</v>
      </c>
      <c r="V197" s="128">
        <f t="shared" si="45"/>
        <v>0</v>
      </c>
      <c r="W197" s="150"/>
      <c r="X197" s="64">
        <f>IFERROR(VLOOKUP($B197,#REF!,14,FALSE),0)</f>
        <v>0</v>
      </c>
      <c r="Y197" s="99">
        <f t="shared" si="46"/>
        <v>0</v>
      </c>
      <c r="Z197" s="132">
        <f t="shared" si="47"/>
        <v>0</v>
      </c>
      <c r="AA197" s="151" t="str">
        <f t="shared" si="49"/>
        <v>N</v>
      </c>
      <c r="AC197" s="64"/>
      <c r="AE197" s="152"/>
      <c r="AH197" s="153"/>
      <c r="AI197" s="153"/>
      <c r="AJ197" s="153"/>
      <c r="AK197" s="154"/>
    </row>
    <row r="198" spans="1:37" x14ac:dyDescent="0.25">
      <c r="A198" s="142" t="s">
        <v>481</v>
      </c>
      <c r="B198" t="s">
        <v>448</v>
      </c>
      <c r="C198" t="s">
        <v>198</v>
      </c>
      <c r="D198" s="143">
        <f>IFERROR(VLOOKUP(B198,'Enrollment 25-26'!$B$5:$I$332,8,FALSE),0)</f>
        <v>61.33</v>
      </c>
      <c r="E198" s="64">
        <f t="shared" si="34"/>
        <v>7131</v>
      </c>
      <c r="F198" s="144">
        <v>0</v>
      </c>
      <c r="G198" s="144">
        <v>0</v>
      </c>
      <c r="H198" s="64">
        <f t="shared" si="35"/>
        <v>7131</v>
      </c>
      <c r="I198" s="64">
        <f t="shared" si="36"/>
        <v>0</v>
      </c>
      <c r="J198" s="145">
        <f t="shared" si="37"/>
        <v>7131</v>
      </c>
      <c r="K198" s="146" t="str">
        <f t="shared" si="48"/>
        <v>C</v>
      </c>
      <c r="L198" s="147">
        <f t="shared" si="38"/>
        <v>0</v>
      </c>
      <c r="M198" s="148">
        <f t="shared" si="39"/>
        <v>61.33</v>
      </c>
      <c r="N198" s="64">
        <f t="shared" si="40"/>
        <v>53</v>
      </c>
      <c r="O198" s="64">
        <f t="shared" si="41"/>
        <v>7184</v>
      </c>
      <c r="Q198" s="104">
        <f t="shared" si="42"/>
        <v>0</v>
      </c>
      <c r="R198" s="104" t="str">
        <f t="shared" si="43"/>
        <v>Not Applicable</v>
      </c>
      <c r="S198" s="149" t="s">
        <v>815</v>
      </c>
      <c r="T198" s="149">
        <f>IF(O198=0,0,IF(S198="N",0,VLOOKUP(B198,'Enrollment 25-26'!$B$8:$K$332,9,FALSE)))</f>
        <v>0</v>
      </c>
      <c r="U198" s="64">
        <f t="shared" si="44"/>
        <v>7184</v>
      </c>
      <c r="V198" s="128">
        <f t="shared" si="45"/>
        <v>117.13680091309311</v>
      </c>
      <c r="W198" s="150"/>
      <c r="X198" s="64">
        <f>IFERROR(VLOOKUP($B198,#REF!,14,FALSE),0)</f>
        <v>0</v>
      </c>
      <c r="Y198" s="99">
        <f t="shared" si="46"/>
        <v>7184</v>
      </c>
      <c r="Z198" s="132">
        <f t="shared" si="47"/>
        <v>0</v>
      </c>
      <c r="AA198" s="151" t="str">
        <f t="shared" si="49"/>
        <v>C</v>
      </c>
      <c r="AC198" s="64"/>
      <c r="AE198" s="152"/>
      <c r="AH198" s="153"/>
      <c r="AI198" s="153"/>
      <c r="AJ198" s="153"/>
      <c r="AK198" s="154"/>
    </row>
    <row r="199" spans="1:37" x14ac:dyDescent="0.25">
      <c r="A199" s="142" t="s">
        <v>481</v>
      </c>
      <c r="B199" t="s">
        <v>653</v>
      </c>
      <c r="C199" t="s">
        <v>199</v>
      </c>
      <c r="D199" s="143">
        <f>IFERROR(VLOOKUP(B199,'Enrollment 25-26'!$B$5:$I$332,8,FALSE),0)</f>
        <v>65.17</v>
      </c>
      <c r="E199" s="64">
        <f t="shared" si="34"/>
        <v>7577</v>
      </c>
      <c r="F199" s="144">
        <v>0</v>
      </c>
      <c r="G199" s="144">
        <v>0</v>
      </c>
      <c r="H199" s="64">
        <f t="shared" si="35"/>
        <v>7577</v>
      </c>
      <c r="I199" s="64">
        <f t="shared" si="36"/>
        <v>0</v>
      </c>
      <c r="J199" s="145">
        <f t="shared" si="37"/>
        <v>7577</v>
      </c>
      <c r="K199" s="146" t="str">
        <f t="shared" si="48"/>
        <v>N</v>
      </c>
      <c r="L199" s="147">
        <f t="shared" si="38"/>
        <v>7577</v>
      </c>
      <c r="M199" s="148">
        <f t="shared" si="39"/>
        <v>0</v>
      </c>
      <c r="N199" s="64">
        <f t="shared" si="40"/>
        <v>0</v>
      </c>
      <c r="O199" s="64">
        <f t="shared" si="41"/>
        <v>0</v>
      </c>
      <c r="Q199" s="104">
        <f t="shared" si="42"/>
        <v>0</v>
      </c>
      <c r="R199" s="104" t="str">
        <f t="shared" si="43"/>
        <v>Not Applicable</v>
      </c>
      <c r="S199" s="149" t="s">
        <v>815</v>
      </c>
      <c r="T199" s="149">
        <f>IF(O199=0,0,IF(S199="N",0,VLOOKUP(B199,'Enrollment 25-26'!$B$8:$K$332,9,FALSE)))</f>
        <v>0</v>
      </c>
      <c r="U199" s="64">
        <f t="shared" si="44"/>
        <v>0</v>
      </c>
      <c r="V199" s="128">
        <f t="shared" si="45"/>
        <v>0</v>
      </c>
      <c r="W199" s="150"/>
      <c r="X199" s="64">
        <f>IFERROR(VLOOKUP($B199,#REF!,14,FALSE),0)</f>
        <v>0</v>
      </c>
      <c r="Y199" s="99">
        <f t="shared" si="46"/>
        <v>0</v>
      </c>
      <c r="Z199" s="132">
        <f t="shared" si="47"/>
        <v>0</v>
      </c>
      <c r="AA199" s="151" t="str">
        <f t="shared" si="49"/>
        <v>N</v>
      </c>
      <c r="AC199" s="64"/>
      <c r="AE199" s="152"/>
      <c r="AH199" s="153"/>
      <c r="AI199" s="153"/>
      <c r="AJ199" s="153"/>
      <c r="AK199" s="154"/>
    </row>
    <row r="200" spans="1:37" x14ac:dyDescent="0.25">
      <c r="A200" s="142" t="s">
        <v>454</v>
      </c>
      <c r="B200" t="s">
        <v>654</v>
      </c>
      <c r="C200" t="s">
        <v>200</v>
      </c>
      <c r="D200" s="143">
        <f>IFERROR(VLOOKUP(B200,'Enrollment 25-26'!$B$5:$I$332,8,FALSE),0)</f>
        <v>211.5</v>
      </c>
      <c r="E200" s="64">
        <f t="shared" si="34"/>
        <v>24591</v>
      </c>
      <c r="F200" s="144">
        <v>0</v>
      </c>
      <c r="G200" s="144">
        <v>0</v>
      </c>
      <c r="H200" s="64">
        <f t="shared" si="35"/>
        <v>24591</v>
      </c>
      <c r="I200" s="64">
        <f t="shared" si="36"/>
        <v>0</v>
      </c>
      <c r="J200" s="145">
        <f t="shared" si="37"/>
        <v>24591</v>
      </c>
      <c r="K200" s="146" t="str">
        <f t="shared" si="48"/>
        <v>Y</v>
      </c>
      <c r="L200" s="147">
        <f t="shared" si="38"/>
        <v>0</v>
      </c>
      <c r="M200" s="148">
        <f t="shared" si="39"/>
        <v>211.5</v>
      </c>
      <c r="N200" s="64">
        <f t="shared" si="40"/>
        <v>182</v>
      </c>
      <c r="O200" s="64">
        <f t="shared" si="41"/>
        <v>24773</v>
      </c>
      <c r="Q200" s="104">
        <f t="shared" si="42"/>
        <v>0</v>
      </c>
      <c r="R200" s="104" t="str">
        <f t="shared" si="43"/>
        <v>Not Applicable</v>
      </c>
      <c r="S200" s="149" t="s">
        <v>815</v>
      </c>
      <c r="T200" s="149">
        <f>IF(O200=0,0,IF(S200="N",0,VLOOKUP(B200,'Enrollment 25-26'!$B$8:$K$332,9,FALSE)))</f>
        <v>0</v>
      </c>
      <c r="U200" s="64">
        <f t="shared" si="44"/>
        <v>24773</v>
      </c>
      <c r="V200" s="128">
        <f t="shared" si="45"/>
        <v>117.13002364066193</v>
      </c>
      <c r="W200" s="150"/>
      <c r="X200" s="64">
        <f>IFERROR(VLOOKUP($B200,#REF!,14,FALSE),0)</f>
        <v>0</v>
      </c>
      <c r="Y200" s="99">
        <f t="shared" si="46"/>
        <v>24773</v>
      </c>
      <c r="Z200" s="132">
        <f t="shared" si="47"/>
        <v>0</v>
      </c>
      <c r="AA200" s="151" t="str">
        <f t="shared" si="49"/>
        <v>Y</v>
      </c>
      <c r="AC200" s="64"/>
      <c r="AE200" s="152"/>
      <c r="AH200" s="153"/>
      <c r="AI200" s="153"/>
      <c r="AJ200" s="153"/>
      <c r="AK200" s="154"/>
    </row>
    <row r="201" spans="1:37" x14ac:dyDescent="0.25">
      <c r="A201" s="142" t="s">
        <v>451</v>
      </c>
      <c r="B201" t="s">
        <v>655</v>
      </c>
      <c r="C201" t="s">
        <v>201</v>
      </c>
      <c r="D201" s="143">
        <f>IFERROR(VLOOKUP(B201,'Enrollment 25-26'!$B$5:$I$332,8,FALSE),0)</f>
        <v>1994.17</v>
      </c>
      <c r="E201" s="64">
        <f t="shared" ref="E201:E264" si="50">ROUND($D201/$D$7*$E$6,0)</f>
        <v>231862</v>
      </c>
      <c r="F201" s="144">
        <v>0</v>
      </c>
      <c r="G201" s="144">
        <v>0</v>
      </c>
      <c r="H201" s="64">
        <f t="shared" ref="H201:H244" si="51">SUM(E201:G201)</f>
        <v>231862</v>
      </c>
      <c r="I201" s="64">
        <f t="shared" ref="I201:I264" si="52">ROUND($D201/$D$7*$I$6,0)</f>
        <v>0</v>
      </c>
      <c r="J201" s="145">
        <f t="shared" ref="J201:J264" si="53">+H201+I201</f>
        <v>231862</v>
      </c>
      <c r="K201" s="146" t="str">
        <f t="shared" si="48"/>
        <v>Y</v>
      </c>
      <c r="L201" s="147">
        <f t="shared" ref="L201:L264" si="54">IF(OR(K201="N",K201="NR",AND(J201&lt;$L$6,K201&lt;&gt;"C")),J201,0)</f>
        <v>0</v>
      </c>
      <c r="M201" s="148">
        <f t="shared" ref="M201:M264" si="55">IF(L201=0,D201,0)</f>
        <v>1994.17</v>
      </c>
      <c r="N201" s="64">
        <f t="shared" ref="N201:N264" si="56">ROUND(M201/$M$7*$L$3,0)</f>
        <v>1714</v>
      </c>
      <c r="O201" s="64">
        <f t="shared" ref="O201:O244" si="57">J201-L201+N201</f>
        <v>233576</v>
      </c>
      <c r="Q201" s="104">
        <f t="shared" ref="Q201:Q264" si="58">-ROUND(IF(P201&gt;0,O201*(0.9-P201),0),0)</f>
        <v>0</v>
      </c>
      <c r="R201" s="104" t="str">
        <f t="shared" ref="R201:R264" si="59">IF($R$7=0,"Not Applicable",T201*($R$7/$T$7))</f>
        <v>Not Applicable</v>
      </c>
      <c r="S201" s="149" t="s">
        <v>815</v>
      </c>
      <c r="T201" s="149">
        <f>IF(O201=0,0,IF(S201="N",0,VLOOKUP(B201,'Enrollment 25-26'!$B$8:$K$332,9,FALSE)))</f>
        <v>0</v>
      </c>
      <c r="U201" s="64">
        <f t="shared" ref="U201:U264" si="60">IF(ISNUMBER(R201),O201+R201,O201)</f>
        <v>233576</v>
      </c>
      <c r="V201" s="128">
        <f t="shared" ref="V201:V264" si="61">IF(M201=0,0,O201/M201)</f>
        <v>117.12943229514033</v>
      </c>
      <c r="W201" s="150"/>
      <c r="X201" s="64">
        <f>IFERROR(VLOOKUP($B201,#REF!,14,FALSE),0)</f>
        <v>0</v>
      </c>
      <c r="Y201" s="99">
        <f t="shared" ref="Y201:Y264" si="62">O201-X201</f>
        <v>233576</v>
      </c>
      <c r="Z201" s="132">
        <f t="shared" ref="Z201:Z264" si="63">IFERROR(IF(X201&gt;0,Y201/X201,0),0)</f>
        <v>0</v>
      </c>
      <c r="AA201" s="151" t="str">
        <f t="shared" si="49"/>
        <v>Y</v>
      </c>
      <c r="AC201" s="64"/>
      <c r="AE201" s="152"/>
      <c r="AH201" s="153"/>
      <c r="AI201" s="153"/>
      <c r="AJ201" s="153"/>
      <c r="AK201" s="154"/>
    </row>
    <row r="202" spans="1:37" x14ac:dyDescent="0.25">
      <c r="A202" s="142" t="s">
        <v>481</v>
      </c>
      <c r="B202" t="s">
        <v>656</v>
      </c>
      <c r="C202" t="s">
        <v>202</v>
      </c>
      <c r="D202" s="143">
        <f>IFERROR(VLOOKUP(B202,'Enrollment 25-26'!$B$5:$I$332,8,FALSE),0)</f>
        <v>9</v>
      </c>
      <c r="E202" s="64">
        <f t="shared" si="50"/>
        <v>1046</v>
      </c>
      <c r="F202" s="144">
        <v>0</v>
      </c>
      <c r="G202" s="144">
        <v>0</v>
      </c>
      <c r="H202" s="64">
        <f t="shared" si="51"/>
        <v>1046</v>
      </c>
      <c r="I202" s="64">
        <f t="shared" si="52"/>
        <v>0</v>
      </c>
      <c r="J202" s="145">
        <f t="shared" si="53"/>
        <v>1046</v>
      </c>
      <c r="K202" s="146" t="str">
        <f t="shared" ref="K202:K265" si="64">IF(ISERROR(VLOOKUP(B202,$AC$9:$AC$50,1,0)),IF(J202&gt;10000,"Y","N"), "C")</f>
        <v>C</v>
      </c>
      <c r="L202" s="147">
        <f t="shared" si="54"/>
        <v>0</v>
      </c>
      <c r="M202" s="148">
        <f t="shared" si="55"/>
        <v>9</v>
      </c>
      <c r="N202" s="64">
        <f t="shared" si="56"/>
        <v>8</v>
      </c>
      <c r="O202" s="64">
        <f t="shared" si="57"/>
        <v>1054</v>
      </c>
      <c r="Q202" s="104">
        <f t="shared" si="58"/>
        <v>0</v>
      </c>
      <c r="R202" s="104" t="str">
        <f t="shared" si="59"/>
        <v>Not Applicable</v>
      </c>
      <c r="S202" s="149" t="s">
        <v>815</v>
      </c>
      <c r="T202" s="149">
        <f>IF(O202=0,0,IF(S202="N",0,VLOOKUP(B202,'Enrollment 25-26'!$B$8:$K$332,9,FALSE)))</f>
        <v>0</v>
      </c>
      <c r="U202" s="64">
        <f t="shared" si="60"/>
        <v>1054</v>
      </c>
      <c r="V202" s="128">
        <f t="shared" si="61"/>
        <v>117.11111111111111</v>
      </c>
      <c r="W202" s="150"/>
      <c r="X202" s="64">
        <f>IFERROR(VLOOKUP($B202,#REF!,14,FALSE),0)</f>
        <v>0</v>
      </c>
      <c r="Y202" s="99">
        <f t="shared" si="62"/>
        <v>1054</v>
      </c>
      <c r="Z202" s="132">
        <f t="shared" si="63"/>
        <v>0</v>
      </c>
      <c r="AA202" s="151" t="str">
        <f t="shared" ref="AA202:AA265" si="65">K202</f>
        <v>C</v>
      </c>
      <c r="AC202" s="64"/>
      <c r="AE202" s="152"/>
      <c r="AH202" s="153"/>
      <c r="AI202" s="153"/>
      <c r="AJ202" s="153"/>
      <c r="AK202" s="154"/>
    </row>
    <row r="203" spans="1:37" x14ac:dyDescent="0.25">
      <c r="A203" s="142" t="s">
        <v>443</v>
      </c>
      <c r="B203" t="s">
        <v>657</v>
      </c>
      <c r="C203" t="s">
        <v>203</v>
      </c>
      <c r="D203" s="143">
        <f>IFERROR(VLOOKUP(B203,'Enrollment 25-26'!$B$5:$I$332,8,FALSE),0)</f>
        <v>0</v>
      </c>
      <c r="E203" s="64">
        <f t="shared" si="50"/>
        <v>0</v>
      </c>
      <c r="F203" s="144">
        <v>0</v>
      </c>
      <c r="G203" s="144">
        <v>0</v>
      </c>
      <c r="H203" s="64">
        <f t="shared" si="51"/>
        <v>0</v>
      </c>
      <c r="I203" s="64">
        <f t="shared" si="52"/>
        <v>0</v>
      </c>
      <c r="J203" s="145">
        <f t="shared" si="53"/>
        <v>0</v>
      </c>
      <c r="K203" s="146" t="str">
        <f t="shared" si="64"/>
        <v>N</v>
      </c>
      <c r="L203" s="147">
        <f t="shared" si="54"/>
        <v>0</v>
      </c>
      <c r="M203" s="148">
        <f t="shared" si="55"/>
        <v>0</v>
      </c>
      <c r="N203" s="64">
        <f t="shared" si="56"/>
        <v>0</v>
      </c>
      <c r="O203" s="64">
        <f t="shared" si="57"/>
        <v>0</v>
      </c>
      <c r="Q203" s="104">
        <f t="shared" si="58"/>
        <v>0</v>
      </c>
      <c r="R203" s="104" t="str">
        <f t="shared" si="59"/>
        <v>Not Applicable</v>
      </c>
      <c r="S203" s="149" t="s">
        <v>815</v>
      </c>
      <c r="T203" s="149">
        <f>IF(O203=0,0,IF(S203="N",0,VLOOKUP(B203,'Enrollment 25-26'!$B$8:$K$332,9,FALSE)))</f>
        <v>0</v>
      </c>
      <c r="U203" s="64">
        <f t="shared" si="60"/>
        <v>0</v>
      </c>
      <c r="V203" s="128">
        <f t="shared" si="61"/>
        <v>0</v>
      </c>
      <c r="W203" s="150"/>
      <c r="X203" s="64">
        <f>IFERROR(VLOOKUP($B203,#REF!,14,FALSE),0)</f>
        <v>0</v>
      </c>
      <c r="Y203" s="99">
        <f t="shared" si="62"/>
        <v>0</v>
      </c>
      <c r="Z203" s="132">
        <f t="shared" si="63"/>
        <v>0</v>
      </c>
      <c r="AA203" s="151" t="str">
        <f t="shared" si="65"/>
        <v>N</v>
      </c>
      <c r="AC203" s="64"/>
      <c r="AE203" s="152"/>
      <c r="AH203" s="153"/>
      <c r="AI203" s="153"/>
      <c r="AJ203" s="153"/>
      <c r="AK203" s="154"/>
    </row>
    <row r="204" spans="1:37" x14ac:dyDescent="0.25">
      <c r="A204" s="142" t="s">
        <v>451</v>
      </c>
      <c r="B204" t="s">
        <v>658</v>
      </c>
      <c r="C204" t="s">
        <v>204</v>
      </c>
      <c r="D204" s="143">
        <f>IFERROR(VLOOKUP(B204,'Enrollment 25-26'!$B$5:$I$332,8,FALSE),0)</f>
        <v>7005.33</v>
      </c>
      <c r="E204" s="64">
        <f t="shared" si="50"/>
        <v>814511</v>
      </c>
      <c r="F204" s="144">
        <v>0</v>
      </c>
      <c r="G204" s="144">
        <v>0</v>
      </c>
      <c r="H204" s="64">
        <f t="shared" si="51"/>
        <v>814511</v>
      </c>
      <c r="I204" s="64">
        <f t="shared" si="52"/>
        <v>0</v>
      </c>
      <c r="J204" s="145">
        <f t="shared" si="53"/>
        <v>814511</v>
      </c>
      <c r="K204" s="146" t="str">
        <f t="shared" si="64"/>
        <v>Y</v>
      </c>
      <c r="L204" s="147">
        <f t="shared" si="54"/>
        <v>0</v>
      </c>
      <c r="M204" s="148">
        <f t="shared" si="55"/>
        <v>7005.33</v>
      </c>
      <c r="N204" s="64">
        <f t="shared" si="56"/>
        <v>6023</v>
      </c>
      <c r="O204" s="64">
        <f t="shared" si="57"/>
        <v>820534</v>
      </c>
      <c r="Q204" s="104">
        <f t="shared" si="58"/>
        <v>0</v>
      </c>
      <c r="R204" s="104" t="str">
        <f t="shared" si="59"/>
        <v>Not Applicable</v>
      </c>
      <c r="S204" s="149" t="s">
        <v>815</v>
      </c>
      <c r="T204" s="149">
        <f>IF(O204=0,0,IF(S204="N",0,VLOOKUP(B204,'Enrollment 25-26'!$B$8:$K$332,9,FALSE)))</f>
        <v>0</v>
      </c>
      <c r="U204" s="64">
        <f t="shared" si="60"/>
        <v>820534</v>
      </c>
      <c r="V204" s="128">
        <f t="shared" si="61"/>
        <v>117.12995676149447</v>
      </c>
      <c r="W204" s="150"/>
      <c r="X204" s="64">
        <f>IFERROR(VLOOKUP($B204,#REF!,14,FALSE),0)</f>
        <v>0</v>
      </c>
      <c r="Y204" s="99">
        <f t="shared" si="62"/>
        <v>820534</v>
      </c>
      <c r="Z204" s="132">
        <f t="shared" si="63"/>
        <v>0</v>
      </c>
      <c r="AA204" s="151" t="str">
        <f t="shared" si="65"/>
        <v>Y</v>
      </c>
      <c r="AC204" s="64"/>
      <c r="AE204" s="152"/>
      <c r="AH204" s="153"/>
      <c r="AI204" s="153"/>
      <c r="AJ204" s="153"/>
      <c r="AK204" s="154"/>
    </row>
    <row r="205" spans="1:37" x14ac:dyDescent="0.25">
      <c r="A205" s="142" t="s">
        <v>481</v>
      </c>
      <c r="B205" t="s">
        <v>659</v>
      </c>
      <c r="C205" t="s">
        <v>205</v>
      </c>
      <c r="D205" s="143">
        <f>IFERROR(VLOOKUP(B205,'Enrollment 25-26'!$B$5:$I$332,8,FALSE),0)</f>
        <v>42.16</v>
      </c>
      <c r="E205" s="64">
        <f t="shared" si="50"/>
        <v>4902</v>
      </c>
      <c r="F205" s="144">
        <v>0</v>
      </c>
      <c r="G205" s="144">
        <v>0</v>
      </c>
      <c r="H205" s="64">
        <f t="shared" si="51"/>
        <v>4902</v>
      </c>
      <c r="I205" s="64">
        <f t="shared" si="52"/>
        <v>0</v>
      </c>
      <c r="J205" s="145">
        <f t="shared" si="53"/>
        <v>4902</v>
      </c>
      <c r="K205" s="146" t="str">
        <f t="shared" si="64"/>
        <v>N</v>
      </c>
      <c r="L205" s="147">
        <f t="shared" si="54"/>
        <v>4902</v>
      </c>
      <c r="M205" s="148">
        <f t="shared" si="55"/>
        <v>0</v>
      </c>
      <c r="N205" s="64">
        <f t="shared" si="56"/>
        <v>0</v>
      </c>
      <c r="O205" s="64">
        <f t="shared" si="57"/>
        <v>0</v>
      </c>
      <c r="Q205" s="104">
        <f t="shared" si="58"/>
        <v>0</v>
      </c>
      <c r="R205" s="104" t="str">
        <f t="shared" si="59"/>
        <v>Not Applicable</v>
      </c>
      <c r="S205" s="149" t="s">
        <v>815</v>
      </c>
      <c r="T205" s="149">
        <f>IF(O205=0,0,IF(S205="N",0,VLOOKUP(B205,'Enrollment 25-26'!$B$8:$K$332,9,FALSE)))</f>
        <v>0</v>
      </c>
      <c r="U205" s="64">
        <f t="shared" si="60"/>
        <v>0</v>
      </c>
      <c r="V205" s="128">
        <f t="shared" si="61"/>
        <v>0</v>
      </c>
      <c r="W205" s="150"/>
      <c r="X205" s="64">
        <f>IFERROR(VLOOKUP($B205,#REF!,14,FALSE),0)</f>
        <v>0</v>
      </c>
      <c r="Y205" s="99">
        <f t="shared" si="62"/>
        <v>0</v>
      </c>
      <c r="Z205" s="132">
        <f t="shared" si="63"/>
        <v>0</v>
      </c>
      <c r="AA205" s="151" t="str">
        <f t="shared" si="65"/>
        <v>N</v>
      </c>
      <c r="AC205" s="64"/>
      <c r="AE205" s="152"/>
      <c r="AH205" s="153"/>
      <c r="AI205" s="153"/>
      <c r="AJ205" s="153"/>
      <c r="AK205" s="154"/>
    </row>
    <row r="206" spans="1:37" x14ac:dyDescent="0.25">
      <c r="A206" s="142" t="s">
        <v>451</v>
      </c>
      <c r="B206" t="s">
        <v>442</v>
      </c>
      <c r="C206" t="s">
        <v>206</v>
      </c>
      <c r="D206" s="143">
        <f>IFERROR(VLOOKUP(B206,'Enrollment 25-26'!$B$5:$I$332,8,FALSE),0)</f>
        <v>25</v>
      </c>
      <c r="E206" s="64">
        <f t="shared" si="50"/>
        <v>2907</v>
      </c>
      <c r="F206" s="144">
        <v>0</v>
      </c>
      <c r="G206" s="144">
        <v>0</v>
      </c>
      <c r="H206" s="64">
        <f t="shared" si="51"/>
        <v>2907</v>
      </c>
      <c r="I206" s="64">
        <f t="shared" si="52"/>
        <v>0</v>
      </c>
      <c r="J206" s="145">
        <f t="shared" si="53"/>
        <v>2907</v>
      </c>
      <c r="K206" s="146" t="str">
        <f t="shared" si="64"/>
        <v>C</v>
      </c>
      <c r="L206" s="147">
        <f t="shared" si="54"/>
        <v>0</v>
      </c>
      <c r="M206" s="148">
        <f t="shared" si="55"/>
        <v>25</v>
      </c>
      <c r="N206" s="64">
        <f t="shared" si="56"/>
        <v>21</v>
      </c>
      <c r="O206" s="64">
        <f t="shared" si="57"/>
        <v>2928</v>
      </c>
      <c r="Q206" s="104">
        <f t="shared" si="58"/>
        <v>0</v>
      </c>
      <c r="R206" s="104" t="str">
        <f t="shared" si="59"/>
        <v>Not Applicable</v>
      </c>
      <c r="S206" s="149" t="s">
        <v>815</v>
      </c>
      <c r="T206" s="149">
        <f>IF(O206=0,0,IF(S206="N",0,VLOOKUP(B206,'Enrollment 25-26'!$B$8:$K$332,9,FALSE)))</f>
        <v>0</v>
      </c>
      <c r="U206" s="64">
        <f t="shared" si="60"/>
        <v>2928</v>
      </c>
      <c r="V206" s="128">
        <f t="shared" si="61"/>
        <v>117.12</v>
      </c>
      <c r="W206" s="150"/>
      <c r="X206" s="64">
        <f>IFERROR(VLOOKUP($B206,#REF!,14,FALSE),0)</f>
        <v>0</v>
      </c>
      <c r="Y206" s="99">
        <f t="shared" si="62"/>
        <v>2928</v>
      </c>
      <c r="Z206" s="132">
        <f t="shared" si="63"/>
        <v>0</v>
      </c>
      <c r="AA206" s="151" t="str">
        <f t="shared" si="65"/>
        <v>C</v>
      </c>
      <c r="AC206" s="64"/>
      <c r="AE206" s="152"/>
      <c r="AH206" s="153"/>
      <c r="AI206" s="153"/>
      <c r="AJ206" s="153"/>
      <c r="AK206" s="154"/>
    </row>
    <row r="207" spans="1:37" x14ac:dyDescent="0.25">
      <c r="A207" s="142" t="s">
        <v>438</v>
      </c>
      <c r="B207" t="s">
        <v>660</v>
      </c>
      <c r="C207" t="s">
        <v>207</v>
      </c>
      <c r="D207" s="143">
        <f>IFERROR(VLOOKUP(B207,'Enrollment 25-26'!$B$5:$I$332,8,FALSE),0)</f>
        <v>0</v>
      </c>
      <c r="E207" s="64">
        <f t="shared" si="50"/>
        <v>0</v>
      </c>
      <c r="F207" s="144">
        <v>0</v>
      </c>
      <c r="G207" s="144">
        <v>0</v>
      </c>
      <c r="H207" s="64">
        <f t="shared" si="51"/>
        <v>0</v>
      </c>
      <c r="I207" s="64">
        <f t="shared" si="52"/>
        <v>0</v>
      </c>
      <c r="J207" s="145">
        <f t="shared" si="53"/>
        <v>0</v>
      </c>
      <c r="K207" s="146" t="str">
        <f t="shared" si="64"/>
        <v>N</v>
      </c>
      <c r="L207" s="147">
        <f t="shared" si="54"/>
        <v>0</v>
      </c>
      <c r="M207" s="148">
        <f t="shared" si="55"/>
        <v>0</v>
      </c>
      <c r="N207" s="64">
        <f t="shared" si="56"/>
        <v>0</v>
      </c>
      <c r="O207" s="64">
        <f t="shared" si="57"/>
        <v>0</v>
      </c>
      <c r="Q207" s="104">
        <f t="shared" si="58"/>
        <v>0</v>
      </c>
      <c r="R207" s="104" t="str">
        <f t="shared" si="59"/>
        <v>Not Applicable</v>
      </c>
      <c r="S207" s="149" t="s">
        <v>815</v>
      </c>
      <c r="T207" s="149">
        <f>IF(O207=0,0,IF(S207="N",0,VLOOKUP(B207,'Enrollment 25-26'!$B$8:$K$332,9,FALSE)))</f>
        <v>0</v>
      </c>
      <c r="U207" s="64">
        <f t="shared" si="60"/>
        <v>0</v>
      </c>
      <c r="V207" s="128">
        <f t="shared" si="61"/>
        <v>0</v>
      </c>
      <c r="W207" s="150"/>
      <c r="X207" s="64">
        <f>IFERROR(VLOOKUP($B207,#REF!,14,FALSE),0)</f>
        <v>0</v>
      </c>
      <c r="Y207" s="99">
        <f t="shared" si="62"/>
        <v>0</v>
      </c>
      <c r="Z207" s="132">
        <f t="shared" si="63"/>
        <v>0</v>
      </c>
      <c r="AA207" s="151" t="str">
        <f t="shared" si="65"/>
        <v>N</v>
      </c>
      <c r="AC207" s="64"/>
      <c r="AE207" s="152"/>
      <c r="AH207" s="153"/>
      <c r="AI207" s="153"/>
      <c r="AJ207" s="153"/>
      <c r="AK207" s="154"/>
    </row>
    <row r="208" spans="1:37" x14ac:dyDescent="0.25">
      <c r="A208" s="142" t="s">
        <v>454</v>
      </c>
      <c r="B208" t="s">
        <v>661</v>
      </c>
      <c r="C208" t="s">
        <v>208</v>
      </c>
      <c r="D208" s="143">
        <f>IFERROR(VLOOKUP(B208,'Enrollment 25-26'!$B$5:$I$332,8,FALSE),0)</f>
        <v>307.66999999999996</v>
      </c>
      <c r="E208" s="64">
        <f t="shared" si="50"/>
        <v>35773</v>
      </c>
      <c r="F208" s="144">
        <v>0</v>
      </c>
      <c r="G208" s="144">
        <v>0</v>
      </c>
      <c r="H208" s="64">
        <f t="shared" si="51"/>
        <v>35773</v>
      </c>
      <c r="I208" s="64">
        <f t="shared" si="52"/>
        <v>0</v>
      </c>
      <c r="J208" s="145">
        <f t="shared" si="53"/>
        <v>35773</v>
      </c>
      <c r="K208" s="146" t="str">
        <f t="shared" si="64"/>
        <v>Y</v>
      </c>
      <c r="L208" s="147">
        <f t="shared" si="54"/>
        <v>0</v>
      </c>
      <c r="M208" s="148">
        <f t="shared" si="55"/>
        <v>307.66999999999996</v>
      </c>
      <c r="N208" s="64">
        <f t="shared" si="56"/>
        <v>265</v>
      </c>
      <c r="O208" s="64">
        <f t="shared" si="57"/>
        <v>36038</v>
      </c>
      <c r="Q208" s="104">
        <f t="shared" si="58"/>
        <v>0</v>
      </c>
      <c r="R208" s="104" t="str">
        <f t="shared" si="59"/>
        <v>Not Applicable</v>
      </c>
      <c r="S208" s="149" t="s">
        <v>815</v>
      </c>
      <c r="T208" s="149">
        <f>IF(O208=0,0,IF(S208="N",0,VLOOKUP(B208,'Enrollment 25-26'!$B$8:$K$332,9,FALSE)))</f>
        <v>0</v>
      </c>
      <c r="U208" s="64">
        <f t="shared" si="60"/>
        <v>36038</v>
      </c>
      <c r="V208" s="128">
        <f t="shared" si="61"/>
        <v>117.13199206942505</v>
      </c>
      <c r="W208" s="150"/>
      <c r="X208" s="64">
        <f>IFERROR(VLOOKUP($B208,#REF!,14,FALSE),0)</f>
        <v>0</v>
      </c>
      <c r="Y208" s="99">
        <f t="shared" si="62"/>
        <v>36038</v>
      </c>
      <c r="Z208" s="132">
        <f t="shared" si="63"/>
        <v>0</v>
      </c>
      <c r="AA208" s="151" t="str">
        <f t="shared" si="65"/>
        <v>Y</v>
      </c>
      <c r="AC208" s="64"/>
      <c r="AE208" s="152"/>
      <c r="AH208" s="153"/>
      <c r="AI208" s="153"/>
      <c r="AJ208" s="153"/>
      <c r="AK208" s="154"/>
    </row>
    <row r="209" spans="1:37" x14ac:dyDescent="0.25">
      <c r="A209" s="142" t="s">
        <v>497</v>
      </c>
      <c r="B209" t="s">
        <v>662</v>
      </c>
      <c r="C209" t="s">
        <v>209</v>
      </c>
      <c r="D209" s="143">
        <f>IFERROR(VLOOKUP(B209,'Enrollment 25-26'!$B$5:$I$332,8,FALSE),0)</f>
        <v>33.17</v>
      </c>
      <c r="E209" s="64">
        <f t="shared" si="50"/>
        <v>3857</v>
      </c>
      <c r="F209" s="144">
        <v>0</v>
      </c>
      <c r="G209" s="144">
        <v>0</v>
      </c>
      <c r="H209" s="64">
        <f t="shared" si="51"/>
        <v>3857</v>
      </c>
      <c r="I209" s="64">
        <f t="shared" si="52"/>
        <v>0</v>
      </c>
      <c r="J209" s="145">
        <f t="shared" si="53"/>
        <v>3857</v>
      </c>
      <c r="K209" s="146" t="str">
        <f t="shared" si="64"/>
        <v>N</v>
      </c>
      <c r="L209" s="147">
        <f t="shared" si="54"/>
        <v>3857</v>
      </c>
      <c r="M209" s="148">
        <f t="shared" si="55"/>
        <v>0</v>
      </c>
      <c r="N209" s="64">
        <f t="shared" si="56"/>
        <v>0</v>
      </c>
      <c r="O209" s="64">
        <f t="shared" si="57"/>
        <v>0</v>
      </c>
      <c r="Q209" s="104">
        <f t="shared" si="58"/>
        <v>0</v>
      </c>
      <c r="R209" s="104" t="str">
        <f t="shared" si="59"/>
        <v>Not Applicable</v>
      </c>
      <c r="S209" s="149" t="s">
        <v>815</v>
      </c>
      <c r="T209" s="149">
        <f>IF(O209=0,0,IF(S209="N",0,VLOOKUP(B209,'Enrollment 25-26'!$B$8:$K$332,9,FALSE)))</f>
        <v>0</v>
      </c>
      <c r="U209" s="64">
        <f t="shared" si="60"/>
        <v>0</v>
      </c>
      <c r="V209" s="128">
        <f t="shared" si="61"/>
        <v>0</v>
      </c>
      <c r="W209" s="150"/>
      <c r="X209" s="64">
        <f>IFERROR(VLOOKUP($B209,#REF!,14,FALSE),0)</f>
        <v>0</v>
      </c>
      <c r="Y209" s="99">
        <f t="shared" si="62"/>
        <v>0</v>
      </c>
      <c r="Z209" s="132">
        <f t="shared" si="63"/>
        <v>0</v>
      </c>
      <c r="AA209" s="151" t="str">
        <f t="shared" si="65"/>
        <v>N</v>
      </c>
      <c r="AC209" s="64"/>
      <c r="AE209" s="152"/>
      <c r="AH209" s="153"/>
      <c r="AI209" s="153"/>
      <c r="AJ209" s="153"/>
      <c r="AK209" s="154"/>
    </row>
    <row r="210" spans="1:37" x14ac:dyDescent="0.25">
      <c r="A210" s="142" t="s">
        <v>438</v>
      </c>
      <c r="B210" t="s">
        <v>663</v>
      </c>
      <c r="C210" t="s">
        <v>210</v>
      </c>
      <c r="D210" s="143">
        <f>IFERROR(VLOOKUP(B210,'Enrollment 25-26'!$B$5:$I$332,8,FALSE),0)</f>
        <v>59.66</v>
      </c>
      <c r="E210" s="64">
        <f t="shared" si="50"/>
        <v>6937</v>
      </c>
      <c r="F210" s="144">
        <v>0</v>
      </c>
      <c r="G210" s="144">
        <v>0</v>
      </c>
      <c r="H210" s="64">
        <f t="shared" si="51"/>
        <v>6937</v>
      </c>
      <c r="I210" s="64">
        <f t="shared" si="52"/>
        <v>0</v>
      </c>
      <c r="J210" s="145">
        <f t="shared" si="53"/>
        <v>6937</v>
      </c>
      <c r="K210" s="146" t="str">
        <f t="shared" si="64"/>
        <v>N</v>
      </c>
      <c r="L210" s="147">
        <f t="shared" si="54"/>
        <v>6937</v>
      </c>
      <c r="M210" s="148">
        <f t="shared" si="55"/>
        <v>0</v>
      </c>
      <c r="N210" s="64">
        <f t="shared" si="56"/>
        <v>0</v>
      </c>
      <c r="O210" s="64">
        <f t="shared" si="57"/>
        <v>0</v>
      </c>
      <c r="Q210" s="104">
        <f t="shared" si="58"/>
        <v>0</v>
      </c>
      <c r="R210" s="104" t="str">
        <f t="shared" si="59"/>
        <v>Not Applicable</v>
      </c>
      <c r="S210" s="149" t="s">
        <v>815</v>
      </c>
      <c r="T210" s="149">
        <f>IF(O210=0,0,IF(S210="N",0,VLOOKUP(B210,'Enrollment 25-26'!$B$8:$K$332,9,FALSE)))</f>
        <v>0</v>
      </c>
      <c r="U210" s="64">
        <f t="shared" si="60"/>
        <v>0</v>
      </c>
      <c r="V210" s="128">
        <f t="shared" si="61"/>
        <v>0</v>
      </c>
      <c r="W210" s="150"/>
      <c r="X210" s="64">
        <f>IFERROR(VLOOKUP($B210,#REF!,14,FALSE),0)</f>
        <v>0</v>
      </c>
      <c r="Y210" s="99">
        <f t="shared" si="62"/>
        <v>0</v>
      </c>
      <c r="Z210" s="132">
        <f t="shared" si="63"/>
        <v>0</v>
      </c>
      <c r="AA210" s="151" t="str">
        <f t="shared" si="65"/>
        <v>N</v>
      </c>
      <c r="AC210" s="64"/>
      <c r="AE210" s="152"/>
      <c r="AH210" s="153"/>
      <c r="AI210" s="153"/>
      <c r="AJ210" s="153"/>
      <c r="AK210" s="154"/>
    </row>
    <row r="211" spans="1:37" x14ac:dyDescent="0.25">
      <c r="A211" s="142" t="s">
        <v>451</v>
      </c>
      <c r="B211" t="s">
        <v>450</v>
      </c>
      <c r="C211" t="s">
        <v>211</v>
      </c>
      <c r="D211" s="143">
        <f>IFERROR(VLOOKUP(B211,'Enrollment 25-26'!$B$5:$I$332,8,FALSE),0)</f>
        <v>4</v>
      </c>
      <c r="E211" s="64">
        <f t="shared" si="50"/>
        <v>465</v>
      </c>
      <c r="F211" s="144">
        <v>0</v>
      </c>
      <c r="G211" s="144">
        <v>0</v>
      </c>
      <c r="H211" s="64">
        <f t="shared" si="51"/>
        <v>465</v>
      </c>
      <c r="I211" s="64">
        <f t="shared" si="52"/>
        <v>0</v>
      </c>
      <c r="J211" s="145">
        <f t="shared" si="53"/>
        <v>465</v>
      </c>
      <c r="K211" s="146" t="str">
        <f t="shared" si="64"/>
        <v>N</v>
      </c>
      <c r="L211" s="147">
        <f t="shared" si="54"/>
        <v>465</v>
      </c>
      <c r="M211" s="148">
        <f t="shared" si="55"/>
        <v>0</v>
      </c>
      <c r="N211" s="64">
        <f t="shared" si="56"/>
        <v>0</v>
      </c>
      <c r="O211" s="64">
        <f t="shared" si="57"/>
        <v>0</v>
      </c>
      <c r="Q211" s="104">
        <f t="shared" si="58"/>
        <v>0</v>
      </c>
      <c r="R211" s="104" t="str">
        <f t="shared" si="59"/>
        <v>Not Applicable</v>
      </c>
      <c r="S211" s="149" t="s">
        <v>815</v>
      </c>
      <c r="T211" s="149">
        <f>IF(O211=0,0,IF(S211="N",0,VLOOKUP(B211,'Enrollment 25-26'!$B$8:$K$332,9,FALSE)))</f>
        <v>0</v>
      </c>
      <c r="U211" s="64">
        <f t="shared" si="60"/>
        <v>0</v>
      </c>
      <c r="V211" s="128">
        <f t="shared" si="61"/>
        <v>0</v>
      </c>
      <c r="W211" s="150"/>
      <c r="X211" s="64">
        <f>IFERROR(VLOOKUP($B211,#REF!,14,FALSE),0)</f>
        <v>0</v>
      </c>
      <c r="Y211" s="99">
        <f t="shared" si="62"/>
        <v>0</v>
      </c>
      <c r="Z211" s="132">
        <f t="shared" si="63"/>
        <v>0</v>
      </c>
      <c r="AA211" s="151" t="str">
        <f t="shared" si="65"/>
        <v>N</v>
      </c>
      <c r="AC211" s="64"/>
      <c r="AE211" s="152"/>
      <c r="AH211" s="153"/>
      <c r="AI211" s="153"/>
      <c r="AJ211" s="153"/>
      <c r="AK211" s="154"/>
    </row>
    <row r="212" spans="1:37" x14ac:dyDescent="0.25">
      <c r="A212" s="142" t="s">
        <v>478</v>
      </c>
      <c r="B212" t="s">
        <v>664</v>
      </c>
      <c r="C212" t="s">
        <v>212</v>
      </c>
      <c r="D212" s="143">
        <f>IFERROR(VLOOKUP(B212,'Enrollment 25-26'!$B$5:$I$332,8,FALSE),0)</f>
        <v>42.67</v>
      </c>
      <c r="E212" s="64">
        <f t="shared" si="50"/>
        <v>4961</v>
      </c>
      <c r="F212" s="144">
        <v>0</v>
      </c>
      <c r="G212" s="144">
        <v>0</v>
      </c>
      <c r="H212" s="64">
        <f t="shared" si="51"/>
        <v>4961</v>
      </c>
      <c r="I212" s="64">
        <f t="shared" si="52"/>
        <v>0</v>
      </c>
      <c r="J212" s="145">
        <f t="shared" si="53"/>
        <v>4961</v>
      </c>
      <c r="K212" s="146" t="str">
        <f t="shared" si="64"/>
        <v>N</v>
      </c>
      <c r="L212" s="147">
        <f t="shared" si="54"/>
        <v>4961</v>
      </c>
      <c r="M212" s="148">
        <f t="shared" si="55"/>
        <v>0</v>
      </c>
      <c r="N212" s="64">
        <f t="shared" si="56"/>
        <v>0</v>
      </c>
      <c r="O212" s="64">
        <f t="shared" si="57"/>
        <v>0</v>
      </c>
      <c r="Q212" s="104">
        <f t="shared" si="58"/>
        <v>0</v>
      </c>
      <c r="R212" s="104" t="str">
        <f t="shared" si="59"/>
        <v>Not Applicable</v>
      </c>
      <c r="S212" s="149" t="s">
        <v>815</v>
      </c>
      <c r="T212" s="149">
        <f>IF(O212=0,0,IF(S212="N",0,VLOOKUP(B212,'Enrollment 25-26'!$B$8:$K$332,9,FALSE)))</f>
        <v>0</v>
      </c>
      <c r="U212" s="64">
        <f t="shared" si="60"/>
        <v>0</v>
      </c>
      <c r="V212" s="128">
        <f t="shared" si="61"/>
        <v>0</v>
      </c>
      <c r="W212" s="150"/>
      <c r="X212" s="64">
        <f>IFERROR(VLOOKUP($B212,#REF!,14,FALSE),0)</f>
        <v>0</v>
      </c>
      <c r="Y212" s="99">
        <f t="shared" si="62"/>
        <v>0</v>
      </c>
      <c r="Z212" s="132">
        <f t="shared" si="63"/>
        <v>0</v>
      </c>
      <c r="AA212" s="151" t="str">
        <f t="shared" si="65"/>
        <v>N</v>
      </c>
      <c r="AC212" s="64"/>
      <c r="AE212" s="152"/>
      <c r="AH212" s="153"/>
      <c r="AI212" s="153"/>
      <c r="AJ212" s="153"/>
      <c r="AK212" s="154"/>
    </row>
    <row r="213" spans="1:37" x14ac:dyDescent="0.25">
      <c r="A213" s="142" t="s">
        <v>478</v>
      </c>
      <c r="B213" t="s">
        <v>665</v>
      </c>
      <c r="C213" t="s">
        <v>213</v>
      </c>
      <c r="D213" s="143">
        <f>IFERROR(VLOOKUP(B213,'Enrollment 25-26'!$B$5:$I$332,8,FALSE),0)</f>
        <v>39.33</v>
      </c>
      <c r="E213" s="64">
        <f t="shared" si="50"/>
        <v>4573</v>
      </c>
      <c r="F213" s="144">
        <v>0</v>
      </c>
      <c r="G213" s="144">
        <v>0</v>
      </c>
      <c r="H213" s="64">
        <f t="shared" si="51"/>
        <v>4573</v>
      </c>
      <c r="I213" s="64">
        <f t="shared" si="52"/>
        <v>0</v>
      </c>
      <c r="J213" s="145">
        <f t="shared" si="53"/>
        <v>4573</v>
      </c>
      <c r="K213" s="146" t="str">
        <f t="shared" si="64"/>
        <v>N</v>
      </c>
      <c r="L213" s="147">
        <f t="shared" si="54"/>
        <v>4573</v>
      </c>
      <c r="M213" s="148">
        <f t="shared" si="55"/>
        <v>0</v>
      </c>
      <c r="N213" s="64">
        <f t="shared" si="56"/>
        <v>0</v>
      </c>
      <c r="O213" s="64">
        <f t="shared" si="57"/>
        <v>0</v>
      </c>
      <c r="Q213" s="104">
        <f t="shared" si="58"/>
        <v>0</v>
      </c>
      <c r="R213" s="104" t="str">
        <f t="shared" si="59"/>
        <v>Not Applicable</v>
      </c>
      <c r="S213" s="149" t="s">
        <v>815</v>
      </c>
      <c r="T213" s="149">
        <f>IF(O213=0,0,IF(S213="N",0,VLOOKUP(B213,'Enrollment 25-26'!$B$8:$K$332,9,FALSE)))</f>
        <v>0</v>
      </c>
      <c r="U213" s="64">
        <f t="shared" si="60"/>
        <v>0</v>
      </c>
      <c r="V213" s="128">
        <f t="shared" si="61"/>
        <v>0</v>
      </c>
      <c r="W213" s="150"/>
      <c r="X213" s="64">
        <f>IFERROR(VLOOKUP($B213,#REF!,14,FALSE),0)</f>
        <v>0</v>
      </c>
      <c r="Y213" s="99">
        <f t="shared" si="62"/>
        <v>0</v>
      </c>
      <c r="Z213" s="132">
        <f t="shared" si="63"/>
        <v>0</v>
      </c>
      <c r="AA213" s="151" t="str">
        <f t="shared" si="65"/>
        <v>N</v>
      </c>
      <c r="AC213" s="64"/>
      <c r="AE213" s="152"/>
      <c r="AH213" s="153"/>
      <c r="AI213" s="153"/>
      <c r="AJ213" s="153"/>
      <c r="AK213" s="154"/>
    </row>
    <row r="214" spans="1:37" x14ac:dyDescent="0.25">
      <c r="A214" s="142" t="s">
        <v>451</v>
      </c>
      <c r="B214" t="s">
        <v>666</v>
      </c>
      <c r="C214" t="s">
        <v>214</v>
      </c>
      <c r="D214" s="143">
        <f>IFERROR(VLOOKUP(B214,'Enrollment 25-26'!$B$5:$I$332,8,FALSE),0)</f>
        <v>105</v>
      </c>
      <c r="E214" s="64">
        <f t="shared" si="50"/>
        <v>12208</v>
      </c>
      <c r="F214" s="144">
        <v>0</v>
      </c>
      <c r="G214" s="144">
        <v>0</v>
      </c>
      <c r="H214" s="64">
        <f t="shared" si="51"/>
        <v>12208</v>
      </c>
      <c r="I214" s="64">
        <f t="shared" si="52"/>
        <v>0</v>
      </c>
      <c r="J214" s="145">
        <f t="shared" si="53"/>
        <v>12208</v>
      </c>
      <c r="K214" s="146" t="str">
        <f t="shared" si="64"/>
        <v>Y</v>
      </c>
      <c r="L214" s="147">
        <f t="shared" si="54"/>
        <v>0</v>
      </c>
      <c r="M214" s="148">
        <f t="shared" si="55"/>
        <v>105</v>
      </c>
      <c r="N214" s="64">
        <f t="shared" si="56"/>
        <v>90</v>
      </c>
      <c r="O214" s="64">
        <f t="shared" si="57"/>
        <v>12298</v>
      </c>
      <c r="Q214" s="104">
        <f t="shared" si="58"/>
        <v>0</v>
      </c>
      <c r="R214" s="104" t="str">
        <f t="shared" si="59"/>
        <v>Not Applicable</v>
      </c>
      <c r="S214" s="149" t="s">
        <v>815</v>
      </c>
      <c r="T214" s="149">
        <f>IF(O214=0,0,IF(S214="N",0,VLOOKUP(B214,'Enrollment 25-26'!$B$8:$K$332,9,FALSE)))</f>
        <v>0</v>
      </c>
      <c r="U214" s="64">
        <f t="shared" si="60"/>
        <v>12298</v>
      </c>
      <c r="V214" s="128">
        <f t="shared" si="61"/>
        <v>117.12380952380953</v>
      </c>
      <c r="W214" s="150"/>
      <c r="X214" s="64">
        <f>IFERROR(VLOOKUP($B214,#REF!,14,FALSE),0)</f>
        <v>0</v>
      </c>
      <c r="Y214" s="99">
        <f t="shared" si="62"/>
        <v>12298</v>
      </c>
      <c r="Z214" s="132">
        <f t="shared" si="63"/>
        <v>0</v>
      </c>
      <c r="AA214" s="151" t="str">
        <f t="shared" si="65"/>
        <v>Y</v>
      </c>
      <c r="AC214" s="64"/>
      <c r="AE214" s="152"/>
      <c r="AH214" s="153"/>
      <c r="AI214" s="153"/>
      <c r="AJ214" s="153"/>
      <c r="AK214" s="154"/>
    </row>
    <row r="215" spans="1:37" x14ac:dyDescent="0.25">
      <c r="A215" s="142" t="s">
        <v>497</v>
      </c>
      <c r="B215" t="s">
        <v>667</v>
      </c>
      <c r="C215" t="s">
        <v>215</v>
      </c>
      <c r="D215" s="143">
        <f>IFERROR(VLOOKUP(B215,'Enrollment 25-26'!$B$5:$I$332,8,FALSE),0)</f>
        <v>0</v>
      </c>
      <c r="E215" s="64">
        <f t="shared" si="50"/>
        <v>0</v>
      </c>
      <c r="F215" s="144">
        <v>0</v>
      </c>
      <c r="G215" s="144">
        <v>0</v>
      </c>
      <c r="H215" s="64">
        <f t="shared" si="51"/>
        <v>0</v>
      </c>
      <c r="I215" s="64">
        <f t="shared" si="52"/>
        <v>0</v>
      </c>
      <c r="J215" s="145">
        <f t="shared" si="53"/>
        <v>0</v>
      </c>
      <c r="K215" s="146" t="str">
        <f t="shared" si="64"/>
        <v>N</v>
      </c>
      <c r="L215" s="147">
        <f t="shared" si="54"/>
        <v>0</v>
      </c>
      <c r="M215" s="148">
        <f t="shared" si="55"/>
        <v>0</v>
      </c>
      <c r="N215" s="64">
        <f t="shared" si="56"/>
        <v>0</v>
      </c>
      <c r="O215" s="64">
        <f t="shared" si="57"/>
        <v>0</v>
      </c>
      <c r="Q215" s="104">
        <f t="shared" si="58"/>
        <v>0</v>
      </c>
      <c r="R215" s="104" t="str">
        <f t="shared" si="59"/>
        <v>Not Applicable</v>
      </c>
      <c r="S215" s="149" t="s">
        <v>815</v>
      </c>
      <c r="T215" s="149">
        <f>IF(O215=0,0,IF(S215="N",0,VLOOKUP(B215,'Enrollment 25-26'!$B$8:$K$332,9,FALSE)))</f>
        <v>0</v>
      </c>
      <c r="U215" s="64">
        <f t="shared" si="60"/>
        <v>0</v>
      </c>
      <c r="V215" s="128">
        <f t="shared" si="61"/>
        <v>0</v>
      </c>
      <c r="W215" s="150"/>
      <c r="X215" s="64">
        <f>IFERROR(VLOOKUP($B215,#REF!,14,FALSE),0)</f>
        <v>0</v>
      </c>
      <c r="Y215" s="99">
        <f t="shared" si="62"/>
        <v>0</v>
      </c>
      <c r="Z215" s="132">
        <f t="shared" si="63"/>
        <v>0</v>
      </c>
      <c r="AA215" s="151" t="str">
        <f t="shared" si="65"/>
        <v>N</v>
      </c>
      <c r="AC215" s="64"/>
      <c r="AE215" s="152"/>
      <c r="AH215" s="153"/>
      <c r="AI215" s="153"/>
      <c r="AJ215" s="153"/>
      <c r="AK215" s="154"/>
    </row>
    <row r="216" spans="1:37" x14ac:dyDescent="0.25">
      <c r="A216" s="142" t="s">
        <v>451</v>
      </c>
      <c r="B216" t="s">
        <v>668</v>
      </c>
      <c r="C216" t="s">
        <v>216</v>
      </c>
      <c r="D216" s="143">
        <f>IFERROR(VLOOKUP(B216,'Enrollment 25-26'!$B$5:$I$332,8,FALSE),0)</f>
        <v>703</v>
      </c>
      <c r="E216" s="64">
        <f t="shared" si="50"/>
        <v>81738</v>
      </c>
      <c r="F216" s="144">
        <v>0</v>
      </c>
      <c r="G216" s="144">
        <v>0</v>
      </c>
      <c r="H216" s="64">
        <f t="shared" si="51"/>
        <v>81738</v>
      </c>
      <c r="I216" s="64">
        <f t="shared" si="52"/>
        <v>0</v>
      </c>
      <c r="J216" s="145">
        <f t="shared" si="53"/>
        <v>81738</v>
      </c>
      <c r="K216" s="146" t="str">
        <f t="shared" si="64"/>
        <v>Y</v>
      </c>
      <c r="L216" s="147">
        <f t="shared" si="54"/>
        <v>0</v>
      </c>
      <c r="M216" s="148">
        <f t="shared" si="55"/>
        <v>703</v>
      </c>
      <c r="N216" s="64">
        <f t="shared" si="56"/>
        <v>604</v>
      </c>
      <c r="O216" s="64">
        <f t="shared" si="57"/>
        <v>82342</v>
      </c>
      <c r="Q216" s="104">
        <f t="shared" si="58"/>
        <v>0</v>
      </c>
      <c r="R216" s="104" t="str">
        <f t="shared" si="59"/>
        <v>Not Applicable</v>
      </c>
      <c r="S216" s="149" t="s">
        <v>815</v>
      </c>
      <c r="T216" s="149">
        <f>IF(O216=0,0,IF(S216="N",0,VLOOKUP(B216,'Enrollment 25-26'!$B$8:$K$332,9,FALSE)))</f>
        <v>0</v>
      </c>
      <c r="U216" s="64">
        <f t="shared" si="60"/>
        <v>82342</v>
      </c>
      <c r="V216" s="128">
        <f t="shared" si="61"/>
        <v>117.1294452347084</v>
      </c>
      <c r="W216" s="150"/>
      <c r="X216" s="64">
        <f>IFERROR(VLOOKUP($B216,#REF!,14,FALSE),0)</f>
        <v>0</v>
      </c>
      <c r="Y216" s="99">
        <f t="shared" si="62"/>
        <v>82342</v>
      </c>
      <c r="Z216" s="132">
        <f t="shared" si="63"/>
        <v>0</v>
      </c>
      <c r="AA216" s="151" t="str">
        <f t="shared" si="65"/>
        <v>Y</v>
      </c>
      <c r="AC216" s="64"/>
      <c r="AE216" s="152"/>
      <c r="AH216" s="153"/>
      <c r="AI216" s="153"/>
      <c r="AJ216" s="153"/>
      <c r="AK216" s="154"/>
    </row>
    <row r="217" spans="1:37" x14ac:dyDescent="0.25">
      <c r="A217" s="142" t="s">
        <v>443</v>
      </c>
      <c r="B217" t="s">
        <v>669</v>
      </c>
      <c r="C217" t="s">
        <v>217</v>
      </c>
      <c r="D217" s="143">
        <f>IFERROR(VLOOKUP(B217,'Enrollment 25-26'!$B$5:$I$332,8,FALSE),0)</f>
        <v>164.49333333333334</v>
      </c>
      <c r="E217" s="64">
        <f t="shared" si="50"/>
        <v>19126</v>
      </c>
      <c r="F217" s="144">
        <v>0</v>
      </c>
      <c r="G217" s="144">
        <v>0</v>
      </c>
      <c r="H217" s="64">
        <f t="shared" si="51"/>
        <v>19126</v>
      </c>
      <c r="I217" s="64">
        <f t="shared" si="52"/>
        <v>0</v>
      </c>
      <c r="J217" s="145">
        <f t="shared" si="53"/>
        <v>19126</v>
      </c>
      <c r="K217" s="146" t="str">
        <f t="shared" si="64"/>
        <v>Y</v>
      </c>
      <c r="L217" s="147">
        <f t="shared" si="54"/>
        <v>0</v>
      </c>
      <c r="M217" s="148">
        <f t="shared" si="55"/>
        <v>164.49333333333334</v>
      </c>
      <c r="N217" s="64">
        <f t="shared" si="56"/>
        <v>141</v>
      </c>
      <c r="O217" s="64">
        <f t="shared" si="57"/>
        <v>19267</v>
      </c>
      <c r="Q217" s="104">
        <f t="shared" si="58"/>
        <v>0</v>
      </c>
      <c r="R217" s="104" t="str">
        <f t="shared" si="59"/>
        <v>Not Applicable</v>
      </c>
      <c r="S217" s="149" t="s">
        <v>815</v>
      </c>
      <c r="T217" s="149">
        <f>IF(O217=0,0,IF(S217="N",0,VLOOKUP(B217,'Enrollment 25-26'!$B$8:$K$332,9,FALSE)))</f>
        <v>0</v>
      </c>
      <c r="U217" s="64">
        <f t="shared" si="60"/>
        <v>19267</v>
      </c>
      <c r="V217" s="128">
        <f t="shared" si="61"/>
        <v>117.1293669449623</v>
      </c>
      <c r="W217" s="150"/>
      <c r="X217" s="64">
        <f>IFERROR(VLOOKUP($B217,#REF!,14,FALSE),0)</f>
        <v>0</v>
      </c>
      <c r="Y217" s="99">
        <f t="shared" si="62"/>
        <v>19267</v>
      </c>
      <c r="Z217" s="132">
        <f t="shared" si="63"/>
        <v>0</v>
      </c>
      <c r="AA217" s="151" t="str">
        <f t="shared" si="65"/>
        <v>Y</v>
      </c>
      <c r="AC217" s="64"/>
      <c r="AE217" s="152"/>
      <c r="AH217" s="153"/>
      <c r="AI217" s="153"/>
      <c r="AJ217" s="153"/>
      <c r="AK217" s="154"/>
    </row>
    <row r="218" spans="1:37" x14ac:dyDescent="0.25">
      <c r="A218" s="142" t="s">
        <v>497</v>
      </c>
      <c r="B218" t="s">
        <v>670</v>
      </c>
      <c r="C218" t="s">
        <v>671</v>
      </c>
      <c r="D218" s="143">
        <f>IFERROR(VLOOKUP(B218,'Enrollment 25-26'!$B$5:$I$332,8,FALSE),0)</f>
        <v>0</v>
      </c>
      <c r="E218" s="64">
        <f t="shared" si="50"/>
        <v>0</v>
      </c>
      <c r="F218" s="144">
        <v>0</v>
      </c>
      <c r="G218" s="144">
        <v>0</v>
      </c>
      <c r="H218" s="64">
        <f t="shared" si="51"/>
        <v>0</v>
      </c>
      <c r="I218" s="64">
        <f t="shared" si="52"/>
        <v>0</v>
      </c>
      <c r="J218" s="145">
        <f t="shared" si="53"/>
        <v>0</v>
      </c>
      <c r="K218" s="146" t="str">
        <f t="shared" si="64"/>
        <v>N</v>
      </c>
      <c r="L218" s="147">
        <f t="shared" si="54"/>
        <v>0</v>
      </c>
      <c r="M218" s="148">
        <f t="shared" si="55"/>
        <v>0</v>
      </c>
      <c r="N218" s="64">
        <f t="shared" si="56"/>
        <v>0</v>
      </c>
      <c r="O218" s="64">
        <f t="shared" si="57"/>
        <v>0</v>
      </c>
      <c r="Q218" s="104">
        <f t="shared" si="58"/>
        <v>0</v>
      </c>
      <c r="R218" s="104" t="str">
        <f t="shared" si="59"/>
        <v>Not Applicable</v>
      </c>
      <c r="S218" s="149" t="s">
        <v>815</v>
      </c>
      <c r="T218" s="149">
        <f>IF(O218=0,0,IF(S218="N",0,VLOOKUP(B218,'Enrollment 25-26'!$B$8:$K$332,9,FALSE)))</f>
        <v>0</v>
      </c>
      <c r="U218" s="64">
        <f t="shared" si="60"/>
        <v>0</v>
      </c>
      <c r="V218" s="128">
        <f t="shared" si="61"/>
        <v>0</v>
      </c>
      <c r="W218" s="150"/>
      <c r="X218" s="64">
        <f>IFERROR(VLOOKUP($B218,#REF!,14,FALSE),0)</f>
        <v>0</v>
      </c>
      <c r="Y218" s="99">
        <f t="shared" si="62"/>
        <v>0</v>
      </c>
      <c r="Z218" s="132">
        <f t="shared" si="63"/>
        <v>0</v>
      </c>
      <c r="AA218" s="151" t="str">
        <f t="shared" si="65"/>
        <v>N</v>
      </c>
      <c r="AC218" s="64"/>
      <c r="AE218" s="152"/>
      <c r="AH218" s="153"/>
      <c r="AI218" s="153"/>
      <c r="AJ218" s="153"/>
      <c r="AK218" s="154"/>
    </row>
    <row r="219" spans="1:37" x14ac:dyDescent="0.25">
      <c r="A219" s="142" t="s">
        <v>454</v>
      </c>
      <c r="B219" t="s">
        <v>672</v>
      </c>
      <c r="C219" t="s">
        <v>218</v>
      </c>
      <c r="D219" s="143">
        <f>IFERROR(VLOOKUP(B219,'Enrollment 25-26'!$B$5:$I$332,8,FALSE),0)</f>
        <v>2431.6633333333334</v>
      </c>
      <c r="E219" s="64">
        <f t="shared" si="50"/>
        <v>282730</v>
      </c>
      <c r="F219" s="144">
        <v>0</v>
      </c>
      <c r="G219" s="144">
        <v>0</v>
      </c>
      <c r="H219" s="64">
        <f t="shared" si="51"/>
        <v>282730</v>
      </c>
      <c r="I219" s="64">
        <f t="shared" si="52"/>
        <v>0</v>
      </c>
      <c r="J219" s="145">
        <f t="shared" si="53"/>
        <v>282730</v>
      </c>
      <c r="K219" s="146" t="str">
        <f t="shared" si="64"/>
        <v>Y</v>
      </c>
      <c r="L219" s="147">
        <f t="shared" si="54"/>
        <v>0</v>
      </c>
      <c r="M219" s="148">
        <f t="shared" si="55"/>
        <v>2431.6633333333334</v>
      </c>
      <c r="N219" s="64">
        <f t="shared" si="56"/>
        <v>2091</v>
      </c>
      <c r="O219" s="64">
        <f t="shared" si="57"/>
        <v>284821</v>
      </c>
      <c r="Q219" s="104">
        <f t="shared" si="58"/>
        <v>0</v>
      </c>
      <c r="R219" s="104" t="str">
        <f t="shared" si="59"/>
        <v>Not Applicable</v>
      </c>
      <c r="S219" s="149" t="s">
        <v>815</v>
      </c>
      <c r="T219" s="149">
        <f>IF(O219=0,0,IF(S219="N",0,VLOOKUP(B219,'Enrollment 25-26'!$B$8:$K$332,9,FALSE)))</f>
        <v>0</v>
      </c>
      <c r="U219" s="64">
        <f t="shared" si="60"/>
        <v>284821</v>
      </c>
      <c r="V219" s="128">
        <f t="shared" si="61"/>
        <v>117.13011258411595</v>
      </c>
      <c r="W219" s="150"/>
      <c r="X219" s="64">
        <f>IFERROR(VLOOKUP($B219,#REF!,14,FALSE),0)</f>
        <v>0</v>
      </c>
      <c r="Y219" s="99">
        <f t="shared" si="62"/>
        <v>284821</v>
      </c>
      <c r="Z219" s="132">
        <f t="shared" si="63"/>
        <v>0</v>
      </c>
      <c r="AA219" s="151" t="str">
        <f t="shared" si="65"/>
        <v>Y</v>
      </c>
      <c r="AC219" s="64"/>
      <c r="AE219" s="152"/>
      <c r="AH219" s="153"/>
      <c r="AI219" s="153"/>
      <c r="AJ219" s="153"/>
      <c r="AK219" s="154"/>
    </row>
    <row r="220" spans="1:37" x14ac:dyDescent="0.25">
      <c r="A220" s="142" t="s">
        <v>478</v>
      </c>
      <c r="B220" t="s">
        <v>673</v>
      </c>
      <c r="C220" t="s">
        <v>219</v>
      </c>
      <c r="D220" s="143">
        <f>IFERROR(VLOOKUP(B220,'Enrollment 25-26'!$B$5:$I$332,8,FALSE),0)</f>
        <v>0</v>
      </c>
      <c r="E220" s="64">
        <f t="shared" si="50"/>
        <v>0</v>
      </c>
      <c r="F220" s="144">
        <v>0</v>
      </c>
      <c r="G220" s="144">
        <v>0</v>
      </c>
      <c r="H220" s="64">
        <f t="shared" si="51"/>
        <v>0</v>
      </c>
      <c r="I220" s="64">
        <f t="shared" si="52"/>
        <v>0</v>
      </c>
      <c r="J220" s="145">
        <f t="shared" si="53"/>
        <v>0</v>
      </c>
      <c r="K220" s="146" t="str">
        <f t="shared" si="64"/>
        <v>N</v>
      </c>
      <c r="L220" s="147">
        <f t="shared" si="54"/>
        <v>0</v>
      </c>
      <c r="M220" s="148">
        <f t="shared" si="55"/>
        <v>0</v>
      </c>
      <c r="N220" s="64">
        <f t="shared" si="56"/>
        <v>0</v>
      </c>
      <c r="O220" s="64">
        <f t="shared" si="57"/>
        <v>0</v>
      </c>
      <c r="Q220" s="104">
        <f t="shared" si="58"/>
        <v>0</v>
      </c>
      <c r="R220" s="104" t="str">
        <f t="shared" si="59"/>
        <v>Not Applicable</v>
      </c>
      <c r="S220" s="149" t="s">
        <v>815</v>
      </c>
      <c r="T220" s="149">
        <f>IF(O220=0,0,IF(S220="N",0,VLOOKUP(B220,'Enrollment 25-26'!$B$8:$K$332,9,FALSE)))</f>
        <v>0</v>
      </c>
      <c r="U220" s="64">
        <f t="shared" si="60"/>
        <v>0</v>
      </c>
      <c r="V220" s="128">
        <f t="shared" si="61"/>
        <v>0</v>
      </c>
      <c r="W220" s="150"/>
      <c r="X220" s="64">
        <f>IFERROR(VLOOKUP($B220,#REF!,14,FALSE),0)</f>
        <v>0</v>
      </c>
      <c r="Y220" s="99">
        <f t="shared" si="62"/>
        <v>0</v>
      </c>
      <c r="Z220" s="132">
        <f t="shared" si="63"/>
        <v>0</v>
      </c>
      <c r="AA220" s="151" t="str">
        <f t="shared" si="65"/>
        <v>N</v>
      </c>
      <c r="AC220" s="64"/>
      <c r="AE220" s="152"/>
      <c r="AH220" s="153"/>
      <c r="AI220" s="153"/>
      <c r="AJ220" s="153"/>
      <c r="AK220" s="154"/>
    </row>
    <row r="221" spans="1:37" x14ac:dyDescent="0.25">
      <c r="A221" s="142" t="s">
        <v>478</v>
      </c>
      <c r="B221" t="s">
        <v>674</v>
      </c>
      <c r="C221" t="s">
        <v>220</v>
      </c>
      <c r="D221" s="143">
        <f>IFERROR(VLOOKUP(B221,'Enrollment 25-26'!$B$5:$I$332,8,FALSE),0)</f>
        <v>0</v>
      </c>
      <c r="E221" s="64">
        <f t="shared" si="50"/>
        <v>0</v>
      </c>
      <c r="F221" s="144">
        <v>0</v>
      </c>
      <c r="G221" s="144">
        <v>0</v>
      </c>
      <c r="H221" s="64">
        <f t="shared" si="51"/>
        <v>0</v>
      </c>
      <c r="I221" s="64">
        <f t="shared" si="52"/>
        <v>0</v>
      </c>
      <c r="J221" s="145">
        <f t="shared" si="53"/>
        <v>0</v>
      </c>
      <c r="K221" s="146" t="str">
        <f t="shared" si="64"/>
        <v>N</v>
      </c>
      <c r="L221" s="147">
        <f t="shared" si="54"/>
        <v>0</v>
      </c>
      <c r="M221" s="148">
        <f t="shared" si="55"/>
        <v>0</v>
      </c>
      <c r="N221" s="64">
        <f t="shared" si="56"/>
        <v>0</v>
      </c>
      <c r="O221" s="64">
        <f t="shared" si="57"/>
        <v>0</v>
      </c>
      <c r="Q221" s="104">
        <f t="shared" si="58"/>
        <v>0</v>
      </c>
      <c r="R221" s="104" t="str">
        <f t="shared" si="59"/>
        <v>Not Applicable</v>
      </c>
      <c r="S221" s="149" t="s">
        <v>815</v>
      </c>
      <c r="T221" s="149">
        <f>IF(O221=0,0,IF(S221="N",0,VLOOKUP(B221,'Enrollment 25-26'!$B$8:$K$332,9,FALSE)))</f>
        <v>0</v>
      </c>
      <c r="U221" s="64">
        <f t="shared" si="60"/>
        <v>0</v>
      </c>
      <c r="V221" s="128">
        <f t="shared" si="61"/>
        <v>0</v>
      </c>
      <c r="W221" s="150"/>
      <c r="X221" s="64">
        <f>IFERROR(VLOOKUP($B221,#REF!,14,FALSE),0)</f>
        <v>0</v>
      </c>
      <c r="Y221" s="99">
        <f t="shared" si="62"/>
        <v>0</v>
      </c>
      <c r="Z221" s="132">
        <f t="shared" si="63"/>
        <v>0</v>
      </c>
      <c r="AA221" s="151" t="str">
        <f t="shared" si="65"/>
        <v>N</v>
      </c>
      <c r="AC221" s="64"/>
      <c r="AE221" s="152"/>
      <c r="AH221" s="153"/>
      <c r="AI221" s="153"/>
      <c r="AJ221" s="153"/>
      <c r="AK221" s="154"/>
    </row>
    <row r="222" spans="1:37" x14ac:dyDescent="0.25">
      <c r="A222" s="142" t="s">
        <v>478</v>
      </c>
      <c r="B222" t="s">
        <v>675</v>
      </c>
      <c r="C222" t="s">
        <v>222</v>
      </c>
      <c r="D222" s="143">
        <f>IFERROR(VLOOKUP(B222,'Enrollment 25-26'!$B$5:$I$332,8,FALSE),0)</f>
        <v>437.16666666666669</v>
      </c>
      <c r="E222" s="64">
        <f t="shared" si="50"/>
        <v>50829</v>
      </c>
      <c r="F222" s="144">
        <v>0</v>
      </c>
      <c r="G222" s="144">
        <v>0</v>
      </c>
      <c r="H222" s="64">
        <f t="shared" si="51"/>
        <v>50829</v>
      </c>
      <c r="I222" s="64">
        <f t="shared" si="52"/>
        <v>0</v>
      </c>
      <c r="J222" s="145">
        <f t="shared" si="53"/>
        <v>50829</v>
      </c>
      <c r="K222" s="146" t="str">
        <f t="shared" si="64"/>
        <v>Y</v>
      </c>
      <c r="L222" s="147">
        <f t="shared" si="54"/>
        <v>0</v>
      </c>
      <c r="M222" s="148">
        <f t="shared" si="55"/>
        <v>437.16666666666669</v>
      </c>
      <c r="N222" s="64">
        <f t="shared" si="56"/>
        <v>376</v>
      </c>
      <c r="O222" s="64">
        <f t="shared" si="57"/>
        <v>51205</v>
      </c>
      <c r="Q222" s="104">
        <f t="shared" si="58"/>
        <v>0</v>
      </c>
      <c r="R222" s="104" t="str">
        <f t="shared" si="59"/>
        <v>Not Applicable</v>
      </c>
      <c r="S222" s="149" t="s">
        <v>815</v>
      </c>
      <c r="T222" s="149">
        <f>IF(O222=0,0,IF(S222="N",0,VLOOKUP(B222,'Enrollment 25-26'!$B$8:$K$332,9,FALSE)))</f>
        <v>0</v>
      </c>
      <c r="U222" s="64">
        <f t="shared" si="60"/>
        <v>51205</v>
      </c>
      <c r="V222" s="128">
        <f t="shared" si="61"/>
        <v>117.12924132672512</v>
      </c>
      <c r="W222" s="150"/>
      <c r="X222" s="64">
        <f>IFERROR(VLOOKUP($B222,#REF!,14,FALSE),0)</f>
        <v>0</v>
      </c>
      <c r="Y222" s="99">
        <f t="shared" si="62"/>
        <v>51205</v>
      </c>
      <c r="Z222" s="132">
        <f t="shared" si="63"/>
        <v>0</v>
      </c>
      <c r="AA222" s="151" t="str">
        <f t="shared" si="65"/>
        <v>Y</v>
      </c>
      <c r="AC222" s="64"/>
      <c r="AE222" s="152"/>
      <c r="AH222" s="153"/>
      <c r="AI222" s="153"/>
      <c r="AJ222" s="153"/>
      <c r="AK222" s="154"/>
    </row>
    <row r="223" spans="1:37" x14ac:dyDescent="0.25">
      <c r="A223" s="142" t="s">
        <v>438</v>
      </c>
      <c r="B223" t="s">
        <v>453</v>
      </c>
      <c r="C223" t="s">
        <v>223</v>
      </c>
      <c r="D223" s="143">
        <f>IFERROR(VLOOKUP(B223,'Enrollment 25-26'!$B$5:$I$332,8,FALSE),0)</f>
        <v>62.5</v>
      </c>
      <c r="E223" s="64">
        <f t="shared" si="50"/>
        <v>7267</v>
      </c>
      <c r="F223" s="144">
        <v>0</v>
      </c>
      <c r="G223" s="144">
        <v>0</v>
      </c>
      <c r="H223" s="64">
        <f t="shared" si="51"/>
        <v>7267</v>
      </c>
      <c r="I223" s="64">
        <f t="shared" si="52"/>
        <v>0</v>
      </c>
      <c r="J223" s="145">
        <f t="shared" si="53"/>
        <v>7267</v>
      </c>
      <c r="K223" s="146" t="str">
        <f t="shared" si="64"/>
        <v>C</v>
      </c>
      <c r="L223" s="147">
        <f t="shared" si="54"/>
        <v>0</v>
      </c>
      <c r="M223" s="148">
        <f t="shared" si="55"/>
        <v>62.5</v>
      </c>
      <c r="N223" s="64">
        <f t="shared" si="56"/>
        <v>54</v>
      </c>
      <c r="O223" s="64">
        <f t="shared" si="57"/>
        <v>7321</v>
      </c>
      <c r="Q223" s="104">
        <f t="shared" si="58"/>
        <v>0</v>
      </c>
      <c r="R223" s="104" t="str">
        <f t="shared" si="59"/>
        <v>Not Applicable</v>
      </c>
      <c r="S223" s="149" t="s">
        <v>815</v>
      </c>
      <c r="T223" s="149">
        <f>IF(O223=0,0,IF(S223="N",0,VLOOKUP(B223,'Enrollment 25-26'!$B$8:$K$332,9,FALSE)))</f>
        <v>0</v>
      </c>
      <c r="U223" s="64">
        <f t="shared" si="60"/>
        <v>7321</v>
      </c>
      <c r="V223" s="128">
        <f t="shared" si="61"/>
        <v>117.136</v>
      </c>
      <c r="W223" s="150"/>
      <c r="X223" s="64">
        <f>IFERROR(VLOOKUP($B223,#REF!,14,FALSE),0)</f>
        <v>0</v>
      </c>
      <c r="Y223" s="99">
        <f t="shared" si="62"/>
        <v>7321</v>
      </c>
      <c r="Z223" s="132">
        <f t="shared" si="63"/>
        <v>0</v>
      </c>
      <c r="AA223" s="151" t="str">
        <f t="shared" si="65"/>
        <v>C</v>
      </c>
      <c r="AC223" s="64"/>
      <c r="AE223" s="152"/>
      <c r="AH223" s="153"/>
      <c r="AI223" s="153"/>
      <c r="AJ223" s="153"/>
      <c r="AK223" s="154"/>
    </row>
    <row r="224" spans="1:37" x14ac:dyDescent="0.25">
      <c r="A224" s="142" t="s">
        <v>481</v>
      </c>
      <c r="B224" t="s">
        <v>676</v>
      </c>
      <c r="C224" t="s">
        <v>224</v>
      </c>
      <c r="D224" s="143">
        <f>IFERROR(VLOOKUP(B224,'Enrollment 25-26'!$B$5:$I$332,8,FALSE),0)</f>
        <v>1316</v>
      </c>
      <c r="E224" s="64">
        <f t="shared" si="50"/>
        <v>153012</v>
      </c>
      <c r="F224" s="144">
        <v>0</v>
      </c>
      <c r="G224" s="144">
        <v>0</v>
      </c>
      <c r="H224" s="64">
        <f t="shared" si="51"/>
        <v>153012</v>
      </c>
      <c r="I224" s="64">
        <f t="shared" si="52"/>
        <v>0</v>
      </c>
      <c r="J224" s="145">
        <f t="shared" si="53"/>
        <v>153012</v>
      </c>
      <c r="K224" s="146" t="str">
        <f t="shared" si="64"/>
        <v>Y</v>
      </c>
      <c r="L224" s="147">
        <f t="shared" si="54"/>
        <v>0</v>
      </c>
      <c r="M224" s="148">
        <f t="shared" si="55"/>
        <v>1316</v>
      </c>
      <c r="N224" s="64">
        <f t="shared" si="56"/>
        <v>1131</v>
      </c>
      <c r="O224" s="64">
        <f t="shared" si="57"/>
        <v>154143</v>
      </c>
      <c r="Q224" s="104">
        <f t="shared" si="58"/>
        <v>0</v>
      </c>
      <c r="R224" s="104" t="str">
        <f t="shared" si="59"/>
        <v>Not Applicable</v>
      </c>
      <c r="S224" s="149" t="s">
        <v>815</v>
      </c>
      <c r="T224" s="149">
        <f>IF(O224=0,0,IF(S224="N",0,VLOOKUP(B224,'Enrollment 25-26'!$B$8:$K$332,9,FALSE)))</f>
        <v>0</v>
      </c>
      <c r="U224" s="64">
        <f t="shared" si="60"/>
        <v>154143</v>
      </c>
      <c r="V224" s="128">
        <f t="shared" si="61"/>
        <v>117.12993920972644</v>
      </c>
      <c r="W224" s="150"/>
      <c r="X224" s="64">
        <f>IFERROR(VLOOKUP($B224,#REF!,14,FALSE),0)</f>
        <v>0</v>
      </c>
      <c r="Y224" s="99">
        <f t="shared" si="62"/>
        <v>154143</v>
      </c>
      <c r="Z224" s="132">
        <f t="shared" si="63"/>
        <v>0</v>
      </c>
      <c r="AA224" s="151" t="str">
        <f t="shared" si="65"/>
        <v>Y</v>
      </c>
      <c r="AC224" s="64"/>
      <c r="AE224" s="152"/>
      <c r="AH224" s="153"/>
      <c r="AI224" s="153"/>
      <c r="AJ224" s="153"/>
      <c r="AK224" s="154"/>
    </row>
    <row r="225" spans="1:37" x14ac:dyDescent="0.25">
      <c r="A225" s="142" t="s">
        <v>438</v>
      </c>
      <c r="B225" t="s">
        <v>677</v>
      </c>
      <c r="C225" t="s">
        <v>225</v>
      </c>
      <c r="D225" s="143">
        <f>IFERROR(VLOOKUP(B225,'Enrollment 25-26'!$B$5:$I$332,8,FALSE),0)</f>
        <v>0</v>
      </c>
      <c r="E225" s="64">
        <f t="shared" si="50"/>
        <v>0</v>
      </c>
      <c r="F225" s="144">
        <v>0</v>
      </c>
      <c r="G225" s="144">
        <v>0</v>
      </c>
      <c r="H225" s="64">
        <f t="shared" si="51"/>
        <v>0</v>
      </c>
      <c r="I225" s="64">
        <f t="shared" si="52"/>
        <v>0</v>
      </c>
      <c r="J225" s="145">
        <f t="shared" si="53"/>
        <v>0</v>
      </c>
      <c r="K225" s="146" t="str">
        <f t="shared" si="64"/>
        <v>N</v>
      </c>
      <c r="L225" s="147">
        <f t="shared" si="54"/>
        <v>0</v>
      </c>
      <c r="M225" s="148">
        <f t="shared" si="55"/>
        <v>0</v>
      </c>
      <c r="N225" s="64">
        <f t="shared" si="56"/>
        <v>0</v>
      </c>
      <c r="O225" s="64">
        <f t="shared" si="57"/>
        <v>0</v>
      </c>
      <c r="Q225" s="104">
        <f t="shared" si="58"/>
        <v>0</v>
      </c>
      <c r="R225" s="104" t="str">
        <f t="shared" si="59"/>
        <v>Not Applicable</v>
      </c>
      <c r="S225" s="149" t="s">
        <v>815</v>
      </c>
      <c r="T225" s="149">
        <f>IF(O225=0,0,IF(S225="N",0,VLOOKUP(B225,'Enrollment 25-26'!$B$8:$K$332,9,FALSE)))</f>
        <v>0</v>
      </c>
      <c r="U225" s="64">
        <f t="shared" si="60"/>
        <v>0</v>
      </c>
      <c r="V225" s="128">
        <f t="shared" si="61"/>
        <v>0</v>
      </c>
      <c r="W225" s="150"/>
      <c r="X225" s="64">
        <f>IFERROR(VLOOKUP($B225,#REF!,14,FALSE),0)</f>
        <v>0</v>
      </c>
      <c r="Y225" s="99">
        <f t="shared" si="62"/>
        <v>0</v>
      </c>
      <c r="Z225" s="132">
        <f t="shared" si="63"/>
        <v>0</v>
      </c>
      <c r="AA225" s="151" t="str">
        <f t="shared" si="65"/>
        <v>N</v>
      </c>
      <c r="AC225" s="64"/>
      <c r="AE225" s="152"/>
      <c r="AH225" s="153"/>
      <c r="AI225" s="153"/>
      <c r="AJ225" s="153"/>
      <c r="AK225" s="154"/>
    </row>
    <row r="226" spans="1:37" x14ac:dyDescent="0.25">
      <c r="A226" s="142" t="s">
        <v>497</v>
      </c>
      <c r="B226" t="s">
        <v>678</v>
      </c>
      <c r="C226" t="s">
        <v>226</v>
      </c>
      <c r="D226" s="143">
        <f>IFERROR(VLOOKUP(B226,'Enrollment 25-26'!$B$5:$I$332,8,FALSE),0)</f>
        <v>129.17000000000002</v>
      </c>
      <c r="E226" s="64">
        <f t="shared" si="50"/>
        <v>15019</v>
      </c>
      <c r="F226" s="144">
        <v>0</v>
      </c>
      <c r="G226" s="144">
        <v>0</v>
      </c>
      <c r="H226" s="64">
        <f t="shared" si="51"/>
        <v>15019</v>
      </c>
      <c r="I226" s="64">
        <f t="shared" si="52"/>
        <v>0</v>
      </c>
      <c r="J226" s="145">
        <f t="shared" si="53"/>
        <v>15019</v>
      </c>
      <c r="K226" s="146" t="str">
        <f t="shared" si="64"/>
        <v>Y</v>
      </c>
      <c r="L226" s="147">
        <f t="shared" si="54"/>
        <v>0</v>
      </c>
      <c r="M226" s="148">
        <f t="shared" si="55"/>
        <v>129.17000000000002</v>
      </c>
      <c r="N226" s="64">
        <f t="shared" si="56"/>
        <v>111</v>
      </c>
      <c r="O226" s="64">
        <f t="shared" si="57"/>
        <v>15130</v>
      </c>
      <c r="Q226" s="104">
        <f t="shared" si="58"/>
        <v>0</v>
      </c>
      <c r="R226" s="104" t="str">
        <f t="shared" si="59"/>
        <v>Not Applicable</v>
      </c>
      <c r="S226" s="149" t="s">
        <v>815</v>
      </c>
      <c r="T226" s="149">
        <f>IF(O226=0,0,IF(S226="N",0,VLOOKUP(B226,'Enrollment 25-26'!$B$8:$K$332,9,FALSE)))</f>
        <v>0</v>
      </c>
      <c r="U226" s="64">
        <f t="shared" si="60"/>
        <v>15130</v>
      </c>
      <c r="V226" s="128">
        <f t="shared" si="61"/>
        <v>117.1324610977781</v>
      </c>
      <c r="W226" s="150"/>
      <c r="X226" s="64">
        <f>IFERROR(VLOOKUP($B226,#REF!,14,FALSE),0)</f>
        <v>0</v>
      </c>
      <c r="Y226" s="99">
        <f t="shared" si="62"/>
        <v>15130</v>
      </c>
      <c r="Z226" s="132">
        <f t="shared" si="63"/>
        <v>0</v>
      </c>
      <c r="AA226" s="151" t="str">
        <f t="shared" si="65"/>
        <v>Y</v>
      </c>
      <c r="AC226" s="64"/>
      <c r="AE226" s="152"/>
      <c r="AH226" s="153"/>
      <c r="AI226" s="153"/>
      <c r="AJ226" s="153"/>
      <c r="AK226" s="154"/>
    </row>
    <row r="227" spans="1:37" x14ac:dyDescent="0.25">
      <c r="A227" s="142" t="s">
        <v>497</v>
      </c>
      <c r="B227" t="s">
        <v>461</v>
      </c>
      <c r="C227" t="s">
        <v>462</v>
      </c>
      <c r="D227" s="143">
        <f>IFERROR(VLOOKUP(B227,'Enrollment 25-26'!$B$5:$I$332,8,FALSE),0)</f>
        <v>17.170000000000002</v>
      </c>
      <c r="E227" s="64">
        <f t="shared" si="50"/>
        <v>1996</v>
      </c>
      <c r="F227" s="144">
        <v>0</v>
      </c>
      <c r="G227" s="144">
        <v>0</v>
      </c>
      <c r="H227" s="64">
        <f t="shared" si="51"/>
        <v>1996</v>
      </c>
      <c r="I227" s="64">
        <f t="shared" si="52"/>
        <v>0</v>
      </c>
      <c r="J227" s="145">
        <f t="shared" si="53"/>
        <v>1996</v>
      </c>
      <c r="K227" s="146" t="str">
        <f t="shared" si="64"/>
        <v>C</v>
      </c>
      <c r="L227" s="147">
        <f t="shared" si="54"/>
        <v>0</v>
      </c>
      <c r="M227" s="148">
        <f t="shared" si="55"/>
        <v>17.170000000000002</v>
      </c>
      <c r="N227" s="64">
        <f t="shared" si="56"/>
        <v>15</v>
      </c>
      <c r="O227" s="64">
        <f t="shared" si="57"/>
        <v>2011</v>
      </c>
      <c r="Q227" s="104">
        <f t="shared" si="58"/>
        <v>0</v>
      </c>
      <c r="R227" s="104" t="str">
        <f t="shared" si="59"/>
        <v>Not Applicable</v>
      </c>
      <c r="S227" s="149" t="s">
        <v>815</v>
      </c>
      <c r="T227" s="149">
        <f>IF(O227=0,0,IF(S227="N",0,VLOOKUP(B227,'Enrollment 25-26'!$B$8:$K$332,9,FALSE)))</f>
        <v>0</v>
      </c>
      <c r="U227" s="64">
        <f t="shared" si="60"/>
        <v>2011</v>
      </c>
      <c r="V227" s="128">
        <f t="shared" si="61"/>
        <v>117.12288875946417</v>
      </c>
      <c r="W227" s="150"/>
      <c r="X227" s="64">
        <f>IFERROR(VLOOKUP($B227,#REF!,14,FALSE),0)</f>
        <v>0</v>
      </c>
      <c r="Y227" s="99">
        <f t="shared" si="62"/>
        <v>2011</v>
      </c>
      <c r="Z227" s="132">
        <f t="shared" si="63"/>
        <v>0</v>
      </c>
      <c r="AA227" s="151" t="str">
        <f t="shared" si="65"/>
        <v>C</v>
      </c>
      <c r="AC227" s="64"/>
      <c r="AE227" s="152"/>
      <c r="AH227" s="153"/>
      <c r="AI227" s="153"/>
      <c r="AJ227" s="153"/>
      <c r="AK227" s="154"/>
    </row>
    <row r="228" spans="1:37" x14ac:dyDescent="0.25">
      <c r="A228" s="142" t="s">
        <v>438</v>
      </c>
      <c r="B228" t="s">
        <v>475</v>
      </c>
      <c r="C228" t="s">
        <v>227</v>
      </c>
      <c r="D228" s="143">
        <f>IFERROR(VLOOKUP(B228,'Enrollment 25-26'!$B$5:$I$332,8,FALSE),0)</f>
        <v>61.66</v>
      </c>
      <c r="E228" s="64">
        <f t="shared" si="50"/>
        <v>7169</v>
      </c>
      <c r="F228" s="144">
        <v>0</v>
      </c>
      <c r="G228" s="144">
        <v>0</v>
      </c>
      <c r="H228" s="64">
        <f t="shared" si="51"/>
        <v>7169</v>
      </c>
      <c r="I228" s="64">
        <f t="shared" si="52"/>
        <v>0</v>
      </c>
      <c r="J228" s="145">
        <f t="shared" si="53"/>
        <v>7169</v>
      </c>
      <c r="K228" s="146" t="str">
        <f t="shared" si="64"/>
        <v>C</v>
      </c>
      <c r="L228" s="147">
        <f t="shared" si="54"/>
        <v>0</v>
      </c>
      <c r="M228" s="148">
        <f t="shared" si="55"/>
        <v>61.66</v>
      </c>
      <c r="N228" s="64">
        <f t="shared" si="56"/>
        <v>53</v>
      </c>
      <c r="O228" s="64">
        <f t="shared" si="57"/>
        <v>7222</v>
      </c>
      <c r="Q228" s="104">
        <f t="shared" si="58"/>
        <v>0</v>
      </c>
      <c r="R228" s="104" t="str">
        <f t="shared" si="59"/>
        <v>Not Applicable</v>
      </c>
      <c r="S228" s="149" t="s">
        <v>815</v>
      </c>
      <c r="T228" s="149">
        <f>IF(O228=0,0,IF(S228="N",0,VLOOKUP(B228,'Enrollment 25-26'!$B$8:$K$332,9,FALSE)))</f>
        <v>0</v>
      </c>
      <c r="U228" s="64">
        <f t="shared" si="60"/>
        <v>7222</v>
      </c>
      <c r="V228" s="128">
        <f t="shared" si="61"/>
        <v>117.1261758027895</v>
      </c>
      <c r="W228" s="150"/>
      <c r="X228" s="64">
        <f>IFERROR(VLOOKUP($B228,#REF!,14,FALSE),0)</f>
        <v>0</v>
      </c>
      <c r="Y228" s="99">
        <f t="shared" si="62"/>
        <v>7222</v>
      </c>
      <c r="Z228" s="132">
        <f t="shared" si="63"/>
        <v>0</v>
      </c>
      <c r="AA228" s="151" t="str">
        <f t="shared" si="65"/>
        <v>C</v>
      </c>
      <c r="AC228" s="64"/>
      <c r="AE228" s="152"/>
      <c r="AH228" s="153"/>
      <c r="AI228" s="153"/>
      <c r="AJ228" s="153"/>
      <c r="AK228" s="154"/>
    </row>
    <row r="229" spans="1:37" x14ac:dyDescent="0.25">
      <c r="A229" s="142" t="s">
        <v>443</v>
      </c>
      <c r="B229" t="s">
        <v>679</v>
      </c>
      <c r="C229" t="s">
        <v>228</v>
      </c>
      <c r="D229" s="143">
        <f>IFERROR(VLOOKUP(B229,'Enrollment 25-26'!$B$5:$I$332,8,FALSE),0)</f>
        <v>6.34</v>
      </c>
      <c r="E229" s="64">
        <f t="shared" si="50"/>
        <v>737</v>
      </c>
      <c r="F229" s="144">
        <v>0</v>
      </c>
      <c r="G229" s="144">
        <v>0</v>
      </c>
      <c r="H229" s="64">
        <f t="shared" si="51"/>
        <v>737</v>
      </c>
      <c r="I229" s="64">
        <f t="shared" si="52"/>
        <v>0</v>
      </c>
      <c r="J229" s="145">
        <f t="shared" si="53"/>
        <v>737</v>
      </c>
      <c r="K229" s="146" t="str">
        <f t="shared" si="64"/>
        <v>N</v>
      </c>
      <c r="L229" s="147">
        <f t="shared" si="54"/>
        <v>737</v>
      </c>
      <c r="M229" s="148">
        <f t="shared" si="55"/>
        <v>0</v>
      </c>
      <c r="N229" s="64">
        <f t="shared" si="56"/>
        <v>0</v>
      </c>
      <c r="O229" s="64">
        <f t="shared" si="57"/>
        <v>0</v>
      </c>
      <c r="Q229" s="104">
        <f t="shared" si="58"/>
        <v>0</v>
      </c>
      <c r="R229" s="104" t="str">
        <f t="shared" si="59"/>
        <v>Not Applicable</v>
      </c>
      <c r="S229" s="149" t="s">
        <v>815</v>
      </c>
      <c r="T229" s="149">
        <f>IF(O229=0,0,IF(S229="N",0,VLOOKUP(B229,'Enrollment 25-26'!$B$8:$K$332,9,FALSE)))</f>
        <v>0</v>
      </c>
      <c r="U229" s="64">
        <f t="shared" si="60"/>
        <v>0</v>
      </c>
      <c r="V229" s="128">
        <f t="shared" si="61"/>
        <v>0</v>
      </c>
      <c r="W229" s="150"/>
      <c r="X229" s="64">
        <f>IFERROR(VLOOKUP($B229,#REF!,14,FALSE),0)</f>
        <v>0</v>
      </c>
      <c r="Y229" s="99">
        <f t="shared" si="62"/>
        <v>0</v>
      </c>
      <c r="Z229" s="132">
        <f t="shared" si="63"/>
        <v>0</v>
      </c>
      <c r="AA229" s="151" t="str">
        <f t="shared" si="65"/>
        <v>N</v>
      </c>
      <c r="AC229" s="64"/>
      <c r="AE229" s="152"/>
      <c r="AH229" s="153"/>
      <c r="AI229" s="153"/>
      <c r="AJ229" s="153"/>
      <c r="AK229" s="154"/>
    </row>
    <row r="230" spans="1:37" x14ac:dyDescent="0.25">
      <c r="A230" s="142" t="s">
        <v>454</v>
      </c>
      <c r="B230" t="s">
        <v>680</v>
      </c>
      <c r="C230" t="s">
        <v>229</v>
      </c>
      <c r="D230" s="143">
        <f>IFERROR(VLOOKUP(B230,'Enrollment 25-26'!$B$5:$I$332,8,FALSE),0)</f>
        <v>3699.5066666666667</v>
      </c>
      <c r="E230" s="64">
        <f t="shared" si="50"/>
        <v>430142</v>
      </c>
      <c r="F230" s="144">
        <v>0</v>
      </c>
      <c r="G230" s="144">
        <v>0</v>
      </c>
      <c r="H230" s="64">
        <f t="shared" si="51"/>
        <v>430142</v>
      </c>
      <c r="I230" s="64">
        <f t="shared" si="52"/>
        <v>0</v>
      </c>
      <c r="J230" s="145">
        <f t="shared" si="53"/>
        <v>430142</v>
      </c>
      <c r="K230" s="146" t="str">
        <f t="shared" si="64"/>
        <v>Y</v>
      </c>
      <c r="L230" s="147">
        <f t="shared" si="54"/>
        <v>0</v>
      </c>
      <c r="M230" s="148">
        <f t="shared" si="55"/>
        <v>3699.5066666666667</v>
      </c>
      <c r="N230" s="64">
        <f t="shared" si="56"/>
        <v>3180</v>
      </c>
      <c r="O230" s="64">
        <f t="shared" si="57"/>
        <v>433322</v>
      </c>
      <c r="Q230" s="104">
        <f t="shared" si="58"/>
        <v>0</v>
      </c>
      <c r="R230" s="104" t="str">
        <f t="shared" si="59"/>
        <v>Not Applicable</v>
      </c>
      <c r="S230" s="149" t="s">
        <v>815</v>
      </c>
      <c r="T230" s="149">
        <f>IF(O230=0,0,IF(S230="N",0,VLOOKUP(B230,'Enrollment 25-26'!$B$8:$K$332,9,FALSE)))</f>
        <v>0</v>
      </c>
      <c r="U230" s="64">
        <f t="shared" si="60"/>
        <v>433322</v>
      </c>
      <c r="V230" s="128">
        <f t="shared" si="61"/>
        <v>117.12967134356653</v>
      </c>
      <c r="W230" s="150"/>
      <c r="X230" s="64">
        <f>IFERROR(VLOOKUP($B230,#REF!,14,FALSE),0)</f>
        <v>0</v>
      </c>
      <c r="Y230" s="99">
        <f t="shared" si="62"/>
        <v>433322</v>
      </c>
      <c r="Z230" s="132">
        <f t="shared" si="63"/>
        <v>0</v>
      </c>
      <c r="AA230" s="151" t="str">
        <f t="shared" si="65"/>
        <v>Y</v>
      </c>
      <c r="AC230" s="64"/>
      <c r="AE230" s="152"/>
      <c r="AH230" s="153"/>
      <c r="AI230" s="153"/>
      <c r="AJ230" s="153"/>
      <c r="AK230" s="154"/>
    </row>
    <row r="231" spans="1:37" s="155" customFormat="1" x14ac:dyDescent="0.25">
      <c r="A231" s="142" t="s">
        <v>443</v>
      </c>
      <c r="B231" s="13" t="s">
        <v>681</v>
      </c>
      <c r="C231" t="s">
        <v>231</v>
      </c>
      <c r="D231" s="143">
        <f>IFERROR(VLOOKUP(B231,'Enrollment 25-26'!$B$5:$I$332,8,FALSE),0)</f>
        <v>0</v>
      </c>
      <c r="E231" s="64">
        <f t="shared" si="50"/>
        <v>0</v>
      </c>
      <c r="F231" s="144">
        <v>0</v>
      </c>
      <c r="G231" s="144">
        <v>0</v>
      </c>
      <c r="H231" s="64">
        <f t="shared" si="51"/>
        <v>0</v>
      </c>
      <c r="I231" s="64">
        <f t="shared" si="52"/>
        <v>0</v>
      </c>
      <c r="J231" s="145">
        <f t="shared" si="53"/>
        <v>0</v>
      </c>
      <c r="K231" s="146" t="str">
        <f t="shared" si="64"/>
        <v>N</v>
      </c>
      <c r="L231" s="147">
        <f t="shared" si="54"/>
        <v>0</v>
      </c>
      <c r="M231" s="148">
        <f t="shared" si="55"/>
        <v>0</v>
      </c>
      <c r="N231" s="64">
        <f t="shared" si="56"/>
        <v>0</v>
      </c>
      <c r="O231" s="64">
        <f t="shared" si="57"/>
        <v>0</v>
      </c>
      <c r="P231" s="104"/>
      <c r="Q231" s="104">
        <f t="shared" si="58"/>
        <v>0</v>
      </c>
      <c r="R231" s="104" t="str">
        <f t="shared" si="59"/>
        <v>Not Applicable</v>
      </c>
      <c r="S231" s="149" t="s">
        <v>815</v>
      </c>
      <c r="T231" s="149">
        <f>IF(O231=0,0,IF(S231="N",0,VLOOKUP(B231,'Enrollment 25-26'!$B$8:$K$332,9,FALSE)))</f>
        <v>0</v>
      </c>
      <c r="U231" s="64">
        <f t="shared" si="60"/>
        <v>0</v>
      </c>
      <c r="V231" s="128">
        <f t="shared" si="61"/>
        <v>0</v>
      </c>
      <c r="W231" s="150"/>
      <c r="X231" s="64">
        <f>IFERROR(VLOOKUP($B231,#REF!,14,FALSE),0)</f>
        <v>0</v>
      </c>
      <c r="Y231" s="99">
        <f t="shared" si="62"/>
        <v>0</v>
      </c>
      <c r="Z231" s="132">
        <f t="shared" si="63"/>
        <v>0</v>
      </c>
      <c r="AA231" s="151" t="str">
        <f t="shared" si="65"/>
        <v>N</v>
      </c>
      <c r="AB231" s="184"/>
      <c r="AC231" s="64"/>
      <c r="AD231"/>
      <c r="AE231" s="152"/>
      <c r="AH231" s="156"/>
      <c r="AI231" s="156"/>
      <c r="AJ231" s="156"/>
      <c r="AK231" s="157"/>
    </row>
    <row r="232" spans="1:37" x14ac:dyDescent="0.25">
      <c r="A232" s="142" t="s">
        <v>451</v>
      </c>
      <c r="B232" t="s">
        <v>682</v>
      </c>
      <c r="C232" t="s">
        <v>232</v>
      </c>
      <c r="D232" s="143">
        <f>IFERROR(VLOOKUP(B232,'Enrollment 25-26'!$B$5:$I$332,8,FALSE),0)</f>
        <v>941.16666666666663</v>
      </c>
      <c r="E232" s="64">
        <f t="shared" si="50"/>
        <v>109430</v>
      </c>
      <c r="F232" s="144">
        <v>0</v>
      </c>
      <c r="G232" s="144">
        <v>0</v>
      </c>
      <c r="H232" s="64">
        <f t="shared" si="51"/>
        <v>109430</v>
      </c>
      <c r="I232" s="64">
        <f t="shared" si="52"/>
        <v>0</v>
      </c>
      <c r="J232" s="145">
        <f t="shared" si="53"/>
        <v>109430</v>
      </c>
      <c r="K232" s="146" t="str">
        <f t="shared" si="64"/>
        <v>Y</v>
      </c>
      <c r="L232" s="147">
        <f t="shared" si="54"/>
        <v>0</v>
      </c>
      <c r="M232" s="148">
        <f t="shared" si="55"/>
        <v>941.16666666666663</v>
      </c>
      <c r="N232" s="64">
        <f t="shared" si="56"/>
        <v>809</v>
      </c>
      <c r="O232" s="64">
        <f t="shared" si="57"/>
        <v>110239</v>
      </c>
      <c r="Q232" s="104">
        <f t="shared" si="58"/>
        <v>0</v>
      </c>
      <c r="R232" s="104" t="str">
        <f t="shared" si="59"/>
        <v>Not Applicable</v>
      </c>
      <c r="S232" s="149" t="s">
        <v>815</v>
      </c>
      <c r="T232" s="149">
        <f>IF(O232=0,0,IF(S232="N",0,VLOOKUP(B232,'Enrollment 25-26'!$B$8:$K$332,9,FALSE)))</f>
        <v>0</v>
      </c>
      <c r="U232" s="64">
        <f t="shared" si="60"/>
        <v>110239</v>
      </c>
      <c r="V232" s="128">
        <f t="shared" si="61"/>
        <v>117.13015760580839</v>
      </c>
      <c r="W232" s="150"/>
      <c r="X232" s="64">
        <f>IFERROR(VLOOKUP($B232,#REF!,14,FALSE),0)</f>
        <v>0</v>
      </c>
      <c r="Y232" s="99">
        <f t="shared" si="62"/>
        <v>110239</v>
      </c>
      <c r="Z232" s="132">
        <f t="shared" si="63"/>
        <v>0</v>
      </c>
      <c r="AA232" s="151" t="str">
        <f t="shared" si="65"/>
        <v>Y</v>
      </c>
      <c r="AC232" s="64"/>
      <c r="AE232" s="152"/>
      <c r="AH232" s="153"/>
      <c r="AI232" s="153"/>
      <c r="AJ232" s="153"/>
      <c r="AK232" s="154"/>
    </row>
    <row r="233" spans="1:37" x14ac:dyDescent="0.25">
      <c r="A233" s="142" t="s">
        <v>459</v>
      </c>
      <c r="B233" t="s">
        <v>683</v>
      </c>
      <c r="C233" t="s">
        <v>233</v>
      </c>
      <c r="D233" s="143">
        <f>IFERROR(VLOOKUP(B233,'Enrollment 25-26'!$B$5:$I$332,8,FALSE),0)</f>
        <v>231.5</v>
      </c>
      <c r="E233" s="64">
        <f t="shared" si="50"/>
        <v>26917</v>
      </c>
      <c r="F233" s="144">
        <v>0</v>
      </c>
      <c r="G233" s="144">
        <v>0</v>
      </c>
      <c r="H233" s="64">
        <f t="shared" si="51"/>
        <v>26917</v>
      </c>
      <c r="I233" s="64">
        <f t="shared" si="52"/>
        <v>0</v>
      </c>
      <c r="J233" s="145">
        <f t="shared" si="53"/>
        <v>26917</v>
      </c>
      <c r="K233" s="146" t="str">
        <f t="shared" si="64"/>
        <v>Y</v>
      </c>
      <c r="L233" s="147">
        <f t="shared" si="54"/>
        <v>0</v>
      </c>
      <c r="M233" s="148">
        <f t="shared" si="55"/>
        <v>231.5</v>
      </c>
      <c r="N233" s="64">
        <f t="shared" si="56"/>
        <v>199</v>
      </c>
      <c r="O233" s="64">
        <f t="shared" si="57"/>
        <v>27116</v>
      </c>
      <c r="Q233" s="104">
        <f t="shared" si="58"/>
        <v>0</v>
      </c>
      <c r="R233" s="104" t="str">
        <f t="shared" si="59"/>
        <v>Not Applicable</v>
      </c>
      <c r="S233" s="149" t="s">
        <v>815</v>
      </c>
      <c r="T233" s="149">
        <f>IF(O233=0,0,IF(S233="N",0,VLOOKUP(B233,'Enrollment 25-26'!$B$8:$K$332,9,FALSE)))</f>
        <v>0</v>
      </c>
      <c r="U233" s="64">
        <f t="shared" si="60"/>
        <v>27116</v>
      </c>
      <c r="V233" s="128">
        <f t="shared" si="61"/>
        <v>117.1317494600432</v>
      </c>
      <c r="W233" s="150"/>
      <c r="X233" s="64">
        <f>IFERROR(VLOOKUP($B233,#REF!,14,FALSE),0)</f>
        <v>0</v>
      </c>
      <c r="Y233" s="99">
        <f t="shared" si="62"/>
        <v>27116</v>
      </c>
      <c r="Z233" s="132">
        <f t="shared" si="63"/>
        <v>0</v>
      </c>
      <c r="AA233" s="151" t="str">
        <f t="shared" si="65"/>
        <v>Y</v>
      </c>
      <c r="AC233" s="64"/>
      <c r="AE233" s="152"/>
      <c r="AH233" s="153"/>
      <c r="AI233" s="153"/>
      <c r="AJ233" s="153"/>
      <c r="AK233" s="154"/>
    </row>
    <row r="234" spans="1:37" x14ac:dyDescent="0.25">
      <c r="A234" s="142" t="s">
        <v>443</v>
      </c>
      <c r="B234" t="s">
        <v>684</v>
      </c>
      <c r="C234" t="s">
        <v>234</v>
      </c>
      <c r="D234" s="143">
        <f>IFERROR(VLOOKUP(B234,'Enrollment 25-26'!$B$5:$I$332,8,FALSE),0)</f>
        <v>2.17</v>
      </c>
      <c r="E234" s="64">
        <f t="shared" si="50"/>
        <v>252</v>
      </c>
      <c r="F234" s="144">
        <v>0</v>
      </c>
      <c r="G234" s="144">
        <v>0</v>
      </c>
      <c r="H234" s="64">
        <f t="shared" si="51"/>
        <v>252</v>
      </c>
      <c r="I234" s="64">
        <f t="shared" si="52"/>
        <v>0</v>
      </c>
      <c r="J234" s="145">
        <f t="shared" si="53"/>
        <v>252</v>
      </c>
      <c r="K234" s="146" t="str">
        <f t="shared" si="64"/>
        <v>N</v>
      </c>
      <c r="L234" s="147">
        <f t="shared" si="54"/>
        <v>252</v>
      </c>
      <c r="M234" s="148">
        <f t="shared" si="55"/>
        <v>0</v>
      </c>
      <c r="N234" s="64">
        <f t="shared" si="56"/>
        <v>0</v>
      </c>
      <c r="O234" s="64">
        <f t="shared" si="57"/>
        <v>0</v>
      </c>
      <c r="Q234" s="104">
        <f t="shared" si="58"/>
        <v>0</v>
      </c>
      <c r="R234" s="104" t="str">
        <f t="shared" si="59"/>
        <v>Not Applicable</v>
      </c>
      <c r="S234" s="149" t="s">
        <v>815</v>
      </c>
      <c r="T234" s="149">
        <f>IF(O234=0,0,IF(S234="N",0,VLOOKUP(B234,'Enrollment 25-26'!$B$8:$K$332,9,FALSE)))</f>
        <v>0</v>
      </c>
      <c r="U234" s="64">
        <f t="shared" si="60"/>
        <v>0</v>
      </c>
      <c r="V234" s="128">
        <f t="shared" si="61"/>
        <v>0</v>
      </c>
      <c r="W234" s="150"/>
      <c r="X234" s="64">
        <f>IFERROR(VLOOKUP($B234,#REF!,14,FALSE),0)</f>
        <v>0</v>
      </c>
      <c r="Y234" s="99">
        <f t="shared" si="62"/>
        <v>0</v>
      </c>
      <c r="Z234" s="132">
        <f t="shared" si="63"/>
        <v>0</v>
      </c>
      <c r="AA234" s="151" t="str">
        <f t="shared" si="65"/>
        <v>N</v>
      </c>
      <c r="AC234" s="64"/>
      <c r="AE234" s="152"/>
      <c r="AH234" s="153"/>
      <c r="AI234" s="153"/>
      <c r="AJ234" s="153"/>
      <c r="AK234" s="154"/>
    </row>
    <row r="235" spans="1:37" x14ac:dyDescent="0.25">
      <c r="A235" s="142" t="s">
        <v>443</v>
      </c>
      <c r="B235" t="s">
        <v>685</v>
      </c>
      <c r="C235" t="s">
        <v>235</v>
      </c>
      <c r="D235" s="143">
        <f>IFERROR(VLOOKUP(B235,'Enrollment 25-26'!$B$5:$I$332,8,FALSE),0)</f>
        <v>13.5</v>
      </c>
      <c r="E235" s="64">
        <f t="shared" si="50"/>
        <v>1570</v>
      </c>
      <c r="F235" s="144">
        <v>0</v>
      </c>
      <c r="G235" s="144">
        <v>0</v>
      </c>
      <c r="H235" s="64">
        <f t="shared" si="51"/>
        <v>1570</v>
      </c>
      <c r="I235" s="64">
        <f t="shared" si="52"/>
        <v>0</v>
      </c>
      <c r="J235" s="145">
        <f t="shared" si="53"/>
        <v>1570</v>
      </c>
      <c r="K235" s="146" t="str">
        <f t="shared" si="64"/>
        <v>N</v>
      </c>
      <c r="L235" s="147">
        <f t="shared" si="54"/>
        <v>1570</v>
      </c>
      <c r="M235" s="148">
        <f t="shared" si="55"/>
        <v>0</v>
      </c>
      <c r="N235" s="64">
        <f t="shared" si="56"/>
        <v>0</v>
      </c>
      <c r="O235" s="64">
        <f t="shared" si="57"/>
        <v>0</v>
      </c>
      <c r="Q235" s="104">
        <f t="shared" si="58"/>
        <v>0</v>
      </c>
      <c r="R235" s="104" t="str">
        <f t="shared" si="59"/>
        <v>Not Applicable</v>
      </c>
      <c r="S235" s="149" t="s">
        <v>815</v>
      </c>
      <c r="T235" s="149">
        <f>IF(O235=0,0,IF(S235="N",0,VLOOKUP(B235,'Enrollment 25-26'!$B$8:$K$332,9,FALSE)))</f>
        <v>0</v>
      </c>
      <c r="U235" s="64">
        <f t="shared" si="60"/>
        <v>0</v>
      </c>
      <c r="V235" s="128">
        <f t="shared" si="61"/>
        <v>0</v>
      </c>
      <c r="W235" s="150"/>
      <c r="X235" s="64">
        <f>IFERROR(VLOOKUP($B235,#REF!,14,FALSE),0)</f>
        <v>0</v>
      </c>
      <c r="Y235" s="99">
        <f t="shared" si="62"/>
        <v>0</v>
      </c>
      <c r="Z235" s="132">
        <f t="shared" si="63"/>
        <v>0</v>
      </c>
      <c r="AA235" s="151" t="str">
        <f t="shared" si="65"/>
        <v>N</v>
      </c>
      <c r="AC235" s="64"/>
      <c r="AE235" s="152"/>
      <c r="AH235" s="153"/>
      <c r="AI235" s="153"/>
      <c r="AJ235" s="153"/>
      <c r="AK235" s="154"/>
    </row>
    <row r="236" spans="1:37" x14ac:dyDescent="0.25">
      <c r="A236" s="142" t="s">
        <v>454</v>
      </c>
      <c r="B236" t="s">
        <v>686</v>
      </c>
      <c r="C236" t="s">
        <v>236</v>
      </c>
      <c r="D236" s="143">
        <f>IFERROR(VLOOKUP(B236,'Enrollment 25-26'!$B$5:$I$332,8,FALSE),0)</f>
        <v>215</v>
      </c>
      <c r="E236" s="64">
        <f t="shared" si="50"/>
        <v>24998</v>
      </c>
      <c r="F236" s="144">
        <v>0</v>
      </c>
      <c r="G236" s="144">
        <v>0</v>
      </c>
      <c r="H236" s="64">
        <f t="shared" si="51"/>
        <v>24998</v>
      </c>
      <c r="I236" s="64">
        <f t="shared" si="52"/>
        <v>0</v>
      </c>
      <c r="J236" s="145">
        <f t="shared" si="53"/>
        <v>24998</v>
      </c>
      <c r="K236" s="146" t="str">
        <f t="shared" si="64"/>
        <v>Y</v>
      </c>
      <c r="L236" s="147">
        <f t="shared" si="54"/>
        <v>0</v>
      </c>
      <c r="M236" s="148">
        <f t="shared" si="55"/>
        <v>215</v>
      </c>
      <c r="N236" s="64">
        <f t="shared" si="56"/>
        <v>185</v>
      </c>
      <c r="O236" s="64">
        <f t="shared" si="57"/>
        <v>25183</v>
      </c>
      <c r="Q236" s="104">
        <f t="shared" si="58"/>
        <v>0</v>
      </c>
      <c r="R236" s="104" t="str">
        <f t="shared" si="59"/>
        <v>Not Applicable</v>
      </c>
      <c r="S236" s="149" t="s">
        <v>815</v>
      </c>
      <c r="T236" s="149">
        <f>IF(O236=0,0,IF(S236="N",0,VLOOKUP(B236,'Enrollment 25-26'!$B$8:$K$332,9,FALSE)))</f>
        <v>0</v>
      </c>
      <c r="U236" s="64">
        <f t="shared" si="60"/>
        <v>25183</v>
      </c>
      <c r="V236" s="128">
        <f t="shared" si="61"/>
        <v>117.13023255813954</v>
      </c>
      <c r="W236" s="150"/>
      <c r="X236" s="64">
        <f>IFERROR(VLOOKUP($B236,#REF!,14,FALSE),0)</f>
        <v>0</v>
      </c>
      <c r="Y236" s="99">
        <f t="shared" si="62"/>
        <v>25183</v>
      </c>
      <c r="Z236" s="132">
        <f t="shared" si="63"/>
        <v>0</v>
      </c>
      <c r="AA236" s="151" t="str">
        <f t="shared" si="65"/>
        <v>Y</v>
      </c>
      <c r="AC236" s="64"/>
      <c r="AE236" s="152"/>
      <c r="AH236" s="153"/>
      <c r="AI236" s="153"/>
      <c r="AJ236" s="153"/>
      <c r="AK236" s="154"/>
    </row>
    <row r="237" spans="1:37" x14ac:dyDescent="0.25">
      <c r="A237" s="142" t="s">
        <v>438</v>
      </c>
      <c r="B237" t="s">
        <v>687</v>
      </c>
      <c r="C237" t="s">
        <v>237</v>
      </c>
      <c r="D237" s="143">
        <f>IFERROR(VLOOKUP(B237,'Enrollment 25-26'!$B$5:$I$332,8,FALSE),0)</f>
        <v>276.33333333333331</v>
      </c>
      <c r="E237" s="64">
        <f t="shared" si="50"/>
        <v>32129</v>
      </c>
      <c r="F237" s="144">
        <v>0</v>
      </c>
      <c r="G237" s="144">
        <v>0</v>
      </c>
      <c r="H237" s="64">
        <f t="shared" si="51"/>
        <v>32129</v>
      </c>
      <c r="I237" s="64">
        <f t="shared" si="52"/>
        <v>0</v>
      </c>
      <c r="J237" s="145">
        <f t="shared" si="53"/>
        <v>32129</v>
      </c>
      <c r="K237" s="146" t="str">
        <f t="shared" si="64"/>
        <v>Y</v>
      </c>
      <c r="L237" s="147">
        <f t="shared" si="54"/>
        <v>0</v>
      </c>
      <c r="M237" s="148">
        <f t="shared" si="55"/>
        <v>276.33333333333331</v>
      </c>
      <c r="N237" s="64">
        <f t="shared" si="56"/>
        <v>238</v>
      </c>
      <c r="O237" s="64">
        <f t="shared" si="57"/>
        <v>32367</v>
      </c>
      <c r="Q237" s="104">
        <f t="shared" si="58"/>
        <v>0</v>
      </c>
      <c r="R237" s="104" t="str">
        <f t="shared" si="59"/>
        <v>Not Applicable</v>
      </c>
      <c r="S237" s="149" t="s">
        <v>815</v>
      </c>
      <c r="T237" s="149">
        <f>IF(O237=0,0,IF(S237="N",0,VLOOKUP(B237,'Enrollment 25-26'!$B$8:$K$332,9,FALSE)))</f>
        <v>0</v>
      </c>
      <c r="U237" s="64">
        <f t="shared" si="60"/>
        <v>32367</v>
      </c>
      <c r="V237" s="128">
        <f t="shared" si="61"/>
        <v>117.13027744270205</v>
      </c>
      <c r="W237" s="150"/>
      <c r="X237" s="64">
        <f>IFERROR(VLOOKUP($B237,#REF!,14,FALSE),0)</f>
        <v>0</v>
      </c>
      <c r="Y237" s="99">
        <f t="shared" si="62"/>
        <v>32367</v>
      </c>
      <c r="Z237" s="132">
        <f t="shared" si="63"/>
        <v>0</v>
      </c>
      <c r="AA237" s="151" t="str">
        <f t="shared" si="65"/>
        <v>Y</v>
      </c>
      <c r="AC237" s="64"/>
      <c r="AE237" s="152"/>
      <c r="AH237" s="153"/>
      <c r="AI237" s="153"/>
      <c r="AJ237" s="153"/>
      <c r="AK237" s="154"/>
    </row>
    <row r="238" spans="1:37" x14ac:dyDescent="0.25">
      <c r="A238" s="142" t="s">
        <v>459</v>
      </c>
      <c r="B238" t="s">
        <v>688</v>
      </c>
      <c r="C238" t="s">
        <v>238</v>
      </c>
      <c r="D238" s="143">
        <f>IFERROR(VLOOKUP(B238,'Enrollment 25-26'!$B$5:$I$332,8,FALSE),0)</f>
        <v>16</v>
      </c>
      <c r="E238" s="64">
        <f t="shared" si="50"/>
        <v>1860</v>
      </c>
      <c r="F238" s="144">
        <v>0</v>
      </c>
      <c r="G238" s="144">
        <v>0</v>
      </c>
      <c r="H238" s="64">
        <f t="shared" si="51"/>
        <v>1860</v>
      </c>
      <c r="I238" s="64">
        <f t="shared" si="52"/>
        <v>0</v>
      </c>
      <c r="J238" s="145">
        <f t="shared" si="53"/>
        <v>1860</v>
      </c>
      <c r="K238" s="146" t="str">
        <f t="shared" si="64"/>
        <v>N</v>
      </c>
      <c r="L238" s="147">
        <f t="shared" si="54"/>
        <v>1860</v>
      </c>
      <c r="M238" s="148">
        <f t="shared" si="55"/>
        <v>0</v>
      </c>
      <c r="N238" s="64">
        <f t="shared" si="56"/>
        <v>0</v>
      </c>
      <c r="O238" s="64">
        <f t="shared" si="57"/>
        <v>0</v>
      </c>
      <c r="Q238" s="104">
        <f t="shared" si="58"/>
        <v>0</v>
      </c>
      <c r="R238" s="104" t="str">
        <f t="shared" si="59"/>
        <v>Not Applicable</v>
      </c>
      <c r="S238" s="149" t="s">
        <v>815</v>
      </c>
      <c r="T238" s="149">
        <f>IF(O238=0,0,IF(S238="N",0,VLOOKUP(B238,'Enrollment 25-26'!$B$8:$K$332,9,FALSE)))</f>
        <v>0</v>
      </c>
      <c r="U238" s="64">
        <f t="shared" si="60"/>
        <v>0</v>
      </c>
      <c r="V238" s="128">
        <f t="shared" si="61"/>
        <v>0</v>
      </c>
      <c r="W238" s="150"/>
      <c r="X238" s="64">
        <f>IFERROR(VLOOKUP($B238,#REF!,14,FALSE),0)</f>
        <v>0</v>
      </c>
      <c r="Y238" s="99">
        <f t="shared" si="62"/>
        <v>0</v>
      </c>
      <c r="Z238" s="132">
        <f t="shared" si="63"/>
        <v>0</v>
      </c>
      <c r="AA238" s="151" t="str">
        <f t="shared" si="65"/>
        <v>N</v>
      </c>
      <c r="AC238" s="64"/>
      <c r="AE238" s="152"/>
      <c r="AH238" s="153"/>
      <c r="AI238" s="153"/>
      <c r="AJ238" s="153"/>
      <c r="AK238" s="154"/>
    </row>
    <row r="239" spans="1:37" x14ac:dyDescent="0.25">
      <c r="A239" s="142" t="s">
        <v>443</v>
      </c>
      <c r="B239" t="s">
        <v>689</v>
      </c>
      <c r="C239" t="s">
        <v>239</v>
      </c>
      <c r="D239" s="143">
        <f>IFERROR(VLOOKUP(B239,'Enrollment 25-26'!$B$5:$I$332,8,FALSE),0)</f>
        <v>0</v>
      </c>
      <c r="E239" s="64">
        <f t="shared" si="50"/>
        <v>0</v>
      </c>
      <c r="F239" s="144">
        <v>0</v>
      </c>
      <c r="G239" s="144">
        <v>0</v>
      </c>
      <c r="H239" s="64">
        <f t="shared" si="51"/>
        <v>0</v>
      </c>
      <c r="I239" s="64">
        <f t="shared" si="52"/>
        <v>0</v>
      </c>
      <c r="J239" s="145">
        <f t="shared" si="53"/>
        <v>0</v>
      </c>
      <c r="K239" s="146" t="str">
        <f t="shared" si="64"/>
        <v>N</v>
      </c>
      <c r="L239" s="147">
        <f t="shared" si="54"/>
        <v>0</v>
      </c>
      <c r="M239" s="148">
        <f t="shared" si="55"/>
        <v>0</v>
      </c>
      <c r="N239" s="64">
        <f t="shared" si="56"/>
        <v>0</v>
      </c>
      <c r="O239" s="64">
        <f t="shared" si="57"/>
        <v>0</v>
      </c>
      <c r="Q239" s="104">
        <f t="shared" si="58"/>
        <v>0</v>
      </c>
      <c r="R239" s="104" t="str">
        <f t="shared" si="59"/>
        <v>Not Applicable</v>
      </c>
      <c r="S239" s="149" t="s">
        <v>815</v>
      </c>
      <c r="T239" s="149">
        <f>IF(O239=0,0,IF(S239="N",0,VLOOKUP(B239,'Enrollment 25-26'!$B$8:$K$332,9,FALSE)))</f>
        <v>0</v>
      </c>
      <c r="U239" s="64">
        <f t="shared" si="60"/>
        <v>0</v>
      </c>
      <c r="V239" s="128">
        <f t="shared" si="61"/>
        <v>0</v>
      </c>
      <c r="W239" s="150"/>
      <c r="X239" s="64">
        <f>IFERROR(VLOOKUP($B239,#REF!,14,FALSE),0)</f>
        <v>0</v>
      </c>
      <c r="Y239" s="99">
        <f t="shared" si="62"/>
        <v>0</v>
      </c>
      <c r="Z239" s="132">
        <f t="shared" si="63"/>
        <v>0</v>
      </c>
      <c r="AA239" s="151" t="str">
        <f t="shared" si="65"/>
        <v>N</v>
      </c>
      <c r="AC239" s="64"/>
      <c r="AE239" s="152"/>
      <c r="AH239" s="153"/>
      <c r="AI239" s="153"/>
      <c r="AJ239" s="153"/>
      <c r="AK239" s="154"/>
    </row>
    <row r="240" spans="1:37" x14ac:dyDescent="0.25">
      <c r="A240" s="142" t="s">
        <v>471</v>
      </c>
      <c r="B240" t="s">
        <v>690</v>
      </c>
      <c r="C240" t="s">
        <v>240</v>
      </c>
      <c r="D240" s="143">
        <f>IFERROR(VLOOKUP(B240,'Enrollment 25-26'!$B$5:$I$332,8,FALSE),0)</f>
        <v>762.17000000000007</v>
      </c>
      <c r="E240" s="64">
        <f t="shared" si="50"/>
        <v>88618</v>
      </c>
      <c r="F240" s="144">
        <v>0</v>
      </c>
      <c r="G240" s="144">
        <v>0</v>
      </c>
      <c r="H240" s="64">
        <f t="shared" si="51"/>
        <v>88618</v>
      </c>
      <c r="I240" s="64">
        <f t="shared" si="52"/>
        <v>0</v>
      </c>
      <c r="J240" s="145">
        <f t="shared" si="53"/>
        <v>88618</v>
      </c>
      <c r="K240" s="146" t="str">
        <f t="shared" si="64"/>
        <v>Y</v>
      </c>
      <c r="L240" s="147">
        <f t="shared" si="54"/>
        <v>0</v>
      </c>
      <c r="M240" s="148">
        <f t="shared" si="55"/>
        <v>762.17000000000007</v>
      </c>
      <c r="N240" s="64">
        <f t="shared" si="56"/>
        <v>655</v>
      </c>
      <c r="O240" s="64">
        <f t="shared" si="57"/>
        <v>89273</v>
      </c>
      <c r="Q240" s="104">
        <f t="shared" si="58"/>
        <v>0</v>
      </c>
      <c r="R240" s="104" t="str">
        <f t="shared" si="59"/>
        <v>Not Applicable</v>
      </c>
      <c r="S240" s="149" t="s">
        <v>815</v>
      </c>
      <c r="T240" s="149">
        <f>IF(O240=0,0,IF(S240="N",0,VLOOKUP(B240,'Enrollment 25-26'!$B$8:$K$332,9,FALSE)))</f>
        <v>0</v>
      </c>
      <c r="U240" s="64">
        <f t="shared" si="60"/>
        <v>89273</v>
      </c>
      <c r="V240" s="128">
        <f t="shared" si="61"/>
        <v>117.13003660600653</v>
      </c>
      <c r="W240" s="150"/>
      <c r="X240" s="64">
        <f>IFERROR(VLOOKUP($B240,#REF!,14,FALSE),0)</f>
        <v>0</v>
      </c>
      <c r="Y240" s="99">
        <f t="shared" si="62"/>
        <v>89273</v>
      </c>
      <c r="Z240" s="132">
        <f t="shared" si="63"/>
        <v>0</v>
      </c>
      <c r="AA240" s="151" t="str">
        <f t="shared" si="65"/>
        <v>Y</v>
      </c>
      <c r="AC240" s="64"/>
      <c r="AE240" s="152"/>
      <c r="AH240" s="153"/>
      <c r="AI240" s="153"/>
      <c r="AJ240" s="153"/>
      <c r="AK240" s="154"/>
    </row>
    <row r="241" spans="1:37" x14ac:dyDescent="0.25">
      <c r="A241" s="142" t="s">
        <v>446</v>
      </c>
      <c r="B241" t="s">
        <v>490</v>
      </c>
      <c r="C241" t="s">
        <v>241</v>
      </c>
      <c r="D241" s="143">
        <f>IFERROR(VLOOKUP(B241,'Enrollment 25-26'!$B$5:$I$332,8,FALSE),0)</f>
        <v>71.17</v>
      </c>
      <c r="E241" s="64">
        <f t="shared" si="50"/>
        <v>8275</v>
      </c>
      <c r="F241" s="144">
        <v>0</v>
      </c>
      <c r="G241" s="144">
        <v>0</v>
      </c>
      <c r="H241" s="64">
        <f t="shared" si="51"/>
        <v>8275</v>
      </c>
      <c r="I241" s="64">
        <f t="shared" si="52"/>
        <v>0</v>
      </c>
      <c r="J241" s="145">
        <f t="shared" si="53"/>
        <v>8275</v>
      </c>
      <c r="K241" s="146" t="str">
        <f t="shared" si="64"/>
        <v>C</v>
      </c>
      <c r="L241" s="147">
        <f t="shared" si="54"/>
        <v>0</v>
      </c>
      <c r="M241" s="148">
        <f t="shared" si="55"/>
        <v>71.17</v>
      </c>
      <c r="N241" s="64">
        <f t="shared" si="56"/>
        <v>61</v>
      </c>
      <c r="O241" s="64">
        <f t="shared" si="57"/>
        <v>8336</v>
      </c>
      <c r="Q241" s="104">
        <f t="shared" si="58"/>
        <v>0</v>
      </c>
      <c r="R241" s="104" t="str">
        <f t="shared" si="59"/>
        <v>Not Applicable</v>
      </c>
      <c r="S241" s="149" t="s">
        <v>815</v>
      </c>
      <c r="T241" s="149">
        <f>IF(O241=0,0,IF(S241="N",0,VLOOKUP(B241,'Enrollment 25-26'!$B$8:$K$332,9,FALSE)))</f>
        <v>0</v>
      </c>
      <c r="U241" s="64">
        <f t="shared" si="60"/>
        <v>8336</v>
      </c>
      <c r="V241" s="128">
        <f t="shared" si="61"/>
        <v>117.12800337220739</v>
      </c>
      <c r="W241" s="150"/>
      <c r="X241" s="64">
        <f>IFERROR(VLOOKUP($B241,#REF!,14,FALSE),0)</f>
        <v>0</v>
      </c>
      <c r="Y241" s="99">
        <f t="shared" si="62"/>
        <v>8336</v>
      </c>
      <c r="Z241" s="132">
        <f t="shared" si="63"/>
        <v>0</v>
      </c>
      <c r="AA241" s="151" t="str">
        <f t="shared" si="65"/>
        <v>C</v>
      </c>
      <c r="AC241" s="64"/>
      <c r="AE241" s="152"/>
      <c r="AH241" s="153"/>
      <c r="AI241" s="153"/>
      <c r="AJ241" s="153"/>
      <c r="AK241" s="154"/>
    </row>
    <row r="242" spans="1:37" x14ac:dyDescent="0.25">
      <c r="A242" s="142" t="s">
        <v>438</v>
      </c>
      <c r="B242" t="s">
        <v>691</v>
      </c>
      <c r="C242" t="s">
        <v>242</v>
      </c>
      <c r="D242" s="143">
        <f>IFERROR(VLOOKUP(B242,'Enrollment 25-26'!$B$5:$I$332,8,FALSE),0)</f>
        <v>0</v>
      </c>
      <c r="E242" s="64">
        <f t="shared" si="50"/>
        <v>0</v>
      </c>
      <c r="F242" s="144">
        <v>0</v>
      </c>
      <c r="G242" s="144">
        <v>0</v>
      </c>
      <c r="H242" s="64">
        <f t="shared" si="51"/>
        <v>0</v>
      </c>
      <c r="I242" s="64">
        <f t="shared" si="52"/>
        <v>0</v>
      </c>
      <c r="J242" s="145">
        <f t="shared" si="53"/>
        <v>0</v>
      </c>
      <c r="K242" s="146" t="str">
        <f t="shared" si="64"/>
        <v>N</v>
      </c>
      <c r="L242" s="147">
        <f t="shared" si="54"/>
        <v>0</v>
      </c>
      <c r="M242" s="148">
        <f t="shared" si="55"/>
        <v>0</v>
      </c>
      <c r="N242" s="64">
        <f t="shared" si="56"/>
        <v>0</v>
      </c>
      <c r="O242" s="64">
        <f t="shared" si="57"/>
        <v>0</v>
      </c>
      <c r="Q242" s="104">
        <f t="shared" si="58"/>
        <v>0</v>
      </c>
      <c r="R242" s="104" t="str">
        <f t="shared" si="59"/>
        <v>Not Applicable</v>
      </c>
      <c r="S242" s="149" t="s">
        <v>815</v>
      </c>
      <c r="T242" s="149">
        <f>IF(O242=0,0,IF(S242="N",0,VLOOKUP(B242,'Enrollment 25-26'!$B$8:$K$332,9,FALSE)))</f>
        <v>0</v>
      </c>
      <c r="U242" s="64">
        <f t="shared" si="60"/>
        <v>0</v>
      </c>
      <c r="V242" s="128">
        <f t="shared" si="61"/>
        <v>0</v>
      </c>
      <c r="W242" s="150"/>
      <c r="X242" s="64">
        <f>IFERROR(VLOOKUP($B242,#REF!,14,FALSE),0)</f>
        <v>0</v>
      </c>
      <c r="Y242" s="99">
        <f t="shared" si="62"/>
        <v>0</v>
      </c>
      <c r="Z242" s="132">
        <f t="shared" si="63"/>
        <v>0</v>
      </c>
      <c r="AA242" s="151" t="str">
        <f t="shared" si="65"/>
        <v>N</v>
      </c>
      <c r="AC242" s="64"/>
      <c r="AE242" s="152"/>
      <c r="AH242" s="153"/>
      <c r="AI242" s="153"/>
      <c r="AJ242" s="153"/>
      <c r="AK242" s="154"/>
    </row>
    <row r="243" spans="1:37" x14ac:dyDescent="0.25">
      <c r="A243" s="142" t="s">
        <v>497</v>
      </c>
      <c r="B243" t="s">
        <v>692</v>
      </c>
      <c r="C243" t="s">
        <v>693</v>
      </c>
      <c r="D243" s="143">
        <f>IFERROR(VLOOKUP(B243,'Enrollment 25-26'!$B$5:$I$332,8,FALSE),0)</f>
        <v>0</v>
      </c>
      <c r="E243" s="64">
        <f t="shared" si="50"/>
        <v>0</v>
      </c>
      <c r="F243" s="144">
        <v>0</v>
      </c>
      <c r="G243" s="144">
        <v>0</v>
      </c>
      <c r="H243" s="64">
        <f t="shared" si="51"/>
        <v>0</v>
      </c>
      <c r="I243" s="64">
        <f t="shared" si="52"/>
        <v>0</v>
      </c>
      <c r="J243" s="145">
        <f t="shared" si="53"/>
        <v>0</v>
      </c>
      <c r="K243" s="146" t="str">
        <f t="shared" si="64"/>
        <v>N</v>
      </c>
      <c r="L243" s="147">
        <f t="shared" si="54"/>
        <v>0</v>
      </c>
      <c r="M243" s="148">
        <f t="shared" si="55"/>
        <v>0</v>
      </c>
      <c r="N243" s="64">
        <f t="shared" si="56"/>
        <v>0</v>
      </c>
      <c r="O243" s="64">
        <f t="shared" si="57"/>
        <v>0</v>
      </c>
      <c r="Q243" s="104">
        <f t="shared" si="58"/>
        <v>0</v>
      </c>
      <c r="R243" s="104" t="str">
        <f t="shared" si="59"/>
        <v>Not Applicable</v>
      </c>
      <c r="S243" s="149" t="s">
        <v>815</v>
      </c>
      <c r="T243" s="149">
        <f>IF(O243=0,0,IF(S243="N",0,VLOOKUP(B243,'Enrollment 25-26'!$B$8:$K$332,9,FALSE)))</f>
        <v>0</v>
      </c>
      <c r="U243" s="64">
        <f t="shared" si="60"/>
        <v>0</v>
      </c>
      <c r="V243" s="128">
        <f t="shared" si="61"/>
        <v>0</v>
      </c>
      <c r="W243" s="150"/>
      <c r="X243" s="64">
        <f>IFERROR(VLOOKUP($B243,#REF!,14,FALSE),0)</f>
        <v>0</v>
      </c>
      <c r="Y243" s="99">
        <f t="shared" si="62"/>
        <v>0</v>
      </c>
      <c r="Z243" s="132">
        <f t="shared" si="63"/>
        <v>0</v>
      </c>
      <c r="AA243" s="151" t="str">
        <f t="shared" si="65"/>
        <v>N</v>
      </c>
      <c r="AC243" s="64"/>
      <c r="AE243" s="152"/>
      <c r="AH243" s="153"/>
      <c r="AI243" s="153"/>
      <c r="AJ243" s="153"/>
      <c r="AK243" s="154"/>
    </row>
    <row r="244" spans="1:37" x14ac:dyDescent="0.25">
      <c r="A244" s="142" t="s">
        <v>497</v>
      </c>
      <c r="B244" t="s">
        <v>694</v>
      </c>
      <c r="C244" t="s">
        <v>695</v>
      </c>
      <c r="D244" s="143">
        <f>IFERROR(VLOOKUP(B244,'Enrollment 25-26'!$B$5:$I$332,8,FALSE),0)</f>
        <v>0</v>
      </c>
      <c r="E244" s="64">
        <f t="shared" si="50"/>
        <v>0</v>
      </c>
      <c r="F244" s="144">
        <v>0</v>
      </c>
      <c r="G244" s="144">
        <v>0</v>
      </c>
      <c r="H244" s="64">
        <f t="shared" si="51"/>
        <v>0</v>
      </c>
      <c r="I244" s="64">
        <f t="shared" si="52"/>
        <v>0</v>
      </c>
      <c r="J244" s="145">
        <f t="shared" si="53"/>
        <v>0</v>
      </c>
      <c r="K244" s="146" t="str">
        <f t="shared" si="64"/>
        <v>N</v>
      </c>
      <c r="L244" s="147">
        <f t="shared" si="54"/>
        <v>0</v>
      </c>
      <c r="M244" s="148">
        <f t="shared" si="55"/>
        <v>0</v>
      </c>
      <c r="N244" s="64">
        <f t="shared" si="56"/>
        <v>0</v>
      </c>
      <c r="O244" s="64">
        <f t="shared" si="57"/>
        <v>0</v>
      </c>
      <c r="Q244" s="104">
        <f t="shared" si="58"/>
        <v>0</v>
      </c>
      <c r="R244" s="104" t="str">
        <f t="shared" si="59"/>
        <v>Not Applicable</v>
      </c>
      <c r="S244" s="149" t="s">
        <v>815</v>
      </c>
      <c r="T244" s="149">
        <f>IF(O244=0,0,IF(S244="N",0,VLOOKUP(B244,'Enrollment 25-26'!$B$8:$K$332,9,FALSE)))</f>
        <v>0</v>
      </c>
      <c r="U244" s="64">
        <f t="shared" si="60"/>
        <v>0</v>
      </c>
      <c r="V244" s="128">
        <f t="shared" si="61"/>
        <v>0</v>
      </c>
      <c r="W244" s="150"/>
      <c r="X244" s="64">
        <f>IFERROR(VLOOKUP($B244,#REF!,14,FALSE),0)</f>
        <v>0</v>
      </c>
      <c r="Y244" s="99">
        <f t="shared" si="62"/>
        <v>0</v>
      </c>
      <c r="Z244" s="132">
        <f t="shared" si="63"/>
        <v>0</v>
      </c>
      <c r="AA244" s="151" t="str">
        <f t="shared" si="65"/>
        <v>N</v>
      </c>
      <c r="AC244" s="64"/>
      <c r="AE244" s="152"/>
      <c r="AH244" s="153"/>
      <c r="AI244" s="153"/>
      <c r="AJ244" s="153"/>
      <c r="AK244" s="154"/>
    </row>
    <row r="245" spans="1:37" x14ac:dyDescent="0.25">
      <c r="A245" s="142" t="s">
        <v>454</v>
      </c>
      <c r="B245" t="s">
        <v>696</v>
      </c>
      <c r="C245" t="s">
        <v>243</v>
      </c>
      <c r="D245" s="143">
        <f>IFERROR(VLOOKUP(B245,'Enrollment 25-26'!$B$5:$I$332,8,FALSE),0)</f>
        <v>7565.1733333333332</v>
      </c>
      <c r="E245" s="64">
        <f t="shared" si="50"/>
        <v>879604</v>
      </c>
      <c r="F245" s="144">
        <v>0</v>
      </c>
      <c r="G245" s="144">
        <v>0</v>
      </c>
      <c r="H245" s="158">
        <f>SUM(E245:G245)+5</f>
        <v>879609</v>
      </c>
      <c r="I245" s="64">
        <f t="shared" si="52"/>
        <v>0</v>
      </c>
      <c r="J245" s="145">
        <f t="shared" si="53"/>
        <v>879609</v>
      </c>
      <c r="K245" s="146" t="str">
        <f t="shared" si="64"/>
        <v>Y</v>
      </c>
      <c r="L245" s="147">
        <f t="shared" si="54"/>
        <v>0</v>
      </c>
      <c r="M245" s="148">
        <f t="shared" si="55"/>
        <v>7565.1733333333332</v>
      </c>
      <c r="N245" s="64">
        <f t="shared" si="56"/>
        <v>6504</v>
      </c>
      <c r="O245" s="158">
        <f>J245-L245+N245</f>
        <v>886113</v>
      </c>
      <c r="Q245" s="104">
        <f t="shared" si="58"/>
        <v>0</v>
      </c>
      <c r="R245" s="104" t="str">
        <f t="shared" si="59"/>
        <v>Not Applicable</v>
      </c>
      <c r="S245" s="149" t="s">
        <v>815</v>
      </c>
      <c r="T245" s="149">
        <f>IF(O245=0,0,IF(S245="N",0,VLOOKUP(B245,'Enrollment 25-26'!$B$8:$K$332,9,FALSE)))</f>
        <v>0</v>
      </c>
      <c r="U245" s="64">
        <f t="shared" si="60"/>
        <v>886113</v>
      </c>
      <c r="V245" s="128">
        <f t="shared" si="61"/>
        <v>117.13056145001305</v>
      </c>
      <c r="W245" s="150"/>
      <c r="X245" s="64">
        <f>IFERROR(VLOOKUP($B245,#REF!,14,FALSE),0)</f>
        <v>0</v>
      </c>
      <c r="Y245" s="99">
        <f t="shared" si="62"/>
        <v>886113</v>
      </c>
      <c r="Z245" s="132">
        <f t="shared" si="63"/>
        <v>0</v>
      </c>
      <c r="AA245" s="151" t="str">
        <f t="shared" si="65"/>
        <v>Y</v>
      </c>
      <c r="AC245" s="64"/>
      <c r="AE245" s="152"/>
      <c r="AH245" s="153"/>
      <c r="AI245" s="153"/>
      <c r="AJ245" s="153"/>
      <c r="AK245" s="154"/>
    </row>
    <row r="246" spans="1:37" x14ac:dyDescent="0.25">
      <c r="A246" s="142" t="s">
        <v>446</v>
      </c>
      <c r="B246" t="s">
        <v>697</v>
      </c>
      <c r="C246" t="s">
        <v>244</v>
      </c>
      <c r="D246" s="143">
        <f>IFERROR(VLOOKUP(B246,'Enrollment 25-26'!$B$5:$I$332,8,FALSE),0)</f>
        <v>446.17333333333329</v>
      </c>
      <c r="E246" s="64">
        <f t="shared" si="50"/>
        <v>51877</v>
      </c>
      <c r="F246" s="144">
        <v>0</v>
      </c>
      <c r="G246" s="144">
        <v>0</v>
      </c>
      <c r="H246" s="64">
        <f>SUM(E246:G246)</f>
        <v>51877</v>
      </c>
      <c r="I246" s="64">
        <f t="shared" si="52"/>
        <v>0</v>
      </c>
      <c r="J246" s="145">
        <f t="shared" si="53"/>
        <v>51877</v>
      </c>
      <c r="K246" s="146" t="str">
        <f t="shared" si="64"/>
        <v>Y</v>
      </c>
      <c r="L246" s="147">
        <f t="shared" si="54"/>
        <v>0</v>
      </c>
      <c r="M246" s="148">
        <f t="shared" si="55"/>
        <v>446.17333333333329</v>
      </c>
      <c r="N246" s="64">
        <f t="shared" si="56"/>
        <v>384</v>
      </c>
      <c r="O246" s="64">
        <f t="shared" ref="O246:O309" si="66">J246-L246+N246</f>
        <v>52261</v>
      </c>
      <c r="Q246" s="104">
        <f t="shared" si="58"/>
        <v>0</v>
      </c>
      <c r="R246" s="104" t="str">
        <f t="shared" si="59"/>
        <v>Not Applicable</v>
      </c>
      <c r="S246" s="149" t="s">
        <v>815</v>
      </c>
      <c r="T246" s="149">
        <f>IF(O246=0,0,IF(S246="N",0,VLOOKUP(B246,'Enrollment 25-26'!$B$8:$K$332,9,FALSE)))</f>
        <v>0</v>
      </c>
      <c r="U246" s="64">
        <f t="shared" si="60"/>
        <v>52261</v>
      </c>
      <c r="V246" s="128">
        <f t="shared" si="61"/>
        <v>117.1316080447061</v>
      </c>
      <c r="W246" s="150"/>
      <c r="X246" s="64">
        <f>IFERROR(VLOOKUP($B246,#REF!,14,FALSE),0)</f>
        <v>0</v>
      </c>
      <c r="Y246" s="99">
        <f t="shared" si="62"/>
        <v>52261</v>
      </c>
      <c r="Z246" s="132">
        <f t="shared" si="63"/>
        <v>0</v>
      </c>
      <c r="AA246" s="151" t="str">
        <f t="shared" si="65"/>
        <v>Y</v>
      </c>
      <c r="AC246" s="64"/>
      <c r="AE246" s="152"/>
      <c r="AH246" s="153"/>
      <c r="AI246" s="153"/>
      <c r="AJ246" s="153"/>
      <c r="AK246" s="154"/>
    </row>
    <row r="247" spans="1:37" x14ac:dyDescent="0.25">
      <c r="A247" s="142" t="s">
        <v>471</v>
      </c>
      <c r="B247" t="s">
        <v>698</v>
      </c>
      <c r="C247" t="s">
        <v>245</v>
      </c>
      <c r="D247" s="143">
        <f>IFERROR(VLOOKUP(B247,'Enrollment 25-26'!$B$5:$I$332,8,FALSE),0)</f>
        <v>458.33333333333331</v>
      </c>
      <c r="E247" s="64">
        <f t="shared" si="50"/>
        <v>53290</v>
      </c>
      <c r="F247" s="144">
        <v>0</v>
      </c>
      <c r="G247" s="144">
        <v>0</v>
      </c>
      <c r="H247" s="64">
        <f t="shared" ref="H247:H310" si="67">SUM(E247:G247)</f>
        <v>53290</v>
      </c>
      <c r="I247" s="64">
        <f t="shared" si="52"/>
        <v>0</v>
      </c>
      <c r="J247" s="145">
        <f t="shared" si="53"/>
        <v>53290</v>
      </c>
      <c r="K247" s="146" t="str">
        <f t="shared" si="64"/>
        <v>Y</v>
      </c>
      <c r="L247" s="147">
        <f t="shared" si="54"/>
        <v>0</v>
      </c>
      <c r="M247" s="148">
        <f t="shared" si="55"/>
        <v>458.33333333333331</v>
      </c>
      <c r="N247" s="64">
        <f t="shared" si="56"/>
        <v>394</v>
      </c>
      <c r="O247" s="64">
        <f t="shared" si="66"/>
        <v>53684</v>
      </c>
      <c r="Q247" s="104">
        <f t="shared" si="58"/>
        <v>0</v>
      </c>
      <c r="R247" s="104" t="str">
        <f t="shared" si="59"/>
        <v>Not Applicable</v>
      </c>
      <c r="S247" s="149" t="s">
        <v>815</v>
      </c>
      <c r="T247" s="149">
        <f>IF(O247=0,0,IF(S247="N",0,VLOOKUP(B247,'Enrollment 25-26'!$B$8:$K$332,9,FALSE)))</f>
        <v>0</v>
      </c>
      <c r="U247" s="64">
        <f t="shared" si="60"/>
        <v>53684</v>
      </c>
      <c r="V247" s="128">
        <f t="shared" si="61"/>
        <v>117.12872727272728</v>
      </c>
      <c r="W247" s="150"/>
      <c r="X247" s="64">
        <f>IFERROR(VLOOKUP($B247,#REF!,14,FALSE),0)</f>
        <v>0</v>
      </c>
      <c r="Y247" s="99">
        <f t="shared" si="62"/>
        <v>53684</v>
      </c>
      <c r="Z247" s="132">
        <f t="shared" si="63"/>
        <v>0</v>
      </c>
      <c r="AA247" s="151" t="str">
        <f t="shared" si="65"/>
        <v>Y</v>
      </c>
      <c r="AC247" s="64"/>
      <c r="AE247" s="152"/>
      <c r="AH247" s="153"/>
      <c r="AI247" s="153"/>
      <c r="AJ247" s="153"/>
      <c r="AK247" s="154"/>
    </row>
    <row r="248" spans="1:37" x14ac:dyDescent="0.25">
      <c r="A248" s="142" t="s">
        <v>443</v>
      </c>
      <c r="B248" t="s">
        <v>699</v>
      </c>
      <c r="C248" t="s">
        <v>246</v>
      </c>
      <c r="D248" s="143">
        <f>IFERROR(VLOOKUP(B248,'Enrollment 25-26'!$B$5:$I$332,8,FALSE),0)</f>
        <v>0</v>
      </c>
      <c r="E248" s="64">
        <f t="shared" si="50"/>
        <v>0</v>
      </c>
      <c r="F248" s="144">
        <v>0</v>
      </c>
      <c r="G248" s="144">
        <v>0</v>
      </c>
      <c r="H248" s="64">
        <f t="shared" si="67"/>
        <v>0</v>
      </c>
      <c r="I248" s="64">
        <f t="shared" si="52"/>
        <v>0</v>
      </c>
      <c r="J248" s="145">
        <f t="shared" si="53"/>
        <v>0</v>
      </c>
      <c r="K248" s="146" t="str">
        <f t="shared" si="64"/>
        <v>N</v>
      </c>
      <c r="L248" s="147">
        <f t="shared" si="54"/>
        <v>0</v>
      </c>
      <c r="M248" s="148">
        <f t="shared" si="55"/>
        <v>0</v>
      </c>
      <c r="N248" s="64">
        <f t="shared" si="56"/>
        <v>0</v>
      </c>
      <c r="O248" s="64">
        <f t="shared" si="66"/>
        <v>0</v>
      </c>
      <c r="Q248" s="104">
        <f t="shared" si="58"/>
        <v>0</v>
      </c>
      <c r="R248" s="104" t="str">
        <f t="shared" si="59"/>
        <v>Not Applicable</v>
      </c>
      <c r="S248" s="149" t="s">
        <v>815</v>
      </c>
      <c r="T248" s="149">
        <f>IF(O248=0,0,IF(S248="N",0,VLOOKUP(B248,'Enrollment 25-26'!$B$8:$K$332,9,FALSE)))</f>
        <v>0</v>
      </c>
      <c r="U248" s="64">
        <f t="shared" si="60"/>
        <v>0</v>
      </c>
      <c r="V248" s="128">
        <f t="shared" si="61"/>
        <v>0</v>
      </c>
      <c r="W248" s="150"/>
      <c r="X248" s="64">
        <f>IFERROR(VLOOKUP($B248,#REF!,14,FALSE),0)</f>
        <v>0</v>
      </c>
      <c r="Y248" s="99">
        <f t="shared" si="62"/>
        <v>0</v>
      </c>
      <c r="Z248" s="132">
        <f t="shared" si="63"/>
        <v>0</v>
      </c>
      <c r="AA248" s="151" t="str">
        <f t="shared" si="65"/>
        <v>N</v>
      </c>
      <c r="AC248" s="64"/>
      <c r="AE248" s="152"/>
      <c r="AH248" s="153"/>
      <c r="AI248" s="153"/>
      <c r="AJ248" s="153"/>
      <c r="AK248" s="154"/>
    </row>
    <row r="249" spans="1:37" x14ac:dyDescent="0.25">
      <c r="A249" s="142" t="s">
        <v>478</v>
      </c>
      <c r="B249" t="s">
        <v>700</v>
      </c>
      <c r="C249" t="s">
        <v>247</v>
      </c>
      <c r="D249" s="143">
        <f>IFERROR(VLOOKUP(B249,'Enrollment 25-26'!$B$5:$I$332,8,FALSE),0)</f>
        <v>41</v>
      </c>
      <c r="E249" s="64">
        <f t="shared" si="50"/>
        <v>4767</v>
      </c>
      <c r="F249" s="144">
        <v>0</v>
      </c>
      <c r="G249" s="144">
        <v>0</v>
      </c>
      <c r="H249" s="64">
        <f t="shared" si="67"/>
        <v>4767</v>
      </c>
      <c r="I249" s="64">
        <f t="shared" si="52"/>
        <v>0</v>
      </c>
      <c r="J249" s="145">
        <f t="shared" si="53"/>
        <v>4767</v>
      </c>
      <c r="K249" s="146" t="str">
        <f t="shared" si="64"/>
        <v>N</v>
      </c>
      <c r="L249" s="147">
        <f t="shared" si="54"/>
        <v>4767</v>
      </c>
      <c r="M249" s="148">
        <f t="shared" si="55"/>
        <v>0</v>
      </c>
      <c r="N249" s="64">
        <f t="shared" si="56"/>
        <v>0</v>
      </c>
      <c r="O249" s="64">
        <f t="shared" si="66"/>
        <v>0</v>
      </c>
      <c r="Q249" s="104">
        <f t="shared" si="58"/>
        <v>0</v>
      </c>
      <c r="R249" s="104" t="str">
        <f t="shared" si="59"/>
        <v>Not Applicable</v>
      </c>
      <c r="S249" s="149" t="s">
        <v>815</v>
      </c>
      <c r="T249" s="149">
        <f>IF(O249=0,0,IF(S249="N",0,VLOOKUP(B249,'Enrollment 25-26'!$B$8:$K$332,9,FALSE)))</f>
        <v>0</v>
      </c>
      <c r="U249" s="64">
        <f t="shared" si="60"/>
        <v>0</v>
      </c>
      <c r="V249" s="128">
        <f t="shared" si="61"/>
        <v>0</v>
      </c>
      <c r="W249" s="150"/>
      <c r="X249" s="64">
        <f>IFERROR(VLOOKUP($B249,#REF!,14,FALSE),0)</f>
        <v>0</v>
      </c>
      <c r="Y249" s="99">
        <f t="shared" si="62"/>
        <v>0</v>
      </c>
      <c r="Z249" s="132">
        <f t="shared" si="63"/>
        <v>0</v>
      </c>
      <c r="AA249" s="151" t="str">
        <f t="shared" si="65"/>
        <v>N</v>
      </c>
      <c r="AC249" s="64"/>
      <c r="AE249" s="152"/>
      <c r="AH249" s="153"/>
      <c r="AI249" s="153"/>
      <c r="AJ249" s="153"/>
      <c r="AK249" s="154"/>
    </row>
    <row r="250" spans="1:37" x14ac:dyDescent="0.25">
      <c r="A250" s="142" t="s">
        <v>446</v>
      </c>
      <c r="B250" t="s">
        <v>701</v>
      </c>
      <c r="C250" t="s">
        <v>248</v>
      </c>
      <c r="D250" s="143">
        <f>IFERROR(VLOOKUP(B250,'Enrollment 25-26'!$B$5:$I$332,8,FALSE),0)</f>
        <v>0</v>
      </c>
      <c r="E250" s="64">
        <f t="shared" si="50"/>
        <v>0</v>
      </c>
      <c r="F250" s="144">
        <v>0</v>
      </c>
      <c r="G250" s="144">
        <v>0</v>
      </c>
      <c r="H250" s="64">
        <f t="shared" si="67"/>
        <v>0</v>
      </c>
      <c r="I250" s="64">
        <f t="shared" si="52"/>
        <v>0</v>
      </c>
      <c r="J250" s="145">
        <f t="shared" si="53"/>
        <v>0</v>
      </c>
      <c r="K250" s="146" t="str">
        <f t="shared" si="64"/>
        <v>N</v>
      </c>
      <c r="L250" s="147">
        <f t="shared" si="54"/>
        <v>0</v>
      </c>
      <c r="M250" s="148">
        <f t="shared" si="55"/>
        <v>0</v>
      </c>
      <c r="N250" s="64">
        <f t="shared" si="56"/>
        <v>0</v>
      </c>
      <c r="O250" s="64">
        <f t="shared" si="66"/>
        <v>0</v>
      </c>
      <c r="Q250" s="104">
        <f t="shared" si="58"/>
        <v>0</v>
      </c>
      <c r="R250" s="104" t="str">
        <f t="shared" si="59"/>
        <v>Not Applicable</v>
      </c>
      <c r="S250" s="149" t="s">
        <v>815</v>
      </c>
      <c r="T250" s="149">
        <f>IF(O250=0,0,IF(S250="N",0,VLOOKUP(B250,'Enrollment 25-26'!$B$8:$K$332,9,FALSE)))</f>
        <v>0</v>
      </c>
      <c r="U250" s="64">
        <f t="shared" si="60"/>
        <v>0</v>
      </c>
      <c r="V250" s="128">
        <f t="shared" si="61"/>
        <v>0</v>
      </c>
      <c r="W250" s="150"/>
      <c r="X250" s="64">
        <f>IFERROR(VLOOKUP($B250,#REF!,14,FALSE),0)</f>
        <v>0</v>
      </c>
      <c r="Y250" s="99">
        <f t="shared" si="62"/>
        <v>0</v>
      </c>
      <c r="Z250" s="132">
        <f t="shared" si="63"/>
        <v>0</v>
      </c>
      <c r="AA250" s="151" t="str">
        <f t="shared" si="65"/>
        <v>N</v>
      </c>
      <c r="AC250" s="64"/>
      <c r="AE250" s="152"/>
      <c r="AH250" s="153"/>
      <c r="AI250" s="153"/>
      <c r="AJ250" s="153"/>
      <c r="AK250" s="154"/>
    </row>
    <row r="251" spans="1:37" x14ac:dyDescent="0.25">
      <c r="A251" s="142" t="s">
        <v>438</v>
      </c>
      <c r="B251" t="s">
        <v>702</v>
      </c>
      <c r="C251" t="s">
        <v>249</v>
      </c>
      <c r="D251" s="143">
        <f>IFERROR(VLOOKUP(B251,'Enrollment 25-26'!$B$5:$I$332,8,FALSE),0)</f>
        <v>1162.8366666666668</v>
      </c>
      <c r="E251" s="64">
        <f t="shared" si="50"/>
        <v>135203</v>
      </c>
      <c r="F251" s="144">
        <v>0</v>
      </c>
      <c r="G251" s="144">
        <v>0</v>
      </c>
      <c r="H251" s="64">
        <f t="shared" si="67"/>
        <v>135203</v>
      </c>
      <c r="I251" s="64">
        <f t="shared" si="52"/>
        <v>0</v>
      </c>
      <c r="J251" s="145">
        <f t="shared" si="53"/>
        <v>135203</v>
      </c>
      <c r="K251" s="146" t="str">
        <f t="shared" si="64"/>
        <v>Y</v>
      </c>
      <c r="L251" s="147">
        <f t="shared" si="54"/>
        <v>0</v>
      </c>
      <c r="M251" s="148">
        <f t="shared" si="55"/>
        <v>1162.8366666666668</v>
      </c>
      <c r="N251" s="64">
        <f t="shared" si="56"/>
        <v>1000</v>
      </c>
      <c r="O251" s="64">
        <f t="shared" si="66"/>
        <v>136203</v>
      </c>
      <c r="Q251" s="104">
        <f t="shared" si="58"/>
        <v>0</v>
      </c>
      <c r="R251" s="104" t="str">
        <f t="shared" si="59"/>
        <v>Not Applicable</v>
      </c>
      <c r="S251" s="149" t="s">
        <v>815</v>
      </c>
      <c r="T251" s="149">
        <f>IF(O251=0,0,IF(S251="N",0,VLOOKUP(B251,'Enrollment 25-26'!$B$8:$K$332,9,FALSE)))</f>
        <v>0</v>
      </c>
      <c r="U251" s="64">
        <f t="shared" si="60"/>
        <v>136203</v>
      </c>
      <c r="V251" s="128">
        <f t="shared" si="61"/>
        <v>117.12994946266456</v>
      </c>
      <c r="W251" s="150"/>
      <c r="X251" s="64">
        <f>IFERROR(VLOOKUP($B251,#REF!,14,FALSE),0)</f>
        <v>0</v>
      </c>
      <c r="Y251" s="99">
        <f t="shared" si="62"/>
        <v>136203</v>
      </c>
      <c r="Z251" s="132">
        <f t="shared" si="63"/>
        <v>0</v>
      </c>
      <c r="AA251" s="151" t="str">
        <f t="shared" si="65"/>
        <v>Y</v>
      </c>
      <c r="AC251" s="64"/>
      <c r="AE251" s="152"/>
      <c r="AH251" s="153"/>
      <c r="AI251" s="153"/>
      <c r="AJ251" s="153"/>
      <c r="AK251" s="154"/>
    </row>
    <row r="252" spans="1:37" x14ac:dyDescent="0.25">
      <c r="A252" s="142" t="s">
        <v>454</v>
      </c>
      <c r="B252" t="s">
        <v>703</v>
      </c>
      <c r="C252" t="s">
        <v>250</v>
      </c>
      <c r="D252" s="143">
        <f>IFERROR(VLOOKUP(B252,'Enrollment 25-26'!$B$5:$I$332,8,FALSE),0)</f>
        <v>1155.8266666666668</v>
      </c>
      <c r="E252" s="64">
        <f t="shared" si="50"/>
        <v>134388</v>
      </c>
      <c r="F252" s="144">
        <v>0</v>
      </c>
      <c r="G252" s="144">
        <v>0</v>
      </c>
      <c r="H252" s="64">
        <f t="shared" si="67"/>
        <v>134388</v>
      </c>
      <c r="I252" s="64">
        <f t="shared" si="52"/>
        <v>0</v>
      </c>
      <c r="J252" s="145">
        <f t="shared" si="53"/>
        <v>134388</v>
      </c>
      <c r="K252" s="146" t="str">
        <f t="shared" si="64"/>
        <v>Y</v>
      </c>
      <c r="L252" s="147">
        <f t="shared" si="54"/>
        <v>0</v>
      </c>
      <c r="M252" s="148">
        <f t="shared" si="55"/>
        <v>1155.8266666666668</v>
      </c>
      <c r="N252" s="64">
        <f t="shared" si="56"/>
        <v>994</v>
      </c>
      <c r="O252" s="64">
        <f t="shared" si="66"/>
        <v>135382</v>
      </c>
      <c r="Q252" s="104">
        <f t="shared" si="58"/>
        <v>0</v>
      </c>
      <c r="R252" s="104" t="str">
        <f t="shared" si="59"/>
        <v>Not Applicable</v>
      </c>
      <c r="S252" s="149" t="s">
        <v>815</v>
      </c>
      <c r="T252" s="149">
        <f>IF(O252=0,0,IF(S252="N",0,VLOOKUP(B252,'Enrollment 25-26'!$B$8:$K$332,9,FALSE)))</f>
        <v>0</v>
      </c>
      <c r="U252" s="64">
        <f t="shared" si="60"/>
        <v>135382</v>
      </c>
      <c r="V252" s="128">
        <f t="shared" si="61"/>
        <v>117.13001949542605</v>
      </c>
      <c r="W252" s="150"/>
      <c r="X252" s="64">
        <f>IFERROR(VLOOKUP($B252,#REF!,14,FALSE),0)</f>
        <v>0</v>
      </c>
      <c r="Y252" s="99">
        <f t="shared" si="62"/>
        <v>135382</v>
      </c>
      <c r="Z252" s="132">
        <f t="shared" si="63"/>
        <v>0</v>
      </c>
      <c r="AA252" s="151" t="str">
        <f t="shared" si="65"/>
        <v>Y</v>
      </c>
      <c r="AC252" s="64"/>
      <c r="AE252" s="152"/>
      <c r="AH252" s="153"/>
      <c r="AI252" s="153"/>
      <c r="AJ252" s="153"/>
      <c r="AK252" s="154"/>
    </row>
    <row r="253" spans="1:37" x14ac:dyDescent="0.25">
      <c r="A253" s="142" t="s">
        <v>459</v>
      </c>
      <c r="B253" t="s">
        <v>704</v>
      </c>
      <c r="C253" t="s">
        <v>251</v>
      </c>
      <c r="D253" s="143">
        <f>IFERROR(VLOOKUP(B253,'Enrollment 25-26'!$B$5:$I$332,8,FALSE),0)</f>
        <v>0</v>
      </c>
      <c r="E253" s="64">
        <f t="shared" si="50"/>
        <v>0</v>
      </c>
      <c r="F253" s="144">
        <v>0</v>
      </c>
      <c r="G253" s="144">
        <v>0</v>
      </c>
      <c r="H253" s="64">
        <f t="shared" si="67"/>
        <v>0</v>
      </c>
      <c r="I253" s="64">
        <f t="shared" si="52"/>
        <v>0</v>
      </c>
      <c r="J253" s="145">
        <f t="shared" si="53"/>
        <v>0</v>
      </c>
      <c r="K253" s="146" t="str">
        <f t="shared" si="64"/>
        <v>N</v>
      </c>
      <c r="L253" s="147">
        <f t="shared" si="54"/>
        <v>0</v>
      </c>
      <c r="M253" s="148">
        <f t="shared" si="55"/>
        <v>0</v>
      </c>
      <c r="N253" s="64">
        <f t="shared" si="56"/>
        <v>0</v>
      </c>
      <c r="O253" s="64">
        <f t="shared" si="66"/>
        <v>0</v>
      </c>
      <c r="Q253" s="104">
        <f t="shared" si="58"/>
        <v>0</v>
      </c>
      <c r="R253" s="104" t="str">
        <f t="shared" si="59"/>
        <v>Not Applicable</v>
      </c>
      <c r="S253" s="149" t="s">
        <v>815</v>
      </c>
      <c r="T253" s="149">
        <f>IF(O253=0,0,IF(S253="N",0,VLOOKUP(B253,'Enrollment 25-26'!$B$8:$K$332,9,FALSE)))</f>
        <v>0</v>
      </c>
      <c r="U253" s="64">
        <f t="shared" si="60"/>
        <v>0</v>
      </c>
      <c r="V253" s="128">
        <f t="shared" si="61"/>
        <v>0</v>
      </c>
      <c r="W253" s="150"/>
      <c r="X253" s="64">
        <f>IFERROR(VLOOKUP($B253,#REF!,14,FALSE),0)</f>
        <v>0</v>
      </c>
      <c r="Y253" s="99">
        <f t="shared" si="62"/>
        <v>0</v>
      </c>
      <c r="Z253" s="132">
        <f t="shared" si="63"/>
        <v>0</v>
      </c>
      <c r="AA253" s="151" t="str">
        <f t="shared" si="65"/>
        <v>N</v>
      </c>
      <c r="AC253" s="64"/>
      <c r="AE253" s="152"/>
      <c r="AH253" s="153"/>
      <c r="AI253" s="153"/>
      <c r="AJ253" s="153"/>
      <c r="AK253" s="154"/>
    </row>
    <row r="254" spans="1:37" x14ac:dyDescent="0.25">
      <c r="A254" s="142" t="s">
        <v>454</v>
      </c>
      <c r="B254" t="s">
        <v>705</v>
      </c>
      <c r="C254" t="s">
        <v>252</v>
      </c>
      <c r="D254" s="143">
        <f>IFERROR(VLOOKUP(B254,'Enrollment 25-26'!$B$5:$I$332,8,FALSE),0)</f>
        <v>0</v>
      </c>
      <c r="E254" s="64">
        <f t="shared" si="50"/>
        <v>0</v>
      </c>
      <c r="F254" s="144">
        <v>0</v>
      </c>
      <c r="G254" s="144">
        <v>0</v>
      </c>
      <c r="H254" s="64">
        <f t="shared" si="67"/>
        <v>0</v>
      </c>
      <c r="I254" s="64">
        <f t="shared" si="52"/>
        <v>0</v>
      </c>
      <c r="J254" s="145">
        <f t="shared" si="53"/>
        <v>0</v>
      </c>
      <c r="K254" s="146" t="str">
        <f t="shared" si="64"/>
        <v>N</v>
      </c>
      <c r="L254" s="147">
        <f t="shared" si="54"/>
        <v>0</v>
      </c>
      <c r="M254" s="148">
        <f t="shared" si="55"/>
        <v>0</v>
      </c>
      <c r="N254" s="64">
        <f t="shared" si="56"/>
        <v>0</v>
      </c>
      <c r="O254" s="64">
        <f t="shared" si="66"/>
        <v>0</v>
      </c>
      <c r="Q254" s="104">
        <f t="shared" si="58"/>
        <v>0</v>
      </c>
      <c r="R254" s="104" t="str">
        <f t="shared" si="59"/>
        <v>Not Applicable</v>
      </c>
      <c r="S254" s="149" t="s">
        <v>815</v>
      </c>
      <c r="T254" s="149">
        <f>IF(O254=0,0,IF(S254="N",0,VLOOKUP(B254,'Enrollment 25-26'!$B$8:$K$332,9,FALSE)))</f>
        <v>0</v>
      </c>
      <c r="U254" s="64">
        <f t="shared" si="60"/>
        <v>0</v>
      </c>
      <c r="V254" s="128">
        <f t="shared" si="61"/>
        <v>0</v>
      </c>
      <c r="W254" s="150"/>
      <c r="X254" s="64">
        <f>IFERROR(VLOOKUP($B254,#REF!,14,FALSE),0)</f>
        <v>0</v>
      </c>
      <c r="Y254" s="99">
        <f t="shared" si="62"/>
        <v>0</v>
      </c>
      <c r="Z254" s="132">
        <f t="shared" si="63"/>
        <v>0</v>
      </c>
      <c r="AA254" s="151" t="str">
        <f t="shared" si="65"/>
        <v>N</v>
      </c>
      <c r="AC254" s="64"/>
      <c r="AE254" s="152"/>
      <c r="AH254" s="153"/>
      <c r="AI254" s="153"/>
      <c r="AJ254" s="153"/>
      <c r="AK254" s="154"/>
    </row>
    <row r="255" spans="1:37" x14ac:dyDescent="0.25">
      <c r="A255" s="142" t="s">
        <v>446</v>
      </c>
      <c r="B255" t="s">
        <v>706</v>
      </c>
      <c r="C255" t="s">
        <v>253</v>
      </c>
      <c r="D255" s="143">
        <f>IFERROR(VLOOKUP(B255,'Enrollment 25-26'!$B$5:$I$332,8,FALSE),0)</f>
        <v>615.17000000000007</v>
      </c>
      <c r="E255" s="64">
        <f t="shared" si="50"/>
        <v>71526</v>
      </c>
      <c r="F255" s="144">
        <v>0</v>
      </c>
      <c r="G255" s="144">
        <v>0</v>
      </c>
      <c r="H255" s="64">
        <f t="shared" si="67"/>
        <v>71526</v>
      </c>
      <c r="I255" s="64">
        <f t="shared" si="52"/>
        <v>0</v>
      </c>
      <c r="J255" s="145">
        <f t="shared" si="53"/>
        <v>71526</v>
      </c>
      <c r="K255" s="146" t="str">
        <f t="shared" si="64"/>
        <v>Y</v>
      </c>
      <c r="L255" s="147">
        <f t="shared" si="54"/>
        <v>0</v>
      </c>
      <c r="M255" s="148">
        <f t="shared" si="55"/>
        <v>615.17000000000007</v>
      </c>
      <c r="N255" s="64">
        <f t="shared" si="56"/>
        <v>529</v>
      </c>
      <c r="O255" s="64">
        <f t="shared" si="66"/>
        <v>72055</v>
      </c>
      <c r="Q255" s="104">
        <f t="shared" si="58"/>
        <v>0</v>
      </c>
      <c r="R255" s="104" t="str">
        <f t="shared" si="59"/>
        <v>Not Applicable</v>
      </c>
      <c r="S255" s="149" t="s">
        <v>815</v>
      </c>
      <c r="T255" s="149">
        <f>IF(O255=0,0,IF(S255="N",0,VLOOKUP(B255,'Enrollment 25-26'!$B$8:$K$332,9,FALSE)))</f>
        <v>0</v>
      </c>
      <c r="U255" s="64">
        <f t="shared" si="60"/>
        <v>72055</v>
      </c>
      <c r="V255" s="128">
        <f t="shared" si="61"/>
        <v>117.13022416567776</v>
      </c>
      <c r="W255" s="150"/>
      <c r="X255" s="64">
        <f>IFERROR(VLOOKUP($B255,#REF!,14,FALSE),0)</f>
        <v>0</v>
      </c>
      <c r="Y255" s="99">
        <f t="shared" si="62"/>
        <v>72055</v>
      </c>
      <c r="Z255" s="132">
        <f t="shared" si="63"/>
        <v>0</v>
      </c>
      <c r="AA255" s="151" t="str">
        <f t="shared" si="65"/>
        <v>Y</v>
      </c>
      <c r="AC255" s="64"/>
      <c r="AE255" s="152"/>
      <c r="AH255" s="153"/>
      <c r="AI255" s="153"/>
      <c r="AJ255" s="153"/>
      <c r="AK255" s="154"/>
    </row>
    <row r="256" spans="1:37" x14ac:dyDescent="0.25">
      <c r="A256" s="142" t="s">
        <v>454</v>
      </c>
      <c r="B256" t="s">
        <v>707</v>
      </c>
      <c r="C256" t="s">
        <v>254</v>
      </c>
      <c r="D256" s="143">
        <f>IFERROR(VLOOKUP(B256,'Enrollment 25-26'!$B$5:$I$332,8,FALSE),0)</f>
        <v>288.33</v>
      </c>
      <c r="E256" s="64">
        <f t="shared" si="50"/>
        <v>33524</v>
      </c>
      <c r="F256" s="144">
        <v>0</v>
      </c>
      <c r="G256" s="144">
        <v>0</v>
      </c>
      <c r="H256" s="64">
        <f t="shared" si="67"/>
        <v>33524</v>
      </c>
      <c r="I256" s="64">
        <f t="shared" si="52"/>
        <v>0</v>
      </c>
      <c r="J256" s="145">
        <f t="shared" si="53"/>
        <v>33524</v>
      </c>
      <c r="K256" s="146" t="str">
        <f t="shared" si="64"/>
        <v>Y</v>
      </c>
      <c r="L256" s="147">
        <f t="shared" si="54"/>
        <v>0</v>
      </c>
      <c r="M256" s="148">
        <f t="shared" si="55"/>
        <v>288.33</v>
      </c>
      <c r="N256" s="64">
        <f t="shared" si="56"/>
        <v>248</v>
      </c>
      <c r="O256" s="64">
        <f t="shared" si="66"/>
        <v>33772</v>
      </c>
      <c r="Q256" s="104">
        <f t="shared" si="58"/>
        <v>0</v>
      </c>
      <c r="R256" s="104" t="str">
        <f t="shared" si="59"/>
        <v>Not Applicable</v>
      </c>
      <c r="S256" s="149" t="s">
        <v>815</v>
      </c>
      <c r="T256" s="149">
        <f>IF(O256=0,0,IF(S256="N",0,VLOOKUP(B256,'Enrollment 25-26'!$B$8:$K$332,9,FALSE)))</f>
        <v>0</v>
      </c>
      <c r="U256" s="64">
        <f t="shared" si="60"/>
        <v>33772</v>
      </c>
      <c r="V256" s="128">
        <f t="shared" si="61"/>
        <v>117.12967779974336</v>
      </c>
      <c r="W256" s="150"/>
      <c r="X256" s="64">
        <f>IFERROR(VLOOKUP($B256,#REF!,14,FALSE),0)</f>
        <v>0</v>
      </c>
      <c r="Y256" s="99">
        <f t="shared" si="62"/>
        <v>33772</v>
      </c>
      <c r="Z256" s="132">
        <f t="shared" si="63"/>
        <v>0</v>
      </c>
      <c r="AA256" s="151" t="str">
        <f t="shared" si="65"/>
        <v>Y</v>
      </c>
      <c r="AC256" s="64"/>
      <c r="AE256" s="152"/>
      <c r="AH256" s="153"/>
      <c r="AI256" s="153"/>
      <c r="AJ256" s="153"/>
      <c r="AK256" s="154"/>
    </row>
    <row r="257" spans="1:37" x14ac:dyDescent="0.25">
      <c r="A257" s="142" t="s">
        <v>481</v>
      </c>
      <c r="B257" t="s">
        <v>708</v>
      </c>
      <c r="C257" t="s">
        <v>255</v>
      </c>
      <c r="D257" s="143">
        <f>IFERROR(VLOOKUP(B257,'Enrollment 25-26'!$B$5:$I$332,8,FALSE),0)</f>
        <v>151.82999999999998</v>
      </c>
      <c r="E257" s="64">
        <f t="shared" si="50"/>
        <v>17653</v>
      </c>
      <c r="F257" s="144">
        <v>0</v>
      </c>
      <c r="G257" s="144">
        <v>0</v>
      </c>
      <c r="H257" s="64">
        <f t="shared" si="67"/>
        <v>17653</v>
      </c>
      <c r="I257" s="64">
        <f t="shared" si="52"/>
        <v>0</v>
      </c>
      <c r="J257" s="145">
        <f t="shared" si="53"/>
        <v>17653</v>
      </c>
      <c r="K257" s="146" t="str">
        <f t="shared" si="64"/>
        <v>Y</v>
      </c>
      <c r="L257" s="147">
        <f t="shared" si="54"/>
        <v>0</v>
      </c>
      <c r="M257" s="148">
        <f t="shared" si="55"/>
        <v>151.82999999999998</v>
      </c>
      <c r="N257" s="64">
        <f t="shared" si="56"/>
        <v>131</v>
      </c>
      <c r="O257" s="64">
        <f t="shared" si="66"/>
        <v>17784</v>
      </c>
      <c r="Q257" s="104">
        <f t="shared" si="58"/>
        <v>0</v>
      </c>
      <c r="R257" s="104" t="str">
        <f t="shared" si="59"/>
        <v>Not Applicable</v>
      </c>
      <c r="S257" s="149" t="s">
        <v>815</v>
      </c>
      <c r="T257" s="149">
        <f>IF(O257=0,0,IF(S257="N",0,VLOOKUP(B257,'Enrollment 25-26'!$B$8:$K$332,9,FALSE)))</f>
        <v>0</v>
      </c>
      <c r="U257" s="64">
        <f t="shared" si="60"/>
        <v>17784</v>
      </c>
      <c r="V257" s="128">
        <f t="shared" si="61"/>
        <v>117.13100177830469</v>
      </c>
      <c r="W257" s="150"/>
      <c r="X257" s="64">
        <f>IFERROR(VLOOKUP($B257,#REF!,14,FALSE),0)</f>
        <v>0</v>
      </c>
      <c r="Y257" s="99">
        <f t="shared" si="62"/>
        <v>17784</v>
      </c>
      <c r="Z257" s="132">
        <f t="shared" si="63"/>
        <v>0</v>
      </c>
      <c r="AA257" s="151" t="str">
        <f t="shared" si="65"/>
        <v>Y</v>
      </c>
      <c r="AC257" s="64"/>
      <c r="AE257" s="152"/>
      <c r="AH257" s="153"/>
      <c r="AI257" s="153"/>
      <c r="AJ257" s="153"/>
      <c r="AK257" s="154"/>
    </row>
    <row r="258" spans="1:37" x14ac:dyDescent="0.25">
      <c r="A258" s="142" t="s">
        <v>438</v>
      </c>
      <c r="B258" t="s">
        <v>709</v>
      </c>
      <c r="C258" t="s">
        <v>256</v>
      </c>
      <c r="D258" s="143">
        <f>IFERROR(VLOOKUP(B258,'Enrollment 25-26'!$B$5:$I$332,8,FALSE),0)</f>
        <v>115.34</v>
      </c>
      <c r="E258" s="64">
        <f t="shared" si="50"/>
        <v>13411</v>
      </c>
      <c r="F258" s="144">
        <v>0</v>
      </c>
      <c r="G258" s="144">
        <v>0</v>
      </c>
      <c r="H258" s="64">
        <f t="shared" si="67"/>
        <v>13411</v>
      </c>
      <c r="I258" s="64">
        <f t="shared" si="52"/>
        <v>0</v>
      </c>
      <c r="J258" s="145">
        <f t="shared" si="53"/>
        <v>13411</v>
      </c>
      <c r="K258" s="146" t="str">
        <f t="shared" si="64"/>
        <v>Y</v>
      </c>
      <c r="L258" s="147">
        <f t="shared" si="54"/>
        <v>0</v>
      </c>
      <c r="M258" s="148">
        <f t="shared" si="55"/>
        <v>115.34</v>
      </c>
      <c r="N258" s="64">
        <f t="shared" si="56"/>
        <v>99</v>
      </c>
      <c r="O258" s="64">
        <f t="shared" si="66"/>
        <v>13510</v>
      </c>
      <c r="Q258" s="104">
        <f t="shared" si="58"/>
        <v>0</v>
      </c>
      <c r="R258" s="104" t="str">
        <f t="shared" si="59"/>
        <v>Not Applicable</v>
      </c>
      <c r="S258" s="149" t="s">
        <v>815</v>
      </c>
      <c r="T258" s="149">
        <f>IF(O258=0,0,IF(S258="N",0,VLOOKUP(B258,'Enrollment 25-26'!$B$8:$K$332,9,FALSE)))</f>
        <v>0</v>
      </c>
      <c r="U258" s="64">
        <f t="shared" si="60"/>
        <v>13510</v>
      </c>
      <c r="V258" s="128">
        <f t="shared" si="61"/>
        <v>117.13195769030692</v>
      </c>
      <c r="W258" s="150"/>
      <c r="X258" s="64">
        <f>IFERROR(VLOOKUP($B258,#REF!,14,FALSE),0)</f>
        <v>0</v>
      </c>
      <c r="Y258" s="99">
        <f t="shared" si="62"/>
        <v>13510</v>
      </c>
      <c r="Z258" s="132">
        <f t="shared" si="63"/>
        <v>0</v>
      </c>
      <c r="AA258" s="151" t="str">
        <f t="shared" si="65"/>
        <v>Y</v>
      </c>
      <c r="AC258" s="64"/>
      <c r="AE258" s="152"/>
      <c r="AH258" s="153"/>
      <c r="AI258" s="153"/>
      <c r="AJ258" s="153"/>
      <c r="AK258" s="154"/>
    </row>
    <row r="259" spans="1:37" x14ac:dyDescent="0.25">
      <c r="A259" s="142" t="s">
        <v>478</v>
      </c>
      <c r="B259" t="s">
        <v>710</v>
      </c>
      <c r="C259" t="s">
        <v>257</v>
      </c>
      <c r="D259" s="143">
        <f>IFERROR(VLOOKUP(B259,'Enrollment 25-26'!$B$5:$I$332,8,FALSE),0)</f>
        <v>286.83999999999997</v>
      </c>
      <c r="E259" s="64">
        <f t="shared" si="50"/>
        <v>33351</v>
      </c>
      <c r="F259" s="144">
        <v>0</v>
      </c>
      <c r="G259" s="144">
        <v>0</v>
      </c>
      <c r="H259" s="64">
        <f t="shared" si="67"/>
        <v>33351</v>
      </c>
      <c r="I259" s="64">
        <f t="shared" si="52"/>
        <v>0</v>
      </c>
      <c r="J259" s="145">
        <f t="shared" si="53"/>
        <v>33351</v>
      </c>
      <c r="K259" s="146" t="str">
        <f t="shared" si="64"/>
        <v>Y</v>
      </c>
      <c r="L259" s="147">
        <f t="shared" si="54"/>
        <v>0</v>
      </c>
      <c r="M259" s="148">
        <f t="shared" si="55"/>
        <v>286.83999999999997</v>
      </c>
      <c r="N259" s="64">
        <f t="shared" si="56"/>
        <v>247</v>
      </c>
      <c r="O259" s="64">
        <f t="shared" si="66"/>
        <v>33598</v>
      </c>
      <c r="Q259" s="104">
        <f t="shared" si="58"/>
        <v>0</v>
      </c>
      <c r="R259" s="104" t="str">
        <f t="shared" si="59"/>
        <v>Not Applicable</v>
      </c>
      <c r="S259" s="149" t="s">
        <v>815</v>
      </c>
      <c r="T259" s="149">
        <f>IF(O259=0,0,IF(S259="N",0,VLOOKUP(B259,'Enrollment 25-26'!$B$8:$K$332,9,FALSE)))</f>
        <v>0</v>
      </c>
      <c r="U259" s="64">
        <f t="shared" si="60"/>
        <v>33598</v>
      </c>
      <c r="V259" s="128">
        <f t="shared" si="61"/>
        <v>117.13150188258264</v>
      </c>
      <c r="W259" s="150"/>
      <c r="X259" s="64">
        <f>IFERROR(VLOOKUP($B259,#REF!,14,FALSE),0)</f>
        <v>0</v>
      </c>
      <c r="Y259" s="99">
        <f t="shared" si="62"/>
        <v>33598</v>
      </c>
      <c r="Z259" s="132">
        <f t="shared" si="63"/>
        <v>0</v>
      </c>
      <c r="AA259" s="151" t="str">
        <f t="shared" si="65"/>
        <v>Y</v>
      </c>
      <c r="AC259" s="64"/>
      <c r="AE259" s="152"/>
      <c r="AH259" s="153"/>
      <c r="AI259" s="153"/>
      <c r="AJ259" s="153"/>
      <c r="AK259" s="154"/>
    </row>
    <row r="260" spans="1:37" x14ac:dyDescent="0.25">
      <c r="A260" s="142" t="s">
        <v>446</v>
      </c>
      <c r="B260" t="s">
        <v>711</v>
      </c>
      <c r="C260" t="s">
        <v>258</v>
      </c>
      <c r="D260" s="143">
        <f>IFERROR(VLOOKUP(B260,'Enrollment 25-26'!$B$5:$I$332,8,FALSE),0)</f>
        <v>7.83</v>
      </c>
      <c r="E260" s="64">
        <f t="shared" si="50"/>
        <v>910</v>
      </c>
      <c r="F260" s="144">
        <v>0</v>
      </c>
      <c r="G260" s="144">
        <v>0</v>
      </c>
      <c r="H260" s="64">
        <f t="shared" si="67"/>
        <v>910</v>
      </c>
      <c r="I260" s="64">
        <f t="shared" si="52"/>
        <v>0</v>
      </c>
      <c r="J260" s="145">
        <f t="shared" si="53"/>
        <v>910</v>
      </c>
      <c r="K260" s="146" t="str">
        <f t="shared" si="64"/>
        <v>N</v>
      </c>
      <c r="L260" s="147">
        <f t="shared" si="54"/>
        <v>910</v>
      </c>
      <c r="M260" s="148">
        <f t="shared" si="55"/>
        <v>0</v>
      </c>
      <c r="N260" s="64">
        <f t="shared" si="56"/>
        <v>0</v>
      </c>
      <c r="O260" s="64">
        <f t="shared" si="66"/>
        <v>0</v>
      </c>
      <c r="Q260" s="104">
        <f t="shared" si="58"/>
        <v>0</v>
      </c>
      <c r="R260" s="104" t="str">
        <f t="shared" si="59"/>
        <v>Not Applicable</v>
      </c>
      <c r="S260" s="149" t="s">
        <v>815</v>
      </c>
      <c r="T260" s="149">
        <f>IF(O260=0,0,IF(S260="N",0,VLOOKUP(B260,'Enrollment 25-26'!$B$8:$K$332,9,FALSE)))</f>
        <v>0</v>
      </c>
      <c r="U260" s="64">
        <f t="shared" si="60"/>
        <v>0</v>
      </c>
      <c r="V260" s="128">
        <f t="shared" si="61"/>
        <v>0</v>
      </c>
      <c r="W260" s="150"/>
      <c r="X260" s="64">
        <f>IFERROR(VLOOKUP($B260,#REF!,14,FALSE),0)</f>
        <v>0</v>
      </c>
      <c r="Y260" s="99">
        <f t="shared" si="62"/>
        <v>0</v>
      </c>
      <c r="Z260" s="132">
        <f t="shared" si="63"/>
        <v>0</v>
      </c>
      <c r="AA260" s="151" t="str">
        <f t="shared" si="65"/>
        <v>N</v>
      </c>
      <c r="AC260" s="64"/>
      <c r="AE260" s="152"/>
      <c r="AH260" s="153"/>
      <c r="AI260" s="153"/>
      <c r="AJ260" s="153"/>
      <c r="AK260" s="154"/>
    </row>
    <row r="261" spans="1:37" x14ac:dyDescent="0.25">
      <c r="A261" s="142" t="s">
        <v>438</v>
      </c>
      <c r="B261" t="s">
        <v>712</v>
      </c>
      <c r="C261" t="s">
        <v>259</v>
      </c>
      <c r="D261" s="143">
        <f>IFERROR(VLOOKUP(B261,'Enrollment 25-26'!$B$5:$I$332,8,FALSE),0)</f>
        <v>21.5</v>
      </c>
      <c r="E261" s="64">
        <f t="shared" si="50"/>
        <v>2500</v>
      </c>
      <c r="F261" s="144">
        <v>0</v>
      </c>
      <c r="G261" s="144">
        <v>0</v>
      </c>
      <c r="H261" s="64">
        <f t="shared" si="67"/>
        <v>2500</v>
      </c>
      <c r="I261" s="64">
        <f t="shared" si="52"/>
        <v>0</v>
      </c>
      <c r="J261" s="145">
        <f t="shared" si="53"/>
        <v>2500</v>
      </c>
      <c r="K261" s="146" t="str">
        <f t="shared" si="64"/>
        <v>N</v>
      </c>
      <c r="L261" s="147">
        <f t="shared" si="54"/>
        <v>2500</v>
      </c>
      <c r="M261" s="148">
        <f t="shared" si="55"/>
        <v>0</v>
      </c>
      <c r="N261" s="64">
        <f t="shared" si="56"/>
        <v>0</v>
      </c>
      <c r="O261" s="64">
        <f t="shared" si="66"/>
        <v>0</v>
      </c>
      <c r="Q261" s="104">
        <f t="shared" si="58"/>
        <v>0</v>
      </c>
      <c r="R261" s="104" t="str">
        <f t="shared" si="59"/>
        <v>Not Applicable</v>
      </c>
      <c r="S261" s="149" t="s">
        <v>815</v>
      </c>
      <c r="T261" s="149">
        <f>IF(O261=0,0,IF(S261="N",0,VLOOKUP(B261,'Enrollment 25-26'!$B$8:$K$332,9,FALSE)))</f>
        <v>0</v>
      </c>
      <c r="U261" s="64">
        <f t="shared" si="60"/>
        <v>0</v>
      </c>
      <c r="V261" s="128">
        <f t="shared" si="61"/>
        <v>0</v>
      </c>
      <c r="W261" s="150"/>
      <c r="X261" s="64">
        <f>IFERROR(VLOOKUP($B261,#REF!,14,FALSE),0)</f>
        <v>0</v>
      </c>
      <c r="Y261" s="99">
        <f t="shared" si="62"/>
        <v>0</v>
      </c>
      <c r="Z261" s="132">
        <f t="shared" si="63"/>
        <v>0</v>
      </c>
      <c r="AA261" s="151" t="str">
        <f t="shared" si="65"/>
        <v>N</v>
      </c>
      <c r="AC261" s="64"/>
      <c r="AE261" s="152"/>
      <c r="AH261" s="153"/>
      <c r="AI261" s="153"/>
      <c r="AJ261" s="153"/>
      <c r="AK261" s="154"/>
    </row>
    <row r="262" spans="1:37" x14ac:dyDescent="0.25">
      <c r="A262" s="142" t="s">
        <v>443</v>
      </c>
      <c r="B262" t="s">
        <v>713</v>
      </c>
      <c r="C262" t="s">
        <v>260</v>
      </c>
      <c r="D262" s="143">
        <f>IFERROR(VLOOKUP(B262,'Enrollment 25-26'!$B$5:$I$332,8,FALSE),0)</f>
        <v>2951.0033333333336</v>
      </c>
      <c r="E262" s="64">
        <f t="shared" si="50"/>
        <v>343114</v>
      </c>
      <c r="F262" s="144">
        <v>0</v>
      </c>
      <c r="G262" s="144">
        <v>0</v>
      </c>
      <c r="H262" s="64">
        <f t="shared" si="67"/>
        <v>343114</v>
      </c>
      <c r="I262" s="64">
        <f t="shared" si="52"/>
        <v>0</v>
      </c>
      <c r="J262" s="145">
        <f t="shared" si="53"/>
        <v>343114</v>
      </c>
      <c r="K262" s="146" t="str">
        <f t="shared" si="64"/>
        <v>Y</v>
      </c>
      <c r="L262" s="147">
        <f t="shared" si="54"/>
        <v>0</v>
      </c>
      <c r="M262" s="148">
        <f t="shared" si="55"/>
        <v>2951.0033333333336</v>
      </c>
      <c r="N262" s="64">
        <f t="shared" si="56"/>
        <v>2537</v>
      </c>
      <c r="O262" s="64">
        <f t="shared" si="66"/>
        <v>345651</v>
      </c>
      <c r="Q262" s="104">
        <f t="shared" si="58"/>
        <v>0</v>
      </c>
      <c r="R262" s="104" t="str">
        <f t="shared" si="59"/>
        <v>Not Applicable</v>
      </c>
      <c r="S262" s="149" t="s">
        <v>815</v>
      </c>
      <c r="T262" s="149">
        <f>IF(O262=0,0,IF(S262="N",0,VLOOKUP(B262,'Enrollment 25-26'!$B$8:$K$332,9,FALSE)))</f>
        <v>0</v>
      </c>
      <c r="U262" s="64">
        <f t="shared" si="60"/>
        <v>345651</v>
      </c>
      <c r="V262" s="128">
        <f t="shared" si="61"/>
        <v>117.12999307580132</v>
      </c>
      <c r="W262" s="150"/>
      <c r="X262" s="64">
        <f>IFERROR(VLOOKUP($B262,#REF!,14,FALSE),0)</f>
        <v>0</v>
      </c>
      <c r="Y262" s="99">
        <f t="shared" si="62"/>
        <v>345651</v>
      </c>
      <c r="Z262" s="132">
        <f t="shared" si="63"/>
        <v>0</v>
      </c>
      <c r="AA262" s="151" t="str">
        <f t="shared" si="65"/>
        <v>Y</v>
      </c>
      <c r="AC262" s="64"/>
      <c r="AE262" s="152"/>
      <c r="AH262" s="153"/>
      <c r="AI262" s="153"/>
      <c r="AJ262" s="153"/>
      <c r="AK262" s="154"/>
    </row>
    <row r="263" spans="1:37" x14ac:dyDescent="0.25">
      <c r="A263" s="142" t="s">
        <v>497</v>
      </c>
      <c r="B263" t="s">
        <v>714</v>
      </c>
      <c r="C263" t="s">
        <v>261</v>
      </c>
      <c r="D263" s="143">
        <f>IFERROR(VLOOKUP(B263,'Enrollment 25-26'!$B$5:$I$332,8,FALSE),0)</f>
        <v>60</v>
      </c>
      <c r="E263" s="64">
        <f t="shared" si="50"/>
        <v>6976</v>
      </c>
      <c r="F263" s="144">
        <v>0</v>
      </c>
      <c r="G263" s="144">
        <v>0</v>
      </c>
      <c r="H263" s="64">
        <f t="shared" si="67"/>
        <v>6976</v>
      </c>
      <c r="I263" s="64">
        <f t="shared" si="52"/>
        <v>0</v>
      </c>
      <c r="J263" s="145">
        <f t="shared" si="53"/>
        <v>6976</v>
      </c>
      <c r="K263" s="146" t="str">
        <f t="shared" si="64"/>
        <v>C</v>
      </c>
      <c r="L263" s="147">
        <f t="shared" si="54"/>
        <v>0</v>
      </c>
      <c r="M263" s="148">
        <f t="shared" si="55"/>
        <v>60</v>
      </c>
      <c r="N263" s="64">
        <f t="shared" si="56"/>
        <v>52</v>
      </c>
      <c r="O263" s="64">
        <f t="shared" si="66"/>
        <v>7028</v>
      </c>
      <c r="Q263" s="104">
        <f t="shared" si="58"/>
        <v>0</v>
      </c>
      <c r="R263" s="104" t="str">
        <f t="shared" si="59"/>
        <v>Not Applicable</v>
      </c>
      <c r="S263" s="149" t="s">
        <v>815</v>
      </c>
      <c r="T263" s="149">
        <f>IF(O263=0,0,IF(S263="N",0,VLOOKUP(B263,'Enrollment 25-26'!$B$8:$K$332,9,FALSE)))</f>
        <v>0</v>
      </c>
      <c r="U263" s="64">
        <f t="shared" si="60"/>
        <v>7028</v>
      </c>
      <c r="V263" s="128">
        <f t="shared" si="61"/>
        <v>117.13333333333334</v>
      </c>
      <c r="W263" s="150"/>
      <c r="X263" s="64">
        <f>IFERROR(VLOOKUP($B263,#REF!,14,FALSE),0)</f>
        <v>0</v>
      </c>
      <c r="Y263" s="99">
        <f t="shared" si="62"/>
        <v>7028</v>
      </c>
      <c r="Z263" s="132">
        <f t="shared" si="63"/>
        <v>0</v>
      </c>
      <c r="AA263" s="151" t="str">
        <f t="shared" si="65"/>
        <v>C</v>
      </c>
      <c r="AC263" s="64"/>
      <c r="AE263" s="152"/>
      <c r="AH263" s="153"/>
      <c r="AI263" s="153"/>
      <c r="AJ263" s="153"/>
      <c r="AK263" s="154"/>
    </row>
    <row r="264" spans="1:37" x14ac:dyDescent="0.25">
      <c r="A264" s="142" t="s">
        <v>443</v>
      </c>
      <c r="B264" t="s">
        <v>715</v>
      </c>
      <c r="C264" t="s">
        <v>262</v>
      </c>
      <c r="D264" s="143">
        <f>IFERROR(VLOOKUP(B264,'Enrollment 25-26'!$B$5:$I$332,8,FALSE),0)</f>
        <v>0</v>
      </c>
      <c r="E264" s="64">
        <f t="shared" si="50"/>
        <v>0</v>
      </c>
      <c r="F264" s="144">
        <v>0</v>
      </c>
      <c r="G264" s="144">
        <v>0</v>
      </c>
      <c r="H264" s="64">
        <f t="shared" si="67"/>
        <v>0</v>
      </c>
      <c r="I264" s="64">
        <f t="shared" si="52"/>
        <v>0</v>
      </c>
      <c r="J264" s="145">
        <f t="shared" si="53"/>
        <v>0</v>
      </c>
      <c r="K264" s="146" t="str">
        <f t="shared" si="64"/>
        <v>N</v>
      </c>
      <c r="L264" s="147">
        <f t="shared" si="54"/>
        <v>0</v>
      </c>
      <c r="M264" s="148">
        <f t="shared" si="55"/>
        <v>0</v>
      </c>
      <c r="N264" s="64">
        <f t="shared" si="56"/>
        <v>0</v>
      </c>
      <c r="O264" s="64">
        <f t="shared" si="66"/>
        <v>0</v>
      </c>
      <c r="Q264" s="104">
        <f t="shared" si="58"/>
        <v>0</v>
      </c>
      <c r="R264" s="104" t="str">
        <f t="shared" si="59"/>
        <v>Not Applicable</v>
      </c>
      <c r="S264" s="149" t="s">
        <v>815</v>
      </c>
      <c r="T264" s="149">
        <f>IF(O264=0,0,IF(S264="N",0,VLOOKUP(B264,'Enrollment 25-26'!$B$8:$K$332,9,FALSE)))</f>
        <v>0</v>
      </c>
      <c r="U264" s="64">
        <f t="shared" si="60"/>
        <v>0</v>
      </c>
      <c r="V264" s="128">
        <f t="shared" si="61"/>
        <v>0</v>
      </c>
      <c r="W264" s="150"/>
      <c r="X264" s="64">
        <f>IFERROR(VLOOKUP($B264,#REF!,14,FALSE),0)</f>
        <v>0</v>
      </c>
      <c r="Y264" s="99">
        <f t="shared" si="62"/>
        <v>0</v>
      </c>
      <c r="Z264" s="132">
        <f t="shared" si="63"/>
        <v>0</v>
      </c>
      <c r="AA264" s="151" t="str">
        <f t="shared" si="65"/>
        <v>N</v>
      </c>
      <c r="AC264" s="64"/>
      <c r="AE264" s="152"/>
      <c r="AH264" s="153"/>
      <c r="AI264" s="153"/>
      <c r="AJ264" s="153"/>
      <c r="AK264" s="154"/>
    </row>
    <row r="265" spans="1:37" x14ac:dyDescent="0.25">
      <c r="A265" s="142" t="s">
        <v>443</v>
      </c>
      <c r="B265" t="s">
        <v>716</v>
      </c>
      <c r="C265" t="s">
        <v>263</v>
      </c>
      <c r="D265" s="143">
        <f>IFERROR(VLOOKUP(B265,'Enrollment 25-26'!$B$5:$I$332,8,FALSE),0)</f>
        <v>0</v>
      </c>
      <c r="E265" s="64">
        <f t="shared" ref="E265:E328" si="68">ROUND($D265/$D$7*$E$6,0)</f>
        <v>0</v>
      </c>
      <c r="F265" s="144">
        <v>0</v>
      </c>
      <c r="G265" s="144">
        <v>0</v>
      </c>
      <c r="H265" s="64">
        <f t="shared" si="67"/>
        <v>0</v>
      </c>
      <c r="I265" s="64">
        <f t="shared" ref="I265:I328" si="69">ROUND($D265/$D$7*$I$6,0)</f>
        <v>0</v>
      </c>
      <c r="J265" s="145">
        <f t="shared" ref="J265:J328" si="70">+H265+I265</f>
        <v>0</v>
      </c>
      <c r="K265" s="146" t="str">
        <f t="shared" si="64"/>
        <v>N</v>
      </c>
      <c r="L265" s="147">
        <f t="shared" ref="L265:L328" si="71">IF(OR(K265="N",K265="NR",AND(J265&lt;$L$6,K265&lt;&gt;"C")),J265,0)</f>
        <v>0</v>
      </c>
      <c r="M265" s="148">
        <f t="shared" ref="M265:M328" si="72">IF(L265=0,D265,0)</f>
        <v>0</v>
      </c>
      <c r="N265" s="64">
        <f t="shared" ref="N265:N328" si="73">ROUND(M265/$M$7*$L$3,0)</f>
        <v>0</v>
      </c>
      <c r="O265" s="64">
        <f t="shared" si="66"/>
        <v>0</v>
      </c>
      <c r="Q265" s="104">
        <f t="shared" ref="Q265:Q328" si="74">-ROUND(IF(P265&gt;0,O265*(0.9-P265),0),0)</f>
        <v>0</v>
      </c>
      <c r="R265" s="104" t="str">
        <f t="shared" ref="R265:R328" si="75">IF($R$7=0,"Not Applicable",T265*($R$7/$T$7))</f>
        <v>Not Applicable</v>
      </c>
      <c r="S265" s="149" t="s">
        <v>815</v>
      </c>
      <c r="T265" s="149">
        <f>IF(O265=0,0,IF(S265="N",0,VLOOKUP(B265,'Enrollment 25-26'!$B$8:$K$332,9,FALSE)))</f>
        <v>0</v>
      </c>
      <c r="U265" s="64">
        <f t="shared" ref="U265:U328" si="76">IF(ISNUMBER(R265),O265+R265,O265)</f>
        <v>0</v>
      </c>
      <c r="V265" s="128">
        <f t="shared" ref="V265:V328" si="77">IF(M265=0,0,O265/M265)</f>
        <v>0</v>
      </c>
      <c r="W265" s="150"/>
      <c r="X265" s="64">
        <f>IFERROR(VLOOKUP($B265,#REF!,14,FALSE),0)</f>
        <v>0</v>
      </c>
      <c r="Y265" s="99">
        <f t="shared" ref="Y265:Y328" si="78">O265-X265</f>
        <v>0</v>
      </c>
      <c r="Z265" s="132">
        <f t="shared" ref="Z265:Z328" si="79">IFERROR(IF(X265&gt;0,Y265/X265,0),0)</f>
        <v>0</v>
      </c>
      <c r="AA265" s="151" t="str">
        <f t="shared" si="65"/>
        <v>N</v>
      </c>
      <c r="AC265" s="64"/>
      <c r="AE265" s="152"/>
      <c r="AH265" s="153"/>
      <c r="AI265" s="153"/>
      <c r="AJ265" s="153"/>
      <c r="AK265" s="154"/>
    </row>
    <row r="266" spans="1:37" x14ac:dyDescent="0.25">
      <c r="A266" s="142" t="s">
        <v>446</v>
      </c>
      <c r="B266" t="s">
        <v>717</v>
      </c>
      <c r="C266" t="s">
        <v>264</v>
      </c>
      <c r="D266" s="143">
        <f>IFERROR(VLOOKUP(B266,'Enrollment 25-26'!$B$5:$I$332,8,FALSE),0)</f>
        <v>184.5</v>
      </c>
      <c r="E266" s="64">
        <f t="shared" si="68"/>
        <v>21452</v>
      </c>
      <c r="F266" s="144">
        <v>0</v>
      </c>
      <c r="G266" s="144">
        <v>0</v>
      </c>
      <c r="H266" s="64">
        <f t="shared" si="67"/>
        <v>21452</v>
      </c>
      <c r="I266" s="64">
        <f t="shared" si="69"/>
        <v>0</v>
      </c>
      <c r="J266" s="145">
        <f t="shared" si="70"/>
        <v>21452</v>
      </c>
      <c r="K266" s="146" t="str">
        <f t="shared" ref="K266:K328" si="80">IF(ISERROR(VLOOKUP(B266,$AC$9:$AC$50,1,0)),IF(J266&gt;10000,"Y","N"), "C")</f>
        <v>Y</v>
      </c>
      <c r="L266" s="147">
        <f t="shared" si="71"/>
        <v>0</v>
      </c>
      <c r="M266" s="148">
        <f t="shared" si="72"/>
        <v>184.5</v>
      </c>
      <c r="N266" s="64">
        <f t="shared" si="73"/>
        <v>159</v>
      </c>
      <c r="O266" s="64">
        <f t="shared" si="66"/>
        <v>21611</v>
      </c>
      <c r="Q266" s="104">
        <f t="shared" si="74"/>
        <v>0</v>
      </c>
      <c r="R266" s="104" t="str">
        <f t="shared" si="75"/>
        <v>Not Applicable</v>
      </c>
      <c r="S266" s="149" t="s">
        <v>815</v>
      </c>
      <c r="T266" s="149">
        <f>IF(O266=0,0,IF(S266="N",0,VLOOKUP(B266,'Enrollment 25-26'!$B$8:$K$332,9,FALSE)))</f>
        <v>0</v>
      </c>
      <c r="U266" s="64">
        <f t="shared" si="76"/>
        <v>21611</v>
      </c>
      <c r="V266" s="128">
        <f t="shared" si="77"/>
        <v>117.13279132791328</v>
      </c>
      <c r="W266" s="150"/>
      <c r="X266" s="64">
        <f>IFERROR(VLOOKUP($B266,#REF!,14,FALSE),0)</f>
        <v>0</v>
      </c>
      <c r="Y266" s="99">
        <f t="shared" si="78"/>
        <v>21611</v>
      </c>
      <c r="Z266" s="132">
        <f t="shared" si="79"/>
        <v>0</v>
      </c>
      <c r="AA266" s="151" t="str">
        <f t="shared" ref="AA266:AA328" si="81">K266</f>
        <v>Y</v>
      </c>
      <c r="AC266" s="64"/>
      <c r="AE266" s="152"/>
      <c r="AH266" s="153"/>
      <c r="AI266" s="153"/>
      <c r="AJ266" s="153"/>
      <c r="AK266" s="154"/>
    </row>
    <row r="267" spans="1:37" x14ac:dyDescent="0.25">
      <c r="A267" s="142" t="s">
        <v>451</v>
      </c>
      <c r="B267" t="s">
        <v>718</v>
      </c>
      <c r="C267" t="s">
        <v>265</v>
      </c>
      <c r="D267" s="143">
        <f>IFERROR(VLOOKUP(B267,'Enrollment 25-26'!$B$5:$I$332,8,FALSE),0)</f>
        <v>0</v>
      </c>
      <c r="E267" s="64">
        <f t="shared" si="68"/>
        <v>0</v>
      </c>
      <c r="F267" s="144">
        <v>0</v>
      </c>
      <c r="G267" s="144">
        <v>0</v>
      </c>
      <c r="H267" s="64">
        <f t="shared" si="67"/>
        <v>0</v>
      </c>
      <c r="I267" s="64">
        <f t="shared" si="69"/>
        <v>0</v>
      </c>
      <c r="J267" s="145">
        <f t="shared" si="70"/>
        <v>0</v>
      </c>
      <c r="K267" s="146" t="str">
        <f t="shared" si="80"/>
        <v>N</v>
      </c>
      <c r="L267" s="147">
        <f t="shared" si="71"/>
        <v>0</v>
      </c>
      <c r="M267" s="148">
        <f t="shared" si="72"/>
        <v>0</v>
      </c>
      <c r="N267" s="64">
        <f t="shared" si="73"/>
        <v>0</v>
      </c>
      <c r="O267" s="64">
        <f t="shared" si="66"/>
        <v>0</v>
      </c>
      <c r="Q267" s="104">
        <f t="shared" si="74"/>
        <v>0</v>
      </c>
      <c r="R267" s="104" t="str">
        <f t="shared" si="75"/>
        <v>Not Applicable</v>
      </c>
      <c r="S267" s="149" t="s">
        <v>815</v>
      </c>
      <c r="T267" s="149">
        <f>IF(O267=0,0,IF(S267="N",0,VLOOKUP(B267,'Enrollment 25-26'!$B$8:$K$332,9,FALSE)))</f>
        <v>0</v>
      </c>
      <c r="U267" s="64">
        <f t="shared" si="76"/>
        <v>0</v>
      </c>
      <c r="V267" s="128">
        <f t="shared" si="77"/>
        <v>0</v>
      </c>
      <c r="W267" s="150"/>
      <c r="X267" s="64">
        <f>IFERROR(VLOOKUP($B267,#REF!,14,FALSE),0)</f>
        <v>0</v>
      </c>
      <c r="Y267" s="99">
        <f t="shared" si="78"/>
        <v>0</v>
      </c>
      <c r="Z267" s="132">
        <f t="shared" si="79"/>
        <v>0</v>
      </c>
      <c r="AA267" s="151" t="str">
        <f t="shared" si="81"/>
        <v>N</v>
      </c>
      <c r="AC267" s="64"/>
      <c r="AE267" s="152"/>
      <c r="AH267" s="153"/>
      <c r="AI267" s="153"/>
      <c r="AJ267" s="153"/>
      <c r="AK267" s="154"/>
    </row>
    <row r="268" spans="1:37" x14ac:dyDescent="0.25">
      <c r="A268" s="142" t="s">
        <v>451</v>
      </c>
      <c r="B268" t="s">
        <v>719</v>
      </c>
      <c r="C268" t="s">
        <v>266</v>
      </c>
      <c r="D268" s="143">
        <f>IFERROR(VLOOKUP(B268,'Enrollment 25-26'!$B$5:$I$332,8,FALSE),0)</f>
        <v>0</v>
      </c>
      <c r="E268" s="64">
        <f t="shared" si="68"/>
        <v>0</v>
      </c>
      <c r="F268" s="144">
        <v>0</v>
      </c>
      <c r="G268" s="144">
        <v>0</v>
      </c>
      <c r="H268" s="64">
        <f t="shared" si="67"/>
        <v>0</v>
      </c>
      <c r="I268" s="64">
        <f t="shared" si="69"/>
        <v>0</v>
      </c>
      <c r="J268" s="145">
        <f t="shared" si="70"/>
        <v>0</v>
      </c>
      <c r="K268" s="146" t="str">
        <f t="shared" si="80"/>
        <v>N</v>
      </c>
      <c r="L268" s="147">
        <f t="shared" si="71"/>
        <v>0</v>
      </c>
      <c r="M268" s="148">
        <f t="shared" si="72"/>
        <v>0</v>
      </c>
      <c r="N268" s="64">
        <f t="shared" si="73"/>
        <v>0</v>
      </c>
      <c r="O268" s="64">
        <f t="shared" si="66"/>
        <v>0</v>
      </c>
      <c r="Q268" s="104">
        <f t="shared" si="74"/>
        <v>0</v>
      </c>
      <c r="R268" s="104" t="str">
        <f t="shared" si="75"/>
        <v>Not Applicable</v>
      </c>
      <c r="S268" s="149" t="s">
        <v>815</v>
      </c>
      <c r="T268" s="149">
        <f>IF(O268=0,0,IF(S268="N",0,VLOOKUP(B268,'Enrollment 25-26'!$B$8:$K$332,9,FALSE)))</f>
        <v>0</v>
      </c>
      <c r="U268" s="64">
        <f t="shared" si="76"/>
        <v>0</v>
      </c>
      <c r="V268" s="128">
        <f t="shared" si="77"/>
        <v>0</v>
      </c>
      <c r="W268" s="150"/>
      <c r="X268" s="64">
        <f>IFERROR(VLOOKUP($B268,#REF!,14,FALSE),0)</f>
        <v>0</v>
      </c>
      <c r="Y268" s="99">
        <f t="shared" si="78"/>
        <v>0</v>
      </c>
      <c r="Z268" s="132">
        <f t="shared" si="79"/>
        <v>0</v>
      </c>
      <c r="AA268" s="151" t="str">
        <f t="shared" si="81"/>
        <v>N</v>
      </c>
      <c r="AC268" s="64"/>
      <c r="AE268" s="152"/>
      <c r="AH268" s="153"/>
      <c r="AI268" s="153"/>
      <c r="AJ268" s="153"/>
      <c r="AK268" s="154"/>
    </row>
    <row r="269" spans="1:37" x14ac:dyDescent="0.25">
      <c r="A269" s="142" t="s">
        <v>481</v>
      </c>
      <c r="B269" t="s">
        <v>720</v>
      </c>
      <c r="C269" t="s">
        <v>267</v>
      </c>
      <c r="D269" s="143">
        <f>IFERROR(VLOOKUP(B269,'Enrollment 25-26'!$B$5:$I$332,8,FALSE),0)</f>
        <v>0</v>
      </c>
      <c r="E269" s="64">
        <f t="shared" si="68"/>
        <v>0</v>
      </c>
      <c r="F269" s="144">
        <v>0</v>
      </c>
      <c r="G269" s="144">
        <v>0</v>
      </c>
      <c r="H269" s="64">
        <f t="shared" si="67"/>
        <v>0</v>
      </c>
      <c r="I269" s="64">
        <f t="shared" si="69"/>
        <v>0</v>
      </c>
      <c r="J269" s="145">
        <f t="shared" si="70"/>
        <v>0</v>
      </c>
      <c r="K269" s="146" t="str">
        <f t="shared" si="80"/>
        <v>N</v>
      </c>
      <c r="L269" s="147">
        <f t="shared" si="71"/>
        <v>0</v>
      </c>
      <c r="M269" s="148">
        <f t="shared" si="72"/>
        <v>0</v>
      </c>
      <c r="N269" s="64">
        <f t="shared" si="73"/>
        <v>0</v>
      </c>
      <c r="O269" s="64">
        <f t="shared" si="66"/>
        <v>0</v>
      </c>
      <c r="Q269" s="104">
        <f t="shared" si="74"/>
        <v>0</v>
      </c>
      <c r="R269" s="104" t="str">
        <f t="shared" si="75"/>
        <v>Not Applicable</v>
      </c>
      <c r="S269" s="149" t="s">
        <v>815</v>
      </c>
      <c r="T269" s="149">
        <f>IF(O269=0,0,IF(S269="N",0,VLOOKUP(B269,'Enrollment 25-26'!$B$8:$K$332,9,FALSE)))</f>
        <v>0</v>
      </c>
      <c r="U269" s="64">
        <f t="shared" si="76"/>
        <v>0</v>
      </c>
      <c r="V269" s="128">
        <f t="shared" si="77"/>
        <v>0</v>
      </c>
      <c r="W269" s="150"/>
      <c r="X269" s="64">
        <f>IFERROR(VLOOKUP($B269,#REF!,14,FALSE),0)</f>
        <v>0</v>
      </c>
      <c r="Y269" s="99">
        <f t="shared" si="78"/>
        <v>0</v>
      </c>
      <c r="Z269" s="132">
        <f t="shared" si="79"/>
        <v>0</v>
      </c>
      <c r="AA269" s="151" t="str">
        <f t="shared" si="81"/>
        <v>N</v>
      </c>
      <c r="AC269" s="64"/>
      <c r="AE269" s="152"/>
      <c r="AH269" s="153"/>
      <c r="AI269" s="153"/>
      <c r="AJ269" s="153"/>
      <c r="AK269" s="154"/>
    </row>
    <row r="270" spans="1:37" x14ac:dyDescent="0.25">
      <c r="A270" s="142" t="s">
        <v>454</v>
      </c>
      <c r="B270" t="s">
        <v>721</v>
      </c>
      <c r="C270" t="s">
        <v>268</v>
      </c>
      <c r="D270" s="143">
        <f>IFERROR(VLOOKUP(B270,'Enrollment 25-26'!$B$5:$I$332,8,FALSE),0)</f>
        <v>111.33</v>
      </c>
      <c r="E270" s="64">
        <f t="shared" si="68"/>
        <v>12944</v>
      </c>
      <c r="F270" s="144">
        <v>0</v>
      </c>
      <c r="G270" s="144">
        <v>0</v>
      </c>
      <c r="H270" s="64">
        <f t="shared" si="67"/>
        <v>12944</v>
      </c>
      <c r="I270" s="64">
        <f t="shared" si="69"/>
        <v>0</v>
      </c>
      <c r="J270" s="145">
        <f t="shared" si="70"/>
        <v>12944</v>
      </c>
      <c r="K270" s="146" t="str">
        <f t="shared" si="80"/>
        <v>Y</v>
      </c>
      <c r="L270" s="147">
        <f t="shared" si="71"/>
        <v>0</v>
      </c>
      <c r="M270" s="148">
        <f t="shared" si="72"/>
        <v>111.33</v>
      </c>
      <c r="N270" s="64">
        <f t="shared" si="73"/>
        <v>96</v>
      </c>
      <c r="O270" s="64">
        <f t="shared" si="66"/>
        <v>13040</v>
      </c>
      <c r="Q270" s="104">
        <f t="shared" si="74"/>
        <v>0</v>
      </c>
      <c r="R270" s="104" t="str">
        <f t="shared" si="75"/>
        <v>Not Applicable</v>
      </c>
      <c r="S270" s="149" t="s">
        <v>815</v>
      </c>
      <c r="T270" s="149">
        <f>IF(O270=0,0,IF(S270="N",0,VLOOKUP(B270,'Enrollment 25-26'!$B$8:$K$332,9,FALSE)))</f>
        <v>0</v>
      </c>
      <c r="U270" s="64">
        <f t="shared" si="76"/>
        <v>13040</v>
      </c>
      <c r="V270" s="128">
        <f t="shared" si="77"/>
        <v>117.12925536692715</v>
      </c>
      <c r="W270" s="150"/>
      <c r="X270" s="64">
        <f>IFERROR(VLOOKUP($B270,#REF!,14,FALSE),0)</f>
        <v>0</v>
      </c>
      <c r="Y270" s="99">
        <f t="shared" si="78"/>
        <v>13040</v>
      </c>
      <c r="Z270" s="132">
        <f t="shared" si="79"/>
        <v>0</v>
      </c>
      <c r="AA270" s="151" t="str">
        <f t="shared" si="81"/>
        <v>Y</v>
      </c>
      <c r="AC270" s="64"/>
      <c r="AE270" s="152"/>
      <c r="AH270" s="153"/>
      <c r="AI270" s="153"/>
      <c r="AJ270" s="153"/>
      <c r="AK270" s="154"/>
    </row>
    <row r="271" spans="1:37" x14ac:dyDescent="0.25">
      <c r="A271" s="142" t="s">
        <v>443</v>
      </c>
      <c r="B271" t="s">
        <v>722</v>
      </c>
      <c r="C271" t="s">
        <v>269</v>
      </c>
      <c r="D271" s="143">
        <f>IFERROR(VLOOKUP(B271,'Enrollment 25-26'!$B$5:$I$332,8,FALSE),0)</f>
        <v>0</v>
      </c>
      <c r="E271" s="64">
        <f t="shared" si="68"/>
        <v>0</v>
      </c>
      <c r="F271" s="144">
        <v>0</v>
      </c>
      <c r="G271" s="144">
        <v>0</v>
      </c>
      <c r="H271" s="64">
        <f t="shared" si="67"/>
        <v>0</v>
      </c>
      <c r="I271" s="64">
        <f t="shared" si="69"/>
        <v>0</v>
      </c>
      <c r="J271" s="145">
        <f t="shared" si="70"/>
        <v>0</v>
      </c>
      <c r="K271" s="146" t="str">
        <f t="shared" si="80"/>
        <v>N</v>
      </c>
      <c r="L271" s="147">
        <f t="shared" si="71"/>
        <v>0</v>
      </c>
      <c r="M271" s="148">
        <f t="shared" si="72"/>
        <v>0</v>
      </c>
      <c r="N271" s="64">
        <f t="shared" si="73"/>
        <v>0</v>
      </c>
      <c r="O271" s="64">
        <f t="shared" si="66"/>
        <v>0</v>
      </c>
      <c r="Q271" s="104">
        <f t="shared" si="74"/>
        <v>0</v>
      </c>
      <c r="R271" s="104" t="str">
        <f t="shared" si="75"/>
        <v>Not Applicable</v>
      </c>
      <c r="S271" s="149" t="s">
        <v>815</v>
      </c>
      <c r="T271" s="149">
        <f>IF(O271=0,0,IF(S271="N",0,VLOOKUP(B271,'Enrollment 25-26'!$B$8:$K$332,9,FALSE)))</f>
        <v>0</v>
      </c>
      <c r="U271" s="64">
        <f t="shared" si="76"/>
        <v>0</v>
      </c>
      <c r="V271" s="128">
        <f t="shared" si="77"/>
        <v>0</v>
      </c>
      <c r="W271" s="150"/>
      <c r="X271" s="64">
        <f>IFERROR(VLOOKUP($B271,#REF!,14,FALSE),0)</f>
        <v>0</v>
      </c>
      <c r="Y271" s="99">
        <f t="shared" si="78"/>
        <v>0</v>
      </c>
      <c r="Z271" s="132">
        <f t="shared" si="79"/>
        <v>0</v>
      </c>
      <c r="AA271" s="151" t="str">
        <f t="shared" si="81"/>
        <v>N</v>
      </c>
      <c r="AC271" s="64"/>
      <c r="AE271" s="152"/>
      <c r="AH271" s="153"/>
      <c r="AI271" s="153"/>
      <c r="AJ271" s="153"/>
      <c r="AK271" s="154"/>
    </row>
    <row r="272" spans="1:37" x14ac:dyDescent="0.25">
      <c r="A272" s="142" t="s">
        <v>459</v>
      </c>
      <c r="B272" t="s">
        <v>723</v>
      </c>
      <c r="C272" t="s">
        <v>270</v>
      </c>
      <c r="D272" s="143">
        <f>IFERROR(VLOOKUP(B272,'Enrollment 25-26'!$B$5:$I$332,8,FALSE),0)</f>
        <v>19</v>
      </c>
      <c r="E272" s="64">
        <f t="shared" si="68"/>
        <v>2209</v>
      </c>
      <c r="F272" s="144">
        <v>0</v>
      </c>
      <c r="G272" s="144">
        <v>0</v>
      </c>
      <c r="H272" s="64">
        <f t="shared" si="67"/>
        <v>2209</v>
      </c>
      <c r="I272" s="64">
        <f t="shared" si="69"/>
        <v>0</v>
      </c>
      <c r="J272" s="145">
        <f t="shared" si="70"/>
        <v>2209</v>
      </c>
      <c r="K272" s="146" t="str">
        <f t="shared" si="80"/>
        <v>N</v>
      </c>
      <c r="L272" s="147">
        <f t="shared" si="71"/>
        <v>2209</v>
      </c>
      <c r="M272" s="148">
        <f t="shared" si="72"/>
        <v>0</v>
      </c>
      <c r="N272" s="64">
        <f t="shared" si="73"/>
        <v>0</v>
      </c>
      <c r="O272" s="64">
        <f t="shared" si="66"/>
        <v>0</v>
      </c>
      <c r="Q272" s="104">
        <f t="shared" si="74"/>
        <v>0</v>
      </c>
      <c r="R272" s="104" t="str">
        <f t="shared" si="75"/>
        <v>Not Applicable</v>
      </c>
      <c r="S272" s="149" t="s">
        <v>815</v>
      </c>
      <c r="T272" s="149">
        <f>IF(O272=0,0,IF(S272="N",0,VLOOKUP(B272,'Enrollment 25-26'!$B$8:$K$332,9,FALSE)))</f>
        <v>0</v>
      </c>
      <c r="U272" s="64">
        <f t="shared" si="76"/>
        <v>0</v>
      </c>
      <c r="V272" s="128">
        <f t="shared" si="77"/>
        <v>0</v>
      </c>
      <c r="W272" s="150"/>
      <c r="X272" s="64">
        <f>IFERROR(VLOOKUP($B272,#REF!,14,FALSE),0)</f>
        <v>0</v>
      </c>
      <c r="Y272" s="99">
        <f t="shared" si="78"/>
        <v>0</v>
      </c>
      <c r="Z272" s="132">
        <f t="shared" si="79"/>
        <v>0</v>
      </c>
      <c r="AA272" s="151" t="str">
        <f t="shared" si="81"/>
        <v>N</v>
      </c>
      <c r="AC272" s="64"/>
      <c r="AE272" s="152"/>
      <c r="AH272" s="153"/>
      <c r="AI272" s="153"/>
      <c r="AJ272" s="153"/>
      <c r="AK272" s="154"/>
    </row>
    <row r="273" spans="1:37" x14ac:dyDescent="0.25">
      <c r="A273" s="142" t="s">
        <v>446</v>
      </c>
      <c r="B273" t="s">
        <v>724</v>
      </c>
      <c r="C273" t="s">
        <v>271</v>
      </c>
      <c r="D273" s="143">
        <f>IFERROR(VLOOKUP(B273,'Enrollment 25-26'!$B$5:$I$332,8,FALSE),0)</f>
        <v>301.17</v>
      </c>
      <c r="E273" s="64">
        <f t="shared" si="68"/>
        <v>35017</v>
      </c>
      <c r="F273" s="144">
        <v>0</v>
      </c>
      <c r="G273" s="144">
        <v>0</v>
      </c>
      <c r="H273" s="64">
        <f t="shared" si="67"/>
        <v>35017</v>
      </c>
      <c r="I273" s="64">
        <f t="shared" si="69"/>
        <v>0</v>
      </c>
      <c r="J273" s="145">
        <f t="shared" si="70"/>
        <v>35017</v>
      </c>
      <c r="K273" s="146" t="str">
        <f t="shared" si="80"/>
        <v>Y</v>
      </c>
      <c r="L273" s="147">
        <f t="shared" si="71"/>
        <v>0</v>
      </c>
      <c r="M273" s="148">
        <f t="shared" si="72"/>
        <v>301.17</v>
      </c>
      <c r="N273" s="64">
        <f t="shared" si="73"/>
        <v>259</v>
      </c>
      <c r="O273" s="64">
        <f t="shared" si="66"/>
        <v>35276</v>
      </c>
      <c r="Q273" s="104">
        <f t="shared" si="74"/>
        <v>0</v>
      </c>
      <c r="R273" s="104" t="str">
        <f t="shared" si="75"/>
        <v>Not Applicable</v>
      </c>
      <c r="S273" s="149" t="s">
        <v>815</v>
      </c>
      <c r="T273" s="149">
        <f>IF(O273=0,0,IF(S273="N",0,VLOOKUP(B273,'Enrollment 25-26'!$B$8:$K$332,9,FALSE)))</f>
        <v>0</v>
      </c>
      <c r="U273" s="64">
        <f t="shared" si="76"/>
        <v>35276</v>
      </c>
      <c r="V273" s="128">
        <f t="shared" si="77"/>
        <v>117.12986021184048</v>
      </c>
      <c r="W273" s="150"/>
      <c r="X273" s="64">
        <f>IFERROR(VLOOKUP($B273,#REF!,14,FALSE),0)</f>
        <v>0</v>
      </c>
      <c r="Y273" s="99">
        <f t="shared" si="78"/>
        <v>35276</v>
      </c>
      <c r="Z273" s="132">
        <f t="shared" si="79"/>
        <v>0</v>
      </c>
      <c r="AA273" s="151" t="str">
        <f t="shared" si="81"/>
        <v>Y</v>
      </c>
      <c r="AC273" s="64"/>
      <c r="AE273" s="152"/>
      <c r="AH273" s="153"/>
      <c r="AI273" s="153"/>
      <c r="AJ273" s="153"/>
      <c r="AK273" s="154"/>
    </row>
    <row r="274" spans="1:37" x14ac:dyDescent="0.25">
      <c r="A274" s="142" t="s">
        <v>497</v>
      </c>
      <c r="B274" t="s">
        <v>725</v>
      </c>
      <c r="C274" t="s">
        <v>272</v>
      </c>
      <c r="D274" s="143">
        <f>IFERROR(VLOOKUP(B274,'Enrollment 25-26'!$B$5:$I$332,8,FALSE),0)</f>
        <v>100.33</v>
      </c>
      <c r="E274" s="64">
        <f t="shared" si="68"/>
        <v>11665</v>
      </c>
      <c r="F274" s="144">
        <v>0</v>
      </c>
      <c r="G274" s="144">
        <v>0</v>
      </c>
      <c r="H274" s="64">
        <f t="shared" si="67"/>
        <v>11665</v>
      </c>
      <c r="I274" s="64">
        <f t="shared" si="69"/>
        <v>0</v>
      </c>
      <c r="J274" s="145">
        <f t="shared" si="70"/>
        <v>11665</v>
      </c>
      <c r="K274" s="146" t="str">
        <f t="shared" si="80"/>
        <v>Y</v>
      </c>
      <c r="L274" s="147">
        <f t="shared" si="71"/>
        <v>0</v>
      </c>
      <c r="M274" s="148">
        <f t="shared" si="72"/>
        <v>100.33</v>
      </c>
      <c r="N274" s="64">
        <f t="shared" si="73"/>
        <v>86</v>
      </c>
      <c r="O274" s="64">
        <f t="shared" si="66"/>
        <v>11751</v>
      </c>
      <c r="Q274" s="104">
        <f t="shared" si="74"/>
        <v>0</v>
      </c>
      <c r="R274" s="104" t="str">
        <f t="shared" si="75"/>
        <v>Not Applicable</v>
      </c>
      <c r="S274" s="149" t="s">
        <v>815</v>
      </c>
      <c r="T274" s="149">
        <f>IF(O274=0,0,IF(S274="N",0,VLOOKUP(B274,'Enrollment 25-26'!$B$8:$K$332,9,FALSE)))</f>
        <v>0</v>
      </c>
      <c r="U274" s="64">
        <f t="shared" si="76"/>
        <v>11751</v>
      </c>
      <c r="V274" s="128">
        <f t="shared" si="77"/>
        <v>117.12349247483306</v>
      </c>
      <c r="W274" s="150"/>
      <c r="X274" s="64">
        <f>IFERROR(VLOOKUP($B274,#REF!,14,FALSE),0)</f>
        <v>0</v>
      </c>
      <c r="Y274" s="99">
        <f t="shared" si="78"/>
        <v>11751</v>
      </c>
      <c r="Z274" s="132">
        <f t="shared" si="79"/>
        <v>0</v>
      </c>
      <c r="AA274" s="151" t="str">
        <f t="shared" si="81"/>
        <v>Y</v>
      </c>
      <c r="AC274" s="64"/>
      <c r="AE274" s="152"/>
      <c r="AH274" s="153"/>
      <c r="AI274" s="153"/>
      <c r="AJ274" s="153"/>
      <c r="AK274" s="154"/>
    </row>
    <row r="275" spans="1:37" s="155" customFormat="1" x14ac:dyDescent="0.25">
      <c r="A275" s="142" t="s">
        <v>497</v>
      </c>
      <c r="B275" s="13" t="s">
        <v>726</v>
      </c>
      <c r="C275" t="s">
        <v>273</v>
      </c>
      <c r="D275" s="143">
        <f>IFERROR(VLOOKUP(B275,'Enrollment 25-26'!$B$5:$I$332,8,FALSE),0)</f>
        <v>8.33</v>
      </c>
      <c r="E275" s="64">
        <f t="shared" si="68"/>
        <v>969</v>
      </c>
      <c r="F275" s="144">
        <v>0</v>
      </c>
      <c r="G275" s="144">
        <v>0</v>
      </c>
      <c r="H275" s="64">
        <f t="shared" si="67"/>
        <v>969</v>
      </c>
      <c r="I275" s="64">
        <f t="shared" si="69"/>
        <v>0</v>
      </c>
      <c r="J275" s="145">
        <f t="shared" si="70"/>
        <v>969</v>
      </c>
      <c r="K275" s="146" t="str">
        <f t="shared" si="80"/>
        <v>N</v>
      </c>
      <c r="L275" s="147">
        <f t="shared" si="71"/>
        <v>969</v>
      </c>
      <c r="M275" s="148">
        <f t="shared" si="72"/>
        <v>0</v>
      </c>
      <c r="N275" s="64">
        <f t="shared" si="73"/>
        <v>0</v>
      </c>
      <c r="O275" s="64">
        <f t="shared" si="66"/>
        <v>0</v>
      </c>
      <c r="P275" s="104"/>
      <c r="Q275" s="104">
        <f t="shared" si="74"/>
        <v>0</v>
      </c>
      <c r="R275" s="104" t="str">
        <f t="shared" si="75"/>
        <v>Not Applicable</v>
      </c>
      <c r="S275" s="149" t="s">
        <v>815</v>
      </c>
      <c r="T275" s="149">
        <f>IF(O275=0,0,IF(S275="N",0,VLOOKUP(B275,'Enrollment 25-26'!$B$8:$K$332,9,FALSE)))</f>
        <v>0</v>
      </c>
      <c r="U275" s="64">
        <f t="shared" si="76"/>
        <v>0</v>
      </c>
      <c r="V275" s="128">
        <f t="shared" si="77"/>
        <v>0</v>
      </c>
      <c r="W275" s="150"/>
      <c r="X275" s="64">
        <f>IFERROR(VLOOKUP($B275,#REF!,14,FALSE),0)</f>
        <v>0</v>
      </c>
      <c r="Y275" s="99">
        <f t="shared" si="78"/>
        <v>0</v>
      </c>
      <c r="Z275" s="132">
        <f t="shared" si="79"/>
        <v>0</v>
      </c>
      <c r="AA275" s="151" t="str">
        <f t="shared" si="81"/>
        <v>N</v>
      </c>
      <c r="AB275" s="184"/>
      <c r="AC275" s="64"/>
      <c r="AD275"/>
      <c r="AE275" s="152"/>
      <c r="AH275" s="156"/>
      <c r="AI275" s="156"/>
      <c r="AJ275" s="156"/>
      <c r="AK275" s="157"/>
    </row>
    <row r="276" spans="1:37" x14ac:dyDescent="0.25">
      <c r="A276" s="142" t="s">
        <v>497</v>
      </c>
      <c r="B276" t="s">
        <v>727</v>
      </c>
      <c r="C276" t="s">
        <v>274</v>
      </c>
      <c r="D276" s="143">
        <f>IFERROR(VLOOKUP(B276,'Enrollment 25-26'!$B$5:$I$332,8,FALSE),0)</f>
        <v>27.17</v>
      </c>
      <c r="E276" s="64">
        <f t="shared" si="68"/>
        <v>3159</v>
      </c>
      <c r="F276" s="144">
        <v>0</v>
      </c>
      <c r="G276" s="144">
        <v>0</v>
      </c>
      <c r="H276" s="64">
        <f t="shared" si="67"/>
        <v>3159</v>
      </c>
      <c r="I276" s="64">
        <f t="shared" si="69"/>
        <v>0</v>
      </c>
      <c r="J276" s="145">
        <f t="shared" si="70"/>
        <v>3159</v>
      </c>
      <c r="K276" s="146" t="str">
        <f t="shared" si="80"/>
        <v>N</v>
      </c>
      <c r="L276" s="147">
        <f t="shared" si="71"/>
        <v>3159</v>
      </c>
      <c r="M276" s="148">
        <f t="shared" si="72"/>
        <v>0</v>
      </c>
      <c r="N276" s="64">
        <f t="shared" si="73"/>
        <v>0</v>
      </c>
      <c r="O276" s="64">
        <f t="shared" si="66"/>
        <v>0</v>
      </c>
      <c r="Q276" s="104">
        <f t="shared" si="74"/>
        <v>0</v>
      </c>
      <c r="R276" s="104" t="str">
        <f t="shared" si="75"/>
        <v>Not Applicable</v>
      </c>
      <c r="S276" s="149" t="s">
        <v>815</v>
      </c>
      <c r="T276" s="149">
        <f>IF(O276=0,0,IF(S276="N",0,VLOOKUP(B276,'Enrollment 25-26'!$B$8:$K$332,9,FALSE)))</f>
        <v>0</v>
      </c>
      <c r="U276" s="64">
        <f t="shared" si="76"/>
        <v>0</v>
      </c>
      <c r="V276" s="128">
        <f t="shared" si="77"/>
        <v>0</v>
      </c>
      <c r="W276" s="150"/>
      <c r="X276" s="64">
        <f>IFERROR(VLOOKUP($B276,#REF!,14,FALSE),0)</f>
        <v>0</v>
      </c>
      <c r="Y276" s="99">
        <f t="shared" si="78"/>
        <v>0</v>
      </c>
      <c r="Z276" s="132">
        <f t="shared" si="79"/>
        <v>0</v>
      </c>
      <c r="AA276" s="151" t="str">
        <f t="shared" si="81"/>
        <v>N</v>
      </c>
      <c r="AC276" s="64"/>
      <c r="AE276" s="152"/>
      <c r="AH276" s="153"/>
      <c r="AI276" s="153"/>
      <c r="AJ276" s="153"/>
      <c r="AK276" s="154"/>
    </row>
    <row r="277" spans="1:37" x14ac:dyDescent="0.25">
      <c r="A277" s="142" t="s">
        <v>443</v>
      </c>
      <c r="B277" t="s">
        <v>728</v>
      </c>
      <c r="C277" t="s">
        <v>275</v>
      </c>
      <c r="D277" s="143">
        <f>IFERROR(VLOOKUP(B277,'Enrollment 25-26'!$B$5:$I$332,8,FALSE),0)</f>
        <v>0</v>
      </c>
      <c r="E277" s="64">
        <f t="shared" si="68"/>
        <v>0</v>
      </c>
      <c r="F277" s="144">
        <v>0</v>
      </c>
      <c r="G277" s="144">
        <v>0</v>
      </c>
      <c r="H277" s="64">
        <f t="shared" si="67"/>
        <v>0</v>
      </c>
      <c r="I277" s="64">
        <f t="shared" si="69"/>
        <v>0</v>
      </c>
      <c r="J277" s="145">
        <f t="shared" si="70"/>
        <v>0</v>
      </c>
      <c r="K277" s="146" t="str">
        <f t="shared" si="80"/>
        <v>N</v>
      </c>
      <c r="L277" s="147">
        <f t="shared" si="71"/>
        <v>0</v>
      </c>
      <c r="M277" s="148">
        <f t="shared" si="72"/>
        <v>0</v>
      </c>
      <c r="N277" s="64">
        <f t="shared" si="73"/>
        <v>0</v>
      </c>
      <c r="O277" s="64">
        <f t="shared" si="66"/>
        <v>0</v>
      </c>
      <c r="Q277" s="104">
        <f t="shared" si="74"/>
        <v>0</v>
      </c>
      <c r="R277" s="104" t="str">
        <f t="shared" si="75"/>
        <v>Not Applicable</v>
      </c>
      <c r="S277" s="149" t="s">
        <v>815</v>
      </c>
      <c r="T277" s="149">
        <f>IF(O277=0,0,IF(S277="N",0,VLOOKUP(B277,'Enrollment 25-26'!$B$8:$K$332,9,FALSE)))</f>
        <v>0</v>
      </c>
      <c r="U277" s="64">
        <f t="shared" si="76"/>
        <v>0</v>
      </c>
      <c r="V277" s="128">
        <f t="shared" si="77"/>
        <v>0</v>
      </c>
      <c r="W277" s="150"/>
      <c r="X277" s="64">
        <f>IFERROR(VLOOKUP($B277,#REF!,14,FALSE),0)</f>
        <v>0</v>
      </c>
      <c r="Y277" s="99">
        <f t="shared" si="78"/>
        <v>0</v>
      </c>
      <c r="Z277" s="132">
        <f t="shared" si="79"/>
        <v>0</v>
      </c>
      <c r="AA277" s="151" t="str">
        <f t="shared" si="81"/>
        <v>N</v>
      </c>
      <c r="AC277" s="64"/>
      <c r="AE277" s="152"/>
      <c r="AH277" s="153"/>
      <c r="AI277" s="153"/>
      <c r="AJ277" s="153"/>
      <c r="AK277" s="154"/>
    </row>
    <row r="278" spans="1:37" s="155" customFormat="1" x14ac:dyDescent="0.25">
      <c r="A278" s="142" t="s">
        <v>454</v>
      </c>
      <c r="B278" s="13" t="s">
        <v>729</v>
      </c>
      <c r="C278" t="s">
        <v>276</v>
      </c>
      <c r="D278" s="143">
        <f>IFERROR(VLOOKUP(B278,'Enrollment 25-26'!$B$5:$I$332,8,FALSE),0)</f>
        <v>673.83333333333337</v>
      </c>
      <c r="E278" s="64">
        <f t="shared" si="68"/>
        <v>78347</v>
      </c>
      <c r="F278" s="144">
        <v>0</v>
      </c>
      <c r="G278" s="144">
        <v>0</v>
      </c>
      <c r="H278" s="64">
        <f t="shared" si="67"/>
        <v>78347</v>
      </c>
      <c r="I278" s="64">
        <f t="shared" si="69"/>
        <v>0</v>
      </c>
      <c r="J278" s="145">
        <f t="shared" si="70"/>
        <v>78347</v>
      </c>
      <c r="K278" s="146" t="str">
        <f t="shared" si="80"/>
        <v>Y</v>
      </c>
      <c r="L278" s="147">
        <f t="shared" si="71"/>
        <v>0</v>
      </c>
      <c r="M278" s="148">
        <f t="shared" si="72"/>
        <v>673.83333333333337</v>
      </c>
      <c r="N278" s="64">
        <f t="shared" si="73"/>
        <v>579</v>
      </c>
      <c r="O278" s="64">
        <f t="shared" si="66"/>
        <v>78926</v>
      </c>
      <c r="P278" s="104"/>
      <c r="Q278" s="104">
        <f t="shared" si="74"/>
        <v>0</v>
      </c>
      <c r="R278" s="104" t="str">
        <f t="shared" si="75"/>
        <v>Not Applicable</v>
      </c>
      <c r="S278" s="149" t="s">
        <v>815</v>
      </c>
      <c r="T278" s="149">
        <f>IF(O278=0,0,IF(S278="N",0,VLOOKUP(B278,'Enrollment 25-26'!$B$8:$K$332,9,FALSE)))</f>
        <v>0</v>
      </c>
      <c r="U278" s="64">
        <f t="shared" si="76"/>
        <v>78926</v>
      </c>
      <c r="V278" s="128">
        <f t="shared" si="77"/>
        <v>117.12985406876082</v>
      </c>
      <c r="W278" s="150"/>
      <c r="X278" s="64">
        <f>IFERROR(VLOOKUP($B278,#REF!,14,FALSE),0)</f>
        <v>0</v>
      </c>
      <c r="Y278" s="99">
        <f t="shared" si="78"/>
        <v>78926</v>
      </c>
      <c r="Z278" s="132">
        <f t="shared" si="79"/>
        <v>0</v>
      </c>
      <c r="AA278" s="151" t="str">
        <f t="shared" si="81"/>
        <v>Y</v>
      </c>
      <c r="AB278" s="184"/>
      <c r="AC278" s="64"/>
      <c r="AD278"/>
      <c r="AE278" s="152"/>
      <c r="AH278" s="156"/>
      <c r="AI278" s="156"/>
      <c r="AJ278" s="156"/>
      <c r="AK278" s="157"/>
    </row>
    <row r="279" spans="1:37" x14ac:dyDescent="0.25">
      <c r="A279" s="142" t="s">
        <v>471</v>
      </c>
      <c r="B279" t="s">
        <v>730</v>
      </c>
      <c r="C279" t="s">
        <v>277</v>
      </c>
      <c r="D279" s="143">
        <f>IFERROR(VLOOKUP(B279,'Enrollment 25-26'!$B$5:$I$332,8,FALSE),0)</f>
        <v>2031.8366666666668</v>
      </c>
      <c r="E279" s="64">
        <f t="shared" si="68"/>
        <v>236242</v>
      </c>
      <c r="F279" s="144">
        <v>0</v>
      </c>
      <c r="G279" s="144">
        <v>0</v>
      </c>
      <c r="H279" s="64">
        <f t="shared" si="67"/>
        <v>236242</v>
      </c>
      <c r="I279" s="64">
        <f t="shared" si="69"/>
        <v>0</v>
      </c>
      <c r="J279" s="145">
        <f t="shared" si="70"/>
        <v>236242</v>
      </c>
      <c r="K279" s="146" t="str">
        <f t="shared" si="80"/>
        <v>Y</v>
      </c>
      <c r="L279" s="147">
        <f t="shared" si="71"/>
        <v>0</v>
      </c>
      <c r="M279" s="148">
        <f t="shared" si="72"/>
        <v>2031.8366666666668</v>
      </c>
      <c r="N279" s="64">
        <f t="shared" si="73"/>
        <v>1747</v>
      </c>
      <c r="O279" s="64">
        <f t="shared" si="66"/>
        <v>237989</v>
      </c>
      <c r="Q279" s="104">
        <f t="shared" si="74"/>
        <v>0</v>
      </c>
      <c r="R279" s="104" t="str">
        <f t="shared" si="75"/>
        <v>Not Applicable</v>
      </c>
      <c r="S279" s="149" t="s">
        <v>815</v>
      </c>
      <c r="T279" s="149">
        <f>IF(O279=0,0,IF(S279="N",0,VLOOKUP(B279,'Enrollment 25-26'!$B$8:$K$332,9,FALSE)))</f>
        <v>0</v>
      </c>
      <c r="U279" s="64">
        <f t="shared" si="76"/>
        <v>237989</v>
      </c>
      <c r="V279" s="128">
        <f t="shared" si="77"/>
        <v>117.12998584203783</v>
      </c>
      <c r="W279" s="150"/>
      <c r="X279" s="64">
        <f>IFERROR(VLOOKUP($B279,#REF!,14,FALSE),0)</f>
        <v>0</v>
      </c>
      <c r="Y279" s="99">
        <f t="shared" si="78"/>
        <v>237989</v>
      </c>
      <c r="Z279" s="132">
        <f t="shared" si="79"/>
        <v>0</v>
      </c>
      <c r="AA279" s="151" t="str">
        <f t="shared" si="81"/>
        <v>Y</v>
      </c>
      <c r="AC279" s="64"/>
      <c r="AE279" s="152"/>
      <c r="AH279" s="153"/>
      <c r="AI279" s="153"/>
      <c r="AJ279" s="153"/>
      <c r="AK279" s="154"/>
    </row>
    <row r="280" spans="1:37" x14ac:dyDescent="0.25">
      <c r="A280" s="142" t="s">
        <v>454</v>
      </c>
      <c r="B280" t="s">
        <v>731</v>
      </c>
      <c r="C280" t="s">
        <v>279</v>
      </c>
      <c r="D280" s="143">
        <f>IFERROR(VLOOKUP(B280,'Enrollment 25-26'!$B$5:$I$332,8,FALSE),0)</f>
        <v>3955.4966666666664</v>
      </c>
      <c r="E280" s="64">
        <f t="shared" si="68"/>
        <v>459906</v>
      </c>
      <c r="F280" s="144">
        <v>0</v>
      </c>
      <c r="G280" s="144">
        <v>0</v>
      </c>
      <c r="H280" s="64">
        <f t="shared" si="67"/>
        <v>459906</v>
      </c>
      <c r="I280" s="64">
        <f t="shared" si="69"/>
        <v>0</v>
      </c>
      <c r="J280" s="145">
        <f t="shared" si="70"/>
        <v>459906</v>
      </c>
      <c r="K280" s="146" t="str">
        <f t="shared" si="80"/>
        <v>Y</v>
      </c>
      <c r="L280" s="147">
        <f t="shared" si="71"/>
        <v>0</v>
      </c>
      <c r="M280" s="148">
        <f t="shared" si="72"/>
        <v>3955.4966666666664</v>
      </c>
      <c r="N280" s="64">
        <f t="shared" si="73"/>
        <v>3401</v>
      </c>
      <c r="O280" s="64">
        <f t="shared" si="66"/>
        <v>463307</v>
      </c>
      <c r="Q280" s="104">
        <f t="shared" si="74"/>
        <v>0</v>
      </c>
      <c r="R280" s="104" t="str">
        <f t="shared" si="75"/>
        <v>Not Applicable</v>
      </c>
      <c r="S280" s="149" t="s">
        <v>815</v>
      </c>
      <c r="T280" s="149">
        <f>IF(O280=0,0,IF(S280="N",0,VLOOKUP(B280,'Enrollment 25-26'!$B$8:$K$332,9,FALSE)))</f>
        <v>0</v>
      </c>
      <c r="U280" s="64">
        <f t="shared" si="76"/>
        <v>463307</v>
      </c>
      <c r="V280" s="128">
        <f t="shared" si="77"/>
        <v>117.12991794540763</v>
      </c>
      <c r="W280" s="150"/>
      <c r="X280" s="64">
        <f>IFERROR(VLOOKUP($B280,#REF!,14,FALSE),0)</f>
        <v>0</v>
      </c>
      <c r="Y280" s="99">
        <f t="shared" si="78"/>
        <v>463307</v>
      </c>
      <c r="Z280" s="132">
        <f t="shared" si="79"/>
        <v>0</v>
      </c>
      <c r="AA280" s="151" t="str">
        <f t="shared" si="81"/>
        <v>Y</v>
      </c>
      <c r="AC280" s="64"/>
      <c r="AE280" s="152"/>
      <c r="AH280" s="153"/>
      <c r="AI280" s="153"/>
      <c r="AJ280" s="153"/>
      <c r="AK280" s="154"/>
    </row>
    <row r="281" spans="1:37" x14ac:dyDescent="0.25">
      <c r="A281" s="142" t="s">
        <v>438</v>
      </c>
      <c r="B281" t="s">
        <v>732</v>
      </c>
      <c r="C281" t="s">
        <v>280</v>
      </c>
      <c r="D281" s="143">
        <f>IFERROR(VLOOKUP(B281,'Enrollment 25-26'!$B$5:$I$332,8,FALSE),0)</f>
        <v>0</v>
      </c>
      <c r="E281" s="64">
        <f t="shared" si="68"/>
        <v>0</v>
      </c>
      <c r="F281" s="144">
        <v>0</v>
      </c>
      <c r="G281" s="144">
        <v>0</v>
      </c>
      <c r="H281" s="64">
        <f t="shared" si="67"/>
        <v>0</v>
      </c>
      <c r="I281" s="64">
        <f t="shared" si="69"/>
        <v>0</v>
      </c>
      <c r="J281" s="145">
        <f t="shared" si="70"/>
        <v>0</v>
      </c>
      <c r="K281" s="146" t="str">
        <f t="shared" si="80"/>
        <v>N</v>
      </c>
      <c r="L281" s="147">
        <f t="shared" si="71"/>
        <v>0</v>
      </c>
      <c r="M281" s="148">
        <f t="shared" si="72"/>
        <v>0</v>
      </c>
      <c r="N281" s="64">
        <f t="shared" si="73"/>
        <v>0</v>
      </c>
      <c r="O281" s="64">
        <f t="shared" si="66"/>
        <v>0</v>
      </c>
      <c r="Q281" s="104">
        <f t="shared" si="74"/>
        <v>0</v>
      </c>
      <c r="R281" s="104" t="str">
        <f t="shared" si="75"/>
        <v>Not Applicable</v>
      </c>
      <c r="S281" s="149" t="s">
        <v>815</v>
      </c>
      <c r="T281" s="149">
        <f>IF(O281=0,0,IF(S281="N",0,VLOOKUP(B281,'Enrollment 25-26'!$B$8:$K$332,9,FALSE)))</f>
        <v>0</v>
      </c>
      <c r="U281" s="64">
        <f t="shared" si="76"/>
        <v>0</v>
      </c>
      <c r="V281" s="128">
        <f t="shared" si="77"/>
        <v>0</v>
      </c>
      <c r="W281" s="150"/>
      <c r="X281" s="64">
        <f>IFERROR(VLOOKUP($B281,#REF!,14,FALSE),0)</f>
        <v>0</v>
      </c>
      <c r="Y281" s="99">
        <f t="shared" si="78"/>
        <v>0</v>
      </c>
      <c r="Z281" s="132">
        <f t="shared" si="79"/>
        <v>0</v>
      </c>
      <c r="AA281" s="151" t="str">
        <f t="shared" si="81"/>
        <v>N</v>
      </c>
      <c r="AC281" s="64"/>
      <c r="AE281" s="152"/>
      <c r="AH281" s="153"/>
      <c r="AI281" s="153"/>
      <c r="AJ281" s="153"/>
      <c r="AK281" s="154"/>
    </row>
    <row r="282" spans="1:37" x14ac:dyDescent="0.25">
      <c r="A282" s="142" t="s">
        <v>454</v>
      </c>
      <c r="B282" t="s">
        <v>733</v>
      </c>
      <c r="C282" t="s">
        <v>281</v>
      </c>
      <c r="D282" s="143">
        <f>IFERROR(VLOOKUP(B282,'Enrollment 25-26'!$B$5:$I$332,8,FALSE),0)</f>
        <v>502</v>
      </c>
      <c r="E282" s="64">
        <f t="shared" si="68"/>
        <v>58368</v>
      </c>
      <c r="F282" s="144">
        <v>0</v>
      </c>
      <c r="G282" s="144">
        <v>0</v>
      </c>
      <c r="H282" s="64">
        <f t="shared" si="67"/>
        <v>58368</v>
      </c>
      <c r="I282" s="64">
        <f t="shared" si="69"/>
        <v>0</v>
      </c>
      <c r="J282" s="145">
        <f t="shared" si="70"/>
        <v>58368</v>
      </c>
      <c r="K282" s="146" t="str">
        <f t="shared" si="80"/>
        <v>Y</v>
      </c>
      <c r="L282" s="147">
        <f t="shared" si="71"/>
        <v>0</v>
      </c>
      <c r="M282" s="148">
        <f t="shared" si="72"/>
        <v>502</v>
      </c>
      <c r="N282" s="64">
        <f t="shared" si="73"/>
        <v>432</v>
      </c>
      <c r="O282" s="64">
        <f t="shared" si="66"/>
        <v>58800</v>
      </c>
      <c r="Q282" s="104">
        <f t="shared" si="74"/>
        <v>0</v>
      </c>
      <c r="R282" s="104" t="str">
        <f t="shared" si="75"/>
        <v>Not Applicable</v>
      </c>
      <c r="S282" s="149" t="s">
        <v>815</v>
      </c>
      <c r="T282" s="149">
        <f>IF(O282=0,0,IF(S282="N",0,VLOOKUP(B282,'Enrollment 25-26'!$B$8:$K$332,9,FALSE)))</f>
        <v>0</v>
      </c>
      <c r="U282" s="64">
        <f t="shared" si="76"/>
        <v>58800</v>
      </c>
      <c r="V282" s="128">
        <f t="shared" si="77"/>
        <v>117.13147410358566</v>
      </c>
      <c r="W282" s="150"/>
      <c r="X282" s="64">
        <f>IFERROR(VLOOKUP($B282,#REF!,14,FALSE),0)</f>
        <v>0</v>
      </c>
      <c r="Y282" s="99">
        <f t="shared" si="78"/>
        <v>58800</v>
      </c>
      <c r="Z282" s="132">
        <f t="shared" si="79"/>
        <v>0</v>
      </c>
      <c r="AA282" s="151" t="str">
        <f t="shared" si="81"/>
        <v>Y</v>
      </c>
      <c r="AC282" s="64"/>
      <c r="AE282" s="152"/>
      <c r="AH282" s="153"/>
      <c r="AI282" s="153"/>
      <c r="AJ282" s="153"/>
      <c r="AK282" s="154"/>
    </row>
    <row r="283" spans="1:37" x14ac:dyDescent="0.25">
      <c r="A283" s="142" t="s">
        <v>443</v>
      </c>
      <c r="B283" t="s">
        <v>734</v>
      </c>
      <c r="C283" t="s">
        <v>282</v>
      </c>
      <c r="D283" s="143">
        <f>IFERROR(VLOOKUP(B283,'Enrollment 25-26'!$B$5:$I$332,8,FALSE),0)</f>
        <v>1.83</v>
      </c>
      <c r="E283" s="64">
        <f t="shared" si="68"/>
        <v>213</v>
      </c>
      <c r="F283" s="144">
        <v>0</v>
      </c>
      <c r="G283" s="144">
        <v>0</v>
      </c>
      <c r="H283" s="64">
        <f t="shared" si="67"/>
        <v>213</v>
      </c>
      <c r="I283" s="64">
        <f t="shared" si="69"/>
        <v>0</v>
      </c>
      <c r="J283" s="145">
        <f t="shared" si="70"/>
        <v>213</v>
      </c>
      <c r="K283" s="146" t="str">
        <f t="shared" si="80"/>
        <v>N</v>
      </c>
      <c r="L283" s="147">
        <f t="shared" si="71"/>
        <v>213</v>
      </c>
      <c r="M283" s="148">
        <f t="shared" si="72"/>
        <v>0</v>
      </c>
      <c r="N283" s="64">
        <f t="shared" si="73"/>
        <v>0</v>
      </c>
      <c r="O283" s="64">
        <f t="shared" si="66"/>
        <v>0</v>
      </c>
      <c r="Q283" s="104">
        <f t="shared" si="74"/>
        <v>0</v>
      </c>
      <c r="R283" s="104" t="str">
        <f t="shared" si="75"/>
        <v>Not Applicable</v>
      </c>
      <c r="S283" s="149" t="s">
        <v>815</v>
      </c>
      <c r="T283" s="149">
        <f>IF(O283=0,0,IF(S283="N",0,VLOOKUP(B283,'Enrollment 25-26'!$B$8:$K$332,9,FALSE)))</f>
        <v>0</v>
      </c>
      <c r="U283" s="64">
        <f t="shared" si="76"/>
        <v>0</v>
      </c>
      <c r="V283" s="128">
        <f t="shared" si="77"/>
        <v>0</v>
      </c>
      <c r="W283" s="150"/>
      <c r="X283" s="64">
        <f>IFERROR(VLOOKUP($B283,#REF!,14,FALSE),0)</f>
        <v>0</v>
      </c>
      <c r="Y283" s="99">
        <f t="shared" si="78"/>
        <v>0</v>
      </c>
      <c r="Z283" s="132">
        <f t="shared" si="79"/>
        <v>0</v>
      </c>
      <c r="AA283" s="151" t="str">
        <f t="shared" si="81"/>
        <v>N</v>
      </c>
      <c r="AC283" s="64"/>
      <c r="AE283" s="152"/>
      <c r="AH283" s="153"/>
      <c r="AI283" s="153"/>
      <c r="AJ283" s="153"/>
      <c r="AK283" s="154"/>
    </row>
    <row r="284" spans="1:37" x14ac:dyDescent="0.25">
      <c r="A284" s="142" t="s">
        <v>438</v>
      </c>
      <c r="B284" t="s">
        <v>735</v>
      </c>
      <c r="C284" t="s">
        <v>283</v>
      </c>
      <c r="D284" s="143">
        <f>IFERROR(VLOOKUP(B284,'Enrollment 25-26'!$B$5:$I$332,8,FALSE),0)</f>
        <v>21.33</v>
      </c>
      <c r="E284" s="64">
        <f t="shared" si="68"/>
        <v>2480</v>
      </c>
      <c r="F284" s="144">
        <v>0</v>
      </c>
      <c r="G284" s="144">
        <v>0</v>
      </c>
      <c r="H284" s="64">
        <f t="shared" si="67"/>
        <v>2480</v>
      </c>
      <c r="I284" s="64">
        <f t="shared" si="69"/>
        <v>0</v>
      </c>
      <c r="J284" s="145">
        <f t="shared" si="70"/>
        <v>2480</v>
      </c>
      <c r="K284" s="146" t="str">
        <f t="shared" si="80"/>
        <v>N</v>
      </c>
      <c r="L284" s="147">
        <f t="shared" si="71"/>
        <v>2480</v>
      </c>
      <c r="M284" s="148">
        <f t="shared" si="72"/>
        <v>0</v>
      </c>
      <c r="N284" s="64">
        <f t="shared" si="73"/>
        <v>0</v>
      </c>
      <c r="O284" s="64">
        <f t="shared" si="66"/>
        <v>0</v>
      </c>
      <c r="Q284" s="104">
        <f t="shared" si="74"/>
        <v>0</v>
      </c>
      <c r="R284" s="104" t="str">
        <f t="shared" si="75"/>
        <v>Not Applicable</v>
      </c>
      <c r="S284" s="149" t="s">
        <v>815</v>
      </c>
      <c r="T284" s="149">
        <f>IF(O284=0,0,IF(S284="N",0,VLOOKUP(B284,'Enrollment 25-26'!$B$8:$K$332,9,FALSE)))</f>
        <v>0</v>
      </c>
      <c r="U284" s="64">
        <f t="shared" si="76"/>
        <v>0</v>
      </c>
      <c r="V284" s="128">
        <f t="shared" si="77"/>
        <v>0</v>
      </c>
      <c r="W284" s="150"/>
      <c r="X284" s="64">
        <f>IFERROR(VLOOKUP($B284,#REF!,14,FALSE),0)</f>
        <v>0</v>
      </c>
      <c r="Y284" s="99">
        <f t="shared" si="78"/>
        <v>0</v>
      </c>
      <c r="Z284" s="132">
        <f t="shared" si="79"/>
        <v>0</v>
      </c>
      <c r="AA284" s="151" t="str">
        <f t="shared" si="81"/>
        <v>N</v>
      </c>
      <c r="AC284" s="64"/>
      <c r="AE284" s="152"/>
      <c r="AH284" s="153"/>
      <c r="AI284" s="153"/>
      <c r="AJ284" s="153"/>
      <c r="AK284" s="154"/>
    </row>
    <row r="285" spans="1:37" x14ac:dyDescent="0.25">
      <c r="A285" s="142" t="s">
        <v>471</v>
      </c>
      <c r="B285" t="s">
        <v>736</v>
      </c>
      <c r="C285" t="s">
        <v>284</v>
      </c>
      <c r="D285" s="143">
        <f>IFERROR(VLOOKUP(B285,'Enrollment 25-26'!$B$5:$I$332,8,FALSE),0)</f>
        <v>4</v>
      </c>
      <c r="E285" s="64">
        <f t="shared" si="68"/>
        <v>465</v>
      </c>
      <c r="F285" s="144">
        <v>0</v>
      </c>
      <c r="G285" s="144">
        <v>0</v>
      </c>
      <c r="H285" s="64">
        <f t="shared" si="67"/>
        <v>465</v>
      </c>
      <c r="I285" s="64">
        <f t="shared" si="69"/>
        <v>0</v>
      </c>
      <c r="J285" s="145">
        <f t="shared" si="70"/>
        <v>465</v>
      </c>
      <c r="K285" s="146" t="str">
        <f t="shared" si="80"/>
        <v>N</v>
      </c>
      <c r="L285" s="147">
        <f t="shared" si="71"/>
        <v>465</v>
      </c>
      <c r="M285" s="148">
        <f t="shared" si="72"/>
        <v>0</v>
      </c>
      <c r="N285" s="64">
        <f t="shared" si="73"/>
        <v>0</v>
      </c>
      <c r="O285" s="64">
        <f t="shared" si="66"/>
        <v>0</v>
      </c>
      <c r="Q285" s="104">
        <f t="shared" si="74"/>
        <v>0</v>
      </c>
      <c r="R285" s="104" t="str">
        <f t="shared" si="75"/>
        <v>Not Applicable</v>
      </c>
      <c r="S285" s="149" t="s">
        <v>815</v>
      </c>
      <c r="T285" s="149">
        <f>IF(O285=0,0,IF(S285="N",0,VLOOKUP(B285,'Enrollment 25-26'!$B$8:$K$332,9,FALSE)))</f>
        <v>0</v>
      </c>
      <c r="U285" s="64">
        <f t="shared" si="76"/>
        <v>0</v>
      </c>
      <c r="V285" s="128">
        <f t="shared" si="77"/>
        <v>0</v>
      </c>
      <c r="W285" s="150"/>
      <c r="X285" s="64">
        <f>IFERROR(VLOOKUP($B285,#REF!,14,FALSE),0)</f>
        <v>0</v>
      </c>
      <c r="Y285" s="99">
        <f t="shared" si="78"/>
        <v>0</v>
      </c>
      <c r="Z285" s="132">
        <f t="shared" si="79"/>
        <v>0</v>
      </c>
      <c r="AA285" s="151" t="str">
        <f t="shared" si="81"/>
        <v>N</v>
      </c>
      <c r="AC285" s="64"/>
      <c r="AE285" s="152"/>
      <c r="AH285" s="153"/>
      <c r="AI285" s="153"/>
      <c r="AJ285" s="153"/>
      <c r="AK285" s="154"/>
    </row>
    <row r="286" spans="1:37" x14ac:dyDescent="0.25">
      <c r="A286" s="142" t="s">
        <v>438</v>
      </c>
      <c r="B286" t="s">
        <v>737</v>
      </c>
      <c r="C286" t="s">
        <v>285</v>
      </c>
      <c r="D286" s="143">
        <f>IFERROR(VLOOKUP(B286,'Enrollment 25-26'!$B$5:$I$332,8,FALSE),0)</f>
        <v>9.33</v>
      </c>
      <c r="E286" s="64">
        <f t="shared" si="68"/>
        <v>1085</v>
      </c>
      <c r="F286" s="144">
        <v>0</v>
      </c>
      <c r="G286" s="144">
        <v>0</v>
      </c>
      <c r="H286" s="64">
        <f t="shared" si="67"/>
        <v>1085</v>
      </c>
      <c r="I286" s="64">
        <f t="shared" si="69"/>
        <v>0</v>
      </c>
      <c r="J286" s="145">
        <f t="shared" si="70"/>
        <v>1085</v>
      </c>
      <c r="K286" s="146" t="str">
        <f t="shared" si="80"/>
        <v>N</v>
      </c>
      <c r="L286" s="147">
        <f t="shared" si="71"/>
        <v>1085</v>
      </c>
      <c r="M286" s="148">
        <f t="shared" si="72"/>
        <v>0</v>
      </c>
      <c r="N286" s="64">
        <f t="shared" si="73"/>
        <v>0</v>
      </c>
      <c r="O286" s="64">
        <f t="shared" si="66"/>
        <v>0</v>
      </c>
      <c r="Q286" s="104">
        <f t="shared" si="74"/>
        <v>0</v>
      </c>
      <c r="R286" s="104" t="str">
        <f t="shared" si="75"/>
        <v>Not Applicable</v>
      </c>
      <c r="S286" s="149" t="s">
        <v>815</v>
      </c>
      <c r="T286" s="149">
        <f>IF(O286=0,0,IF(S286="N",0,VLOOKUP(B286,'Enrollment 25-26'!$B$8:$K$332,9,FALSE)))</f>
        <v>0</v>
      </c>
      <c r="U286" s="64">
        <f t="shared" si="76"/>
        <v>0</v>
      </c>
      <c r="V286" s="128">
        <f t="shared" si="77"/>
        <v>0</v>
      </c>
      <c r="W286" s="150"/>
      <c r="X286" s="64">
        <f>IFERROR(VLOOKUP($B286,#REF!,14,FALSE),0)</f>
        <v>0</v>
      </c>
      <c r="Y286" s="99">
        <f t="shared" si="78"/>
        <v>0</v>
      </c>
      <c r="Z286" s="132">
        <f t="shared" si="79"/>
        <v>0</v>
      </c>
      <c r="AA286" s="151" t="str">
        <f t="shared" si="81"/>
        <v>N</v>
      </c>
      <c r="AC286" s="64"/>
      <c r="AE286" s="152"/>
      <c r="AH286" s="153"/>
      <c r="AI286" s="153"/>
      <c r="AJ286" s="153"/>
      <c r="AK286" s="154"/>
    </row>
    <row r="287" spans="1:37" x14ac:dyDescent="0.25">
      <c r="A287" s="142" t="s">
        <v>481</v>
      </c>
      <c r="B287" t="s">
        <v>738</v>
      </c>
      <c r="C287" t="s">
        <v>286</v>
      </c>
      <c r="D287" s="143">
        <f>IFERROR(VLOOKUP(B287,'Enrollment 25-26'!$B$5:$I$332,8,FALSE),0)</f>
        <v>132.66</v>
      </c>
      <c r="E287" s="64">
        <f t="shared" si="68"/>
        <v>15424</v>
      </c>
      <c r="F287" s="144">
        <v>0</v>
      </c>
      <c r="G287" s="144">
        <v>0</v>
      </c>
      <c r="H287" s="64">
        <f t="shared" si="67"/>
        <v>15424</v>
      </c>
      <c r="I287" s="64">
        <f t="shared" si="69"/>
        <v>0</v>
      </c>
      <c r="J287" s="145">
        <f t="shared" si="70"/>
        <v>15424</v>
      </c>
      <c r="K287" s="146" t="str">
        <f t="shared" si="80"/>
        <v>Y</v>
      </c>
      <c r="L287" s="147">
        <f t="shared" si="71"/>
        <v>0</v>
      </c>
      <c r="M287" s="148">
        <f t="shared" si="72"/>
        <v>132.66</v>
      </c>
      <c r="N287" s="64">
        <f t="shared" si="73"/>
        <v>114</v>
      </c>
      <c r="O287" s="64">
        <f t="shared" si="66"/>
        <v>15538</v>
      </c>
      <c r="Q287" s="104">
        <f t="shared" si="74"/>
        <v>0</v>
      </c>
      <c r="R287" s="104" t="str">
        <f t="shared" si="75"/>
        <v>Not Applicable</v>
      </c>
      <c r="S287" s="149" t="s">
        <v>815</v>
      </c>
      <c r="T287" s="149">
        <f>IF(O287=0,0,IF(S287="N",0,VLOOKUP(B287,'Enrollment 25-26'!$B$8:$K$332,9,FALSE)))</f>
        <v>0</v>
      </c>
      <c r="U287" s="64">
        <f t="shared" si="76"/>
        <v>15538</v>
      </c>
      <c r="V287" s="128">
        <f t="shared" si="77"/>
        <v>117.12648876827981</v>
      </c>
      <c r="W287" s="150"/>
      <c r="X287" s="64">
        <f>IFERROR(VLOOKUP($B287,#REF!,14,FALSE),0)</f>
        <v>0</v>
      </c>
      <c r="Y287" s="99">
        <f t="shared" si="78"/>
        <v>15538</v>
      </c>
      <c r="Z287" s="132">
        <f t="shared" si="79"/>
        <v>0</v>
      </c>
      <c r="AA287" s="151" t="str">
        <f t="shared" si="81"/>
        <v>Y</v>
      </c>
      <c r="AC287" s="64"/>
      <c r="AE287" s="152"/>
      <c r="AH287" s="153"/>
      <c r="AI287" s="153"/>
      <c r="AJ287" s="153"/>
      <c r="AK287" s="154"/>
    </row>
    <row r="288" spans="1:37" x14ac:dyDescent="0.25">
      <c r="A288" s="142" t="s">
        <v>471</v>
      </c>
      <c r="B288" t="s">
        <v>739</v>
      </c>
      <c r="C288" t="s">
        <v>287</v>
      </c>
      <c r="D288" s="143">
        <f>IFERROR(VLOOKUP(B288,'Enrollment 25-26'!$B$5:$I$332,8,FALSE),0)</f>
        <v>1331</v>
      </c>
      <c r="E288" s="64">
        <f t="shared" si="68"/>
        <v>154756</v>
      </c>
      <c r="F288" s="144">
        <v>0</v>
      </c>
      <c r="G288" s="144">
        <v>0</v>
      </c>
      <c r="H288" s="64">
        <f t="shared" si="67"/>
        <v>154756</v>
      </c>
      <c r="I288" s="64">
        <f t="shared" si="69"/>
        <v>0</v>
      </c>
      <c r="J288" s="145">
        <f t="shared" si="70"/>
        <v>154756</v>
      </c>
      <c r="K288" s="146" t="str">
        <f t="shared" si="80"/>
        <v>Y</v>
      </c>
      <c r="L288" s="147">
        <f t="shared" si="71"/>
        <v>0</v>
      </c>
      <c r="M288" s="148">
        <f t="shared" si="72"/>
        <v>1331</v>
      </c>
      <c r="N288" s="64">
        <f t="shared" si="73"/>
        <v>1144</v>
      </c>
      <c r="O288" s="64">
        <f t="shared" si="66"/>
        <v>155900</v>
      </c>
      <c r="Q288" s="104">
        <f t="shared" si="74"/>
        <v>0</v>
      </c>
      <c r="R288" s="104" t="str">
        <f t="shared" si="75"/>
        <v>Not Applicable</v>
      </c>
      <c r="S288" s="149" t="s">
        <v>815</v>
      </c>
      <c r="T288" s="149">
        <f>IF(O288=0,0,IF(S288="N",0,VLOOKUP(B288,'Enrollment 25-26'!$B$8:$K$332,9,FALSE)))</f>
        <v>0</v>
      </c>
      <c r="U288" s="64">
        <f t="shared" si="76"/>
        <v>155900</v>
      </c>
      <c r="V288" s="128">
        <f t="shared" si="77"/>
        <v>117.12997746055598</v>
      </c>
      <c r="W288" s="150"/>
      <c r="X288" s="64">
        <f>IFERROR(VLOOKUP($B288,#REF!,14,FALSE),0)</f>
        <v>0</v>
      </c>
      <c r="Y288" s="99">
        <f t="shared" si="78"/>
        <v>155900</v>
      </c>
      <c r="Z288" s="132">
        <f t="shared" si="79"/>
        <v>0</v>
      </c>
      <c r="AA288" s="151" t="str">
        <f t="shared" si="81"/>
        <v>Y</v>
      </c>
      <c r="AC288" s="64"/>
      <c r="AE288" s="152"/>
      <c r="AH288" s="153"/>
      <c r="AI288" s="153"/>
      <c r="AJ288" s="153"/>
      <c r="AK288" s="154"/>
    </row>
    <row r="289" spans="1:37" x14ac:dyDescent="0.25">
      <c r="A289" s="142" t="s">
        <v>451</v>
      </c>
      <c r="B289" t="s">
        <v>494</v>
      </c>
      <c r="C289" t="s">
        <v>288</v>
      </c>
      <c r="D289" s="143">
        <f>IFERROR(VLOOKUP(B289,'Enrollment 25-26'!$B$5:$I$332,8,FALSE),0)</f>
        <v>33.67</v>
      </c>
      <c r="E289" s="64">
        <f t="shared" si="68"/>
        <v>3915</v>
      </c>
      <c r="F289" s="144">
        <v>0</v>
      </c>
      <c r="G289" s="144">
        <v>0</v>
      </c>
      <c r="H289" s="64">
        <f t="shared" si="67"/>
        <v>3915</v>
      </c>
      <c r="I289" s="64">
        <f t="shared" si="69"/>
        <v>0</v>
      </c>
      <c r="J289" s="145">
        <f t="shared" si="70"/>
        <v>3915</v>
      </c>
      <c r="K289" s="146" t="str">
        <f t="shared" si="80"/>
        <v>N</v>
      </c>
      <c r="L289" s="147">
        <f t="shared" si="71"/>
        <v>3915</v>
      </c>
      <c r="M289" s="148">
        <f t="shared" si="72"/>
        <v>0</v>
      </c>
      <c r="N289" s="64">
        <f t="shared" si="73"/>
        <v>0</v>
      </c>
      <c r="O289" s="64">
        <f t="shared" si="66"/>
        <v>0</v>
      </c>
      <c r="Q289" s="104">
        <f t="shared" si="74"/>
        <v>0</v>
      </c>
      <c r="R289" s="104" t="str">
        <f t="shared" si="75"/>
        <v>Not Applicable</v>
      </c>
      <c r="S289" s="149" t="s">
        <v>815</v>
      </c>
      <c r="T289" s="149">
        <f>IF(O289=0,0,IF(S289="N",0,VLOOKUP(B289,'Enrollment 25-26'!$B$8:$K$332,9,FALSE)))</f>
        <v>0</v>
      </c>
      <c r="U289" s="64">
        <f t="shared" si="76"/>
        <v>0</v>
      </c>
      <c r="V289" s="128">
        <f t="shared" si="77"/>
        <v>0</v>
      </c>
      <c r="W289" s="150"/>
      <c r="X289" s="64">
        <f>IFERROR(VLOOKUP($B289,#REF!,14,FALSE),0)</f>
        <v>0</v>
      </c>
      <c r="Y289" s="99">
        <f t="shared" si="78"/>
        <v>0</v>
      </c>
      <c r="Z289" s="132">
        <f t="shared" si="79"/>
        <v>0</v>
      </c>
      <c r="AA289" s="151" t="str">
        <f t="shared" si="81"/>
        <v>N</v>
      </c>
      <c r="AC289" s="64"/>
      <c r="AE289" s="152"/>
      <c r="AH289" s="153"/>
      <c r="AI289" s="153"/>
      <c r="AJ289" s="153"/>
      <c r="AK289" s="154"/>
    </row>
    <row r="290" spans="1:37" x14ac:dyDescent="0.25">
      <c r="A290" s="142" t="s">
        <v>459</v>
      </c>
      <c r="B290" t="s">
        <v>740</v>
      </c>
      <c r="C290" t="s">
        <v>289</v>
      </c>
      <c r="D290" s="143">
        <f>IFERROR(VLOOKUP(B290,'Enrollment 25-26'!$B$5:$I$332,8,FALSE),0)</f>
        <v>0</v>
      </c>
      <c r="E290" s="64">
        <f t="shared" si="68"/>
        <v>0</v>
      </c>
      <c r="F290" s="144">
        <v>0</v>
      </c>
      <c r="G290" s="144">
        <v>0</v>
      </c>
      <c r="H290" s="64">
        <f t="shared" si="67"/>
        <v>0</v>
      </c>
      <c r="I290" s="64">
        <f t="shared" si="69"/>
        <v>0</v>
      </c>
      <c r="J290" s="145">
        <f t="shared" si="70"/>
        <v>0</v>
      </c>
      <c r="K290" s="146" t="str">
        <f t="shared" si="80"/>
        <v>N</v>
      </c>
      <c r="L290" s="147">
        <f t="shared" si="71"/>
        <v>0</v>
      </c>
      <c r="M290" s="148">
        <f t="shared" si="72"/>
        <v>0</v>
      </c>
      <c r="N290" s="64">
        <f t="shared" si="73"/>
        <v>0</v>
      </c>
      <c r="O290" s="64">
        <f t="shared" si="66"/>
        <v>0</v>
      </c>
      <c r="Q290" s="104">
        <f t="shared" si="74"/>
        <v>0</v>
      </c>
      <c r="R290" s="104" t="str">
        <f t="shared" si="75"/>
        <v>Not Applicable</v>
      </c>
      <c r="S290" s="149" t="s">
        <v>815</v>
      </c>
      <c r="T290" s="149">
        <f>IF(O290=0,0,IF(S290="N",0,VLOOKUP(B290,'Enrollment 25-26'!$B$8:$K$332,9,FALSE)))</f>
        <v>0</v>
      </c>
      <c r="U290" s="64">
        <f t="shared" si="76"/>
        <v>0</v>
      </c>
      <c r="V290" s="128">
        <f t="shared" si="77"/>
        <v>0</v>
      </c>
      <c r="W290" s="150"/>
      <c r="X290" s="64">
        <f>IFERROR(VLOOKUP($B290,#REF!,14,FALSE),0)</f>
        <v>0</v>
      </c>
      <c r="Y290" s="99">
        <f t="shared" si="78"/>
        <v>0</v>
      </c>
      <c r="Z290" s="132">
        <f t="shared" si="79"/>
        <v>0</v>
      </c>
      <c r="AA290" s="151" t="str">
        <f t="shared" si="81"/>
        <v>N</v>
      </c>
      <c r="AC290" s="64"/>
      <c r="AE290" s="152"/>
      <c r="AH290" s="153"/>
      <c r="AI290" s="153"/>
      <c r="AJ290" s="153"/>
      <c r="AK290" s="154"/>
    </row>
    <row r="291" spans="1:37" x14ac:dyDescent="0.25">
      <c r="A291" s="142" t="s">
        <v>459</v>
      </c>
      <c r="B291" t="s">
        <v>741</v>
      </c>
      <c r="C291" t="s">
        <v>290</v>
      </c>
      <c r="D291" s="143">
        <f>IFERROR(VLOOKUP(B291,'Enrollment 25-26'!$B$5:$I$332,8,FALSE),0)</f>
        <v>11.5</v>
      </c>
      <c r="E291" s="64">
        <f t="shared" si="68"/>
        <v>1337</v>
      </c>
      <c r="F291" s="144">
        <v>0</v>
      </c>
      <c r="G291" s="144">
        <v>0</v>
      </c>
      <c r="H291" s="64">
        <f t="shared" si="67"/>
        <v>1337</v>
      </c>
      <c r="I291" s="64">
        <f t="shared" si="69"/>
        <v>0</v>
      </c>
      <c r="J291" s="145">
        <f t="shared" si="70"/>
        <v>1337</v>
      </c>
      <c r="K291" s="146" t="str">
        <f t="shared" si="80"/>
        <v>N</v>
      </c>
      <c r="L291" s="147">
        <f t="shared" si="71"/>
        <v>1337</v>
      </c>
      <c r="M291" s="148">
        <f t="shared" si="72"/>
        <v>0</v>
      </c>
      <c r="N291" s="64">
        <f t="shared" si="73"/>
        <v>0</v>
      </c>
      <c r="O291" s="64">
        <f t="shared" si="66"/>
        <v>0</v>
      </c>
      <c r="Q291" s="104">
        <f t="shared" si="74"/>
        <v>0</v>
      </c>
      <c r="R291" s="104" t="str">
        <f t="shared" si="75"/>
        <v>Not Applicable</v>
      </c>
      <c r="S291" s="149" t="s">
        <v>815</v>
      </c>
      <c r="T291" s="149">
        <f>IF(O291=0,0,IF(S291="N",0,VLOOKUP(B291,'Enrollment 25-26'!$B$8:$K$332,9,FALSE)))</f>
        <v>0</v>
      </c>
      <c r="U291" s="64">
        <f t="shared" si="76"/>
        <v>0</v>
      </c>
      <c r="V291" s="128">
        <f t="shared" si="77"/>
        <v>0</v>
      </c>
      <c r="W291" s="150"/>
      <c r="X291" s="64">
        <f>IFERROR(VLOOKUP($B291,#REF!,14,FALSE),0)</f>
        <v>0</v>
      </c>
      <c r="Y291" s="99">
        <f t="shared" si="78"/>
        <v>0</v>
      </c>
      <c r="Z291" s="132">
        <f t="shared" si="79"/>
        <v>0</v>
      </c>
      <c r="AA291" s="151" t="str">
        <f t="shared" si="81"/>
        <v>N</v>
      </c>
      <c r="AC291" s="64"/>
      <c r="AE291" s="152"/>
      <c r="AH291" s="153"/>
      <c r="AI291" s="153"/>
      <c r="AJ291" s="153"/>
      <c r="AK291" s="154"/>
    </row>
    <row r="292" spans="1:37" x14ac:dyDescent="0.25">
      <c r="A292" s="142" t="s">
        <v>454</v>
      </c>
      <c r="B292" t="s">
        <v>742</v>
      </c>
      <c r="C292" t="s">
        <v>291</v>
      </c>
      <c r="D292" s="143">
        <f>IFERROR(VLOOKUP(B292,'Enrollment 25-26'!$B$5:$I$332,8,FALSE),0)</f>
        <v>1498.34</v>
      </c>
      <c r="E292" s="64">
        <f t="shared" si="68"/>
        <v>174212</v>
      </c>
      <c r="F292" s="144">
        <v>0</v>
      </c>
      <c r="G292" s="144">
        <v>0</v>
      </c>
      <c r="H292" s="64">
        <f t="shared" si="67"/>
        <v>174212</v>
      </c>
      <c r="I292" s="64">
        <f t="shared" si="69"/>
        <v>0</v>
      </c>
      <c r="J292" s="145">
        <f t="shared" si="70"/>
        <v>174212</v>
      </c>
      <c r="K292" s="146" t="str">
        <f t="shared" si="80"/>
        <v>Y</v>
      </c>
      <c r="L292" s="147">
        <f t="shared" si="71"/>
        <v>0</v>
      </c>
      <c r="M292" s="148">
        <f t="shared" si="72"/>
        <v>1498.34</v>
      </c>
      <c r="N292" s="64">
        <f t="shared" si="73"/>
        <v>1288</v>
      </c>
      <c r="O292" s="64">
        <f t="shared" si="66"/>
        <v>175500</v>
      </c>
      <c r="Q292" s="104">
        <f t="shared" si="74"/>
        <v>0</v>
      </c>
      <c r="R292" s="104" t="str">
        <f t="shared" si="75"/>
        <v>Not Applicable</v>
      </c>
      <c r="S292" s="149" t="s">
        <v>815</v>
      </c>
      <c r="T292" s="149">
        <f>IF(O292=0,0,IF(S292="N",0,VLOOKUP(B292,'Enrollment 25-26'!$B$8:$K$332,9,FALSE)))</f>
        <v>0</v>
      </c>
      <c r="U292" s="64">
        <f t="shared" si="76"/>
        <v>175500</v>
      </c>
      <c r="V292" s="128">
        <f t="shared" si="77"/>
        <v>117.12962344995128</v>
      </c>
      <c r="W292" s="150"/>
      <c r="X292" s="64">
        <f>IFERROR(VLOOKUP($B292,#REF!,14,FALSE),0)</f>
        <v>0</v>
      </c>
      <c r="Y292" s="99">
        <f t="shared" si="78"/>
        <v>175500</v>
      </c>
      <c r="Z292" s="132">
        <f t="shared" si="79"/>
        <v>0</v>
      </c>
      <c r="AA292" s="151" t="str">
        <f t="shared" si="81"/>
        <v>Y</v>
      </c>
      <c r="AC292" s="64"/>
      <c r="AE292" s="152"/>
      <c r="AH292" s="153"/>
      <c r="AI292" s="153"/>
      <c r="AJ292" s="153"/>
      <c r="AK292" s="154"/>
    </row>
    <row r="293" spans="1:37" x14ac:dyDescent="0.25">
      <c r="A293" s="142" t="s">
        <v>438</v>
      </c>
      <c r="B293" t="s">
        <v>743</v>
      </c>
      <c r="C293" t="s">
        <v>292</v>
      </c>
      <c r="D293" s="143">
        <f>IFERROR(VLOOKUP(B293,'Enrollment 25-26'!$B$5:$I$332,8,FALSE),0)</f>
        <v>170.34</v>
      </c>
      <c r="E293" s="64">
        <f t="shared" si="68"/>
        <v>19805</v>
      </c>
      <c r="F293" s="144">
        <v>0</v>
      </c>
      <c r="G293" s="144">
        <v>0</v>
      </c>
      <c r="H293" s="64">
        <f t="shared" si="67"/>
        <v>19805</v>
      </c>
      <c r="I293" s="64">
        <f t="shared" si="69"/>
        <v>0</v>
      </c>
      <c r="J293" s="145">
        <f t="shared" si="70"/>
        <v>19805</v>
      </c>
      <c r="K293" s="146" t="str">
        <f t="shared" si="80"/>
        <v>Y</v>
      </c>
      <c r="L293" s="147">
        <f t="shared" si="71"/>
        <v>0</v>
      </c>
      <c r="M293" s="148">
        <f t="shared" si="72"/>
        <v>170.34</v>
      </c>
      <c r="N293" s="64">
        <f t="shared" si="73"/>
        <v>146</v>
      </c>
      <c r="O293" s="64">
        <f t="shared" si="66"/>
        <v>19951</v>
      </c>
      <c r="Q293" s="104">
        <f t="shared" si="74"/>
        <v>0</v>
      </c>
      <c r="R293" s="104" t="str">
        <f t="shared" si="75"/>
        <v>Not Applicable</v>
      </c>
      <c r="S293" s="149" t="s">
        <v>815</v>
      </c>
      <c r="T293" s="149">
        <f>IF(O293=0,0,IF(S293="N",0,VLOOKUP(B293,'Enrollment 25-26'!$B$8:$K$332,9,FALSE)))</f>
        <v>0</v>
      </c>
      <c r="U293" s="64">
        <f t="shared" si="76"/>
        <v>19951</v>
      </c>
      <c r="V293" s="128">
        <f t="shared" si="77"/>
        <v>117.12457438065046</v>
      </c>
      <c r="W293" s="150"/>
      <c r="X293" s="64">
        <f>IFERROR(VLOOKUP($B293,#REF!,14,FALSE),0)</f>
        <v>0</v>
      </c>
      <c r="Y293" s="99">
        <f t="shared" si="78"/>
        <v>19951</v>
      </c>
      <c r="Z293" s="132">
        <f t="shared" si="79"/>
        <v>0</v>
      </c>
      <c r="AA293" s="151" t="str">
        <f t="shared" si="81"/>
        <v>Y</v>
      </c>
      <c r="AC293" s="64"/>
      <c r="AE293" s="152"/>
      <c r="AH293" s="153"/>
      <c r="AI293" s="153"/>
      <c r="AJ293" s="153"/>
      <c r="AK293" s="154"/>
    </row>
    <row r="294" spans="1:37" x14ac:dyDescent="0.25">
      <c r="A294" s="142" t="s">
        <v>471</v>
      </c>
      <c r="B294" t="s">
        <v>744</v>
      </c>
      <c r="C294" t="s">
        <v>293</v>
      </c>
      <c r="D294" s="143">
        <f>IFERROR(VLOOKUP(B294,'Enrollment 25-26'!$B$5:$I$332,8,FALSE),0)</f>
        <v>100.66</v>
      </c>
      <c r="E294" s="64">
        <f t="shared" si="68"/>
        <v>11704</v>
      </c>
      <c r="F294" s="144">
        <v>0</v>
      </c>
      <c r="G294" s="144">
        <v>0</v>
      </c>
      <c r="H294" s="64">
        <f t="shared" si="67"/>
        <v>11704</v>
      </c>
      <c r="I294" s="64">
        <f t="shared" si="69"/>
        <v>0</v>
      </c>
      <c r="J294" s="145">
        <f t="shared" si="70"/>
        <v>11704</v>
      </c>
      <c r="K294" s="146" t="str">
        <f t="shared" si="80"/>
        <v>Y</v>
      </c>
      <c r="L294" s="147">
        <f t="shared" si="71"/>
        <v>0</v>
      </c>
      <c r="M294" s="148">
        <f t="shared" si="72"/>
        <v>100.66</v>
      </c>
      <c r="N294" s="64">
        <f t="shared" si="73"/>
        <v>87</v>
      </c>
      <c r="O294" s="64">
        <f t="shared" si="66"/>
        <v>11791</v>
      </c>
      <c r="Q294" s="104">
        <f t="shared" si="74"/>
        <v>0</v>
      </c>
      <c r="R294" s="104" t="str">
        <f t="shared" si="75"/>
        <v>Not Applicable</v>
      </c>
      <c r="S294" s="149" t="s">
        <v>815</v>
      </c>
      <c r="T294" s="149">
        <f>IF(O294=0,0,IF(S294="N",0,VLOOKUP(B294,'Enrollment 25-26'!$B$8:$K$332,9,FALSE)))</f>
        <v>0</v>
      </c>
      <c r="U294" s="64">
        <f t="shared" si="76"/>
        <v>11791</v>
      </c>
      <c r="V294" s="128">
        <f t="shared" si="77"/>
        <v>117.13689648321082</v>
      </c>
      <c r="W294" s="150"/>
      <c r="X294" s="64">
        <f>IFERROR(VLOOKUP($B294,#REF!,14,FALSE),0)</f>
        <v>0</v>
      </c>
      <c r="Y294" s="99">
        <f t="shared" si="78"/>
        <v>11791</v>
      </c>
      <c r="Z294" s="132">
        <f t="shared" si="79"/>
        <v>0</v>
      </c>
      <c r="AA294" s="151" t="str">
        <f t="shared" si="81"/>
        <v>Y</v>
      </c>
      <c r="AC294" s="64"/>
      <c r="AE294" s="152"/>
      <c r="AH294" s="153"/>
      <c r="AI294" s="153"/>
      <c r="AJ294" s="153"/>
      <c r="AK294" s="154"/>
    </row>
    <row r="295" spans="1:37" x14ac:dyDescent="0.25">
      <c r="A295" s="142" t="s">
        <v>454</v>
      </c>
      <c r="B295" t="s">
        <v>745</v>
      </c>
      <c r="C295" t="s">
        <v>294</v>
      </c>
      <c r="D295" s="143">
        <f>IFERROR(VLOOKUP(B295,'Enrollment 25-26'!$B$5:$I$332,8,FALSE),0)</f>
        <v>383.50333333333333</v>
      </c>
      <c r="E295" s="64">
        <f t="shared" si="68"/>
        <v>44590</v>
      </c>
      <c r="F295" s="144">
        <v>0</v>
      </c>
      <c r="G295" s="144">
        <v>0</v>
      </c>
      <c r="H295" s="64">
        <f t="shared" si="67"/>
        <v>44590</v>
      </c>
      <c r="I295" s="64">
        <f t="shared" si="69"/>
        <v>0</v>
      </c>
      <c r="J295" s="145">
        <f t="shared" si="70"/>
        <v>44590</v>
      </c>
      <c r="K295" s="146" t="str">
        <f t="shared" si="80"/>
        <v>Y</v>
      </c>
      <c r="L295" s="147">
        <f t="shared" si="71"/>
        <v>0</v>
      </c>
      <c r="M295" s="148">
        <f t="shared" si="72"/>
        <v>383.50333333333333</v>
      </c>
      <c r="N295" s="64">
        <f t="shared" si="73"/>
        <v>330</v>
      </c>
      <c r="O295" s="64">
        <f t="shared" si="66"/>
        <v>44920</v>
      </c>
      <c r="Q295" s="104">
        <f t="shared" si="74"/>
        <v>0</v>
      </c>
      <c r="R295" s="104" t="str">
        <f t="shared" si="75"/>
        <v>Not Applicable</v>
      </c>
      <c r="S295" s="149" t="s">
        <v>815</v>
      </c>
      <c r="T295" s="149">
        <f>IF(O295=0,0,IF(S295="N",0,VLOOKUP(B295,'Enrollment 25-26'!$B$8:$K$332,9,FALSE)))</f>
        <v>0</v>
      </c>
      <c r="U295" s="64">
        <f t="shared" si="76"/>
        <v>44920</v>
      </c>
      <c r="V295" s="128">
        <f t="shared" si="77"/>
        <v>117.13066379257894</v>
      </c>
      <c r="W295" s="150"/>
      <c r="X295" s="64">
        <f>IFERROR(VLOOKUP($B295,#REF!,14,FALSE),0)</f>
        <v>0</v>
      </c>
      <c r="Y295" s="99">
        <f t="shared" si="78"/>
        <v>44920</v>
      </c>
      <c r="Z295" s="132">
        <f t="shared" si="79"/>
        <v>0</v>
      </c>
      <c r="AA295" s="151" t="str">
        <f t="shared" si="81"/>
        <v>Y</v>
      </c>
      <c r="AC295" s="64"/>
      <c r="AE295" s="152"/>
      <c r="AH295" s="153"/>
      <c r="AI295" s="153"/>
      <c r="AJ295" s="153"/>
      <c r="AK295" s="154"/>
    </row>
    <row r="296" spans="1:37" x14ac:dyDescent="0.25">
      <c r="A296" s="142" t="s">
        <v>443</v>
      </c>
      <c r="B296" t="s">
        <v>746</v>
      </c>
      <c r="C296" t="s">
        <v>295</v>
      </c>
      <c r="D296" s="143">
        <f>IFERROR(VLOOKUP(B296,'Enrollment 25-26'!$B$5:$I$332,8,FALSE),0)</f>
        <v>51.326666666666661</v>
      </c>
      <c r="E296" s="64">
        <f t="shared" si="68"/>
        <v>5968</v>
      </c>
      <c r="F296" s="144">
        <v>0</v>
      </c>
      <c r="G296" s="144">
        <v>0</v>
      </c>
      <c r="H296" s="64">
        <f t="shared" si="67"/>
        <v>5968</v>
      </c>
      <c r="I296" s="64">
        <f t="shared" si="69"/>
        <v>0</v>
      </c>
      <c r="J296" s="145">
        <f t="shared" si="70"/>
        <v>5968</v>
      </c>
      <c r="K296" s="146" t="str">
        <f t="shared" si="80"/>
        <v>N</v>
      </c>
      <c r="L296" s="147">
        <f t="shared" si="71"/>
        <v>5968</v>
      </c>
      <c r="M296" s="148">
        <f t="shared" si="72"/>
        <v>0</v>
      </c>
      <c r="N296" s="64">
        <f t="shared" si="73"/>
        <v>0</v>
      </c>
      <c r="O296" s="64">
        <f t="shared" si="66"/>
        <v>0</v>
      </c>
      <c r="Q296" s="104">
        <f t="shared" si="74"/>
        <v>0</v>
      </c>
      <c r="R296" s="104" t="str">
        <f t="shared" si="75"/>
        <v>Not Applicable</v>
      </c>
      <c r="S296" s="149" t="s">
        <v>815</v>
      </c>
      <c r="T296" s="149">
        <f>IF(O296=0,0,IF(S296="N",0,VLOOKUP(B296,'Enrollment 25-26'!$B$8:$K$332,9,FALSE)))</f>
        <v>0</v>
      </c>
      <c r="U296" s="64">
        <f t="shared" si="76"/>
        <v>0</v>
      </c>
      <c r="V296" s="128">
        <f t="shared" si="77"/>
        <v>0</v>
      </c>
      <c r="W296" s="150"/>
      <c r="X296" s="64">
        <f>IFERROR(VLOOKUP($B296,#REF!,14,FALSE),0)</f>
        <v>0</v>
      </c>
      <c r="Y296" s="99">
        <f t="shared" si="78"/>
        <v>0</v>
      </c>
      <c r="Z296" s="132">
        <f t="shared" si="79"/>
        <v>0</v>
      </c>
      <c r="AA296" s="151" t="str">
        <f t="shared" si="81"/>
        <v>N</v>
      </c>
      <c r="AC296" s="64"/>
      <c r="AE296" s="152"/>
      <c r="AH296" s="153"/>
      <c r="AI296" s="153"/>
      <c r="AJ296" s="153"/>
      <c r="AK296" s="154"/>
    </row>
    <row r="297" spans="1:37" x14ac:dyDescent="0.25">
      <c r="A297" s="142" t="s">
        <v>459</v>
      </c>
      <c r="B297" t="s">
        <v>747</v>
      </c>
      <c r="C297" t="s">
        <v>296</v>
      </c>
      <c r="D297" s="143">
        <f>IFERROR(VLOOKUP(B297,'Enrollment 25-26'!$B$5:$I$332,8,FALSE),0)</f>
        <v>3879.34</v>
      </c>
      <c r="E297" s="64">
        <f t="shared" si="68"/>
        <v>451051</v>
      </c>
      <c r="F297" s="144">
        <v>0</v>
      </c>
      <c r="G297" s="144">
        <v>0</v>
      </c>
      <c r="H297" s="64">
        <f t="shared" si="67"/>
        <v>451051</v>
      </c>
      <c r="I297" s="64">
        <f t="shared" si="69"/>
        <v>0</v>
      </c>
      <c r="J297" s="145">
        <f t="shared" si="70"/>
        <v>451051</v>
      </c>
      <c r="K297" s="146" t="str">
        <f t="shared" si="80"/>
        <v>Y</v>
      </c>
      <c r="L297" s="147">
        <f t="shared" si="71"/>
        <v>0</v>
      </c>
      <c r="M297" s="148">
        <f t="shared" si="72"/>
        <v>3879.34</v>
      </c>
      <c r="N297" s="64">
        <f t="shared" si="73"/>
        <v>3335</v>
      </c>
      <c r="O297" s="64">
        <f t="shared" si="66"/>
        <v>454386</v>
      </c>
      <c r="Q297" s="104">
        <f t="shared" si="74"/>
        <v>0</v>
      </c>
      <c r="R297" s="104" t="str">
        <f t="shared" si="75"/>
        <v>Not Applicable</v>
      </c>
      <c r="S297" s="149" t="s">
        <v>815</v>
      </c>
      <c r="T297" s="149">
        <f>IF(O297=0,0,IF(S297="N",0,VLOOKUP(B297,'Enrollment 25-26'!$B$8:$K$332,9,FALSE)))</f>
        <v>0</v>
      </c>
      <c r="U297" s="64">
        <f t="shared" si="76"/>
        <v>454386</v>
      </c>
      <c r="V297" s="128">
        <f t="shared" si="77"/>
        <v>117.12971794171173</v>
      </c>
      <c r="W297" s="150"/>
      <c r="X297" s="64">
        <f>IFERROR(VLOOKUP($B297,#REF!,14,FALSE),0)</f>
        <v>0</v>
      </c>
      <c r="Y297" s="99">
        <f t="shared" si="78"/>
        <v>454386</v>
      </c>
      <c r="Z297" s="132">
        <f t="shared" si="79"/>
        <v>0</v>
      </c>
      <c r="AA297" s="151" t="str">
        <f t="shared" si="81"/>
        <v>Y</v>
      </c>
      <c r="AC297" s="64"/>
      <c r="AE297" s="152"/>
      <c r="AH297" s="153"/>
      <c r="AI297" s="153"/>
      <c r="AJ297" s="153"/>
      <c r="AK297" s="154"/>
    </row>
    <row r="298" spans="1:37" x14ac:dyDescent="0.25">
      <c r="A298" s="142" t="s">
        <v>454</v>
      </c>
      <c r="B298" t="s">
        <v>748</v>
      </c>
      <c r="C298" t="s">
        <v>297</v>
      </c>
      <c r="D298" s="143">
        <f>IFERROR(VLOOKUP(B298,'Enrollment 25-26'!$B$5:$I$332,8,FALSE),0)</f>
        <v>102.83</v>
      </c>
      <c r="E298" s="64">
        <f t="shared" si="68"/>
        <v>11956</v>
      </c>
      <c r="F298" s="144">
        <v>0</v>
      </c>
      <c r="G298" s="144">
        <v>0</v>
      </c>
      <c r="H298" s="64">
        <f t="shared" si="67"/>
        <v>11956</v>
      </c>
      <c r="I298" s="64">
        <f t="shared" si="69"/>
        <v>0</v>
      </c>
      <c r="J298" s="145">
        <f t="shared" si="70"/>
        <v>11956</v>
      </c>
      <c r="K298" s="146" t="str">
        <f t="shared" si="80"/>
        <v>Y</v>
      </c>
      <c r="L298" s="147">
        <f t="shared" si="71"/>
        <v>0</v>
      </c>
      <c r="M298" s="148">
        <f t="shared" si="72"/>
        <v>102.83</v>
      </c>
      <c r="N298" s="64">
        <f t="shared" si="73"/>
        <v>88</v>
      </c>
      <c r="O298" s="64">
        <f t="shared" si="66"/>
        <v>12044</v>
      </c>
      <c r="Q298" s="104">
        <f t="shared" si="74"/>
        <v>0</v>
      </c>
      <c r="R298" s="104" t="str">
        <f t="shared" si="75"/>
        <v>Not Applicable</v>
      </c>
      <c r="S298" s="149" t="s">
        <v>815</v>
      </c>
      <c r="T298" s="149">
        <f>IF(O298=0,0,IF(S298="N",0,VLOOKUP(B298,'Enrollment 25-26'!$B$8:$K$332,9,FALSE)))</f>
        <v>0</v>
      </c>
      <c r="U298" s="64">
        <f t="shared" si="76"/>
        <v>12044</v>
      </c>
      <c r="V298" s="128">
        <f t="shared" si="77"/>
        <v>117.12535252358262</v>
      </c>
      <c r="W298" s="150"/>
      <c r="X298" s="64">
        <f>IFERROR(VLOOKUP($B298,#REF!,14,FALSE),0)</f>
        <v>0</v>
      </c>
      <c r="Y298" s="99">
        <f t="shared" si="78"/>
        <v>12044</v>
      </c>
      <c r="Z298" s="132">
        <f t="shared" si="79"/>
        <v>0</v>
      </c>
      <c r="AA298" s="151" t="str">
        <f t="shared" si="81"/>
        <v>Y</v>
      </c>
      <c r="AC298" s="64"/>
      <c r="AE298" s="152"/>
    </row>
    <row r="299" spans="1:37" x14ac:dyDescent="0.25">
      <c r="A299" s="142" t="s">
        <v>459</v>
      </c>
      <c r="B299" t="s">
        <v>749</v>
      </c>
      <c r="C299" t="s">
        <v>299</v>
      </c>
      <c r="D299" s="143">
        <f>IFERROR(VLOOKUP(B299,'Enrollment 25-26'!$B$5:$I$332,8,FALSE),0)</f>
        <v>12.67</v>
      </c>
      <c r="E299" s="64">
        <f t="shared" si="68"/>
        <v>1473</v>
      </c>
      <c r="F299" s="144">
        <v>0</v>
      </c>
      <c r="G299" s="144">
        <v>0</v>
      </c>
      <c r="H299" s="64">
        <f t="shared" si="67"/>
        <v>1473</v>
      </c>
      <c r="I299" s="64">
        <f t="shared" si="69"/>
        <v>0</v>
      </c>
      <c r="J299" s="145">
        <f t="shared" si="70"/>
        <v>1473</v>
      </c>
      <c r="K299" s="146" t="str">
        <f t="shared" si="80"/>
        <v>N</v>
      </c>
      <c r="L299" s="147">
        <f t="shared" si="71"/>
        <v>1473</v>
      </c>
      <c r="M299" s="148">
        <f t="shared" si="72"/>
        <v>0</v>
      </c>
      <c r="N299" s="64">
        <f t="shared" si="73"/>
        <v>0</v>
      </c>
      <c r="O299" s="64">
        <f t="shared" si="66"/>
        <v>0</v>
      </c>
      <c r="Q299" s="104">
        <f t="shared" si="74"/>
        <v>0</v>
      </c>
      <c r="R299" s="104" t="str">
        <f t="shared" si="75"/>
        <v>Not Applicable</v>
      </c>
      <c r="S299" s="149" t="s">
        <v>815</v>
      </c>
      <c r="T299" s="149">
        <f>IF(O299=0,0,IF(S299="N",0,VLOOKUP(B299,'Enrollment 25-26'!$B$8:$K$332,9,FALSE)))</f>
        <v>0</v>
      </c>
      <c r="U299" s="64">
        <f t="shared" si="76"/>
        <v>0</v>
      </c>
      <c r="V299" s="128">
        <f t="shared" si="77"/>
        <v>0</v>
      </c>
      <c r="W299" s="150"/>
      <c r="X299" s="64">
        <f>IFERROR(VLOOKUP($B299,#REF!,14,FALSE),0)</f>
        <v>0</v>
      </c>
      <c r="Y299" s="99">
        <f t="shared" si="78"/>
        <v>0</v>
      </c>
      <c r="Z299" s="132">
        <f t="shared" si="79"/>
        <v>0</v>
      </c>
      <c r="AA299" s="151" t="str">
        <f t="shared" si="81"/>
        <v>N</v>
      </c>
      <c r="AC299" s="64"/>
      <c r="AE299" s="152"/>
    </row>
    <row r="300" spans="1:37" x14ac:dyDescent="0.25">
      <c r="A300" s="142" t="s">
        <v>471</v>
      </c>
      <c r="B300" t="s">
        <v>750</v>
      </c>
      <c r="C300" t="s">
        <v>300</v>
      </c>
      <c r="D300" s="143">
        <f>IFERROR(VLOOKUP(B300,'Enrollment 25-26'!$B$5:$I$332,8,FALSE),0)</f>
        <v>1359.17</v>
      </c>
      <c r="E300" s="64">
        <f t="shared" si="68"/>
        <v>158031</v>
      </c>
      <c r="F300" s="144">
        <v>0</v>
      </c>
      <c r="G300" s="144">
        <v>0</v>
      </c>
      <c r="H300" s="64">
        <f t="shared" si="67"/>
        <v>158031</v>
      </c>
      <c r="I300" s="64">
        <f t="shared" si="69"/>
        <v>0</v>
      </c>
      <c r="J300" s="145">
        <f t="shared" si="70"/>
        <v>158031</v>
      </c>
      <c r="K300" s="146" t="str">
        <f t="shared" si="80"/>
        <v>Y</v>
      </c>
      <c r="L300" s="147">
        <f t="shared" si="71"/>
        <v>0</v>
      </c>
      <c r="M300" s="148">
        <f t="shared" si="72"/>
        <v>1359.17</v>
      </c>
      <c r="N300" s="64">
        <f t="shared" si="73"/>
        <v>1168</v>
      </c>
      <c r="O300" s="64">
        <f t="shared" si="66"/>
        <v>159199</v>
      </c>
      <c r="Q300" s="104">
        <f t="shared" si="74"/>
        <v>0</v>
      </c>
      <c r="R300" s="104" t="str">
        <f t="shared" si="75"/>
        <v>Not Applicable</v>
      </c>
      <c r="S300" s="149" t="s">
        <v>815</v>
      </c>
      <c r="T300" s="149">
        <f>IF(O300=0,0,IF(S300="N",0,VLOOKUP(B300,'Enrollment 25-26'!$B$8:$K$332,9,FALSE)))</f>
        <v>0</v>
      </c>
      <c r="U300" s="64">
        <f t="shared" si="76"/>
        <v>159199</v>
      </c>
      <c r="V300" s="128">
        <f t="shared" si="77"/>
        <v>117.12957172391974</v>
      </c>
      <c r="W300" s="150"/>
      <c r="X300" s="64">
        <f>IFERROR(VLOOKUP($B300,#REF!,14,FALSE),0)</f>
        <v>0</v>
      </c>
      <c r="Y300" s="99">
        <f t="shared" si="78"/>
        <v>159199</v>
      </c>
      <c r="Z300" s="132">
        <f t="shared" si="79"/>
        <v>0</v>
      </c>
      <c r="AA300" s="151" t="str">
        <f t="shared" si="81"/>
        <v>Y</v>
      </c>
      <c r="AC300" s="64"/>
      <c r="AE300" s="152"/>
    </row>
    <row r="301" spans="1:37" x14ac:dyDescent="0.25">
      <c r="A301" s="142" t="s">
        <v>451</v>
      </c>
      <c r="B301" t="s">
        <v>751</v>
      </c>
      <c r="C301" t="s">
        <v>301</v>
      </c>
      <c r="D301" s="143">
        <f>IFERROR(VLOOKUP(B301,'Enrollment 25-26'!$B$5:$I$332,8,FALSE),0)</f>
        <v>0</v>
      </c>
      <c r="E301" s="64">
        <f t="shared" si="68"/>
        <v>0</v>
      </c>
      <c r="F301" s="144">
        <v>0</v>
      </c>
      <c r="G301" s="144">
        <v>0</v>
      </c>
      <c r="H301" s="64">
        <f t="shared" si="67"/>
        <v>0</v>
      </c>
      <c r="I301" s="64">
        <f t="shared" si="69"/>
        <v>0</v>
      </c>
      <c r="J301" s="145">
        <f t="shared" si="70"/>
        <v>0</v>
      </c>
      <c r="K301" s="146" t="str">
        <f t="shared" si="80"/>
        <v>N</v>
      </c>
      <c r="L301" s="147">
        <f t="shared" si="71"/>
        <v>0</v>
      </c>
      <c r="M301" s="148">
        <f t="shared" si="72"/>
        <v>0</v>
      </c>
      <c r="N301" s="64">
        <f t="shared" si="73"/>
        <v>0</v>
      </c>
      <c r="O301" s="64">
        <f t="shared" si="66"/>
        <v>0</v>
      </c>
      <c r="Q301" s="104">
        <f t="shared" si="74"/>
        <v>0</v>
      </c>
      <c r="R301" s="104" t="str">
        <f t="shared" si="75"/>
        <v>Not Applicable</v>
      </c>
      <c r="S301" s="149" t="s">
        <v>815</v>
      </c>
      <c r="T301" s="149">
        <f>IF(O301=0,0,IF(S301="N",0,VLOOKUP(B301,'Enrollment 25-26'!$B$8:$K$332,9,FALSE)))</f>
        <v>0</v>
      </c>
      <c r="U301" s="64">
        <f t="shared" si="76"/>
        <v>0</v>
      </c>
      <c r="V301" s="128">
        <f t="shared" si="77"/>
        <v>0</v>
      </c>
      <c r="W301" s="150"/>
      <c r="X301" s="64">
        <f>IFERROR(VLOOKUP($B301,#REF!,14,FALSE),0)</f>
        <v>0</v>
      </c>
      <c r="Y301" s="99">
        <f t="shared" si="78"/>
        <v>0</v>
      </c>
      <c r="Z301" s="132">
        <f t="shared" si="79"/>
        <v>0</v>
      </c>
      <c r="AA301" s="151" t="str">
        <f t="shared" si="81"/>
        <v>N</v>
      </c>
      <c r="AC301" s="64"/>
      <c r="AE301" s="152"/>
    </row>
    <row r="302" spans="1:37" x14ac:dyDescent="0.25">
      <c r="A302" s="142" t="s">
        <v>451</v>
      </c>
      <c r="B302" t="s">
        <v>752</v>
      </c>
      <c r="C302" t="s">
        <v>302</v>
      </c>
      <c r="D302" s="143">
        <f>IFERROR(VLOOKUP(B302,'Enrollment 25-26'!$B$5:$I$332,8,FALSE),0)</f>
        <v>824</v>
      </c>
      <c r="E302" s="64">
        <f t="shared" si="68"/>
        <v>95807</v>
      </c>
      <c r="F302" s="144">
        <v>0</v>
      </c>
      <c r="G302" s="144">
        <v>0</v>
      </c>
      <c r="H302" s="64">
        <f t="shared" si="67"/>
        <v>95807</v>
      </c>
      <c r="I302" s="64">
        <f t="shared" si="69"/>
        <v>0</v>
      </c>
      <c r="J302" s="145">
        <f t="shared" si="70"/>
        <v>95807</v>
      </c>
      <c r="K302" s="146" t="str">
        <f t="shared" si="80"/>
        <v>Y</v>
      </c>
      <c r="L302" s="147">
        <f t="shared" si="71"/>
        <v>0</v>
      </c>
      <c r="M302" s="148">
        <f t="shared" si="72"/>
        <v>824</v>
      </c>
      <c r="N302" s="64">
        <f t="shared" si="73"/>
        <v>708</v>
      </c>
      <c r="O302" s="64">
        <f t="shared" si="66"/>
        <v>96515</v>
      </c>
      <c r="Q302" s="104">
        <f t="shared" si="74"/>
        <v>0</v>
      </c>
      <c r="R302" s="104" t="str">
        <f t="shared" si="75"/>
        <v>Not Applicable</v>
      </c>
      <c r="S302" s="149" t="s">
        <v>815</v>
      </c>
      <c r="T302" s="149">
        <f>IF(O302=0,0,IF(S302="N",0,VLOOKUP(B302,'Enrollment 25-26'!$B$8:$K$332,9,FALSE)))</f>
        <v>0</v>
      </c>
      <c r="U302" s="64">
        <f t="shared" si="76"/>
        <v>96515</v>
      </c>
      <c r="V302" s="128">
        <f t="shared" si="77"/>
        <v>117.12985436893204</v>
      </c>
      <c r="W302" s="150"/>
      <c r="X302" s="64">
        <f>IFERROR(VLOOKUP($B302,#REF!,14,FALSE),0)</f>
        <v>0</v>
      </c>
      <c r="Y302" s="99">
        <f t="shared" si="78"/>
        <v>96515</v>
      </c>
      <c r="Z302" s="132">
        <f t="shared" si="79"/>
        <v>0</v>
      </c>
      <c r="AA302" s="151" t="str">
        <f t="shared" si="81"/>
        <v>Y</v>
      </c>
      <c r="AC302" s="64"/>
      <c r="AE302" s="152"/>
    </row>
    <row r="303" spans="1:37" x14ac:dyDescent="0.25">
      <c r="A303" s="142" t="s">
        <v>471</v>
      </c>
      <c r="B303" t="s">
        <v>753</v>
      </c>
      <c r="C303" t="s">
        <v>303</v>
      </c>
      <c r="D303" s="143">
        <f>IFERROR(VLOOKUP(B303,'Enrollment 25-26'!$B$5:$I$332,8,FALSE),0)</f>
        <v>1472.1733333333332</v>
      </c>
      <c r="E303" s="64">
        <f t="shared" si="68"/>
        <v>171170</v>
      </c>
      <c r="F303" s="144">
        <v>0</v>
      </c>
      <c r="G303" s="144">
        <v>0</v>
      </c>
      <c r="H303" s="64">
        <f t="shared" si="67"/>
        <v>171170</v>
      </c>
      <c r="I303" s="64">
        <f t="shared" si="69"/>
        <v>0</v>
      </c>
      <c r="J303" s="145">
        <f t="shared" si="70"/>
        <v>171170</v>
      </c>
      <c r="K303" s="146" t="str">
        <f t="shared" si="80"/>
        <v>Y</v>
      </c>
      <c r="L303" s="147">
        <f t="shared" si="71"/>
        <v>0</v>
      </c>
      <c r="M303" s="148">
        <f t="shared" si="72"/>
        <v>1472.1733333333332</v>
      </c>
      <c r="N303" s="64">
        <f t="shared" si="73"/>
        <v>1266</v>
      </c>
      <c r="O303" s="64">
        <f t="shared" si="66"/>
        <v>172436</v>
      </c>
      <c r="Q303" s="104">
        <f t="shared" si="74"/>
        <v>0</v>
      </c>
      <c r="R303" s="104" t="str">
        <f t="shared" si="75"/>
        <v>Not Applicable</v>
      </c>
      <c r="S303" s="149" t="s">
        <v>815</v>
      </c>
      <c r="T303" s="149">
        <f>IF(O303=0,0,IF(S303="N",0,VLOOKUP(B303,'Enrollment 25-26'!$B$8:$K$332,9,FALSE)))</f>
        <v>0</v>
      </c>
      <c r="U303" s="64">
        <f t="shared" si="76"/>
        <v>172436</v>
      </c>
      <c r="V303" s="128">
        <f t="shared" si="77"/>
        <v>117.13022923025369</v>
      </c>
      <c r="W303" s="150"/>
      <c r="X303" s="64">
        <f>IFERROR(VLOOKUP($B303,#REF!,14,FALSE),0)</f>
        <v>0</v>
      </c>
      <c r="Y303" s="99">
        <f t="shared" si="78"/>
        <v>172436</v>
      </c>
      <c r="Z303" s="132">
        <f t="shared" si="79"/>
        <v>0</v>
      </c>
      <c r="AA303" s="151" t="str">
        <f t="shared" si="81"/>
        <v>Y</v>
      </c>
      <c r="AC303" s="64"/>
      <c r="AE303" s="152"/>
    </row>
    <row r="304" spans="1:37" x14ac:dyDescent="0.25">
      <c r="A304" s="142" t="s">
        <v>481</v>
      </c>
      <c r="B304" t="s">
        <v>754</v>
      </c>
      <c r="C304" t="s">
        <v>304</v>
      </c>
      <c r="D304" s="143">
        <f>IFERROR(VLOOKUP(B304,'Enrollment 25-26'!$B$5:$I$332,8,FALSE),0)</f>
        <v>287.5</v>
      </c>
      <c r="E304" s="64">
        <f t="shared" si="68"/>
        <v>33428</v>
      </c>
      <c r="F304" s="144">
        <v>0</v>
      </c>
      <c r="G304" s="144">
        <v>0</v>
      </c>
      <c r="H304" s="64">
        <f t="shared" si="67"/>
        <v>33428</v>
      </c>
      <c r="I304" s="64">
        <f t="shared" si="69"/>
        <v>0</v>
      </c>
      <c r="J304" s="145">
        <f t="shared" si="70"/>
        <v>33428</v>
      </c>
      <c r="K304" s="146" t="str">
        <f t="shared" si="80"/>
        <v>Y</v>
      </c>
      <c r="L304" s="147">
        <f t="shared" si="71"/>
        <v>0</v>
      </c>
      <c r="M304" s="148">
        <f t="shared" si="72"/>
        <v>287.5</v>
      </c>
      <c r="N304" s="64">
        <f t="shared" si="73"/>
        <v>247</v>
      </c>
      <c r="O304" s="64">
        <f t="shared" si="66"/>
        <v>33675</v>
      </c>
      <c r="Q304" s="104">
        <f t="shared" si="74"/>
        <v>0</v>
      </c>
      <c r="R304" s="104" t="str">
        <f t="shared" si="75"/>
        <v>Not Applicable</v>
      </c>
      <c r="S304" s="149" t="s">
        <v>815</v>
      </c>
      <c r="T304" s="149">
        <f>IF(O304=0,0,IF(S304="N",0,VLOOKUP(B304,'Enrollment 25-26'!$B$8:$K$332,9,FALSE)))</f>
        <v>0</v>
      </c>
      <c r="U304" s="64">
        <f t="shared" si="76"/>
        <v>33675</v>
      </c>
      <c r="V304" s="128">
        <f t="shared" si="77"/>
        <v>117.1304347826087</v>
      </c>
      <c r="W304" s="150"/>
      <c r="X304" s="64">
        <f>IFERROR(VLOOKUP($B304,#REF!,14,FALSE),0)</f>
        <v>0</v>
      </c>
      <c r="Y304" s="99">
        <f t="shared" si="78"/>
        <v>33675</v>
      </c>
      <c r="Z304" s="132">
        <f t="shared" si="79"/>
        <v>0</v>
      </c>
      <c r="AA304" s="151" t="str">
        <f t="shared" si="81"/>
        <v>Y</v>
      </c>
      <c r="AC304" s="64"/>
      <c r="AE304" s="152"/>
    </row>
    <row r="305" spans="1:37" x14ac:dyDescent="0.25">
      <c r="A305" s="142" t="s">
        <v>459</v>
      </c>
      <c r="B305" t="s">
        <v>755</v>
      </c>
      <c r="C305" t="s">
        <v>305</v>
      </c>
      <c r="D305" s="143">
        <f>IFERROR(VLOOKUP(B305,'Enrollment 25-26'!$B$5:$I$332,8,FALSE),0)</f>
        <v>96.5</v>
      </c>
      <c r="E305" s="64">
        <f t="shared" si="68"/>
        <v>11220</v>
      </c>
      <c r="F305" s="144">
        <v>0</v>
      </c>
      <c r="G305" s="144">
        <v>0</v>
      </c>
      <c r="H305" s="64">
        <f t="shared" si="67"/>
        <v>11220</v>
      </c>
      <c r="I305" s="64">
        <f t="shared" si="69"/>
        <v>0</v>
      </c>
      <c r="J305" s="145">
        <f t="shared" si="70"/>
        <v>11220</v>
      </c>
      <c r="K305" s="146" t="str">
        <f t="shared" si="80"/>
        <v>Y</v>
      </c>
      <c r="L305" s="147">
        <f t="shared" si="71"/>
        <v>0</v>
      </c>
      <c r="M305" s="148">
        <f t="shared" si="72"/>
        <v>96.5</v>
      </c>
      <c r="N305" s="64">
        <f t="shared" si="73"/>
        <v>83</v>
      </c>
      <c r="O305" s="64">
        <f t="shared" si="66"/>
        <v>11303</v>
      </c>
      <c r="Q305" s="104">
        <f t="shared" si="74"/>
        <v>0</v>
      </c>
      <c r="R305" s="104" t="str">
        <f t="shared" si="75"/>
        <v>Not Applicable</v>
      </c>
      <c r="S305" s="149" t="s">
        <v>815</v>
      </c>
      <c r="T305" s="149">
        <f>IF(O305=0,0,IF(S305="N",0,VLOOKUP(B305,'Enrollment 25-26'!$B$8:$K$332,9,FALSE)))</f>
        <v>0</v>
      </c>
      <c r="U305" s="64">
        <f t="shared" si="76"/>
        <v>11303</v>
      </c>
      <c r="V305" s="128">
        <f t="shared" si="77"/>
        <v>117.12953367875647</v>
      </c>
      <c r="W305" s="150"/>
      <c r="X305" s="64">
        <f>IFERROR(VLOOKUP($B305,#REF!,14,FALSE),0)</f>
        <v>0</v>
      </c>
      <c r="Y305" s="99">
        <f t="shared" si="78"/>
        <v>11303</v>
      </c>
      <c r="Z305" s="132">
        <f t="shared" si="79"/>
        <v>0</v>
      </c>
      <c r="AA305" s="151" t="str">
        <f t="shared" si="81"/>
        <v>Y</v>
      </c>
      <c r="AB305" s="185"/>
      <c r="AC305" s="64"/>
      <c r="AE305" s="152"/>
    </row>
    <row r="306" spans="1:37" x14ac:dyDescent="0.25">
      <c r="A306" s="142" t="s">
        <v>443</v>
      </c>
      <c r="B306" s="153" t="s">
        <v>756</v>
      </c>
      <c r="C306" t="s">
        <v>306</v>
      </c>
      <c r="D306" s="143">
        <f>IFERROR(VLOOKUP(B306,'Enrollment 25-26'!$B$5:$I$332,8,FALSE),0)</f>
        <v>0</v>
      </c>
      <c r="E306" s="64">
        <f t="shared" si="68"/>
        <v>0</v>
      </c>
      <c r="F306" s="144">
        <v>0</v>
      </c>
      <c r="G306" s="144">
        <v>0</v>
      </c>
      <c r="H306" s="64">
        <f t="shared" si="67"/>
        <v>0</v>
      </c>
      <c r="I306" s="64">
        <f t="shared" si="69"/>
        <v>0</v>
      </c>
      <c r="J306" s="145">
        <f t="shared" si="70"/>
        <v>0</v>
      </c>
      <c r="K306" s="146" t="str">
        <f t="shared" si="80"/>
        <v>N</v>
      </c>
      <c r="L306" s="147">
        <f t="shared" si="71"/>
        <v>0</v>
      </c>
      <c r="M306" s="148">
        <f t="shared" si="72"/>
        <v>0</v>
      </c>
      <c r="N306" s="64">
        <f t="shared" si="73"/>
        <v>0</v>
      </c>
      <c r="O306" s="64">
        <f t="shared" si="66"/>
        <v>0</v>
      </c>
      <c r="Q306" s="104">
        <f t="shared" si="74"/>
        <v>0</v>
      </c>
      <c r="R306" s="104" t="str">
        <f t="shared" si="75"/>
        <v>Not Applicable</v>
      </c>
      <c r="S306" s="149" t="s">
        <v>815</v>
      </c>
      <c r="T306" s="149">
        <f>IF(O306=0,0,IF(S306="N",0,VLOOKUP(B306,'Enrollment 25-26'!$B$8:$K$332,9,FALSE)))</f>
        <v>0</v>
      </c>
      <c r="U306" s="64">
        <f t="shared" si="76"/>
        <v>0</v>
      </c>
      <c r="V306" s="128">
        <f t="shared" si="77"/>
        <v>0</v>
      </c>
      <c r="W306" s="150"/>
      <c r="X306" s="64">
        <f>IFERROR(VLOOKUP($B306,#REF!,14,FALSE),0)</f>
        <v>0</v>
      </c>
      <c r="Y306" s="99">
        <f t="shared" si="78"/>
        <v>0</v>
      </c>
      <c r="Z306" s="132">
        <f t="shared" si="79"/>
        <v>0</v>
      </c>
      <c r="AA306" s="151" t="str">
        <f t="shared" si="81"/>
        <v>N</v>
      </c>
      <c r="AC306" s="64"/>
      <c r="AE306" s="152"/>
    </row>
    <row r="307" spans="1:37" x14ac:dyDescent="0.25">
      <c r="A307" s="142" t="s">
        <v>481</v>
      </c>
      <c r="B307" s="153" t="s">
        <v>757</v>
      </c>
      <c r="C307" t="s">
        <v>307</v>
      </c>
      <c r="D307" s="143">
        <f>IFERROR(VLOOKUP(B307,'Enrollment 25-26'!$B$5:$I$332,8,FALSE),0)</f>
        <v>24.17</v>
      </c>
      <c r="E307" s="64">
        <f t="shared" si="68"/>
        <v>2810</v>
      </c>
      <c r="F307" s="144">
        <v>0</v>
      </c>
      <c r="G307" s="144">
        <v>0</v>
      </c>
      <c r="H307" s="64">
        <f t="shared" si="67"/>
        <v>2810</v>
      </c>
      <c r="I307" s="64">
        <f t="shared" si="69"/>
        <v>0</v>
      </c>
      <c r="J307" s="145">
        <f t="shared" si="70"/>
        <v>2810</v>
      </c>
      <c r="K307" s="146" t="str">
        <f t="shared" si="80"/>
        <v>N</v>
      </c>
      <c r="L307" s="147">
        <f t="shared" si="71"/>
        <v>2810</v>
      </c>
      <c r="M307" s="148">
        <f t="shared" si="72"/>
        <v>0</v>
      </c>
      <c r="N307" s="64">
        <f t="shared" si="73"/>
        <v>0</v>
      </c>
      <c r="O307" s="64">
        <f t="shared" si="66"/>
        <v>0</v>
      </c>
      <c r="Q307" s="104">
        <f t="shared" si="74"/>
        <v>0</v>
      </c>
      <c r="R307" s="104" t="str">
        <f t="shared" si="75"/>
        <v>Not Applicable</v>
      </c>
      <c r="S307" s="149" t="s">
        <v>815</v>
      </c>
      <c r="T307" s="149">
        <f>IF(O307=0,0,IF(S307="N",0,VLOOKUP(B307,'Enrollment 25-26'!$B$8:$K$332,9,FALSE)))</f>
        <v>0</v>
      </c>
      <c r="U307" s="64">
        <f t="shared" si="76"/>
        <v>0</v>
      </c>
      <c r="V307" s="128">
        <f t="shared" si="77"/>
        <v>0</v>
      </c>
      <c r="W307" s="150"/>
      <c r="X307" s="64">
        <f>IFERROR(VLOOKUP($B307,#REF!,14,FALSE),0)</f>
        <v>0</v>
      </c>
      <c r="Y307" s="99">
        <f t="shared" si="78"/>
        <v>0</v>
      </c>
      <c r="Z307" s="132">
        <f t="shared" si="79"/>
        <v>0</v>
      </c>
      <c r="AA307" s="151" t="str">
        <f t="shared" si="81"/>
        <v>N</v>
      </c>
      <c r="AC307" s="64"/>
      <c r="AE307" s="152"/>
    </row>
    <row r="308" spans="1:37" x14ac:dyDescent="0.25">
      <c r="A308" s="142" t="s">
        <v>443</v>
      </c>
      <c r="B308" s="153" t="s">
        <v>758</v>
      </c>
      <c r="C308" t="s">
        <v>308</v>
      </c>
      <c r="D308" s="143">
        <f>IFERROR(VLOOKUP(B308,'Enrollment 25-26'!$B$5:$I$332,8,FALSE),0)</f>
        <v>94.833333333333329</v>
      </c>
      <c r="E308" s="64">
        <f t="shared" si="68"/>
        <v>11026</v>
      </c>
      <c r="F308" s="144">
        <v>0</v>
      </c>
      <c r="G308" s="144">
        <v>0</v>
      </c>
      <c r="H308" s="64">
        <f t="shared" si="67"/>
        <v>11026</v>
      </c>
      <c r="I308" s="64">
        <f t="shared" si="69"/>
        <v>0</v>
      </c>
      <c r="J308" s="145">
        <f t="shared" si="70"/>
        <v>11026</v>
      </c>
      <c r="K308" s="146" t="str">
        <f t="shared" si="80"/>
        <v>Y</v>
      </c>
      <c r="L308" s="147">
        <f t="shared" si="71"/>
        <v>0</v>
      </c>
      <c r="M308" s="148">
        <f t="shared" si="72"/>
        <v>94.833333333333329</v>
      </c>
      <c r="N308" s="64">
        <f t="shared" si="73"/>
        <v>82</v>
      </c>
      <c r="O308" s="64">
        <f t="shared" si="66"/>
        <v>11108</v>
      </c>
      <c r="Q308" s="104">
        <f t="shared" si="74"/>
        <v>0</v>
      </c>
      <c r="R308" s="104" t="str">
        <f t="shared" si="75"/>
        <v>Not Applicable</v>
      </c>
      <c r="S308" s="149" t="s">
        <v>815</v>
      </c>
      <c r="T308" s="149">
        <f>IF(O308=0,0,IF(S308="N",0,VLOOKUP(B308,'Enrollment 25-26'!$B$8:$K$332,9,FALSE)))</f>
        <v>0</v>
      </c>
      <c r="U308" s="64">
        <f t="shared" si="76"/>
        <v>11108</v>
      </c>
      <c r="V308" s="128">
        <f t="shared" si="77"/>
        <v>117.13181019332163</v>
      </c>
      <c r="W308" s="150"/>
      <c r="X308" s="64">
        <f>IFERROR(VLOOKUP($B308,#REF!,14,FALSE),0)</f>
        <v>0</v>
      </c>
      <c r="Y308" s="99">
        <f t="shared" si="78"/>
        <v>11108</v>
      </c>
      <c r="Z308" s="132">
        <f t="shared" si="79"/>
        <v>0</v>
      </c>
      <c r="AA308" s="151" t="str">
        <f t="shared" si="81"/>
        <v>Y</v>
      </c>
      <c r="AC308" s="64"/>
      <c r="AE308" s="152"/>
    </row>
    <row r="309" spans="1:37" x14ac:dyDescent="0.25">
      <c r="A309" s="142" t="s">
        <v>481</v>
      </c>
      <c r="B309" s="153" t="s">
        <v>759</v>
      </c>
      <c r="C309" t="s">
        <v>309</v>
      </c>
      <c r="D309" s="143">
        <f>IFERROR(VLOOKUP(B309,'Enrollment 25-26'!$B$5:$I$332,8,FALSE),0)</f>
        <v>1722.83</v>
      </c>
      <c r="E309" s="64">
        <f t="shared" si="68"/>
        <v>200314</v>
      </c>
      <c r="F309" s="144">
        <v>0</v>
      </c>
      <c r="G309" s="144">
        <v>0</v>
      </c>
      <c r="H309" s="64">
        <f t="shared" si="67"/>
        <v>200314</v>
      </c>
      <c r="I309" s="64">
        <f t="shared" si="69"/>
        <v>0</v>
      </c>
      <c r="J309" s="145">
        <f t="shared" si="70"/>
        <v>200314</v>
      </c>
      <c r="K309" s="146" t="str">
        <f t="shared" si="80"/>
        <v>Y</v>
      </c>
      <c r="L309" s="147">
        <f t="shared" si="71"/>
        <v>0</v>
      </c>
      <c r="M309" s="148">
        <f t="shared" si="72"/>
        <v>1722.83</v>
      </c>
      <c r="N309" s="64">
        <f t="shared" si="73"/>
        <v>1481</v>
      </c>
      <c r="O309" s="64">
        <f t="shared" si="66"/>
        <v>201795</v>
      </c>
      <c r="Q309" s="104">
        <f t="shared" si="74"/>
        <v>0</v>
      </c>
      <c r="R309" s="104" t="str">
        <f t="shared" si="75"/>
        <v>Not Applicable</v>
      </c>
      <c r="S309" s="149" t="s">
        <v>815</v>
      </c>
      <c r="T309" s="149">
        <f>IF(O309=0,0,IF(S309="N",0,VLOOKUP(B309,'Enrollment 25-26'!$B$8:$K$332,9,FALSE)))</f>
        <v>0</v>
      </c>
      <c r="U309" s="64">
        <f t="shared" si="76"/>
        <v>201795</v>
      </c>
      <c r="V309" s="128">
        <f t="shared" si="77"/>
        <v>117.12995478369892</v>
      </c>
      <c r="W309" s="150"/>
      <c r="X309" s="64">
        <f>IFERROR(VLOOKUP($B309,#REF!,14,FALSE),0)</f>
        <v>0</v>
      </c>
      <c r="Y309" s="99">
        <f t="shared" si="78"/>
        <v>201795</v>
      </c>
      <c r="Z309" s="132">
        <f t="shared" si="79"/>
        <v>0</v>
      </c>
      <c r="AA309" s="151" t="str">
        <f t="shared" si="81"/>
        <v>Y</v>
      </c>
      <c r="AC309" s="64"/>
      <c r="AE309" s="152"/>
    </row>
    <row r="310" spans="1:37" s="100" customFormat="1" x14ac:dyDescent="0.25">
      <c r="A310" s="142" t="s">
        <v>443</v>
      </c>
      <c r="B310" s="153" t="s">
        <v>760</v>
      </c>
      <c r="C310" t="s">
        <v>310</v>
      </c>
      <c r="D310" s="143">
        <f>IFERROR(VLOOKUP(B310,'Enrollment 25-26'!$B$5:$I$332,8,FALSE),0)</f>
        <v>177.16666666666666</v>
      </c>
      <c r="E310" s="64">
        <f t="shared" si="68"/>
        <v>20599</v>
      </c>
      <c r="F310" s="144">
        <v>0</v>
      </c>
      <c r="G310" s="144">
        <v>0</v>
      </c>
      <c r="H310" s="64">
        <f t="shared" si="67"/>
        <v>20599</v>
      </c>
      <c r="I310" s="64">
        <f t="shared" si="69"/>
        <v>0</v>
      </c>
      <c r="J310" s="145">
        <f t="shared" si="70"/>
        <v>20599</v>
      </c>
      <c r="K310" s="146" t="str">
        <f t="shared" si="80"/>
        <v>Y</v>
      </c>
      <c r="L310" s="147">
        <f t="shared" si="71"/>
        <v>0</v>
      </c>
      <c r="M310" s="148">
        <f t="shared" si="72"/>
        <v>177.16666666666666</v>
      </c>
      <c r="N310" s="64">
        <f t="shared" si="73"/>
        <v>152</v>
      </c>
      <c r="O310" s="64">
        <f t="shared" ref="O310:O328" si="82">J310-L310+N310</f>
        <v>20751</v>
      </c>
      <c r="P310" s="104"/>
      <c r="Q310" s="104">
        <f t="shared" si="74"/>
        <v>0</v>
      </c>
      <c r="R310" s="104" t="str">
        <f t="shared" si="75"/>
        <v>Not Applicable</v>
      </c>
      <c r="S310" s="149" t="s">
        <v>815</v>
      </c>
      <c r="T310" s="149">
        <f>IF(O310=0,0,IF(S310="N",0,VLOOKUP(B310,'Enrollment 25-26'!$B$8:$K$332,9,FALSE)))</f>
        <v>0</v>
      </c>
      <c r="U310" s="64">
        <f t="shared" si="76"/>
        <v>20751</v>
      </c>
      <c r="V310" s="128">
        <f t="shared" si="77"/>
        <v>117.12699905926624</v>
      </c>
      <c r="W310" s="150"/>
      <c r="X310" s="64">
        <f>IFERROR(VLOOKUP($B310,#REF!,14,FALSE),0)</f>
        <v>0</v>
      </c>
      <c r="Y310" s="99">
        <f t="shared" si="78"/>
        <v>20751</v>
      </c>
      <c r="Z310" s="132">
        <f t="shared" si="79"/>
        <v>0</v>
      </c>
      <c r="AA310" s="151" t="str">
        <f t="shared" si="81"/>
        <v>Y</v>
      </c>
      <c r="AB310" s="179"/>
      <c r="AC310" s="64"/>
      <c r="AD310"/>
      <c r="AE310" s="152"/>
      <c r="AF310"/>
      <c r="AG310"/>
      <c r="AH310"/>
      <c r="AI310"/>
      <c r="AJ310"/>
      <c r="AK310"/>
    </row>
    <row r="311" spans="1:37" s="100" customFormat="1" x14ac:dyDescent="0.25">
      <c r="A311" s="142" t="s">
        <v>471</v>
      </c>
      <c r="B311" s="159" t="s">
        <v>761</v>
      </c>
      <c r="C311" t="s">
        <v>311</v>
      </c>
      <c r="D311" s="143">
        <f>IFERROR(VLOOKUP(B311,'Enrollment 25-26'!$B$5:$I$332,8,FALSE),0)</f>
        <v>542.83666666666659</v>
      </c>
      <c r="E311" s="64">
        <f t="shared" si="68"/>
        <v>63116</v>
      </c>
      <c r="F311" s="144">
        <v>0</v>
      </c>
      <c r="G311" s="144">
        <v>0</v>
      </c>
      <c r="H311" s="64">
        <f t="shared" ref="H311:H328" si="83">SUM(E311:G311)</f>
        <v>63116</v>
      </c>
      <c r="I311" s="64">
        <f t="shared" si="69"/>
        <v>0</v>
      </c>
      <c r="J311" s="145">
        <f t="shared" si="70"/>
        <v>63116</v>
      </c>
      <c r="K311" s="146" t="str">
        <f t="shared" si="80"/>
        <v>Y</v>
      </c>
      <c r="L311" s="147">
        <f t="shared" si="71"/>
        <v>0</v>
      </c>
      <c r="M311" s="148">
        <f t="shared" si="72"/>
        <v>542.83666666666659</v>
      </c>
      <c r="N311" s="64">
        <f t="shared" si="73"/>
        <v>467</v>
      </c>
      <c r="O311" s="64">
        <f t="shared" si="82"/>
        <v>63583</v>
      </c>
      <c r="P311" s="104"/>
      <c r="Q311" s="104">
        <f t="shared" si="74"/>
        <v>0</v>
      </c>
      <c r="R311" s="104" t="str">
        <f t="shared" si="75"/>
        <v>Not Applicable</v>
      </c>
      <c r="S311" s="149" t="s">
        <v>815</v>
      </c>
      <c r="T311" s="149">
        <f>IF(O311=0,0,IF(S311="N",0,VLOOKUP(B311,'Enrollment 25-26'!$B$8:$K$332,9,FALSE)))</f>
        <v>0</v>
      </c>
      <c r="U311" s="64">
        <f t="shared" si="76"/>
        <v>63583</v>
      </c>
      <c r="V311" s="128">
        <f t="shared" si="77"/>
        <v>117.13099704637983</v>
      </c>
      <c r="W311" s="150"/>
      <c r="X311" s="64">
        <f>IFERROR(VLOOKUP($B311,#REF!,14,FALSE),0)</f>
        <v>0</v>
      </c>
      <c r="Y311" s="99">
        <f t="shared" si="78"/>
        <v>63583</v>
      </c>
      <c r="Z311" s="132">
        <f t="shared" si="79"/>
        <v>0</v>
      </c>
      <c r="AA311" s="151" t="str">
        <f t="shared" si="81"/>
        <v>Y</v>
      </c>
      <c r="AB311" s="179"/>
      <c r="AC311" s="64"/>
      <c r="AD311"/>
      <c r="AE311" s="152"/>
      <c r="AF311"/>
      <c r="AG311"/>
      <c r="AH311"/>
      <c r="AI311"/>
      <c r="AJ311"/>
      <c r="AK311"/>
    </row>
    <row r="312" spans="1:37" s="100" customFormat="1" x14ac:dyDescent="0.25">
      <c r="A312" s="142" t="s">
        <v>497</v>
      </c>
      <c r="B312" s="159" t="s">
        <v>762</v>
      </c>
      <c r="C312" t="s">
        <v>763</v>
      </c>
      <c r="D312" s="143">
        <f>IFERROR(VLOOKUP(B312,'Enrollment 25-26'!$B$5:$I$332,8,FALSE),0)</f>
        <v>0</v>
      </c>
      <c r="E312" s="64">
        <f t="shared" si="68"/>
        <v>0</v>
      </c>
      <c r="F312" s="144">
        <v>0</v>
      </c>
      <c r="G312" s="144">
        <v>0</v>
      </c>
      <c r="H312" s="64">
        <f t="shared" si="83"/>
        <v>0</v>
      </c>
      <c r="I312" s="64">
        <f t="shared" si="69"/>
        <v>0</v>
      </c>
      <c r="J312" s="145">
        <f t="shared" si="70"/>
        <v>0</v>
      </c>
      <c r="K312" s="146" t="str">
        <f t="shared" si="80"/>
        <v>N</v>
      </c>
      <c r="L312" s="147">
        <f t="shared" si="71"/>
        <v>0</v>
      </c>
      <c r="M312" s="148">
        <f t="shared" si="72"/>
        <v>0</v>
      </c>
      <c r="N312" s="64">
        <f t="shared" si="73"/>
        <v>0</v>
      </c>
      <c r="O312" s="64">
        <f t="shared" si="82"/>
        <v>0</v>
      </c>
      <c r="P312" s="104"/>
      <c r="Q312" s="104">
        <f t="shared" si="74"/>
        <v>0</v>
      </c>
      <c r="R312" s="104" t="str">
        <f t="shared" si="75"/>
        <v>Not Applicable</v>
      </c>
      <c r="S312" s="149" t="s">
        <v>815</v>
      </c>
      <c r="T312" s="149">
        <f>IF(O312=0,0,IF(S312="N",0,VLOOKUP(B312,'Enrollment 25-26'!$B$8:$K$332,9,FALSE)))</f>
        <v>0</v>
      </c>
      <c r="U312" s="64">
        <f t="shared" si="76"/>
        <v>0</v>
      </c>
      <c r="V312" s="128">
        <f t="shared" si="77"/>
        <v>0</v>
      </c>
      <c r="W312" s="150"/>
      <c r="X312" s="64">
        <f>IFERROR(VLOOKUP($B312,#REF!,14,FALSE),0)</f>
        <v>0</v>
      </c>
      <c r="Y312" s="99">
        <f t="shared" si="78"/>
        <v>0</v>
      </c>
      <c r="Z312" s="132">
        <f t="shared" si="79"/>
        <v>0</v>
      </c>
      <c r="AA312" s="151" t="str">
        <f t="shared" si="81"/>
        <v>N</v>
      </c>
      <c r="AB312" s="179"/>
      <c r="AC312" s="64"/>
      <c r="AD312"/>
      <c r="AE312" s="152"/>
      <c r="AF312"/>
      <c r="AG312"/>
      <c r="AH312"/>
      <c r="AI312"/>
      <c r="AJ312"/>
      <c r="AK312"/>
    </row>
    <row r="313" spans="1:37" s="100" customFormat="1" x14ac:dyDescent="0.25">
      <c r="A313" s="142" t="s">
        <v>438</v>
      </c>
      <c r="B313" s="159" t="s">
        <v>764</v>
      </c>
      <c r="C313" t="s">
        <v>313</v>
      </c>
      <c r="D313" s="143">
        <f>IFERROR(VLOOKUP(B313,'Enrollment 25-26'!$B$5:$I$332,8,FALSE),0)</f>
        <v>0</v>
      </c>
      <c r="E313" s="64">
        <f t="shared" si="68"/>
        <v>0</v>
      </c>
      <c r="F313" s="144">
        <v>0</v>
      </c>
      <c r="G313" s="144">
        <v>0</v>
      </c>
      <c r="H313" s="64">
        <f t="shared" si="83"/>
        <v>0</v>
      </c>
      <c r="I313" s="64">
        <f t="shared" si="69"/>
        <v>0</v>
      </c>
      <c r="J313" s="145">
        <f t="shared" si="70"/>
        <v>0</v>
      </c>
      <c r="K313" s="146" t="str">
        <f t="shared" si="80"/>
        <v>N</v>
      </c>
      <c r="L313" s="147">
        <f t="shared" si="71"/>
        <v>0</v>
      </c>
      <c r="M313" s="148">
        <f t="shared" si="72"/>
        <v>0</v>
      </c>
      <c r="N313" s="64">
        <f t="shared" si="73"/>
        <v>0</v>
      </c>
      <c r="O313" s="64">
        <f t="shared" si="82"/>
        <v>0</v>
      </c>
      <c r="P313" s="104"/>
      <c r="Q313" s="104">
        <f t="shared" si="74"/>
        <v>0</v>
      </c>
      <c r="R313" s="104" t="str">
        <f t="shared" si="75"/>
        <v>Not Applicable</v>
      </c>
      <c r="S313" s="149" t="s">
        <v>815</v>
      </c>
      <c r="T313" s="149">
        <f>IF(O313=0,0,IF(S313="N",0,VLOOKUP(B313,'Enrollment 25-26'!$B$8:$K$332,9,FALSE)))</f>
        <v>0</v>
      </c>
      <c r="U313" s="64">
        <f t="shared" si="76"/>
        <v>0</v>
      </c>
      <c r="V313" s="128">
        <f t="shared" si="77"/>
        <v>0</v>
      </c>
      <c r="W313" s="150"/>
      <c r="X313" s="64">
        <f>IFERROR(VLOOKUP($B313,#REF!,14,FALSE),0)</f>
        <v>0</v>
      </c>
      <c r="Y313" s="99">
        <f t="shared" si="78"/>
        <v>0</v>
      </c>
      <c r="Z313" s="132">
        <f t="shared" si="79"/>
        <v>0</v>
      </c>
      <c r="AA313" s="151" t="str">
        <f t="shared" si="81"/>
        <v>N</v>
      </c>
      <c r="AB313" s="179"/>
      <c r="AC313" s="64"/>
      <c r="AD313"/>
      <c r="AE313" s="152"/>
      <c r="AF313"/>
      <c r="AG313"/>
      <c r="AH313"/>
      <c r="AI313"/>
      <c r="AJ313"/>
      <c r="AK313"/>
    </row>
    <row r="314" spans="1:37" s="100" customFormat="1" x14ac:dyDescent="0.25">
      <c r="A314" s="142" t="s">
        <v>454</v>
      </c>
      <c r="B314" s="153" t="s">
        <v>765</v>
      </c>
      <c r="C314" t="s">
        <v>314</v>
      </c>
      <c r="D314" s="143">
        <f>IFERROR(VLOOKUP(B314,'Enrollment 25-26'!$B$5:$I$332,8,FALSE),0)</f>
        <v>219</v>
      </c>
      <c r="E314" s="64">
        <f t="shared" si="68"/>
        <v>25463</v>
      </c>
      <c r="F314" s="144">
        <v>0</v>
      </c>
      <c r="G314" s="144">
        <v>0</v>
      </c>
      <c r="H314" s="64">
        <f t="shared" si="83"/>
        <v>25463</v>
      </c>
      <c r="I314" s="64">
        <f t="shared" si="69"/>
        <v>0</v>
      </c>
      <c r="J314" s="145">
        <f t="shared" si="70"/>
        <v>25463</v>
      </c>
      <c r="K314" s="146" t="str">
        <f t="shared" si="80"/>
        <v>Y</v>
      </c>
      <c r="L314" s="147">
        <f t="shared" si="71"/>
        <v>0</v>
      </c>
      <c r="M314" s="148">
        <f t="shared" si="72"/>
        <v>219</v>
      </c>
      <c r="N314" s="64">
        <f t="shared" si="73"/>
        <v>188</v>
      </c>
      <c r="O314" s="64">
        <f t="shared" si="82"/>
        <v>25651</v>
      </c>
      <c r="P314" s="104"/>
      <c r="Q314" s="104">
        <f t="shared" si="74"/>
        <v>0</v>
      </c>
      <c r="R314" s="104" t="str">
        <f t="shared" si="75"/>
        <v>Not Applicable</v>
      </c>
      <c r="S314" s="149" t="s">
        <v>815</v>
      </c>
      <c r="T314" s="149">
        <f>IF(O314=0,0,IF(S314="N",0,VLOOKUP(B314,'Enrollment 25-26'!$B$8:$K$332,9,FALSE)))</f>
        <v>0</v>
      </c>
      <c r="U314" s="64">
        <f t="shared" si="76"/>
        <v>25651</v>
      </c>
      <c r="V314" s="128">
        <f t="shared" si="77"/>
        <v>117.12785388127854</v>
      </c>
      <c r="W314" s="150"/>
      <c r="X314" s="64">
        <f>IFERROR(VLOOKUP($B314,#REF!,14,FALSE),0)</f>
        <v>0</v>
      </c>
      <c r="Y314" s="99">
        <f t="shared" si="78"/>
        <v>25651</v>
      </c>
      <c r="Z314" s="132">
        <f t="shared" si="79"/>
        <v>0</v>
      </c>
      <c r="AA314" s="151" t="str">
        <f t="shared" si="81"/>
        <v>Y</v>
      </c>
      <c r="AB314" s="179"/>
      <c r="AC314" s="64"/>
      <c r="AD314"/>
      <c r="AE314" s="152"/>
      <c r="AF314"/>
      <c r="AG314"/>
      <c r="AH314"/>
      <c r="AI314"/>
      <c r="AJ314"/>
      <c r="AK314"/>
    </row>
    <row r="315" spans="1:37" s="100" customFormat="1" x14ac:dyDescent="0.25">
      <c r="A315" s="142" t="s">
        <v>459</v>
      </c>
      <c r="B315" s="153" t="s">
        <v>766</v>
      </c>
      <c r="C315" t="s">
        <v>315</v>
      </c>
      <c r="D315" s="143">
        <f>IFERROR(VLOOKUP(B315,'Enrollment 25-26'!$B$5:$I$332,8,FALSE),0)</f>
        <v>177</v>
      </c>
      <c r="E315" s="64">
        <f t="shared" si="68"/>
        <v>20580</v>
      </c>
      <c r="F315" s="144">
        <v>0</v>
      </c>
      <c r="G315" s="144">
        <v>0</v>
      </c>
      <c r="H315" s="64">
        <f t="shared" si="83"/>
        <v>20580</v>
      </c>
      <c r="I315" s="64">
        <f t="shared" si="69"/>
        <v>0</v>
      </c>
      <c r="J315" s="145">
        <f t="shared" si="70"/>
        <v>20580</v>
      </c>
      <c r="K315" s="146" t="str">
        <f t="shared" si="80"/>
        <v>Y</v>
      </c>
      <c r="L315" s="147">
        <f t="shared" si="71"/>
        <v>0</v>
      </c>
      <c r="M315" s="148">
        <f t="shared" si="72"/>
        <v>177</v>
      </c>
      <c r="N315" s="64">
        <f t="shared" si="73"/>
        <v>152</v>
      </c>
      <c r="O315" s="64">
        <f t="shared" si="82"/>
        <v>20732</v>
      </c>
      <c r="P315" s="104"/>
      <c r="Q315" s="104">
        <f t="shared" si="74"/>
        <v>0</v>
      </c>
      <c r="R315" s="104" t="str">
        <f t="shared" si="75"/>
        <v>Not Applicable</v>
      </c>
      <c r="S315" s="149" t="s">
        <v>815</v>
      </c>
      <c r="T315" s="149">
        <f>IF(O315=0,0,IF(S315="N",0,VLOOKUP(B315,'Enrollment 25-26'!$B$8:$K$332,9,FALSE)))</f>
        <v>0</v>
      </c>
      <c r="U315" s="64">
        <f t="shared" si="76"/>
        <v>20732</v>
      </c>
      <c r="V315" s="128">
        <f t="shared" si="77"/>
        <v>117.12994350282486</v>
      </c>
      <c r="W315" s="150"/>
      <c r="X315" s="64">
        <f>IFERROR(VLOOKUP($B315,#REF!,14,FALSE),0)</f>
        <v>0</v>
      </c>
      <c r="Y315" s="99">
        <f t="shared" si="78"/>
        <v>20732</v>
      </c>
      <c r="Z315" s="132">
        <f t="shared" si="79"/>
        <v>0</v>
      </c>
      <c r="AA315" s="151" t="str">
        <f t="shared" si="81"/>
        <v>Y</v>
      </c>
      <c r="AB315" s="179"/>
      <c r="AC315" s="64"/>
      <c r="AD315"/>
      <c r="AE315" s="152"/>
      <c r="AF315"/>
      <c r="AG315"/>
      <c r="AH315"/>
      <c r="AI315"/>
      <c r="AJ315"/>
      <c r="AK315"/>
    </row>
    <row r="316" spans="1:37" s="100" customFormat="1" x14ac:dyDescent="0.25">
      <c r="A316" s="142" t="s">
        <v>497</v>
      </c>
      <c r="B316" t="s">
        <v>498</v>
      </c>
      <c r="C316" t="s">
        <v>499</v>
      </c>
      <c r="D316" s="143">
        <f>IFERROR(VLOOKUP(B316,'Enrollment 25-26'!$B$5:$I$332,8,FALSE),0)</f>
        <v>9.83</v>
      </c>
      <c r="E316" s="64">
        <f t="shared" si="68"/>
        <v>1143</v>
      </c>
      <c r="F316" s="144">
        <v>0</v>
      </c>
      <c r="G316" s="144">
        <v>0</v>
      </c>
      <c r="H316" s="64">
        <f t="shared" si="83"/>
        <v>1143</v>
      </c>
      <c r="I316" s="64">
        <f t="shared" si="69"/>
        <v>0</v>
      </c>
      <c r="J316" s="145">
        <f t="shared" si="70"/>
        <v>1143</v>
      </c>
      <c r="K316" s="146" t="str">
        <f t="shared" si="80"/>
        <v>N</v>
      </c>
      <c r="L316" s="147">
        <f t="shared" si="71"/>
        <v>1143</v>
      </c>
      <c r="M316" s="148">
        <f t="shared" si="72"/>
        <v>0</v>
      </c>
      <c r="N316" s="64">
        <f t="shared" si="73"/>
        <v>0</v>
      </c>
      <c r="O316" s="64">
        <f t="shared" si="82"/>
        <v>0</v>
      </c>
      <c r="P316" s="104"/>
      <c r="Q316" s="104">
        <f t="shared" si="74"/>
        <v>0</v>
      </c>
      <c r="R316" s="104" t="str">
        <f t="shared" si="75"/>
        <v>Not Applicable</v>
      </c>
      <c r="S316" s="149" t="s">
        <v>815</v>
      </c>
      <c r="T316" s="149">
        <f>IF(O316=0,0,IF(S316="N",0,VLOOKUP(B316,'Enrollment 25-26'!$B$8:$K$332,9,FALSE)))</f>
        <v>0</v>
      </c>
      <c r="U316" s="64">
        <f t="shared" si="76"/>
        <v>0</v>
      </c>
      <c r="V316" s="128">
        <f t="shared" si="77"/>
        <v>0</v>
      </c>
      <c r="W316" s="150"/>
      <c r="X316" s="64">
        <f>IFERROR(VLOOKUP($B316,#REF!,14,FALSE),0)</f>
        <v>0</v>
      </c>
      <c r="Y316" s="99">
        <f t="shared" si="78"/>
        <v>0</v>
      </c>
      <c r="Z316" s="132">
        <f t="shared" si="79"/>
        <v>0</v>
      </c>
      <c r="AA316" s="151" t="str">
        <f t="shared" si="81"/>
        <v>N</v>
      </c>
      <c r="AB316" s="179"/>
      <c r="AC316" s="64"/>
      <c r="AD316"/>
      <c r="AE316" s="152"/>
      <c r="AF316"/>
      <c r="AG316"/>
      <c r="AH316"/>
      <c r="AI316"/>
      <c r="AJ316"/>
      <c r="AK316"/>
    </row>
    <row r="317" spans="1:37" s="100" customFormat="1" x14ac:dyDescent="0.25">
      <c r="A317" s="142" t="s">
        <v>443</v>
      </c>
      <c r="B317" s="153" t="s">
        <v>767</v>
      </c>
      <c r="C317" t="s">
        <v>317</v>
      </c>
      <c r="D317" s="143">
        <f>IFERROR(VLOOKUP(B317,'Enrollment 25-26'!$B$5:$I$332,8,FALSE),0)</f>
        <v>0</v>
      </c>
      <c r="E317" s="64">
        <f t="shared" si="68"/>
        <v>0</v>
      </c>
      <c r="F317" s="144">
        <v>0</v>
      </c>
      <c r="G317" s="144">
        <v>0</v>
      </c>
      <c r="H317" s="64">
        <f t="shared" si="83"/>
        <v>0</v>
      </c>
      <c r="I317" s="64">
        <f t="shared" si="69"/>
        <v>0</v>
      </c>
      <c r="J317" s="145">
        <f t="shared" si="70"/>
        <v>0</v>
      </c>
      <c r="K317" s="146" t="str">
        <f t="shared" si="80"/>
        <v>N</v>
      </c>
      <c r="L317" s="147">
        <f t="shared" si="71"/>
        <v>0</v>
      </c>
      <c r="M317" s="148">
        <f t="shared" si="72"/>
        <v>0</v>
      </c>
      <c r="N317" s="64">
        <f t="shared" si="73"/>
        <v>0</v>
      </c>
      <c r="O317" s="64">
        <f t="shared" si="82"/>
        <v>0</v>
      </c>
      <c r="P317" s="104"/>
      <c r="Q317" s="104">
        <f t="shared" si="74"/>
        <v>0</v>
      </c>
      <c r="R317" s="104" t="str">
        <f t="shared" si="75"/>
        <v>Not Applicable</v>
      </c>
      <c r="S317" s="149" t="s">
        <v>815</v>
      </c>
      <c r="T317" s="149">
        <f>IF(O317=0,0,IF(S317="N",0,VLOOKUP(B317,'Enrollment 25-26'!$B$8:$K$332,9,FALSE)))</f>
        <v>0</v>
      </c>
      <c r="U317" s="64">
        <f t="shared" si="76"/>
        <v>0</v>
      </c>
      <c r="V317" s="128">
        <f t="shared" si="77"/>
        <v>0</v>
      </c>
      <c r="W317" s="150"/>
      <c r="X317" s="64">
        <f>IFERROR(VLOOKUP($B317,#REF!,14,FALSE),0)</f>
        <v>0</v>
      </c>
      <c r="Y317" s="99">
        <f t="shared" si="78"/>
        <v>0</v>
      </c>
      <c r="Z317" s="132">
        <f t="shared" si="79"/>
        <v>0</v>
      </c>
      <c r="AA317" s="151" t="str">
        <f t="shared" si="81"/>
        <v>N</v>
      </c>
      <c r="AB317" s="179"/>
      <c r="AC317" s="64"/>
      <c r="AD317"/>
      <c r="AE317" s="152"/>
      <c r="AF317"/>
      <c r="AG317"/>
      <c r="AH317"/>
      <c r="AI317"/>
      <c r="AJ317"/>
      <c r="AK317"/>
    </row>
    <row r="318" spans="1:37" s="100" customFormat="1" x14ac:dyDescent="0.25">
      <c r="A318" s="142" t="s">
        <v>438</v>
      </c>
      <c r="B318" s="153" t="s">
        <v>768</v>
      </c>
      <c r="C318" t="s">
        <v>318</v>
      </c>
      <c r="D318" s="143">
        <f>IFERROR(VLOOKUP(B318,'Enrollment 25-26'!$B$5:$I$332,8,FALSE),0)</f>
        <v>6</v>
      </c>
      <c r="E318" s="64">
        <f t="shared" si="68"/>
        <v>698</v>
      </c>
      <c r="F318" s="144">
        <v>0</v>
      </c>
      <c r="G318" s="144">
        <v>0</v>
      </c>
      <c r="H318" s="64">
        <f t="shared" si="83"/>
        <v>698</v>
      </c>
      <c r="I318" s="64">
        <f t="shared" si="69"/>
        <v>0</v>
      </c>
      <c r="J318" s="145">
        <f t="shared" si="70"/>
        <v>698</v>
      </c>
      <c r="K318" s="146" t="str">
        <f t="shared" si="80"/>
        <v>C</v>
      </c>
      <c r="L318" s="147">
        <f t="shared" si="71"/>
        <v>0</v>
      </c>
      <c r="M318" s="148">
        <f t="shared" si="72"/>
        <v>6</v>
      </c>
      <c r="N318" s="64">
        <f t="shared" si="73"/>
        <v>5</v>
      </c>
      <c r="O318" s="64">
        <f t="shared" si="82"/>
        <v>703</v>
      </c>
      <c r="P318" s="104"/>
      <c r="Q318" s="104">
        <f t="shared" si="74"/>
        <v>0</v>
      </c>
      <c r="R318" s="104" t="str">
        <f t="shared" si="75"/>
        <v>Not Applicable</v>
      </c>
      <c r="S318" s="149" t="s">
        <v>815</v>
      </c>
      <c r="T318" s="149">
        <f>IF(O318=0,0,IF(S318="N",0,VLOOKUP(B318,'Enrollment 25-26'!$B$8:$K$332,9,FALSE)))</f>
        <v>0</v>
      </c>
      <c r="U318" s="64">
        <f t="shared" si="76"/>
        <v>703</v>
      </c>
      <c r="V318" s="128">
        <f t="shared" si="77"/>
        <v>117.16666666666667</v>
      </c>
      <c r="W318" s="150"/>
      <c r="X318" s="64">
        <f>IFERROR(VLOOKUP($B318,#REF!,14,FALSE),0)</f>
        <v>0</v>
      </c>
      <c r="Y318" s="99">
        <f t="shared" si="78"/>
        <v>703</v>
      </c>
      <c r="Z318" s="132">
        <f t="shared" si="79"/>
        <v>0</v>
      </c>
      <c r="AA318" s="151" t="str">
        <f t="shared" si="81"/>
        <v>C</v>
      </c>
      <c r="AB318" s="179"/>
      <c r="AC318" s="93"/>
      <c r="AD318"/>
      <c r="AE318" s="152"/>
      <c r="AF318"/>
      <c r="AG318"/>
      <c r="AH318"/>
      <c r="AI318"/>
      <c r="AJ318"/>
      <c r="AK318"/>
    </row>
    <row r="319" spans="1:37" s="100" customFormat="1" x14ac:dyDescent="0.25">
      <c r="A319" s="142" t="s">
        <v>481</v>
      </c>
      <c r="B319" s="160" t="s">
        <v>771</v>
      </c>
      <c r="C319" s="13" t="s">
        <v>319</v>
      </c>
      <c r="D319" s="143">
        <f>IFERROR(VLOOKUP(B319,'Enrollment 25-26'!$B$5:$I$332,8,FALSE),0)</f>
        <v>2.33</v>
      </c>
      <c r="E319" s="64">
        <f t="shared" si="68"/>
        <v>271</v>
      </c>
      <c r="F319" s="144">
        <v>0</v>
      </c>
      <c r="G319" s="144">
        <v>0</v>
      </c>
      <c r="H319" s="64">
        <f t="shared" si="83"/>
        <v>271</v>
      </c>
      <c r="I319" s="64">
        <f t="shared" si="69"/>
        <v>0</v>
      </c>
      <c r="J319" s="145">
        <f t="shared" si="70"/>
        <v>271</v>
      </c>
      <c r="K319" s="146" t="str">
        <f t="shared" si="80"/>
        <v>N</v>
      </c>
      <c r="L319" s="147">
        <f t="shared" si="71"/>
        <v>271</v>
      </c>
      <c r="M319" s="148">
        <f t="shared" si="72"/>
        <v>0</v>
      </c>
      <c r="N319" s="64">
        <f t="shared" si="73"/>
        <v>0</v>
      </c>
      <c r="O319" s="64">
        <f t="shared" si="82"/>
        <v>0</v>
      </c>
      <c r="P319" s="104"/>
      <c r="Q319" s="104">
        <f t="shared" si="74"/>
        <v>0</v>
      </c>
      <c r="R319" s="104" t="str">
        <f t="shared" si="75"/>
        <v>Not Applicable</v>
      </c>
      <c r="S319" s="149" t="s">
        <v>815</v>
      </c>
      <c r="T319" s="149">
        <f>IF(O319=0,0,IF(S319="N",0,VLOOKUP(B319,'Enrollment 25-26'!$B$8:$K$332,9,FALSE)))</f>
        <v>0</v>
      </c>
      <c r="U319" s="64">
        <f t="shared" si="76"/>
        <v>0</v>
      </c>
      <c r="V319" s="128">
        <f t="shared" si="77"/>
        <v>0</v>
      </c>
      <c r="W319" s="150"/>
      <c r="X319" s="64">
        <f>IFERROR(VLOOKUP($B319,#REF!,14,FALSE),0)</f>
        <v>0</v>
      </c>
      <c r="Y319" s="99">
        <f t="shared" si="78"/>
        <v>0</v>
      </c>
      <c r="Z319" s="132">
        <f t="shared" si="79"/>
        <v>0</v>
      </c>
      <c r="AA319" s="151" t="str">
        <f t="shared" si="81"/>
        <v>N</v>
      </c>
      <c r="AB319" s="179"/>
      <c r="AC319" s="93"/>
      <c r="AD319"/>
      <c r="AE319" s="152"/>
      <c r="AF319"/>
      <c r="AG319"/>
      <c r="AH319"/>
      <c r="AI319"/>
      <c r="AJ319"/>
      <c r="AK319"/>
    </row>
    <row r="320" spans="1:37" s="100" customFormat="1" x14ac:dyDescent="0.25">
      <c r="A320" s="142" t="s">
        <v>438</v>
      </c>
      <c r="B320" s="161" t="s">
        <v>470</v>
      </c>
      <c r="C320" t="s">
        <v>320</v>
      </c>
      <c r="D320" s="143">
        <f>IFERROR(VLOOKUP(B320,'Enrollment 25-26'!$B$5:$I$332,8,FALSE),0)</f>
        <v>41.163333333333334</v>
      </c>
      <c r="E320" s="64">
        <f t="shared" si="68"/>
        <v>4786</v>
      </c>
      <c r="F320" s="144">
        <v>0</v>
      </c>
      <c r="G320" s="144">
        <v>0</v>
      </c>
      <c r="H320" s="64">
        <f t="shared" si="83"/>
        <v>4786</v>
      </c>
      <c r="I320" s="64">
        <f t="shared" si="69"/>
        <v>0</v>
      </c>
      <c r="J320" s="145">
        <f t="shared" si="70"/>
        <v>4786</v>
      </c>
      <c r="K320" s="146" t="str">
        <f t="shared" si="80"/>
        <v>C</v>
      </c>
      <c r="L320" s="147">
        <f t="shared" si="71"/>
        <v>0</v>
      </c>
      <c r="M320" s="148">
        <f t="shared" si="72"/>
        <v>41.163333333333334</v>
      </c>
      <c r="N320" s="64">
        <f t="shared" si="73"/>
        <v>35</v>
      </c>
      <c r="O320" s="64">
        <f t="shared" si="82"/>
        <v>4821</v>
      </c>
      <c r="P320" s="104"/>
      <c r="Q320" s="104">
        <f t="shared" si="74"/>
        <v>0</v>
      </c>
      <c r="R320" s="104" t="str">
        <f t="shared" si="75"/>
        <v>Not Applicable</v>
      </c>
      <c r="S320" s="149" t="s">
        <v>815</v>
      </c>
      <c r="T320" s="149">
        <f>IF(O320=0,0,IF(S320="N",0,VLOOKUP(B320,'Enrollment 25-26'!$B$8:$K$332,9,FALSE)))</f>
        <v>0</v>
      </c>
      <c r="U320" s="64">
        <f t="shared" si="76"/>
        <v>4821</v>
      </c>
      <c r="V320" s="128">
        <f t="shared" si="77"/>
        <v>117.11879504413312</v>
      </c>
      <c r="W320" s="150"/>
      <c r="X320" s="64">
        <f>IFERROR(VLOOKUP($B320,#REF!,14,FALSE),0)</f>
        <v>0</v>
      </c>
      <c r="Y320" s="99">
        <f t="shared" si="78"/>
        <v>4821</v>
      </c>
      <c r="Z320" s="132">
        <f t="shared" si="79"/>
        <v>0</v>
      </c>
      <c r="AA320" s="151" t="str">
        <f t="shared" si="81"/>
        <v>C</v>
      </c>
      <c r="AB320" s="179"/>
      <c r="AC320" s="93"/>
      <c r="AD320"/>
      <c r="AE320" s="152"/>
      <c r="AF320"/>
      <c r="AG320"/>
      <c r="AH320"/>
      <c r="AI320"/>
      <c r="AJ320"/>
      <c r="AK320"/>
    </row>
    <row r="321" spans="1:37" s="100" customFormat="1" x14ac:dyDescent="0.25">
      <c r="A321" s="142" t="s">
        <v>438</v>
      </c>
      <c r="B321" s="161" t="s">
        <v>772</v>
      </c>
      <c r="C321" t="s">
        <v>321</v>
      </c>
      <c r="D321" s="143">
        <f>IFERROR(VLOOKUP(B321,'Enrollment 25-26'!$B$5:$I$332,8,FALSE),0)</f>
        <v>2</v>
      </c>
      <c r="E321" s="64">
        <f t="shared" si="68"/>
        <v>233</v>
      </c>
      <c r="F321" s="144">
        <v>0</v>
      </c>
      <c r="G321" s="144">
        <v>0</v>
      </c>
      <c r="H321" s="64">
        <f t="shared" si="83"/>
        <v>233</v>
      </c>
      <c r="I321" s="64">
        <f t="shared" si="69"/>
        <v>0</v>
      </c>
      <c r="J321" s="145">
        <f t="shared" si="70"/>
        <v>233</v>
      </c>
      <c r="K321" s="146" t="str">
        <f t="shared" si="80"/>
        <v>N</v>
      </c>
      <c r="L321" s="147">
        <f t="shared" si="71"/>
        <v>233</v>
      </c>
      <c r="M321" s="148">
        <f t="shared" si="72"/>
        <v>0</v>
      </c>
      <c r="N321" s="64">
        <f t="shared" si="73"/>
        <v>0</v>
      </c>
      <c r="O321" s="64">
        <f t="shared" si="82"/>
        <v>0</v>
      </c>
      <c r="P321" s="104"/>
      <c r="Q321" s="104">
        <f t="shared" si="74"/>
        <v>0</v>
      </c>
      <c r="R321" s="104" t="str">
        <f t="shared" si="75"/>
        <v>Not Applicable</v>
      </c>
      <c r="S321" s="149" t="s">
        <v>815</v>
      </c>
      <c r="T321" s="149">
        <f>IF(O321=0,0,IF(S321="N",0,VLOOKUP(B321,'Enrollment 25-26'!$B$8:$K$332,9,FALSE)))</f>
        <v>0</v>
      </c>
      <c r="U321" s="64">
        <f t="shared" si="76"/>
        <v>0</v>
      </c>
      <c r="V321" s="128">
        <f t="shared" si="77"/>
        <v>0</v>
      </c>
      <c r="W321" s="150"/>
      <c r="X321" s="64">
        <f>IFERROR(VLOOKUP($B321,#REF!,14,FALSE),0)</f>
        <v>0</v>
      </c>
      <c r="Y321" s="99">
        <f t="shared" si="78"/>
        <v>0</v>
      </c>
      <c r="Z321" s="132">
        <f t="shared" si="79"/>
        <v>0</v>
      </c>
      <c r="AA321" s="151" t="str">
        <f t="shared" si="81"/>
        <v>N</v>
      </c>
      <c r="AB321" s="179"/>
      <c r="AC321" s="93"/>
      <c r="AD321"/>
      <c r="AE321" s="152"/>
      <c r="AF321"/>
      <c r="AG321"/>
      <c r="AH321"/>
      <c r="AI321"/>
      <c r="AJ321"/>
      <c r="AK321"/>
    </row>
    <row r="322" spans="1:37" s="100" customFormat="1" x14ac:dyDescent="0.25">
      <c r="A322" s="142" t="s">
        <v>459</v>
      </c>
      <c r="B322" s="161" t="s">
        <v>773</v>
      </c>
      <c r="C322" t="s">
        <v>322</v>
      </c>
      <c r="D322" s="143">
        <f>IFERROR(VLOOKUP(B322,'Enrollment 25-26'!$B$5:$I$332,8,FALSE),0)</f>
        <v>0</v>
      </c>
      <c r="E322" s="64">
        <f t="shared" si="68"/>
        <v>0</v>
      </c>
      <c r="F322" s="144">
        <v>0</v>
      </c>
      <c r="G322" s="144">
        <v>0</v>
      </c>
      <c r="H322" s="64">
        <f t="shared" si="83"/>
        <v>0</v>
      </c>
      <c r="I322" s="64">
        <f t="shared" si="69"/>
        <v>0</v>
      </c>
      <c r="J322" s="145">
        <f t="shared" si="70"/>
        <v>0</v>
      </c>
      <c r="K322" s="146" t="str">
        <f t="shared" si="80"/>
        <v>N</v>
      </c>
      <c r="L322" s="147">
        <f t="shared" si="71"/>
        <v>0</v>
      </c>
      <c r="M322" s="148">
        <f t="shared" si="72"/>
        <v>0</v>
      </c>
      <c r="N322" s="64">
        <f t="shared" si="73"/>
        <v>0</v>
      </c>
      <c r="O322" s="64">
        <f t="shared" si="82"/>
        <v>0</v>
      </c>
      <c r="P322" s="104"/>
      <c r="Q322" s="104">
        <f t="shared" si="74"/>
        <v>0</v>
      </c>
      <c r="R322" s="104" t="str">
        <f t="shared" si="75"/>
        <v>Not Applicable</v>
      </c>
      <c r="S322" s="149" t="s">
        <v>815</v>
      </c>
      <c r="T322" s="149">
        <f>IF(O322=0,0,IF(S322="N",0,VLOOKUP(B322,'Enrollment 25-26'!$B$8:$K$332,9,FALSE)))</f>
        <v>0</v>
      </c>
      <c r="U322" s="64">
        <f t="shared" si="76"/>
        <v>0</v>
      </c>
      <c r="V322" s="128">
        <f t="shared" si="77"/>
        <v>0</v>
      </c>
      <c r="W322" s="150"/>
      <c r="X322" s="64">
        <f>IFERROR(VLOOKUP($B322,#REF!,14,FALSE),0)</f>
        <v>0</v>
      </c>
      <c r="Y322" s="99">
        <f t="shared" si="78"/>
        <v>0</v>
      </c>
      <c r="Z322" s="132">
        <f t="shared" si="79"/>
        <v>0</v>
      </c>
      <c r="AA322" s="151" t="str">
        <f t="shared" si="81"/>
        <v>N</v>
      </c>
      <c r="AB322" s="179"/>
      <c r="AC322" s="93"/>
      <c r="AD322"/>
      <c r="AE322" s="152"/>
      <c r="AF322"/>
      <c r="AG322"/>
      <c r="AH322"/>
      <c r="AI322"/>
      <c r="AJ322"/>
      <c r="AK322"/>
    </row>
    <row r="323" spans="1:37" s="100" customFormat="1" x14ac:dyDescent="0.25">
      <c r="A323" s="142" t="s">
        <v>459</v>
      </c>
      <c r="B323" s="161" t="s">
        <v>774</v>
      </c>
      <c r="C323" t="s">
        <v>323</v>
      </c>
      <c r="D323" s="143">
        <f>IFERROR(VLOOKUP(B323,'Enrollment 25-26'!$B$5:$I$332,8,FALSE),0)</f>
        <v>209.17000000000002</v>
      </c>
      <c r="E323" s="64">
        <f t="shared" si="68"/>
        <v>24320</v>
      </c>
      <c r="F323" s="144">
        <v>0</v>
      </c>
      <c r="G323" s="144">
        <v>0</v>
      </c>
      <c r="H323" s="64">
        <f t="shared" si="83"/>
        <v>24320</v>
      </c>
      <c r="I323" s="64">
        <f t="shared" si="69"/>
        <v>0</v>
      </c>
      <c r="J323" s="145">
        <f t="shared" si="70"/>
        <v>24320</v>
      </c>
      <c r="K323" s="146" t="str">
        <f t="shared" si="80"/>
        <v>Y</v>
      </c>
      <c r="L323" s="147">
        <f t="shared" si="71"/>
        <v>0</v>
      </c>
      <c r="M323" s="148">
        <f t="shared" si="72"/>
        <v>209.17000000000002</v>
      </c>
      <c r="N323" s="64">
        <f t="shared" si="73"/>
        <v>180</v>
      </c>
      <c r="O323" s="64">
        <f t="shared" si="82"/>
        <v>24500</v>
      </c>
      <c r="P323" s="104"/>
      <c r="Q323" s="104">
        <f t="shared" si="74"/>
        <v>0</v>
      </c>
      <c r="R323" s="104" t="str">
        <f t="shared" si="75"/>
        <v>Not Applicable</v>
      </c>
      <c r="S323" s="149" t="s">
        <v>815</v>
      </c>
      <c r="T323" s="149">
        <f>IF(O323=0,0,IF(S323="N",0,VLOOKUP(B323,'Enrollment 25-26'!$B$8:$K$332,9,FALSE)))</f>
        <v>0</v>
      </c>
      <c r="U323" s="64">
        <f t="shared" si="76"/>
        <v>24500</v>
      </c>
      <c r="V323" s="128">
        <f t="shared" si="77"/>
        <v>117.12960749629487</v>
      </c>
      <c r="W323" s="150"/>
      <c r="X323" s="64">
        <f>IFERROR(VLOOKUP($B323,#REF!,14,FALSE),0)</f>
        <v>0</v>
      </c>
      <c r="Y323" s="99">
        <f t="shared" si="78"/>
        <v>24500</v>
      </c>
      <c r="Z323" s="132">
        <f t="shared" si="79"/>
        <v>0</v>
      </c>
      <c r="AA323" s="151" t="str">
        <f t="shared" si="81"/>
        <v>Y</v>
      </c>
      <c r="AB323" s="179"/>
      <c r="AC323" s="93"/>
      <c r="AD323"/>
      <c r="AE323" s="152"/>
      <c r="AF323"/>
      <c r="AG323"/>
      <c r="AH323"/>
      <c r="AI323"/>
      <c r="AJ323"/>
      <c r="AK323"/>
    </row>
    <row r="324" spans="1:37" s="100" customFormat="1" x14ac:dyDescent="0.25">
      <c r="A324" t="s">
        <v>471</v>
      </c>
      <c r="B324" t="s">
        <v>775</v>
      </c>
      <c r="C324" t="s">
        <v>325</v>
      </c>
      <c r="D324" s="143">
        <f>IFERROR(VLOOKUP(B324,'Enrollment 25-26'!$B$5:$I$332,8,FALSE),0)</f>
        <v>5228.166666666667</v>
      </c>
      <c r="E324" s="64">
        <f t="shared" si="68"/>
        <v>607880</v>
      </c>
      <c r="F324" s="144">
        <v>0</v>
      </c>
      <c r="G324" s="144">
        <v>0</v>
      </c>
      <c r="H324" s="64">
        <f t="shared" si="83"/>
        <v>607880</v>
      </c>
      <c r="I324" s="64">
        <f t="shared" si="69"/>
        <v>0</v>
      </c>
      <c r="J324" s="145">
        <f t="shared" si="70"/>
        <v>607880</v>
      </c>
      <c r="K324" s="146" t="str">
        <f t="shared" si="80"/>
        <v>Y</v>
      </c>
      <c r="L324" s="147">
        <f t="shared" si="71"/>
        <v>0</v>
      </c>
      <c r="M324" s="148">
        <f t="shared" si="72"/>
        <v>5228.166666666667</v>
      </c>
      <c r="N324" s="64">
        <f t="shared" si="73"/>
        <v>4495</v>
      </c>
      <c r="O324" s="64">
        <f t="shared" si="82"/>
        <v>612375</v>
      </c>
      <c r="P324" s="104"/>
      <c r="Q324" s="104">
        <f t="shared" si="74"/>
        <v>0</v>
      </c>
      <c r="R324" s="104" t="str">
        <f t="shared" si="75"/>
        <v>Not Applicable</v>
      </c>
      <c r="S324" s="149" t="s">
        <v>815</v>
      </c>
      <c r="T324" s="149">
        <f>IF(O324=0,0,IF(S324="N",0,VLOOKUP(B324,'Enrollment 25-26'!$B$8:$K$332,9,FALSE)))</f>
        <v>0</v>
      </c>
      <c r="U324" s="64">
        <f t="shared" si="76"/>
        <v>612375</v>
      </c>
      <c r="V324" s="128">
        <f t="shared" si="77"/>
        <v>117.12996907775191</v>
      </c>
      <c r="W324" s="150"/>
      <c r="X324" s="64">
        <f>IFERROR(VLOOKUP($B324,#REF!,14,FALSE),0)</f>
        <v>0</v>
      </c>
      <c r="Y324" s="99">
        <f t="shared" si="78"/>
        <v>612375</v>
      </c>
      <c r="Z324" s="132">
        <f t="shared" si="79"/>
        <v>0</v>
      </c>
      <c r="AA324" s="151" t="str">
        <f t="shared" si="81"/>
        <v>Y</v>
      </c>
      <c r="AB324" s="179"/>
      <c r="AC324" s="93"/>
      <c r="AD324"/>
      <c r="AE324"/>
      <c r="AF324"/>
      <c r="AG324"/>
      <c r="AH324"/>
      <c r="AI324"/>
      <c r="AJ324"/>
      <c r="AK324"/>
    </row>
    <row r="325" spans="1:37" x14ac:dyDescent="0.25">
      <c r="A325" t="s">
        <v>438</v>
      </c>
      <c r="B325" t="s">
        <v>776</v>
      </c>
      <c r="C325" t="s">
        <v>326</v>
      </c>
      <c r="D325" s="143">
        <f>IFERROR(VLOOKUP(B325,'Enrollment 25-26'!$B$5:$I$332,8,FALSE),0)</f>
        <v>236.17000000000002</v>
      </c>
      <c r="E325" s="64">
        <f t="shared" si="68"/>
        <v>27460</v>
      </c>
      <c r="F325" s="144">
        <v>0</v>
      </c>
      <c r="G325" s="144">
        <v>0</v>
      </c>
      <c r="H325" s="64">
        <f t="shared" si="83"/>
        <v>27460</v>
      </c>
      <c r="I325" s="64">
        <f t="shared" si="69"/>
        <v>0</v>
      </c>
      <c r="J325" s="145">
        <f t="shared" si="70"/>
        <v>27460</v>
      </c>
      <c r="K325" s="146" t="str">
        <f t="shared" si="80"/>
        <v>Y</v>
      </c>
      <c r="L325" s="147">
        <f t="shared" si="71"/>
        <v>0</v>
      </c>
      <c r="M325" s="148">
        <f t="shared" si="72"/>
        <v>236.17000000000002</v>
      </c>
      <c r="N325" s="64">
        <f t="shared" si="73"/>
        <v>203</v>
      </c>
      <c r="O325" s="64">
        <f t="shared" si="82"/>
        <v>27663</v>
      </c>
      <c r="Q325" s="104">
        <f t="shared" si="74"/>
        <v>0</v>
      </c>
      <c r="R325" s="104" t="str">
        <f t="shared" si="75"/>
        <v>Not Applicable</v>
      </c>
      <c r="S325" s="149" t="s">
        <v>815</v>
      </c>
      <c r="T325" s="149">
        <f>IF(O325=0,0,IF(S325="N",0,VLOOKUP(B325,'Enrollment 25-26'!$B$8:$K$332,9,FALSE)))</f>
        <v>0</v>
      </c>
      <c r="U325" s="64">
        <f t="shared" si="76"/>
        <v>27663</v>
      </c>
      <c r="V325" s="128">
        <f t="shared" si="77"/>
        <v>117.13172714570013</v>
      </c>
      <c r="W325" s="150"/>
      <c r="X325" s="64">
        <f>IFERROR(VLOOKUP($B325,#REF!,14,FALSE),0)</f>
        <v>0</v>
      </c>
      <c r="Y325" s="99">
        <f t="shared" si="78"/>
        <v>27663</v>
      </c>
      <c r="Z325" s="132">
        <f t="shared" si="79"/>
        <v>0</v>
      </c>
      <c r="AA325" s="151" t="str">
        <f t="shared" si="81"/>
        <v>Y</v>
      </c>
    </row>
    <row r="326" spans="1:37" ht="14.45" customHeight="1" x14ac:dyDescent="0.25">
      <c r="A326" t="s">
        <v>471</v>
      </c>
      <c r="B326" t="s">
        <v>777</v>
      </c>
      <c r="C326" t="s">
        <v>327</v>
      </c>
      <c r="D326" s="143">
        <f>IFERROR(VLOOKUP(B326,'Enrollment 25-26'!$B$5:$I$332,8,FALSE),0)</f>
        <v>169.50333333333336</v>
      </c>
      <c r="E326" s="64">
        <f t="shared" si="68"/>
        <v>19708</v>
      </c>
      <c r="F326" s="144">
        <v>0</v>
      </c>
      <c r="G326" s="144">
        <v>0</v>
      </c>
      <c r="H326" s="64">
        <f t="shared" si="83"/>
        <v>19708</v>
      </c>
      <c r="I326" s="64">
        <f t="shared" si="69"/>
        <v>0</v>
      </c>
      <c r="J326" s="145">
        <f t="shared" si="70"/>
        <v>19708</v>
      </c>
      <c r="K326" s="146" t="str">
        <f t="shared" si="80"/>
        <v>Y</v>
      </c>
      <c r="L326" s="147">
        <f t="shared" si="71"/>
        <v>0</v>
      </c>
      <c r="M326" s="148">
        <f t="shared" si="72"/>
        <v>169.50333333333336</v>
      </c>
      <c r="N326" s="64">
        <f t="shared" si="73"/>
        <v>146</v>
      </c>
      <c r="O326" s="64">
        <f t="shared" si="82"/>
        <v>19854</v>
      </c>
      <c r="Q326" s="104">
        <f t="shared" si="74"/>
        <v>0</v>
      </c>
      <c r="R326" s="104" t="str">
        <f t="shared" si="75"/>
        <v>Not Applicable</v>
      </c>
      <c r="S326" s="149" t="s">
        <v>815</v>
      </c>
      <c r="T326" s="149">
        <f>IF(O326=0,0,IF(S326="N",0,VLOOKUP(B326,'Enrollment 25-26'!$B$8:$K$332,9,FALSE)))</f>
        <v>0</v>
      </c>
      <c r="U326" s="64">
        <f t="shared" si="76"/>
        <v>19854</v>
      </c>
      <c r="V326" s="128">
        <f t="shared" si="77"/>
        <v>117.13043991268607</v>
      </c>
      <c r="W326" s="150"/>
      <c r="X326" s="64">
        <f>IFERROR(VLOOKUP($B326,#REF!,14,FALSE),0)</f>
        <v>0</v>
      </c>
      <c r="Y326" s="99">
        <f t="shared" si="78"/>
        <v>19854</v>
      </c>
      <c r="Z326" s="132">
        <f t="shared" si="79"/>
        <v>0</v>
      </c>
      <c r="AA326" s="151" t="str">
        <f t="shared" si="81"/>
        <v>Y</v>
      </c>
    </row>
    <row r="327" spans="1:37" x14ac:dyDescent="0.25">
      <c r="B327" s="142" t="s">
        <v>801</v>
      </c>
      <c r="C327" t="s">
        <v>802</v>
      </c>
      <c r="D327" s="143">
        <f>IFERROR(VLOOKUP(B327,'Enrollment 25-26'!$B$5:$I$332,8,FALSE),0)</f>
        <v>66.553317757009353</v>
      </c>
      <c r="E327" s="64">
        <f t="shared" si="68"/>
        <v>7738</v>
      </c>
      <c r="F327" s="144">
        <v>0</v>
      </c>
      <c r="G327" s="144">
        <v>0</v>
      </c>
      <c r="H327" s="64">
        <f t="shared" si="83"/>
        <v>7738</v>
      </c>
      <c r="I327" s="64">
        <f t="shared" si="69"/>
        <v>0</v>
      </c>
      <c r="J327" s="145">
        <f t="shared" si="70"/>
        <v>7738</v>
      </c>
      <c r="K327" s="146" t="str">
        <f t="shared" si="80"/>
        <v>C</v>
      </c>
      <c r="L327" s="147">
        <f t="shared" si="71"/>
        <v>0</v>
      </c>
      <c r="M327" s="148">
        <f t="shared" si="72"/>
        <v>66.553317757009353</v>
      </c>
      <c r="N327" s="64">
        <f t="shared" si="73"/>
        <v>57</v>
      </c>
      <c r="O327" s="64">
        <f t="shared" si="82"/>
        <v>7795</v>
      </c>
      <c r="Q327" s="104">
        <f t="shared" si="74"/>
        <v>0</v>
      </c>
      <c r="R327" s="104" t="str">
        <f t="shared" si="75"/>
        <v>Not Applicable</v>
      </c>
      <c r="S327" s="149" t="s">
        <v>815</v>
      </c>
      <c r="T327" s="149">
        <f>IF(O327=0,0,IF(S327="N",0,VLOOKUP(B327,'Enrollment 25-26'!$B$8:$K$332,9,FALSE)))</f>
        <v>0</v>
      </c>
      <c r="U327" s="64">
        <f t="shared" si="76"/>
        <v>7795</v>
      </c>
      <c r="V327" s="128">
        <f t="shared" si="77"/>
        <v>117.12413840073414</v>
      </c>
      <c r="W327" s="150"/>
      <c r="X327" s="64">
        <f>IFERROR(VLOOKUP($B327,#REF!,14,FALSE),0)</f>
        <v>0</v>
      </c>
      <c r="Y327" s="99">
        <f t="shared" si="78"/>
        <v>7795</v>
      </c>
      <c r="Z327" s="132">
        <f t="shared" si="79"/>
        <v>0</v>
      </c>
      <c r="AA327" s="151" t="str">
        <f t="shared" si="81"/>
        <v>C</v>
      </c>
    </row>
    <row r="328" spans="1:37" x14ac:dyDescent="0.25">
      <c r="B328" s="142" t="s">
        <v>810</v>
      </c>
      <c r="C328" t="s">
        <v>803</v>
      </c>
      <c r="D328" s="143">
        <f>IFERROR(VLOOKUP(B328,'Enrollment 25-26'!$B$5:$I$332,8,FALSE),0)</f>
        <v>2.4274576271186441</v>
      </c>
      <c r="E328" s="64">
        <f t="shared" si="68"/>
        <v>282</v>
      </c>
      <c r="F328" s="144">
        <v>0</v>
      </c>
      <c r="G328" s="144">
        <v>0</v>
      </c>
      <c r="H328" s="64">
        <f t="shared" si="83"/>
        <v>282</v>
      </c>
      <c r="I328" s="64">
        <f t="shared" si="69"/>
        <v>0</v>
      </c>
      <c r="J328" s="145">
        <f t="shared" si="70"/>
        <v>282</v>
      </c>
      <c r="K328" s="146" t="str">
        <f t="shared" si="80"/>
        <v>N</v>
      </c>
      <c r="L328" s="147">
        <f t="shared" si="71"/>
        <v>282</v>
      </c>
      <c r="M328" s="148">
        <f t="shared" si="72"/>
        <v>0</v>
      </c>
      <c r="N328" s="64">
        <f t="shared" si="73"/>
        <v>0</v>
      </c>
      <c r="O328" s="64">
        <f t="shared" si="82"/>
        <v>0</v>
      </c>
      <c r="Q328" s="104">
        <f t="shared" si="74"/>
        <v>0</v>
      </c>
      <c r="R328" s="104" t="str">
        <f t="shared" si="75"/>
        <v>Not Applicable</v>
      </c>
      <c r="S328" s="149" t="s">
        <v>815</v>
      </c>
      <c r="T328" s="149">
        <f>IF(O328=0,0,IF(S328="N",0,VLOOKUP(B328,'Enrollment 25-26'!$B$8:$K$332,9,FALSE)))</f>
        <v>0</v>
      </c>
      <c r="U328" s="64">
        <f t="shared" si="76"/>
        <v>0</v>
      </c>
      <c r="V328" s="128">
        <f t="shared" si="77"/>
        <v>0</v>
      </c>
      <c r="W328" s="150"/>
      <c r="X328" s="64">
        <f>IFERROR(VLOOKUP($B328,#REF!,14,FALSE),0)</f>
        <v>0</v>
      </c>
      <c r="Y328" s="99">
        <f t="shared" si="78"/>
        <v>0</v>
      </c>
      <c r="Z328" s="132">
        <f t="shared" si="79"/>
        <v>0</v>
      </c>
      <c r="AA328" s="151" t="str">
        <f t="shared" si="81"/>
        <v>N</v>
      </c>
    </row>
    <row r="329" spans="1:37" x14ac:dyDescent="0.25">
      <c r="B329" s="142"/>
      <c r="D329" s="143"/>
      <c r="F329" s="144"/>
      <c r="G329" s="144"/>
      <c r="I329" s="64"/>
      <c r="J329" s="145"/>
      <c r="K329" s="146"/>
      <c r="L329" s="147"/>
      <c r="M329" s="148"/>
      <c r="S329" s="149"/>
      <c r="T329" s="149"/>
      <c r="U329" s="64"/>
      <c r="V329" s="128"/>
      <c r="W329" s="150"/>
      <c r="X329" s="64">
        <f>IFERROR(VLOOKUP($B329,#REF!,14,FALSE),0)</f>
        <v>0</v>
      </c>
      <c r="Z329" s="132"/>
      <c r="AA329" s="151"/>
    </row>
    <row r="330" spans="1:37" x14ac:dyDescent="0.25">
      <c r="B330" s="142" t="s">
        <v>436</v>
      </c>
      <c r="C330" t="s">
        <v>778</v>
      </c>
      <c r="D330" s="64">
        <f>SUM(D9:D328)</f>
        <v>163538.59206792375</v>
      </c>
      <c r="E330" s="64">
        <f>SUM(E9:E328)</f>
        <v>19014652</v>
      </c>
      <c r="F330" s="64">
        <f t="shared" ref="F330:I330" si="84">SUM(F9:F326)</f>
        <v>0</v>
      </c>
      <c r="G330" s="64">
        <f t="shared" si="84"/>
        <v>0</v>
      </c>
      <c r="H330" s="64">
        <f>SUM(H9:H328)</f>
        <v>19014657</v>
      </c>
      <c r="I330" s="128">
        <f t="shared" si="84"/>
        <v>0</v>
      </c>
      <c r="J330" s="128">
        <f>SUM(J9:J328)</f>
        <v>19014657</v>
      </c>
      <c r="L330" s="64">
        <f>SUM(L9:L328)</f>
        <v>139563</v>
      </c>
      <c r="M330" s="64">
        <f>SUM(M9:M328)</f>
        <v>162338.23100137283</v>
      </c>
      <c r="N330" s="64">
        <f>SUM(N9:N328)</f>
        <v>139563</v>
      </c>
      <c r="O330" s="64">
        <f>SUM(O9:O328)</f>
        <v>19014657</v>
      </c>
      <c r="P330" s="64"/>
      <c r="Q330" s="64">
        <f>SUM(Q9:Q326)</f>
        <v>0</v>
      </c>
      <c r="U330" s="104">
        <f>SUM(U9:U328)</f>
        <v>19014657</v>
      </c>
      <c r="V330" s="104"/>
      <c r="W330" s="104"/>
      <c r="X330" s="64">
        <f>IFERROR(VLOOKUP($B330,#REF!,14,FALSE),0)</f>
        <v>0</v>
      </c>
      <c r="Y330" s="104">
        <f>SUM(Y9:Y328)</f>
        <v>19014657</v>
      </c>
      <c r="Z330" s="162" t="e">
        <f>U330/X330-1</f>
        <v>#DIV/0!</v>
      </c>
    </row>
  </sheetData>
  <mergeCells count="4">
    <mergeCell ref="E2:H2"/>
    <mergeCell ref="I2:J2"/>
    <mergeCell ref="K2:O2"/>
    <mergeCell ref="R2:T2"/>
  </mergeCells>
  <conditionalFormatting sqref="B10">
    <cfRule type="duplicateValues" dxfId="20" priority="4"/>
  </conditionalFormatting>
  <conditionalFormatting sqref="C9 C11:C323">
    <cfRule type="expression" dxfId="19" priority="7">
      <formula>AND($O9&lt;10000,$O9&gt;0,$K9="Y")</formula>
    </cfRule>
  </conditionalFormatting>
  <conditionalFormatting sqref="C10">
    <cfRule type="duplicateValues" dxfId="18" priority="3"/>
  </conditionalFormatting>
  <conditionalFormatting sqref="L9:L329">
    <cfRule type="expression" dxfId="17" priority="8">
      <formula>AND($L9&gt;0,$K9="Yes")</formula>
    </cfRule>
  </conditionalFormatting>
  <conditionalFormatting sqref="AD9:AD328">
    <cfRule type="expression" dxfId="16" priority="5">
      <formula>AND($P9&lt;10000,$P9&gt;0,$L9="Y")</formula>
    </cfRule>
  </conditionalFormatting>
  <conditionalFormatting sqref="AJ13">
    <cfRule type="expression" dxfId="15" priority="6">
      <formula>AND($I76&lt;10000,$I76&gt;0,#REF!="Y")</formula>
    </cfRule>
  </conditionalFormatting>
  <pageMargins left="0.7" right="0.7" top="0.75" bottom="0.75" header="0.3" footer="0.3"/>
  <pageSetup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B40B2-5AD1-474A-9227-3F10F04C4BC2}">
  <dimension ref="A1:Q331"/>
  <sheetViews>
    <sheetView workbookViewId="0">
      <selection activeCell="K8" sqref="K8"/>
    </sheetView>
  </sheetViews>
  <sheetFormatPr defaultRowHeight="15" x14ac:dyDescent="0.25"/>
  <cols>
    <col min="1" max="1" width="6.140625" customWidth="1"/>
    <col min="2" max="2" width="9.28515625" style="1" customWidth="1"/>
    <col min="3" max="3" width="25.5703125" bestFit="1" customWidth="1"/>
    <col min="4" max="4" width="15.5703125" style="7" bestFit="1" customWidth="1"/>
    <col min="5" max="5" width="15.28515625" style="19" customWidth="1"/>
    <col min="6" max="6" width="11.42578125" style="37" customWidth="1"/>
    <col min="7" max="7" width="11" style="18" bestFit="1" customWidth="1"/>
    <col min="8" max="8" width="6" style="19" customWidth="1"/>
    <col min="9" max="9" width="18.5703125" style="6" customWidth="1"/>
    <col min="10" max="10" width="18.28515625" hidden="1" customWidth="1"/>
    <col min="11" max="11" width="39.28515625" customWidth="1"/>
    <col min="12" max="13" width="18" customWidth="1"/>
    <col min="14" max="14" width="12.7109375" customWidth="1"/>
    <col min="15" max="15" width="13.5703125" customWidth="1"/>
    <col min="17" max="17" width="10.7109375" customWidth="1"/>
  </cols>
  <sheetData>
    <row r="1" spans="1:17" x14ac:dyDescent="0.25">
      <c r="D1" s="2"/>
      <c r="E1" s="3"/>
      <c r="F1" s="3"/>
      <c r="G1" s="4"/>
      <c r="H1" s="5"/>
    </row>
    <row r="2" spans="1:17" x14ac:dyDescent="0.25">
      <c r="D2" s="186"/>
      <c r="E2" s="8"/>
      <c r="F2" s="8"/>
      <c r="G2" s="4"/>
      <c r="H2" s="5"/>
    </row>
    <row r="3" spans="1:17" x14ac:dyDescent="0.25">
      <c r="B3" s="1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 s="6">
        <v>8</v>
      </c>
      <c r="J3">
        <v>9</v>
      </c>
    </row>
    <row r="4" spans="1:17" ht="13.15" customHeight="1" x14ac:dyDescent="0.25">
      <c r="A4" s="9"/>
      <c r="B4" s="10"/>
      <c r="C4" s="11"/>
      <c r="D4" s="202"/>
      <c r="E4" s="202"/>
      <c r="F4" s="202"/>
      <c r="G4" s="202"/>
      <c r="H4" s="203"/>
      <c r="I4" s="12"/>
      <c r="J4" s="13"/>
    </row>
    <row r="5" spans="1:17" ht="30" x14ac:dyDescent="0.35">
      <c r="C5" s="14"/>
      <c r="D5" s="187"/>
      <c r="E5" s="16"/>
      <c r="F5" s="17"/>
      <c r="I5" s="20" t="s">
        <v>828</v>
      </c>
      <c r="J5" s="21"/>
      <c r="K5" s="13"/>
    </row>
    <row r="6" spans="1:17" ht="26.25" customHeight="1" x14ac:dyDescent="0.25">
      <c r="B6" s="1" t="s">
        <v>0</v>
      </c>
      <c r="C6" t="s">
        <v>1</v>
      </c>
      <c r="D6" s="188" t="s">
        <v>2</v>
      </c>
      <c r="E6" s="23" t="s">
        <v>3</v>
      </c>
      <c r="F6" s="24" t="s">
        <v>4</v>
      </c>
      <c r="G6" s="25" t="s">
        <v>5</v>
      </c>
      <c r="H6" s="26" t="s">
        <v>6</v>
      </c>
      <c r="I6" s="27" t="s">
        <v>7</v>
      </c>
      <c r="J6" s="28"/>
      <c r="L6" t="s">
        <v>804</v>
      </c>
      <c r="M6" t="s">
        <v>813</v>
      </c>
      <c r="N6" t="s">
        <v>808</v>
      </c>
      <c r="O6" t="s">
        <v>805</v>
      </c>
      <c r="P6" t="s">
        <v>806</v>
      </c>
      <c r="Q6" t="s">
        <v>807</v>
      </c>
    </row>
    <row r="7" spans="1:17" x14ac:dyDescent="0.25">
      <c r="C7" t="s">
        <v>8</v>
      </c>
      <c r="D7" s="2">
        <f>SUM(D8:D330)</f>
        <v>156545.65000000002</v>
      </c>
      <c r="E7" s="188">
        <f>SUM(E8:E330)</f>
        <v>0</v>
      </c>
      <c r="F7" s="188">
        <f>SUM(F8:F331)</f>
        <v>3947.6666666666665</v>
      </c>
      <c r="G7" s="188">
        <f>SUM(G8:G331)</f>
        <v>70</v>
      </c>
      <c r="H7" s="188"/>
      <c r="I7" s="189">
        <f>SUM(I8:I330)</f>
        <v>160486.27592854021</v>
      </c>
      <c r="J7">
        <f>SUM(J8:J319)</f>
        <v>0</v>
      </c>
      <c r="N7" s="2"/>
      <c r="P7" s="2"/>
      <c r="Q7" s="2"/>
    </row>
    <row r="8" spans="1:17" x14ac:dyDescent="0.25">
      <c r="B8" s="31" t="s">
        <v>439</v>
      </c>
      <c r="C8" s="31" t="s">
        <v>9</v>
      </c>
      <c r="D8" s="2">
        <v>472.33</v>
      </c>
      <c r="E8" s="190"/>
      <c r="F8" s="190">
        <v>10.5</v>
      </c>
      <c r="G8" s="191">
        <v>1</v>
      </c>
      <c r="H8" s="18"/>
      <c r="I8" s="177">
        <f>IF(D8+E8+F8+Q8-G8&lt;0,0,D8+E8+F8-G8+Q8)</f>
        <v>481.83</v>
      </c>
      <c r="J8" s="2"/>
      <c r="K8" t="str">
        <f>VLOOKUP(B8,'Allocations 2026-27'!$B$9:$C$328,2,FALSE)</f>
        <v>Aberdeen</v>
      </c>
      <c r="N8" s="2">
        <f>IFERROR(D8/L8,0)</f>
        <v>0</v>
      </c>
      <c r="O8">
        <f>M8-L8</f>
        <v>0</v>
      </c>
      <c r="P8" s="2"/>
      <c r="Q8" s="2">
        <f>O8*N8</f>
        <v>0</v>
      </c>
    </row>
    <row r="9" spans="1:17" x14ac:dyDescent="0.25">
      <c r="B9" s="31" t="s">
        <v>441</v>
      </c>
      <c r="C9" s="31" t="s">
        <v>10</v>
      </c>
      <c r="D9" s="2">
        <v>0</v>
      </c>
      <c r="E9" s="190"/>
      <c r="F9" s="2"/>
      <c r="G9" s="2">
        <v>0</v>
      </c>
      <c r="H9" s="18"/>
      <c r="I9" s="177">
        <f t="shared" ref="I9:I72" si="0">IF(D9+E9+F9+Q9-G9&lt;0,0,D9+E9+F9-G9+Q9)</f>
        <v>0</v>
      </c>
      <c r="J9" s="2"/>
      <c r="K9" t="str">
        <f>VLOOKUP(B9,'Allocations 2026-27'!$B$9:$C$328,2,FALSE)</f>
        <v>Adna</v>
      </c>
      <c r="N9" s="2">
        <f t="shared" ref="N9:N72" si="1">IFERROR(D9/L9,0)</f>
        <v>0</v>
      </c>
      <c r="O9">
        <f t="shared" ref="O9:O72" si="2">M9-L9</f>
        <v>0</v>
      </c>
      <c r="P9" s="2"/>
      <c r="Q9" s="2">
        <f t="shared" ref="Q9:Q72" si="3">O9*N9</f>
        <v>0</v>
      </c>
    </row>
    <row r="10" spans="1:17" x14ac:dyDescent="0.25">
      <c r="B10" s="31" t="s">
        <v>444</v>
      </c>
      <c r="C10" s="31" t="s">
        <v>11</v>
      </c>
      <c r="D10" s="2">
        <v>0</v>
      </c>
      <c r="E10" s="190"/>
      <c r="F10" s="2">
        <v>0</v>
      </c>
      <c r="G10" s="2">
        <v>0</v>
      </c>
      <c r="I10" s="177">
        <f t="shared" si="0"/>
        <v>0</v>
      </c>
      <c r="J10" s="2"/>
      <c r="K10" t="str">
        <f>VLOOKUP(B10,'Allocations 2026-27'!$B$9:$C$328,2,FALSE)</f>
        <v>Almira</v>
      </c>
      <c r="N10" s="2">
        <f t="shared" si="1"/>
        <v>0</v>
      </c>
      <c r="O10">
        <f t="shared" si="2"/>
        <v>0</v>
      </c>
      <c r="P10" s="2"/>
      <c r="Q10" s="2">
        <f t="shared" si="3"/>
        <v>0</v>
      </c>
    </row>
    <row r="11" spans="1:17" x14ac:dyDescent="0.25">
      <c r="B11" s="31" t="s">
        <v>447</v>
      </c>
      <c r="C11" s="31" t="s">
        <v>12</v>
      </c>
      <c r="D11" s="2">
        <v>49.17</v>
      </c>
      <c r="E11" s="190"/>
      <c r="F11" s="2">
        <v>0</v>
      </c>
      <c r="G11" s="2">
        <v>0</v>
      </c>
      <c r="I11" s="177">
        <f t="shared" si="0"/>
        <v>49.17</v>
      </c>
      <c r="J11" s="2"/>
      <c r="K11" t="str">
        <f>VLOOKUP(B11,'Allocations 2026-27'!$B$9:$C$328,2,FALSE)</f>
        <v>Anacortes</v>
      </c>
      <c r="N11" s="2">
        <f t="shared" si="1"/>
        <v>0</v>
      </c>
      <c r="O11">
        <f t="shared" si="2"/>
        <v>0</v>
      </c>
      <c r="P11" s="2"/>
      <c r="Q11" s="2">
        <f t="shared" si="3"/>
        <v>0</v>
      </c>
    </row>
    <row r="12" spans="1:17" x14ac:dyDescent="0.25">
      <c r="B12" s="31" t="s">
        <v>449</v>
      </c>
      <c r="C12" s="31" t="s">
        <v>13</v>
      </c>
      <c r="D12" s="2">
        <v>364.16999999999996</v>
      </c>
      <c r="E12" s="190"/>
      <c r="F12" s="190">
        <v>20.166666666666668</v>
      </c>
      <c r="G12" s="191">
        <v>1</v>
      </c>
      <c r="H12" s="18"/>
      <c r="I12" s="177">
        <f t="shared" si="0"/>
        <v>383.33666666666664</v>
      </c>
      <c r="J12" s="2"/>
      <c r="K12" t="str">
        <f>VLOOKUP(B12,'Allocations 2026-27'!$B$9:$C$328,2,FALSE)</f>
        <v>Arlington</v>
      </c>
      <c r="N12" s="2">
        <f t="shared" si="1"/>
        <v>0</v>
      </c>
      <c r="O12">
        <f t="shared" si="2"/>
        <v>0</v>
      </c>
      <c r="P12" s="2"/>
      <c r="Q12" s="2">
        <f t="shared" si="3"/>
        <v>0</v>
      </c>
    </row>
    <row r="13" spans="1:17" x14ac:dyDescent="0.25">
      <c r="B13" s="31" t="s">
        <v>452</v>
      </c>
      <c r="C13" s="31" t="s">
        <v>14</v>
      </c>
      <c r="D13" s="2">
        <v>0</v>
      </c>
      <c r="E13" s="190"/>
      <c r="F13" s="2">
        <v>0</v>
      </c>
      <c r="G13" s="2">
        <v>0</v>
      </c>
      <c r="I13" s="177">
        <f t="shared" si="0"/>
        <v>0</v>
      </c>
      <c r="J13" s="2"/>
      <c r="K13" t="str">
        <f>VLOOKUP(B13,'Allocations 2026-27'!$B$9:$C$328,2,FALSE)</f>
        <v>Asotin-Anatone</v>
      </c>
      <c r="N13" s="2">
        <f t="shared" si="1"/>
        <v>0</v>
      </c>
      <c r="O13">
        <f t="shared" si="2"/>
        <v>0</v>
      </c>
      <c r="P13" s="2"/>
      <c r="Q13" s="2">
        <f t="shared" si="3"/>
        <v>0</v>
      </c>
    </row>
    <row r="14" spans="1:17" x14ac:dyDescent="0.25">
      <c r="B14" s="31" t="s">
        <v>455</v>
      </c>
      <c r="C14" s="31" t="s">
        <v>15</v>
      </c>
      <c r="D14" s="2">
        <v>5395.17</v>
      </c>
      <c r="E14" s="190"/>
      <c r="F14" s="190">
        <v>39</v>
      </c>
      <c r="G14" s="191">
        <v>2</v>
      </c>
      <c r="H14" s="18"/>
      <c r="I14" s="177">
        <f t="shared" si="0"/>
        <v>5432.17</v>
      </c>
      <c r="J14" s="2"/>
      <c r="K14" t="str">
        <f>VLOOKUP(B14,'Allocations 2026-27'!$B$9:$C$328,2,FALSE)</f>
        <v>Auburn</v>
      </c>
      <c r="N14" s="2">
        <f t="shared" si="1"/>
        <v>0</v>
      </c>
      <c r="O14">
        <f t="shared" si="2"/>
        <v>0</v>
      </c>
      <c r="P14" s="2"/>
      <c r="Q14" s="2">
        <f t="shared" si="3"/>
        <v>0</v>
      </c>
    </row>
    <row r="15" spans="1:17" x14ac:dyDescent="0.25">
      <c r="B15" s="31" t="s">
        <v>457</v>
      </c>
      <c r="C15" s="31" t="s">
        <v>16</v>
      </c>
      <c r="D15" s="2">
        <v>55.33</v>
      </c>
      <c r="E15" s="190"/>
      <c r="F15" s="2">
        <v>0</v>
      </c>
      <c r="G15" s="2">
        <v>0</v>
      </c>
      <c r="I15" s="177">
        <f t="shared" si="0"/>
        <v>55.33</v>
      </c>
      <c r="J15" s="2"/>
      <c r="K15" t="str">
        <f>VLOOKUP(B15,'Allocations 2026-27'!$B$9:$C$328,2,FALSE)</f>
        <v>Bainbridge</v>
      </c>
      <c r="N15" s="2">
        <f t="shared" si="1"/>
        <v>0</v>
      </c>
      <c r="O15">
        <f t="shared" si="2"/>
        <v>0</v>
      </c>
      <c r="P15" s="2"/>
      <c r="Q15" s="2">
        <f t="shared" si="3"/>
        <v>0</v>
      </c>
    </row>
    <row r="16" spans="1:17" x14ac:dyDescent="0.25">
      <c r="B16" s="31" t="s">
        <v>812</v>
      </c>
      <c r="C16" s="31" t="s">
        <v>811</v>
      </c>
      <c r="D16" s="2">
        <v>0</v>
      </c>
      <c r="E16" s="190"/>
      <c r="F16" s="2">
        <v>0</v>
      </c>
      <c r="G16" s="2">
        <v>0</v>
      </c>
      <c r="H16" s="18"/>
      <c r="I16" s="177">
        <f t="shared" si="0"/>
        <v>0</v>
      </c>
      <c r="J16" s="2"/>
      <c r="K16" t="e">
        <f>VLOOKUP(B16,'Allocations 2026-27'!$B$9:$C$328,2,FALSE)</f>
        <v>#N/A</v>
      </c>
      <c r="N16" s="2">
        <f t="shared" si="1"/>
        <v>0</v>
      </c>
      <c r="O16">
        <f t="shared" si="2"/>
        <v>0</v>
      </c>
      <c r="P16" s="2"/>
      <c r="Q16" s="2">
        <f t="shared" si="3"/>
        <v>0</v>
      </c>
    </row>
    <row r="17" spans="2:17" x14ac:dyDescent="0.25">
      <c r="B17" s="31" t="s">
        <v>460</v>
      </c>
      <c r="C17" s="31" t="s">
        <v>17</v>
      </c>
      <c r="D17" s="2">
        <v>1405.83</v>
      </c>
      <c r="E17" s="190"/>
      <c r="F17" s="190">
        <v>14.5</v>
      </c>
      <c r="G17" s="191">
        <v>7</v>
      </c>
      <c r="H17" s="18"/>
      <c r="I17" s="177">
        <f t="shared" si="0"/>
        <v>1413.33</v>
      </c>
      <c r="J17" s="2"/>
      <c r="K17" t="str">
        <f>VLOOKUP(B17,'Allocations 2026-27'!$B$9:$C$328,2,FALSE)</f>
        <v>Battle Ground</v>
      </c>
      <c r="N17" s="2">
        <f t="shared" si="1"/>
        <v>0</v>
      </c>
      <c r="O17">
        <f t="shared" si="2"/>
        <v>0</v>
      </c>
      <c r="P17" s="2"/>
      <c r="Q17" s="2">
        <f t="shared" si="3"/>
        <v>0</v>
      </c>
    </row>
    <row r="18" spans="2:17" x14ac:dyDescent="0.25">
      <c r="B18" s="31" t="s">
        <v>463</v>
      </c>
      <c r="C18" s="31" t="s">
        <v>18</v>
      </c>
      <c r="D18" s="2">
        <v>3836.33</v>
      </c>
      <c r="E18" s="190"/>
      <c r="F18" s="190">
        <v>54.333333333333336</v>
      </c>
      <c r="G18" s="2">
        <v>0</v>
      </c>
      <c r="H18" s="18"/>
      <c r="I18" s="177">
        <f t="shared" si="0"/>
        <v>3890.6633333333334</v>
      </c>
      <c r="J18" s="2"/>
      <c r="K18" t="str">
        <f>VLOOKUP(B18,'Allocations 2026-27'!$B$9:$C$328,2,FALSE)</f>
        <v>Bellevue</v>
      </c>
      <c r="N18" s="2">
        <f t="shared" si="1"/>
        <v>0</v>
      </c>
      <c r="O18">
        <f t="shared" si="2"/>
        <v>0</v>
      </c>
      <c r="P18" s="2"/>
      <c r="Q18" s="2">
        <f t="shared" si="3"/>
        <v>0</v>
      </c>
    </row>
    <row r="19" spans="2:17" x14ac:dyDescent="0.25">
      <c r="B19" s="31" t="s">
        <v>465</v>
      </c>
      <c r="C19" s="31" t="s">
        <v>19</v>
      </c>
      <c r="D19" s="2">
        <v>1080.83</v>
      </c>
      <c r="E19" s="190"/>
      <c r="F19" s="190">
        <v>4</v>
      </c>
      <c r="G19" s="191">
        <v>1</v>
      </c>
      <c r="I19" s="177">
        <f t="shared" si="0"/>
        <v>1083.83</v>
      </c>
      <c r="J19" s="2"/>
      <c r="K19" t="str">
        <f>VLOOKUP(B19,'Allocations 2026-27'!$B$9:$C$328,2,FALSE)</f>
        <v>Bellingham</v>
      </c>
      <c r="N19" s="2">
        <f t="shared" si="1"/>
        <v>0</v>
      </c>
      <c r="O19">
        <f t="shared" si="2"/>
        <v>0</v>
      </c>
      <c r="P19" s="2"/>
      <c r="Q19" s="2">
        <f t="shared" si="3"/>
        <v>0</v>
      </c>
    </row>
    <row r="20" spans="2:17" x14ac:dyDescent="0.25">
      <c r="B20" s="31" t="s">
        <v>467</v>
      </c>
      <c r="C20" s="31" t="s">
        <v>20</v>
      </c>
      <c r="D20" s="2">
        <v>0</v>
      </c>
      <c r="E20" s="190"/>
      <c r="F20" s="2">
        <v>0</v>
      </c>
      <c r="G20" s="2">
        <v>0</v>
      </c>
      <c r="H20" s="18"/>
      <c r="I20" s="177">
        <f t="shared" si="0"/>
        <v>0</v>
      </c>
      <c r="J20" s="2"/>
      <c r="K20" t="str">
        <f>VLOOKUP(B20,'Allocations 2026-27'!$B$9:$C$328,2,FALSE)</f>
        <v>Benge</v>
      </c>
      <c r="N20" s="2">
        <f t="shared" si="1"/>
        <v>0</v>
      </c>
      <c r="O20">
        <f t="shared" si="2"/>
        <v>0</v>
      </c>
      <c r="P20" s="2"/>
      <c r="Q20" s="2">
        <f t="shared" si="3"/>
        <v>0</v>
      </c>
    </row>
    <row r="21" spans="2:17" x14ac:dyDescent="0.25">
      <c r="B21" s="31" t="s">
        <v>469</v>
      </c>
      <c r="C21" s="31" t="s">
        <v>21</v>
      </c>
      <c r="D21" s="2">
        <v>1855.17</v>
      </c>
      <c r="E21" s="190"/>
      <c r="F21" s="190">
        <v>82.333333333333329</v>
      </c>
      <c r="G21" s="2">
        <v>0</v>
      </c>
      <c r="H21" s="18"/>
      <c r="I21" s="177">
        <f t="shared" si="0"/>
        <v>1937.5033333333333</v>
      </c>
      <c r="J21" s="2"/>
      <c r="K21" t="str">
        <f>VLOOKUP(B21,'Allocations 2026-27'!$B$9:$C$328,2,FALSE)</f>
        <v>Bethel</v>
      </c>
      <c r="N21" s="2">
        <f t="shared" si="1"/>
        <v>0</v>
      </c>
      <c r="O21">
        <f t="shared" si="2"/>
        <v>0</v>
      </c>
      <c r="P21" s="2"/>
      <c r="Q21" s="2">
        <f t="shared" si="3"/>
        <v>0</v>
      </c>
    </row>
    <row r="22" spans="2:17" x14ac:dyDescent="0.25">
      <c r="B22" s="31" t="s">
        <v>472</v>
      </c>
      <c r="C22" s="31" t="s">
        <v>22</v>
      </c>
      <c r="D22" s="2">
        <v>0</v>
      </c>
      <c r="E22" s="190"/>
      <c r="F22" s="2">
        <v>0</v>
      </c>
      <c r="G22" s="2">
        <v>0</v>
      </c>
      <c r="I22" s="177">
        <f t="shared" si="0"/>
        <v>0</v>
      </c>
      <c r="J22" s="2"/>
      <c r="K22" t="str">
        <f>VLOOKUP(B22,'Allocations 2026-27'!$B$9:$C$328,2,FALSE)</f>
        <v>Bickleton</v>
      </c>
      <c r="N22" s="2">
        <f t="shared" si="1"/>
        <v>0</v>
      </c>
      <c r="O22">
        <f t="shared" si="2"/>
        <v>0</v>
      </c>
      <c r="P22" s="2"/>
      <c r="Q22" s="2">
        <f t="shared" si="3"/>
        <v>0</v>
      </c>
    </row>
    <row r="23" spans="2:17" x14ac:dyDescent="0.25">
      <c r="B23" s="31" t="s">
        <v>474</v>
      </c>
      <c r="C23" s="31" t="s">
        <v>23</v>
      </c>
      <c r="D23" s="2">
        <v>117.67</v>
      </c>
      <c r="E23" s="190"/>
      <c r="F23" s="190">
        <v>2</v>
      </c>
      <c r="G23" s="2">
        <v>0</v>
      </c>
      <c r="H23" s="18"/>
      <c r="I23" s="177">
        <f t="shared" si="0"/>
        <v>119.67</v>
      </c>
      <c r="J23" s="2"/>
      <c r="K23" t="str">
        <f>VLOOKUP(B23,'Allocations 2026-27'!$B$9:$C$328,2,FALSE)</f>
        <v>Blaine</v>
      </c>
      <c r="N23" s="2">
        <f t="shared" si="1"/>
        <v>0</v>
      </c>
      <c r="O23">
        <f t="shared" si="2"/>
        <v>0</v>
      </c>
      <c r="P23" s="2"/>
      <c r="Q23" s="2">
        <f t="shared" si="3"/>
        <v>0</v>
      </c>
    </row>
    <row r="24" spans="2:17" x14ac:dyDescent="0.25">
      <c r="B24" s="31" t="s">
        <v>476</v>
      </c>
      <c r="C24" s="31" t="s">
        <v>24</v>
      </c>
      <c r="D24" s="2">
        <v>12.5</v>
      </c>
      <c r="E24" s="190"/>
      <c r="F24" s="2">
        <v>0</v>
      </c>
      <c r="G24" s="2">
        <v>0</v>
      </c>
      <c r="I24" s="177">
        <f t="shared" si="0"/>
        <v>12.5</v>
      </c>
      <c r="J24" s="2"/>
      <c r="K24" t="str">
        <f>VLOOKUP(B24,'Allocations 2026-27'!$B$9:$C$328,2,FALSE)</f>
        <v>Boistfort</v>
      </c>
      <c r="N24" s="2">
        <f t="shared" si="1"/>
        <v>0</v>
      </c>
      <c r="O24">
        <f t="shared" si="2"/>
        <v>0</v>
      </c>
      <c r="P24" s="2"/>
      <c r="Q24" s="2">
        <f t="shared" si="3"/>
        <v>0</v>
      </c>
    </row>
    <row r="25" spans="2:17" x14ac:dyDescent="0.25">
      <c r="B25" s="31" t="s">
        <v>479</v>
      </c>
      <c r="C25" s="31" t="s">
        <v>25</v>
      </c>
      <c r="D25" s="2">
        <v>662.34</v>
      </c>
      <c r="E25" s="190"/>
      <c r="F25" s="2">
        <v>0</v>
      </c>
      <c r="G25" s="2">
        <v>0</v>
      </c>
      <c r="I25" s="177">
        <f t="shared" si="0"/>
        <v>662.34</v>
      </c>
      <c r="J25" s="2"/>
      <c r="K25" t="str">
        <f>VLOOKUP(B25,'Allocations 2026-27'!$B$9:$C$328,2,FALSE)</f>
        <v>Bremerton</v>
      </c>
      <c r="N25" s="2">
        <f t="shared" si="1"/>
        <v>0</v>
      </c>
      <c r="O25">
        <f t="shared" si="2"/>
        <v>0</v>
      </c>
      <c r="P25" s="2"/>
      <c r="Q25" s="2">
        <f t="shared" si="3"/>
        <v>0</v>
      </c>
    </row>
    <row r="26" spans="2:17" x14ac:dyDescent="0.25">
      <c r="B26" s="31" t="s">
        <v>482</v>
      </c>
      <c r="C26" s="31" t="s">
        <v>26</v>
      </c>
      <c r="D26" s="2">
        <v>387.33000000000004</v>
      </c>
      <c r="E26" s="190"/>
      <c r="F26" s="2">
        <v>0</v>
      </c>
      <c r="G26" s="2">
        <v>0</v>
      </c>
      <c r="H26" s="18"/>
      <c r="I26" s="177">
        <f t="shared" si="0"/>
        <v>387.33000000000004</v>
      </c>
      <c r="J26" s="2"/>
      <c r="K26" t="str">
        <f>VLOOKUP(B26,'Allocations 2026-27'!$B$9:$C$328,2,FALSE)</f>
        <v>Brewster</v>
      </c>
      <c r="N26" s="2">
        <f t="shared" si="1"/>
        <v>0</v>
      </c>
      <c r="O26">
        <f t="shared" si="2"/>
        <v>0</v>
      </c>
      <c r="P26" s="2"/>
      <c r="Q26" s="2">
        <f t="shared" si="3"/>
        <v>0</v>
      </c>
    </row>
    <row r="27" spans="2:17" x14ac:dyDescent="0.25">
      <c r="B27" s="31" t="s">
        <v>485</v>
      </c>
      <c r="C27" s="31" t="s">
        <v>27</v>
      </c>
      <c r="D27" s="2">
        <v>398.5</v>
      </c>
      <c r="E27" s="190"/>
      <c r="F27" s="2">
        <v>0</v>
      </c>
      <c r="G27" s="2">
        <v>0</v>
      </c>
      <c r="I27" s="177">
        <f t="shared" si="0"/>
        <v>398.5</v>
      </c>
      <c r="J27" s="2"/>
      <c r="K27" t="str">
        <f>VLOOKUP(B27,'Allocations 2026-27'!$B$9:$C$328,2,FALSE)</f>
        <v>Bridgeport</v>
      </c>
      <c r="N27" s="2">
        <f t="shared" si="1"/>
        <v>0</v>
      </c>
      <c r="O27">
        <f t="shared" si="2"/>
        <v>0</v>
      </c>
      <c r="P27" s="2"/>
      <c r="Q27" s="2">
        <f t="shared" si="3"/>
        <v>0</v>
      </c>
    </row>
    <row r="28" spans="2:17" x14ac:dyDescent="0.25">
      <c r="B28" s="31" t="s">
        <v>487</v>
      </c>
      <c r="C28" s="31" t="s">
        <v>28</v>
      </c>
      <c r="D28" s="2">
        <v>1</v>
      </c>
      <c r="E28" s="190"/>
      <c r="F28" s="2">
        <v>0</v>
      </c>
      <c r="G28" s="2">
        <v>0</v>
      </c>
      <c r="I28" s="177">
        <f t="shared" si="0"/>
        <v>1</v>
      </c>
      <c r="J28" s="2"/>
      <c r="K28" t="str">
        <f>VLOOKUP(B28,'Allocations 2026-27'!$B$9:$C$328,2,FALSE)</f>
        <v>Brinnon</v>
      </c>
      <c r="N28" s="2">
        <f t="shared" si="1"/>
        <v>0</v>
      </c>
      <c r="O28">
        <f t="shared" si="2"/>
        <v>0</v>
      </c>
      <c r="P28" s="2"/>
      <c r="Q28" s="2">
        <f t="shared" si="3"/>
        <v>0</v>
      </c>
    </row>
    <row r="29" spans="2:17" x14ac:dyDescent="0.25">
      <c r="B29" s="31" t="s">
        <v>489</v>
      </c>
      <c r="C29" s="31" t="s">
        <v>29</v>
      </c>
      <c r="D29" s="2">
        <v>746.5</v>
      </c>
      <c r="E29" s="190"/>
      <c r="F29" s="190">
        <v>6</v>
      </c>
      <c r="G29" s="2">
        <v>0</v>
      </c>
      <c r="H29" s="18"/>
      <c r="I29" s="177">
        <f t="shared" si="0"/>
        <v>752.5</v>
      </c>
      <c r="J29" s="2"/>
      <c r="K29" t="str">
        <f>VLOOKUP(B29,'Allocations 2026-27'!$B$9:$C$328,2,FALSE)</f>
        <v>Burlington Edison</v>
      </c>
      <c r="N29" s="2">
        <f t="shared" si="1"/>
        <v>0</v>
      </c>
      <c r="O29">
        <f t="shared" si="2"/>
        <v>0</v>
      </c>
      <c r="P29" s="2"/>
      <c r="Q29" s="2">
        <f t="shared" si="3"/>
        <v>0</v>
      </c>
    </row>
    <row r="30" spans="2:17" x14ac:dyDescent="0.25">
      <c r="B30" s="31" t="s">
        <v>491</v>
      </c>
      <c r="C30" s="31" t="s">
        <v>30</v>
      </c>
      <c r="D30" s="2">
        <v>284.16000000000003</v>
      </c>
      <c r="E30" s="190"/>
      <c r="F30" s="190">
        <v>6</v>
      </c>
      <c r="G30" s="191">
        <v>1</v>
      </c>
      <c r="I30" s="177">
        <f t="shared" si="0"/>
        <v>289.16000000000003</v>
      </c>
      <c r="J30" s="2"/>
      <c r="K30" t="str">
        <f>VLOOKUP(B30,'Allocations 2026-27'!$B$9:$C$328,2,FALSE)</f>
        <v>Camas</v>
      </c>
      <c r="N30" s="2">
        <f t="shared" si="1"/>
        <v>0</v>
      </c>
      <c r="O30">
        <f t="shared" si="2"/>
        <v>0</v>
      </c>
      <c r="P30" s="2"/>
      <c r="Q30" s="2">
        <f t="shared" si="3"/>
        <v>0</v>
      </c>
    </row>
    <row r="31" spans="2:17" x14ac:dyDescent="0.25">
      <c r="B31" s="31" t="s">
        <v>493</v>
      </c>
      <c r="C31" s="31" t="s">
        <v>31</v>
      </c>
      <c r="D31" s="2">
        <v>0.67</v>
      </c>
      <c r="E31" s="190"/>
      <c r="F31" s="2">
        <v>0</v>
      </c>
      <c r="G31" s="2">
        <v>0</v>
      </c>
      <c r="I31" s="177">
        <f t="shared" si="0"/>
        <v>0.67</v>
      </c>
      <c r="J31" s="2"/>
      <c r="K31" t="str">
        <f>VLOOKUP(B31,'Allocations 2026-27'!$B$9:$C$328,2,FALSE)</f>
        <v>Cape Flattery</v>
      </c>
      <c r="N31" s="2">
        <f t="shared" si="1"/>
        <v>0</v>
      </c>
      <c r="O31">
        <f t="shared" si="2"/>
        <v>0</v>
      </c>
      <c r="P31" s="2"/>
      <c r="Q31" s="2">
        <f t="shared" si="3"/>
        <v>0</v>
      </c>
    </row>
    <row r="32" spans="2:17" x14ac:dyDescent="0.25">
      <c r="B32" s="31" t="s">
        <v>495</v>
      </c>
      <c r="C32" s="31" t="s">
        <v>32</v>
      </c>
      <c r="D32" s="2">
        <v>0</v>
      </c>
      <c r="E32" s="190"/>
      <c r="F32" s="2">
        <v>0</v>
      </c>
      <c r="G32" s="2">
        <v>0</v>
      </c>
      <c r="H32" s="18"/>
      <c r="I32" s="177">
        <f t="shared" si="0"/>
        <v>0</v>
      </c>
      <c r="J32" s="2"/>
      <c r="K32" t="str">
        <f>VLOOKUP(B32,'Allocations 2026-27'!$B$9:$C$328,2,FALSE)</f>
        <v>Carbonado</v>
      </c>
      <c r="N32" s="2">
        <f t="shared" si="1"/>
        <v>0</v>
      </c>
      <c r="O32">
        <f t="shared" si="2"/>
        <v>0</v>
      </c>
      <c r="P32" s="2"/>
      <c r="Q32" s="2">
        <f t="shared" si="3"/>
        <v>0</v>
      </c>
    </row>
    <row r="33" spans="2:17" x14ac:dyDescent="0.25">
      <c r="B33" s="31" t="s">
        <v>496</v>
      </c>
      <c r="C33" s="31" t="s">
        <v>33</v>
      </c>
      <c r="D33" s="2">
        <v>138.17000000000002</v>
      </c>
      <c r="E33" s="190"/>
      <c r="F33" s="2">
        <v>0</v>
      </c>
      <c r="G33" s="191">
        <v>1</v>
      </c>
      <c r="H33" s="18"/>
      <c r="I33" s="177">
        <f t="shared" si="0"/>
        <v>137.17000000000002</v>
      </c>
      <c r="J33" s="2"/>
      <c r="K33" t="str">
        <f>VLOOKUP(B33,'Allocations 2026-27'!$B$9:$C$328,2,FALSE)</f>
        <v>Cascade</v>
      </c>
      <c r="N33" s="2">
        <f t="shared" si="1"/>
        <v>0</v>
      </c>
      <c r="O33">
        <f t="shared" si="2"/>
        <v>0</v>
      </c>
      <c r="P33" s="2"/>
      <c r="Q33" s="2">
        <f t="shared" si="3"/>
        <v>0</v>
      </c>
    </row>
    <row r="34" spans="2:17" x14ac:dyDescent="0.25">
      <c r="B34" s="31" t="s">
        <v>500</v>
      </c>
      <c r="C34" s="31" t="s">
        <v>34</v>
      </c>
      <c r="D34" s="2">
        <v>175.16</v>
      </c>
      <c r="E34" s="190"/>
      <c r="F34" s="2">
        <v>0</v>
      </c>
      <c r="G34" s="2">
        <v>0</v>
      </c>
      <c r="H34" s="18"/>
      <c r="I34" s="177">
        <f t="shared" si="0"/>
        <v>175.16</v>
      </c>
      <c r="J34" s="2"/>
      <c r="K34" t="str">
        <f>VLOOKUP(B34,'Allocations 2026-27'!$B$9:$C$328,2,FALSE)</f>
        <v>Cashmere</v>
      </c>
      <c r="N34" s="2">
        <f t="shared" si="1"/>
        <v>0</v>
      </c>
      <c r="O34">
        <f t="shared" si="2"/>
        <v>0</v>
      </c>
      <c r="P34" s="2"/>
      <c r="Q34" s="2">
        <f t="shared" si="3"/>
        <v>0</v>
      </c>
    </row>
    <row r="35" spans="2:17" x14ac:dyDescent="0.25">
      <c r="B35" s="31" t="s">
        <v>501</v>
      </c>
      <c r="C35" s="31" t="s">
        <v>35</v>
      </c>
      <c r="D35" s="2">
        <v>25</v>
      </c>
      <c r="E35" s="190"/>
      <c r="F35" s="2">
        <v>0</v>
      </c>
      <c r="G35" s="2">
        <v>0</v>
      </c>
      <c r="I35" s="177">
        <f t="shared" si="0"/>
        <v>25</v>
      </c>
      <c r="J35" s="2"/>
      <c r="K35" t="str">
        <f>VLOOKUP(B35,'Allocations 2026-27'!$B$9:$C$328,2,FALSE)</f>
        <v>Castle Rock</v>
      </c>
      <c r="N35" s="2">
        <f t="shared" si="1"/>
        <v>0</v>
      </c>
      <c r="O35">
        <f t="shared" si="2"/>
        <v>0</v>
      </c>
      <c r="P35" s="2"/>
      <c r="Q35" s="2">
        <f t="shared" si="3"/>
        <v>0</v>
      </c>
    </row>
    <row r="36" spans="2:17" x14ac:dyDescent="0.25">
      <c r="B36" s="33" t="s">
        <v>502</v>
      </c>
      <c r="C36" s="34" t="s">
        <v>36</v>
      </c>
      <c r="D36" s="2">
        <v>6.67</v>
      </c>
      <c r="E36" s="190"/>
      <c r="F36" s="2">
        <v>0</v>
      </c>
      <c r="G36" s="2">
        <v>0</v>
      </c>
      <c r="I36" s="177">
        <f t="shared" si="0"/>
        <v>7.0676346153846152</v>
      </c>
      <c r="J36" s="2"/>
      <c r="K36" t="str">
        <f>VLOOKUP(B36,'Allocations 2026-27'!$B$9:$C$328,2,FALSE)</f>
        <v>Catalyst Bremerton Charter</v>
      </c>
      <c r="L36">
        <v>520</v>
      </c>
      <c r="M36">
        <v>551</v>
      </c>
      <c r="N36" s="2">
        <f t="shared" si="1"/>
        <v>1.2826923076923076E-2</v>
      </c>
      <c r="O36">
        <f t="shared" si="2"/>
        <v>31</v>
      </c>
      <c r="P36" s="2"/>
      <c r="Q36" s="2">
        <f t="shared" si="3"/>
        <v>0.39763461538461536</v>
      </c>
    </row>
    <row r="37" spans="2:17" x14ac:dyDescent="0.25">
      <c r="B37" s="31" t="s">
        <v>504</v>
      </c>
      <c r="C37" s="31" t="s">
        <v>37</v>
      </c>
      <c r="D37" s="2">
        <v>1.33</v>
      </c>
      <c r="E37" s="190"/>
      <c r="F37" s="2">
        <v>0</v>
      </c>
      <c r="G37" s="2">
        <v>0</v>
      </c>
      <c r="I37" s="177">
        <f t="shared" si="0"/>
        <v>1.33</v>
      </c>
      <c r="J37" s="2"/>
      <c r="K37" t="str">
        <f>VLOOKUP(B37,'Allocations 2026-27'!$B$9:$C$328,2,FALSE)</f>
        <v>Centerville</v>
      </c>
      <c r="N37" s="2">
        <f t="shared" si="1"/>
        <v>0</v>
      </c>
      <c r="O37">
        <f t="shared" si="2"/>
        <v>0</v>
      </c>
      <c r="P37" s="2"/>
      <c r="Q37" s="2">
        <f t="shared" si="3"/>
        <v>0</v>
      </c>
    </row>
    <row r="38" spans="2:17" x14ac:dyDescent="0.25">
      <c r="B38" s="31" t="s">
        <v>505</v>
      </c>
      <c r="C38" s="31" t="s">
        <v>38</v>
      </c>
      <c r="D38" s="2">
        <v>472.65999999999997</v>
      </c>
      <c r="E38" s="190"/>
      <c r="F38" s="190">
        <v>3</v>
      </c>
      <c r="G38" s="2">
        <v>0</v>
      </c>
      <c r="I38" s="177">
        <f t="shared" si="0"/>
        <v>475.65999999999997</v>
      </c>
      <c r="J38" s="2"/>
      <c r="K38" t="str">
        <f>VLOOKUP(B38,'Allocations 2026-27'!$B$9:$C$328,2,FALSE)</f>
        <v>Central Kitsap</v>
      </c>
      <c r="N38" s="2">
        <f t="shared" si="1"/>
        <v>0</v>
      </c>
      <c r="O38">
        <f t="shared" si="2"/>
        <v>0</v>
      </c>
      <c r="P38" s="2"/>
      <c r="Q38" s="2">
        <f t="shared" si="3"/>
        <v>0</v>
      </c>
    </row>
    <row r="39" spans="2:17" x14ac:dyDescent="0.25">
      <c r="B39" s="31" t="s">
        <v>506</v>
      </c>
      <c r="C39" s="31" t="s">
        <v>39</v>
      </c>
      <c r="D39" s="2">
        <v>907.16</v>
      </c>
      <c r="E39" s="190"/>
      <c r="F39" s="190">
        <v>14.333333333333334</v>
      </c>
      <c r="G39" s="2">
        <v>0</v>
      </c>
      <c r="I39" s="177">
        <f t="shared" si="0"/>
        <v>921.49333333333334</v>
      </c>
      <c r="J39" s="2"/>
      <c r="K39" t="str">
        <f>VLOOKUP(B39,'Allocations 2026-27'!$B$9:$C$328,2,FALSE)</f>
        <v>Central Valley</v>
      </c>
      <c r="N39" s="2">
        <f t="shared" si="1"/>
        <v>0</v>
      </c>
      <c r="O39">
        <f t="shared" si="2"/>
        <v>0</v>
      </c>
      <c r="P39" s="2"/>
      <c r="Q39" s="2">
        <f t="shared" si="3"/>
        <v>0</v>
      </c>
    </row>
    <row r="40" spans="2:17" x14ac:dyDescent="0.25">
      <c r="B40" s="31" t="s">
        <v>507</v>
      </c>
      <c r="C40" s="31" t="s">
        <v>40</v>
      </c>
      <c r="D40" s="2">
        <v>553.66</v>
      </c>
      <c r="E40" s="190"/>
      <c r="F40" s="190">
        <v>5</v>
      </c>
      <c r="G40" s="2">
        <v>0</v>
      </c>
      <c r="H40" s="18"/>
      <c r="I40" s="177">
        <f t="shared" si="0"/>
        <v>558.66</v>
      </c>
      <c r="J40" s="2"/>
      <c r="K40" t="str">
        <f>VLOOKUP(B40,'Allocations 2026-27'!$B$9:$C$328,2,FALSE)</f>
        <v>Centralia</v>
      </c>
      <c r="N40" s="2">
        <f t="shared" si="1"/>
        <v>0</v>
      </c>
      <c r="O40">
        <f t="shared" si="2"/>
        <v>0</v>
      </c>
      <c r="P40" s="2"/>
      <c r="Q40" s="2">
        <f t="shared" si="3"/>
        <v>0</v>
      </c>
    </row>
    <row r="41" spans="2:17" x14ac:dyDescent="0.25">
      <c r="B41" s="31" t="s">
        <v>508</v>
      </c>
      <c r="C41" s="31" t="s">
        <v>41</v>
      </c>
      <c r="D41" s="2">
        <v>144.34</v>
      </c>
      <c r="E41" s="190"/>
      <c r="F41" s="2">
        <v>0</v>
      </c>
      <c r="G41" s="2">
        <v>0</v>
      </c>
      <c r="H41" s="35"/>
      <c r="I41" s="177">
        <f t="shared" si="0"/>
        <v>144.34</v>
      </c>
      <c r="J41" s="2"/>
      <c r="K41" t="str">
        <f>VLOOKUP(B41,'Allocations 2026-27'!$B$9:$C$328,2,FALSE)</f>
        <v>Chehalis</v>
      </c>
      <c r="N41" s="2">
        <f t="shared" si="1"/>
        <v>0</v>
      </c>
      <c r="O41">
        <f t="shared" si="2"/>
        <v>0</v>
      </c>
      <c r="P41" s="2"/>
      <c r="Q41" s="2">
        <f t="shared" si="3"/>
        <v>0</v>
      </c>
    </row>
    <row r="42" spans="2:17" x14ac:dyDescent="0.25">
      <c r="B42" s="31" t="s">
        <v>509</v>
      </c>
      <c r="C42" s="31" t="s">
        <v>42</v>
      </c>
      <c r="D42" s="2">
        <v>565.5</v>
      </c>
      <c r="E42" s="190"/>
      <c r="F42" s="190">
        <v>0.83333333333333337</v>
      </c>
      <c r="G42" s="2">
        <v>0</v>
      </c>
      <c r="H42" s="18"/>
      <c r="I42" s="177">
        <f t="shared" si="0"/>
        <v>566.33333333333337</v>
      </c>
      <c r="J42" s="2"/>
      <c r="K42" t="str">
        <f>VLOOKUP(B42,'Allocations 2026-27'!$B$9:$C$328,2,FALSE)</f>
        <v>Cheney</v>
      </c>
      <c r="N42" s="2">
        <f t="shared" si="1"/>
        <v>0</v>
      </c>
      <c r="O42">
        <f t="shared" si="2"/>
        <v>0</v>
      </c>
      <c r="P42" s="2"/>
      <c r="Q42" s="2">
        <f t="shared" si="3"/>
        <v>0</v>
      </c>
    </row>
    <row r="43" spans="2:17" x14ac:dyDescent="0.25">
      <c r="B43" s="31" t="s">
        <v>510</v>
      </c>
      <c r="C43" s="31" t="s">
        <v>43</v>
      </c>
      <c r="D43" s="2">
        <v>2.33</v>
      </c>
      <c r="E43" s="190"/>
      <c r="F43" s="190">
        <v>3</v>
      </c>
      <c r="G43" s="2">
        <v>0</v>
      </c>
      <c r="H43" s="18"/>
      <c r="I43" s="177">
        <f t="shared" si="0"/>
        <v>5.33</v>
      </c>
      <c r="J43" s="2"/>
      <c r="K43" t="str">
        <f>VLOOKUP(B43,'Allocations 2026-27'!$B$9:$C$328,2,FALSE)</f>
        <v>Chewelah</v>
      </c>
      <c r="N43" s="2">
        <f t="shared" si="1"/>
        <v>0</v>
      </c>
      <c r="O43">
        <f t="shared" si="2"/>
        <v>0</v>
      </c>
      <c r="P43" s="2"/>
      <c r="Q43" s="2">
        <f t="shared" si="3"/>
        <v>0</v>
      </c>
    </row>
    <row r="44" spans="2:17" x14ac:dyDescent="0.25">
      <c r="B44" s="192" t="s">
        <v>779</v>
      </c>
      <c r="C44" s="34" t="s">
        <v>44</v>
      </c>
      <c r="D44" s="2">
        <v>9.5</v>
      </c>
      <c r="E44" s="190"/>
      <c r="F44" s="2">
        <v>0</v>
      </c>
      <c r="G44" s="2">
        <v>0</v>
      </c>
      <c r="I44" s="177">
        <f t="shared" si="0"/>
        <v>9.5</v>
      </c>
      <c r="J44" s="2"/>
      <c r="K44" t="str">
        <f>VLOOKUP(B44,'Allocations 2026-27'!$B$9:$C$328,2,FALSE)</f>
        <v>Chief Leschi Tribal</v>
      </c>
      <c r="N44" s="2">
        <f t="shared" si="1"/>
        <v>0</v>
      </c>
      <c r="O44">
        <f t="shared" si="2"/>
        <v>0</v>
      </c>
      <c r="P44" s="2"/>
      <c r="Q44" s="2">
        <f t="shared" si="3"/>
        <v>0</v>
      </c>
    </row>
    <row r="45" spans="2:17" x14ac:dyDescent="0.25">
      <c r="B45" s="31" t="s">
        <v>511</v>
      </c>
      <c r="C45" s="31" t="s">
        <v>45</v>
      </c>
      <c r="D45" s="2">
        <v>24</v>
      </c>
      <c r="E45" s="190"/>
      <c r="F45" s="2">
        <v>0</v>
      </c>
      <c r="G45" s="2">
        <v>0</v>
      </c>
      <c r="H45" s="18"/>
      <c r="I45" s="177">
        <f t="shared" si="0"/>
        <v>24</v>
      </c>
      <c r="J45" s="2"/>
      <c r="K45" t="str">
        <f>VLOOKUP(B45,'Allocations 2026-27'!$B$9:$C$328,2,FALSE)</f>
        <v>Chimacum</v>
      </c>
      <c r="N45" s="2">
        <f t="shared" si="1"/>
        <v>0</v>
      </c>
      <c r="O45">
        <f t="shared" si="2"/>
        <v>0</v>
      </c>
      <c r="P45" s="2"/>
      <c r="Q45" s="2">
        <f t="shared" si="3"/>
        <v>0</v>
      </c>
    </row>
    <row r="46" spans="2:17" x14ac:dyDescent="0.25">
      <c r="B46" s="31" t="s">
        <v>512</v>
      </c>
      <c r="C46" s="31" t="s">
        <v>46</v>
      </c>
      <c r="D46" s="2">
        <v>21.67</v>
      </c>
      <c r="E46" s="190"/>
      <c r="F46" s="2">
        <v>0</v>
      </c>
      <c r="G46" s="2">
        <v>0</v>
      </c>
      <c r="H46" s="18"/>
      <c r="I46" s="177">
        <f t="shared" si="0"/>
        <v>21.67</v>
      </c>
      <c r="J46" s="2"/>
      <c r="K46" t="str">
        <f>VLOOKUP(B46,'Allocations 2026-27'!$B$9:$C$328,2,FALSE)</f>
        <v>Clarkston</v>
      </c>
      <c r="N46" s="2">
        <f t="shared" si="1"/>
        <v>0</v>
      </c>
      <c r="O46">
        <f t="shared" si="2"/>
        <v>0</v>
      </c>
      <c r="P46" s="2"/>
      <c r="Q46" s="2">
        <f t="shared" si="3"/>
        <v>0</v>
      </c>
    </row>
    <row r="47" spans="2:17" x14ac:dyDescent="0.25">
      <c r="B47" s="31" t="s">
        <v>466</v>
      </c>
      <c r="C47" s="31" t="s">
        <v>47</v>
      </c>
      <c r="D47" s="2">
        <v>19.829999999999998</v>
      </c>
      <c r="E47" s="190"/>
      <c r="F47" s="190">
        <v>6.666666666666667</v>
      </c>
      <c r="G47" s="2">
        <v>0</v>
      </c>
      <c r="I47" s="177">
        <f t="shared" si="0"/>
        <v>26.496666666666666</v>
      </c>
      <c r="J47" s="2"/>
      <c r="K47" t="str">
        <f>VLOOKUP(B47,'Allocations 2026-27'!$B$9:$C$328,2,FALSE)</f>
        <v>Cle Elum-Roslyn</v>
      </c>
      <c r="N47" s="2">
        <f t="shared" si="1"/>
        <v>0</v>
      </c>
      <c r="O47">
        <f t="shared" si="2"/>
        <v>0</v>
      </c>
      <c r="P47" s="2"/>
      <c r="Q47" s="2">
        <f t="shared" si="3"/>
        <v>0</v>
      </c>
    </row>
    <row r="48" spans="2:17" x14ac:dyDescent="0.25">
      <c r="B48" s="31" t="s">
        <v>513</v>
      </c>
      <c r="C48" s="31" t="s">
        <v>48</v>
      </c>
      <c r="D48" s="2">
        <v>2060.67</v>
      </c>
      <c r="E48" s="190"/>
      <c r="F48" s="190">
        <v>4</v>
      </c>
      <c r="G48" s="191">
        <v>2</v>
      </c>
      <c r="H48" s="18"/>
      <c r="I48" s="177">
        <f t="shared" si="0"/>
        <v>2062.67</v>
      </c>
      <c r="J48" s="2"/>
      <c r="K48" t="str">
        <f>VLOOKUP(B48,'Allocations 2026-27'!$B$9:$C$328,2,FALSE)</f>
        <v>Clover Park</v>
      </c>
      <c r="N48" s="2">
        <f t="shared" si="1"/>
        <v>0</v>
      </c>
      <c r="O48">
        <f t="shared" si="2"/>
        <v>0</v>
      </c>
      <c r="P48" s="2"/>
      <c r="Q48" s="2">
        <f t="shared" si="3"/>
        <v>0</v>
      </c>
    </row>
    <row r="49" spans="2:17" x14ac:dyDescent="0.25">
      <c r="B49" s="31" t="s">
        <v>780</v>
      </c>
      <c r="C49" s="31" t="s">
        <v>49</v>
      </c>
      <c r="D49" s="2">
        <v>0</v>
      </c>
      <c r="E49" s="190"/>
      <c r="F49" s="2">
        <v>0</v>
      </c>
      <c r="G49" s="2">
        <v>0</v>
      </c>
      <c r="H49" s="18"/>
      <c r="I49" s="177">
        <f t="shared" si="0"/>
        <v>0</v>
      </c>
      <c r="J49" s="2"/>
      <c r="K49" t="e">
        <f>VLOOKUP(B49,'Allocations 2026-27'!$B$9:$C$328,2,FALSE)</f>
        <v>#N/A</v>
      </c>
      <c r="N49" s="2">
        <f t="shared" si="1"/>
        <v>0</v>
      </c>
      <c r="O49">
        <f t="shared" si="2"/>
        <v>0</v>
      </c>
      <c r="P49" s="2"/>
      <c r="Q49" s="2">
        <f t="shared" si="3"/>
        <v>0</v>
      </c>
    </row>
    <row r="50" spans="2:17" x14ac:dyDescent="0.25">
      <c r="B50" s="31" t="s">
        <v>514</v>
      </c>
      <c r="C50" s="31" t="s">
        <v>50</v>
      </c>
      <c r="D50" s="2">
        <v>0</v>
      </c>
      <c r="E50" s="190"/>
      <c r="F50" s="2">
        <v>0</v>
      </c>
      <c r="G50" s="2">
        <v>0</v>
      </c>
      <c r="H50" s="18"/>
      <c r="I50" s="177">
        <f t="shared" si="0"/>
        <v>0</v>
      </c>
      <c r="J50" s="2"/>
      <c r="K50" t="str">
        <f>VLOOKUP(B50,'Allocations 2026-27'!$B$9:$C$328,2,FALSE)</f>
        <v>Colfax</v>
      </c>
      <c r="N50" s="2">
        <f t="shared" si="1"/>
        <v>0</v>
      </c>
      <c r="O50">
        <f t="shared" si="2"/>
        <v>0</v>
      </c>
      <c r="P50" s="2"/>
      <c r="Q50" s="2">
        <f t="shared" si="3"/>
        <v>0</v>
      </c>
    </row>
    <row r="51" spans="2:17" x14ac:dyDescent="0.25">
      <c r="B51" s="31" t="s">
        <v>515</v>
      </c>
      <c r="C51" s="31" t="s">
        <v>51</v>
      </c>
      <c r="D51" s="2">
        <v>245.5</v>
      </c>
      <c r="E51" s="190"/>
      <c r="F51" s="2">
        <v>0</v>
      </c>
      <c r="G51" s="2">
        <v>0</v>
      </c>
      <c r="H51" s="18"/>
      <c r="I51" s="177">
        <f t="shared" si="0"/>
        <v>245.5</v>
      </c>
      <c r="J51" s="2"/>
      <c r="K51" t="str">
        <f>VLOOKUP(B51,'Allocations 2026-27'!$B$9:$C$328,2,FALSE)</f>
        <v>College Place</v>
      </c>
      <c r="N51" s="2">
        <f t="shared" si="1"/>
        <v>0</v>
      </c>
      <c r="O51">
        <f t="shared" si="2"/>
        <v>0</v>
      </c>
      <c r="P51" s="2"/>
      <c r="Q51" s="2">
        <f t="shared" si="3"/>
        <v>0</v>
      </c>
    </row>
    <row r="52" spans="2:17" x14ac:dyDescent="0.25">
      <c r="B52" s="31" t="s">
        <v>516</v>
      </c>
      <c r="C52" s="31" t="s">
        <v>52</v>
      </c>
      <c r="D52" s="2">
        <v>0</v>
      </c>
      <c r="E52" s="190"/>
      <c r="F52" s="2">
        <v>0</v>
      </c>
      <c r="G52" s="2">
        <v>0</v>
      </c>
      <c r="I52" s="177">
        <f t="shared" si="0"/>
        <v>0</v>
      </c>
      <c r="J52" s="2"/>
      <c r="K52" t="str">
        <f>VLOOKUP(B52,'Allocations 2026-27'!$B$9:$C$328,2,FALSE)</f>
        <v>Colton</v>
      </c>
      <c r="N52" s="2">
        <f t="shared" si="1"/>
        <v>0</v>
      </c>
      <c r="O52">
        <f t="shared" si="2"/>
        <v>0</v>
      </c>
      <c r="P52" s="2"/>
      <c r="Q52" s="2">
        <f t="shared" si="3"/>
        <v>0</v>
      </c>
    </row>
    <row r="53" spans="2:17" x14ac:dyDescent="0.25">
      <c r="B53" s="31" t="s">
        <v>517</v>
      </c>
      <c r="C53" s="31" t="s">
        <v>53</v>
      </c>
      <c r="D53" s="2">
        <v>0</v>
      </c>
      <c r="E53" s="190"/>
      <c r="F53" s="2">
        <v>0</v>
      </c>
      <c r="G53" s="2">
        <v>0</v>
      </c>
      <c r="I53" s="177">
        <f t="shared" si="0"/>
        <v>0</v>
      </c>
      <c r="J53" s="2"/>
      <c r="K53" t="str">
        <f>VLOOKUP(B53,'Allocations 2026-27'!$B$9:$C$328,2,FALSE)</f>
        <v>Columbia (Stev)</v>
      </c>
      <c r="N53" s="2">
        <f t="shared" si="1"/>
        <v>0</v>
      </c>
      <c r="O53">
        <f t="shared" si="2"/>
        <v>0</v>
      </c>
      <c r="P53" s="2"/>
      <c r="Q53" s="2">
        <f t="shared" si="3"/>
        <v>0</v>
      </c>
    </row>
    <row r="54" spans="2:17" x14ac:dyDescent="0.25">
      <c r="B54" s="31" t="s">
        <v>518</v>
      </c>
      <c r="C54" s="31" t="s">
        <v>54</v>
      </c>
      <c r="D54" s="2">
        <v>134</v>
      </c>
      <c r="E54" s="190"/>
      <c r="F54" s="2">
        <v>0</v>
      </c>
      <c r="G54" s="2">
        <v>0</v>
      </c>
      <c r="I54" s="177">
        <f t="shared" si="0"/>
        <v>134</v>
      </c>
      <c r="J54" s="2"/>
      <c r="K54" t="str">
        <f>VLOOKUP(B54,'Allocations 2026-27'!$B$9:$C$328,2,FALSE)</f>
        <v>Columbia (Walla)</v>
      </c>
      <c r="N54" s="2">
        <f t="shared" si="1"/>
        <v>0</v>
      </c>
      <c r="O54">
        <f t="shared" si="2"/>
        <v>0</v>
      </c>
      <c r="P54" s="2"/>
      <c r="Q54" s="2">
        <f t="shared" si="3"/>
        <v>0</v>
      </c>
    </row>
    <row r="55" spans="2:17" x14ac:dyDescent="0.25">
      <c r="B55" s="31" t="s">
        <v>519</v>
      </c>
      <c r="C55" s="31" t="s">
        <v>55</v>
      </c>
      <c r="D55" s="2">
        <v>7.67</v>
      </c>
      <c r="E55" s="190"/>
      <c r="F55" s="2">
        <v>0</v>
      </c>
      <c r="G55" s="2">
        <v>0</v>
      </c>
      <c r="I55" s="177">
        <f t="shared" si="0"/>
        <v>7.67</v>
      </c>
      <c r="J55" s="2"/>
      <c r="K55" t="str">
        <f>VLOOKUP(B55,'Allocations 2026-27'!$B$9:$C$328,2,FALSE)</f>
        <v>Colville</v>
      </c>
      <c r="N55" s="2">
        <f t="shared" si="1"/>
        <v>0</v>
      </c>
      <c r="O55">
        <f t="shared" si="2"/>
        <v>0</v>
      </c>
      <c r="P55" s="2"/>
      <c r="Q55" s="2">
        <f t="shared" si="3"/>
        <v>0</v>
      </c>
    </row>
    <row r="56" spans="2:17" x14ac:dyDescent="0.25">
      <c r="B56" s="31" t="s">
        <v>520</v>
      </c>
      <c r="C56" s="31" t="s">
        <v>56</v>
      </c>
      <c r="D56" s="2">
        <v>12.34</v>
      </c>
      <c r="E56" s="190"/>
      <c r="F56" s="190">
        <v>17.333333333333332</v>
      </c>
      <c r="G56" s="2">
        <v>0</v>
      </c>
      <c r="H56" s="18"/>
      <c r="I56" s="177">
        <f t="shared" si="0"/>
        <v>29.673333333333332</v>
      </c>
      <c r="J56" s="2"/>
      <c r="K56" t="str">
        <f>VLOOKUP(B56,'Allocations 2026-27'!$B$9:$C$328,2,FALSE)</f>
        <v>Concrete</v>
      </c>
      <c r="N56" s="2">
        <f t="shared" si="1"/>
        <v>0</v>
      </c>
      <c r="O56">
        <f t="shared" si="2"/>
        <v>0</v>
      </c>
      <c r="P56" s="2"/>
      <c r="Q56" s="2">
        <f t="shared" si="3"/>
        <v>0</v>
      </c>
    </row>
    <row r="57" spans="2:17" x14ac:dyDescent="0.25">
      <c r="B57" s="31" t="s">
        <v>492</v>
      </c>
      <c r="C57" s="31" t="s">
        <v>57</v>
      </c>
      <c r="D57" s="2">
        <v>24.83</v>
      </c>
      <c r="E57" s="190"/>
      <c r="F57" s="2">
        <v>0</v>
      </c>
      <c r="G57" s="2">
        <v>0</v>
      </c>
      <c r="I57" s="177">
        <f t="shared" si="0"/>
        <v>24.83</v>
      </c>
      <c r="J57" s="2"/>
      <c r="K57" t="str">
        <f>VLOOKUP(B57,'Allocations 2026-27'!$B$9:$C$328,2,FALSE)</f>
        <v>Conway</v>
      </c>
      <c r="N57" s="2">
        <f t="shared" si="1"/>
        <v>0</v>
      </c>
      <c r="O57">
        <f t="shared" si="2"/>
        <v>0</v>
      </c>
      <c r="P57" s="2"/>
      <c r="Q57" s="2">
        <f t="shared" si="3"/>
        <v>0</v>
      </c>
    </row>
    <row r="58" spans="2:17" x14ac:dyDescent="0.25">
      <c r="B58" s="31" t="s">
        <v>521</v>
      </c>
      <c r="C58" s="31" t="s">
        <v>58</v>
      </c>
      <c r="D58" s="2">
        <v>2</v>
      </c>
      <c r="E58" s="190"/>
      <c r="F58" s="2">
        <v>0</v>
      </c>
      <c r="G58" s="2">
        <v>0</v>
      </c>
      <c r="H58" s="18"/>
      <c r="I58" s="177">
        <f t="shared" si="0"/>
        <v>2</v>
      </c>
      <c r="J58" s="2"/>
      <c r="K58" t="str">
        <f>VLOOKUP(B58,'Allocations 2026-27'!$B$9:$C$328,2,FALSE)</f>
        <v>Cosmopolis</v>
      </c>
      <c r="N58" s="2">
        <f t="shared" si="1"/>
        <v>0</v>
      </c>
      <c r="O58">
        <f t="shared" si="2"/>
        <v>0</v>
      </c>
      <c r="P58" s="2"/>
      <c r="Q58" s="2">
        <f t="shared" si="3"/>
        <v>0</v>
      </c>
    </row>
    <row r="59" spans="2:17" x14ac:dyDescent="0.25">
      <c r="B59" s="31" t="s">
        <v>522</v>
      </c>
      <c r="C59" s="31" t="s">
        <v>59</v>
      </c>
      <c r="D59" s="2">
        <v>0</v>
      </c>
      <c r="E59" s="190"/>
      <c r="F59" s="2">
        <v>0</v>
      </c>
      <c r="G59" s="2">
        <v>0</v>
      </c>
      <c r="I59" s="177">
        <f t="shared" si="0"/>
        <v>0</v>
      </c>
      <c r="J59" s="2"/>
      <c r="K59" t="str">
        <f>VLOOKUP(B59,'Allocations 2026-27'!$B$9:$C$328,2,FALSE)</f>
        <v>Coulee/Hartline</v>
      </c>
      <c r="N59" s="2">
        <f t="shared" si="1"/>
        <v>0</v>
      </c>
      <c r="O59">
        <f t="shared" si="2"/>
        <v>0</v>
      </c>
      <c r="P59" s="2"/>
      <c r="Q59" s="2">
        <f t="shared" si="3"/>
        <v>0</v>
      </c>
    </row>
    <row r="60" spans="2:17" x14ac:dyDescent="0.25">
      <c r="B60" s="31" t="s">
        <v>523</v>
      </c>
      <c r="C60" s="31" t="s">
        <v>60</v>
      </c>
      <c r="D60" s="2">
        <v>32.17</v>
      </c>
      <c r="E60" s="190"/>
      <c r="F60" s="2">
        <v>0</v>
      </c>
      <c r="G60" s="2">
        <v>0</v>
      </c>
      <c r="H60" s="18"/>
      <c r="I60" s="177">
        <f t="shared" si="0"/>
        <v>32.17</v>
      </c>
      <c r="J60" s="2"/>
      <c r="K60" t="str">
        <f>VLOOKUP(B60,'Allocations 2026-27'!$B$9:$C$328,2,FALSE)</f>
        <v>Coupeville</v>
      </c>
      <c r="N60" s="2">
        <f t="shared" si="1"/>
        <v>0</v>
      </c>
      <c r="O60">
        <f t="shared" si="2"/>
        <v>0</v>
      </c>
      <c r="P60" s="2"/>
      <c r="Q60" s="2">
        <f t="shared" si="3"/>
        <v>0</v>
      </c>
    </row>
    <row r="61" spans="2:17" x14ac:dyDescent="0.25">
      <c r="B61" s="31" t="s">
        <v>524</v>
      </c>
      <c r="C61" s="31" t="s">
        <v>61</v>
      </c>
      <c r="D61" s="2">
        <v>1.33</v>
      </c>
      <c r="E61" s="190"/>
      <c r="F61" s="2">
        <v>0</v>
      </c>
      <c r="G61" s="2">
        <v>0</v>
      </c>
      <c r="H61" s="18"/>
      <c r="I61" s="177">
        <f t="shared" si="0"/>
        <v>1.33</v>
      </c>
      <c r="J61" s="2"/>
      <c r="K61" t="str">
        <f>VLOOKUP(B61,'Allocations 2026-27'!$B$9:$C$328,2,FALSE)</f>
        <v>Crescent</v>
      </c>
      <c r="N61" s="2">
        <f t="shared" si="1"/>
        <v>0</v>
      </c>
      <c r="O61">
        <f t="shared" si="2"/>
        <v>0</v>
      </c>
      <c r="P61" s="2"/>
      <c r="Q61" s="2">
        <f t="shared" si="3"/>
        <v>0</v>
      </c>
    </row>
    <row r="62" spans="2:17" x14ac:dyDescent="0.25">
      <c r="B62" s="31" t="s">
        <v>525</v>
      </c>
      <c r="C62" s="31" t="s">
        <v>62</v>
      </c>
      <c r="D62" s="2">
        <v>0</v>
      </c>
      <c r="E62" s="190"/>
      <c r="F62" s="2">
        <v>0</v>
      </c>
      <c r="G62" s="2">
        <v>0</v>
      </c>
      <c r="H62" s="18"/>
      <c r="I62" s="177">
        <f t="shared" si="0"/>
        <v>0</v>
      </c>
      <c r="J62" s="2"/>
      <c r="K62" t="str">
        <f>VLOOKUP(B62,'Allocations 2026-27'!$B$9:$C$328,2,FALSE)</f>
        <v>Creston</v>
      </c>
      <c r="N62" s="2">
        <f t="shared" si="1"/>
        <v>0</v>
      </c>
      <c r="O62">
        <f t="shared" si="2"/>
        <v>0</v>
      </c>
      <c r="P62" s="2"/>
      <c r="Q62" s="2">
        <f t="shared" si="3"/>
        <v>0</v>
      </c>
    </row>
    <row r="63" spans="2:17" x14ac:dyDescent="0.25">
      <c r="B63" s="31" t="s">
        <v>526</v>
      </c>
      <c r="C63" s="31" t="s">
        <v>63</v>
      </c>
      <c r="D63" s="2">
        <v>0</v>
      </c>
      <c r="E63" s="190"/>
      <c r="F63" s="2">
        <v>0</v>
      </c>
      <c r="G63" s="2">
        <v>0</v>
      </c>
      <c r="H63" s="18"/>
      <c r="I63" s="177">
        <f t="shared" si="0"/>
        <v>0</v>
      </c>
      <c r="J63" s="2"/>
      <c r="K63" t="str">
        <f>VLOOKUP(B63,'Allocations 2026-27'!$B$9:$C$328,2,FALSE)</f>
        <v>Curlew</v>
      </c>
      <c r="N63" s="2">
        <f t="shared" si="1"/>
        <v>0</v>
      </c>
      <c r="O63">
        <f t="shared" si="2"/>
        <v>0</v>
      </c>
      <c r="P63" s="2"/>
      <c r="Q63" s="2">
        <f t="shared" si="3"/>
        <v>0</v>
      </c>
    </row>
    <row r="64" spans="2:17" x14ac:dyDescent="0.25">
      <c r="B64" s="31" t="s">
        <v>527</v>
      </c>
      <c r="C64" s="31" t="s">
        <v>64</v>
      </c>
      <c r="D64" s="2">
        <v>0</v>
      </c>
      <c r="E64" s="190"/>
      <c r="F64" s="2">
        <v>0</v>
      </c>
      <c r="G64" s="2">
        <v>0</v>
      </c>
      <c r="I64" s="177">
        <f t="shared" si="0"/>
        <v>0</v>
      </c>
      <c r="J64" s="2"/>
      <c r="K64" t="str">
        <f>VLOOKUP(B64,'Allocations 2026-27'!$B$9:$C$328,2,FALSE)</f>
        <v>Cusick</v>
      </c>
      <c r="N64" s="2">
        <f t="shared" si="1"/>
        <v>0</v>
      </c>
      <c r="O64">
        <f t="shared" si="2"/>
        <v>0</v>
      </c>
      <c r="P64" s="2"/>
      <c r="Q64" s="2">
        <f t="shared" si="3"/>
        <v>0</v>
      </c>
    </row>
    <row r="65" spans="2:17" x14ac:dyDescent="0.25">
      <c r="B65" s="31" t="s">
        <v>528</v>
      </c>
      <c r="C65" s="31" t="s">
        <v>65</v>
      </c>
      <c r="D65" s="2">
        <v>0</v>
      </c>
      <c r="E65" s="190"/>
      <c r="F65" s="2">
        <v>0</v>
      </c>
      <c r="G65" s="2">
        <v>0</v>
      </c>
      <c r="I65" s="177">
        <f t="shared" si="0"/>
        <v>0</v>
      </c>
      <c r="J65" s="2"/>
      <c r="K65" t="str">
        <f>VLOOKUP(B65,'Allocations 2026-27'!$B$9:$C$328,2,FALSE)</f>
        <v>Damman</v>
      </c>
      <c r="N65" s="2">
        <f t="shared" si="1"/>
        <v>0</v>
      </c>
      <c r="O65">
        <f t="shared" si="2"/>
        <v>0</v>
      </c>
      <c r="P65" s="2"/>
      <c r="Q65" s="2">
        <f t="shared" si="3"/>
        <v>0</v>
      </c>
    </row>
    <row r="66" spans="2:17" x14ac:dyDescent="0.25">
      <c r="B66" s="31" t="s">
        <v>529</v>
      </c>
      <c r="C66" s="31" t="s">
        <v>66</v>
      </c>
      <c r="D66" s="2">
        <v>0.83</v>
      </c>
      <c r="E66" s="190"/>
      <c r="F66" s="2">
        <v>0</v>
      </c>
      <c r="G66" s="2">
        <v>0</v>
      </c>
      <c r="H66" s="18"/>
      <c r="I66" s="177">
        <f t="shared" si="0"/>
        <v>0.83</v>
      </c>
      <c r="J66" s="2"/>
      <c r="K66" t="str">
        <f>VLOOKUP(B66,'Allocations 2026-27'!$B$9:$C$328,2,FALSE)</f>
        <v>Darrington</v>
      </c>
      <c r="N66" s="2">
        <f t="shared" si="1"/>
        <v>0</v>
      </c>
      <c r="O66">
        <f t="shared" si="2"/>
        <v>0</v>
      </c>
      <c r="P66" s="2"/>
      <c r="Q66" s="2">
        <f t="shared" si="3"/>
        <v>0</v>
      </c>
    </row>
    <row r="67" spans="2:17" x14ac:dyDescent="0.25">
      <c r="B67" s="31" t="s">
        <v>530</v>
      </c>
      <c r="C67" s="31" t="s">
        <v>67</v>
      </c>
      <c r="D67" s="2">
        <v>0</v>
      </c>
      <c r="E67" s="190"/>
      <c r="F67" s="2">
        <v>0</v>
      </c>
      <c r="G67" s="2">
        <v>0</v>
      </c>
      <c r="I67" s="177">
        <f t="shared" si="0"/>
        <v>0</v>
      </c>
      <c r="J67" s="2"/>
      <c r="K67" t="str">
        <f>VLOOKUP(B67,'Allocations 2026-27'!$B$9:$C$328,2,FALSE)</f>
        <v>Davenport</v>
      </c>
      <c r="N67" s="2">
        <f t="shared" si="1"/>
        <v>0</v>
      </c>
      <c r="O67">
        <f t="shared" si="2"/>
        <v>0</v>
      </c>
      <c r="P67" s="2"/>
      <c r="Q67" s="2">
        <f t="shared" si="3"/>
        <v>0</v>
      </c>
    </row>
    <row r="68" spans="2:17" x14ac:dyDescent="0.25">
      <c r="B68" s="31" t="s">
        <v>531</v>
      </c>
      <c r="C68" s="31" t="s">
        <v>68</v>
      </c>
      <c r="D68" s="2">
        <v>1.17</v>
      </c>
      <c r="E68" s="190"/>
      <c r="F68" s="2">
        <v>0</v>
      </c>
      <c r="G68" s="2">
        <v>0</v>
      </c>
      <c r="H68" s="18"/>
      <c r="I68" s="177">
        <f t="shared" si="0"/>
        <v>1.17</v>
      </c>
      <c r="J68" s="2"/>
      <c r="K68" t="str">
        <f>VLOOKUP(B68,'Allocations 2026-27'!$B$9:$C$328,2,FALSE)</f>
        <v>Dayton</v>
      </c>
      <c r="N68" s="2">
        <f t="shared" si="1"/>
        <v>0</v>
      </c>
      <c r="O68">
        <f t="shared" si="2"/>
        <v>0</v>
      </c>
      <c r="P68" s="2"/>
      <c r="Q68" s="2">
        <f t="shared" si="3"/>
        <v>0</v>
      </c>
    </row>
    <row r="69" spans="2:17" x14ac:dyDescent="0.25">
      <c r="B69" s="31" t="s">
        <v>532</v>
      </c>
      <c r="C69" s="31" t="s">
        <v>69</v>
      </c>
      <c r="D69" s="2">
        <v>23.5</v>
      </c>
      <c r="E69" s="190"/>
      <c r="F69" s="190">
        <v>1</v>
      </c>
      <c r="G69" s="2">
        <v>0</v>
      </c>
      <c r="I69" s="177">
        <f t="shared" si="0"/>
        <v>24.5</v>
      </c>
      <c r="J69" s="2"/>
      <c r="K69" t="str">
        <f>VLOOKUP(B69,'Allocations 2026-27'!$B$9:$C$328,2,FALSE)</f>
        <v>Deer Park</v>
      </c>
      <c r="N69" s="2">
        <f t="shared" si="1"/>
        <v>0</v>
      </c>
      <c r="O69">
        <f t="shared" si="2"/>
        <v>0</v>
      </c>
      <c r="P69" s="2"/>
      <c r="Q69" s="2">
        <f t="shared" si="3"/>
        <v>0</v>
      </c>
    </row>
    <row r="70" spans="2:17" x14ac:dyDescent="0.25">
      <c r="B70" s="31" t="s">
        <v>480</v>
      </c>
      <c r="C70" s="31" t="s">
        <v>70</v>
      </c>
      <c r="D70" s="2">
        <v>121.33</v>
      </c>
      <c r="E70" s="190"/>
      <c r="F70" s="2">
        <v>0</v>
      </c>
      <c r="G70" s="2">
        <v>0</v>
      </c>
      <c r="H70" s="18"/>
      <c r="I70" s="177">
        <f t="shared" si="0"/>
        <v>121.33</v>
      </c>
      <c r="J70" s="2"/>
      <c r="K70" t="str">
        <f>VLOOKUP(B70,'Allocations 2026-27'!$B$9:$C$328,2,FALSE)</f>
        <v>Dieringer</v>
      </c>
      <c r="N70" s="2">
        <f t="shared" si="1"/>
        <v>0</v>
      </c>
      <c r="O70">
        <f t="shared" si="2"/>
        <v>0</v>
      </c>
      <c r="P70" s="2"/>
      <c r="Q70" s="2">
        <f t="shared" si="3"/>
        <v>0</v>
      </c>
    </row>
    <row r="71" spans="2:17" x14ac:dyDescent="0.25">
      <c r="B71" s="31" t="s">
        <v>533</v>
      </c>
      <c r="C71" s="31" t="s">
        <v>71</v>
      </c>
      <c r="D71" s="2">
        <v>0</v>
      </c>
      <c r="E71" s="190"/>
      <c r="F71" s="2">
        <v>0</v>
      </c>
      <c r="G71" s="2">
        <v>0</v>
      </c>
      <c r="H71" s="18"/>
      <c r="I71" s="177">
        <f t="shared" si="0"/>
        <v>0</v>
      </c>
      <c r="J71" s="2"/>
      <c r="K71" t="str">
        <f>VLOOKUP(B71,'Allocations 2026-27'!$B$9:$C$328,2,FALSE)</f>
        <v>Dixie</v>
      </c>
      <c r="N71" s="2">
        <f t="shared" si="1"/>
        <v>0</v>
      </c>
      <c r="O71">
        <f t="shared" si="2"/>
        <v>0</v>
      </c>
      <c r="P71" s="2"/>
      <c r="Q71" s="2">
        <f t="shared" si="3"/>
        <v>0</v>
      </c>
    </row>
    <row r="72" spans="2:17" x14ac:dyDescent="0.25">
      <c r="B72" s="31" t="s">
        <v>534</v>
      </c>
      <c r="C72" s="31" t="s">
        <v>72</v>
      </c>
      <c r="D72" s="2">
        <v>224.67</v>
      </c>
      <c r="E72" s="190"/>
      <c r="F72" s="190">
        <v>29</v>
      </c>
      <c r="G72" s="2">
        <v>0</v>
      </c>
      <c r="H72" s="18"/>
      <c r="I72" s="177">
        <f t="shared" si="0"/>
        <v>253.67</v>
      </c>
      <c r="J72" s="2"/>
      <c r="K72" t="str">
        <f>VLOOKUP(B72,'Allocations 2026-27'!$B$9:$C$328,2,FALSE)</f>
        <v>East Valley (Spok</v>
      </c>
      <c r="N72" s="2">
        <f t="shared" si="1"/>
        <v>0</v>
      </c>
      <c r="O72">
        <f t="shared" si="2"/>
        <v>0</v>
      </c>
      <c r="P72" s="2"/>
      <c r="Q72" s="2">
        <f t="shared" si="3"/>
        <v>0</v>
      </c>
    </row>
    <row r="73" spans="2:17" x14ac:dyDescent="0.25">
      <c r="B73" s="31" t="s">
        <v>535</v>
      </c>
      <c r="C73" s="31" t="s">
        <v>73</v>
      </c>
      <c r="D73" s="2">
        <v>444.33000000000004</v>
      </c>
      <c r="E73" s="190"/>
      <c r="F73" s="190">
        <v>5</v>
      </c>
      <c r="G73" s="2">
        <v>0</v>
      </c>
      <c r="H73" s="18"/>
      <c r="I73" s="177">
        <f t="shared" ref="I73:I136" si="4">IF(D73+E73+F73+Q73-G73&lt;0,0,D73+E73+F73-G73+Q73)</f>
        <v>449.33000000000004</v>
      </c>
      <c r="J73" s="2"/>
      <c r="K73" t="str">
        <f>VLOOKUP(B73,'Allocations 2026-27'!$B$9:$C$328,2,FALSE)</f>
        <v>East Valley (Yak)</v>
      </c>
      <c r="N73" s="2">
        <f t="shared" ref="N73:N136" si="5">IFERROR(D73/L73,0)</f>
        <v>0</v>
      </c>
      <c r="O73">
        <f t="shared" ref="O73:O136" si="6">M73-L73</f>
        <v>0</v>
      </c>
      <c r="P73" s="2"/>
      <c r="Q73" s="2">
        <f t="shared" ref="Q73:Q136" si="7">O73*N73</f>
        <v>0</v>
      </c>
    </row>
    <row r="74" spans="2:17" x14ac:dyDescent="0.25">
      <c r="B74" s="31" t="s">
        <v>536</v>
      </c>
      <c r="C74" s="31" t="s">
        <v>74</v>
      </c>
      <c r="D74" s="2">
        <v>1160.1600000000001</v>
      </c>
      <c r="E74" s="190"/>
      <c r="F74" s="190">
        <v>1</v>
      </c>
      <c r="G74" s="2">
        <v>0</v>
      </c>
      <c r="H74" s="18"/>
      <c r="I74" s="177">
        <f t="shared" si="4"/>
        <v>1161.1600000000001</v>
      </c>
      <c r="J74" s="2"/>
      <c r="K74" t="str">
        <f>VLOOKUP(B74,'Allocations 2026-27'!$B$9:$C$328,2,FALSE)</f>
        <v>Eastmont</v>
      </c>
      <c r="N74" s="2">
        <f t="shared" si="5"/>
        <v>0</v>
      </c>
      <c r="O74">
        <f t="shared" si="6"/>
        <v>0</v>
      </c>
      <c r="P74" s="2"/>
      <c r="Q74" s="2">
        <f t="shared" si="7"/>
        <v>0</v>
      </c>
    </row>
    <row r="75" spans="2:17" x14ac:dyDescent="0.25">
      <c r="B75" s="31" t="s">
        <v>537</v>
      </c>
      <c r="C75" s="31" t="s">
        <v>75</v>
      </c>
      <c r="D75" s="2">
        <v>3.67</v>
      </c>
      <c r="E75" s="190"/>
      <c r="F75" s="2">
        <v>0</v>
      </c>
      <c r="G75" s="2">
        <v>0</v>
      </c>
      <c r="H75" s="18"/>
      <c r="I75" s="177">
        <f t="shared" si="4"/>
        <v>3.67</v>
      </c>
      <c r="J75" s="2"/>
      <c r="K75" t="str">
        <f>VLOOKUP(B75,'Allocations 2026-27'!$B$9:$C$328,2,FALSE)</f>
        <v>Easton</v>
      </c>
      <c r="N75" s="2">
        <f t="shared" si="5"/>
        <v>0</v>
      </c>
      <c r="O75">
        <f t="shared" si="6"/>
        <v>0</v>
      </c>
      <c r="P75" s="2"/>
      <c r="Q75" s="2">
        <f t="shared" si="7"/>
        <v>0</v>
      </c>
    </row>
    <row r="76" spans="2:17" x14ac:dyDescent="0.25">
      <c r="B76" s="31" t="s">
        <v>538</v>
      </c>
      <c r="C76" s="31" t="s">
        <v>76</v>
      </c>
      <c r="D76" s="2">
        <v>29.5</v>
      </c>
      <c r="E76" s="190"/>
      <c r="F76" s="2">
        <v>0</v>
      </c>
      <c r="G76" s="2">
        <v>0</v>
      </c>
      <c r="H76" s="18"/>
      <c r="I76" s="177">
        <f t="shared" si="4"/>
        <v>29.5</v>
      </c>
      <c r="J76" s="2"/>
      <c r="K76" t="str">
        <f>VLOOKUP(B76,'Allocations 2026-27'!$B$9:$C$328,2,FALSE)</f>
        <v>Eatonville</v>
      </c>
      <c r="N76" s="2">
        <f t="shared" si="5"/>
        <v>0</v>
      </c>
      <c r="O76">
        <f t="shared" si="6"/>
        <v>0</v>
      </c>
      <c r="P76" s="2"/>
      <c r="Q76" s="2">
        <f t="shared" si="7"/>
        <v>0</v>
      </c>
    </row>
    <row r="77" spans="2:17" x14ac:dyDescent="0.25">
      <c r="B77" s="31" t="s">
        <v>539</v>
      </c>
      <c r="C77" s="31" t="s">
        <v>77</v>
      </c>
      <c r="D77" s="2">
        <v>3959.67</v>
      </c>
      <c r="E77" s="190"/>
      <c r="F77" s="190">
        <v>72</v>
      </c>
      <c r="G77" s="191">
        <v>2</v>
      </c>
      <c r="H77" s="18"/>
      <c r="I77" s="177">
        <f t="shared" si="4"/>
        <v>4029.67</v>
      </c>
      <c r="J77" s="2"/>
      <c r="K77" t="str">
        <f>VLOOKUP(B77,'Allocations 2026-27'!$B$9:$C$328,2,FALSE)</f>
        <v>Edmonds</v>
      </c>
      <c r="N77" s="2">
        <f t="shared" si="5"/>
        <v>0</v>
      </c>
      <c r="O77">
        <f t="shared" si="6"/>
        <v>0</v>
      </c>
      <c r="P77" s="2"/>
      <c r="Q77" s="2">
        <f t="shared" si="7"/>
        <v>0</v>
      </c>
    </row>
    <row r="78" spans="2:17" x14ac:dyDescent="0.25">
      <c r="B78" s="31" t="s">
        <v>540</v>
      </c>
      <c r="C78" s="31" t="s">
        <v>78</v>
      </c>
      <c r="D78" s="2">
        <v>226.32999999999998</v>
      </c>
      <c r="E78" s="190"/>
      <c r="F78" s="190">
        <v>6.166666666666667</v>
      </c>
      <c r="G78" s="2">
        <v>0</v>
      </c>
      <c r="H78" s="18"/>
      <c r="I78" s="177">
        <f t="shared" si="4"/>
        <v>232.49666666666664</v>
      </c>
      <c r="J78" s="2"/>
      <c r="K78" t="str">
        <f>VLOOKUP(B78,'Allocations 2026-27'!$B$9:$C$328,2,FALSE)</f>
        <v>Ellensburg</v>
      </c>
      <c r="N78" s="2">
        <f t="shared" si="5"/>
        <v>0</v>
      </c>
      <c r="O78">
        <f t="shared" si="6"/>
        <v>0</v>
      </c>
      <c r="P78" s="2"/>
      <c r="Q78" s="2">
        <f t="shared" si="7"/>
        <v>0</v>
      </c>
    </row>
    <row r="79" spans="2:17" x14ac:dyDescent="0.25">
      <c r="B79" s="31" t="s">
        <v>541</v>
      </c>
      <c r="C79" s="31" t="s">
        <v>79</v>
      </c>
      <c r="D79" s="2">
        <v>141.32999999999998</v>
      </c>
      <c r="E79" s="190"/>
      <c r="F79" s="190">
        <v>2</v>
      </c>
      <c r="G79" s="2">
        <v>0</v>
      </c>
      <c r="H79" s="18"/>
      <c r="I79" s="177">
        <f t="shared" si="4"/>
        <v>143.32999999999998</v>
      </c>
      <c r="J79" s="2"/>
      <c r="K79" t="str">
        <f>VLOOKUP(B79,'Allocations 2026-27'!$B$9:$C$328,2,FALSE)</f>
        <v>Elma</v>
      </c>
      <c r="N79" s="2">
        <f t="shared" si="5"/>
        <v>0</v>
      </c>
      <c r="O79">
        <f t="shared" si="6"/>
        <v>0</v>
      </c>
      <c r="P79" s="2"/>
      <c r="Q79" s="2">
        <f t="shared" si="7"/>
        <v>0</v>
      </c>
    </row>
    <row r="80" spans="2:17" x14ac:dyDescent="0.25">
      <c r="B80" s="31" t="s">
        <v>542</v>
      </c>
      <c r="C80" s="31" t="s">
        <v>80</v>
      </c>
      <c r="D80" s="2">
        <v>0</v>
      </c>
      <c r="E80" s="190"/>
      <c r="F80" s="2">
        <v>0</v>
      </c>
      <c r="G80" s="2">
        <v>0</v>
      </c>
      <c r="I80" s="177">
        <f t="shared" si="4"/>
        <v>0</v>
      </c>
      <c r="J80" s="2"/>
      <c r="K80" t="str">
        <f>VLOOKUP(B80,'Allocations 2026-27'!$B$9:$C$328,2,FALSE)</f>
        <v>Endicott</v>
      </c>
      <c r="N80" s="2">
        <f t="shared" si="5"/>
        <v>0</v>
      </c>
      <c r="O80">
        <f t="shared" si="6"/>
        <v>0</v>
      </c>
      <c r="P80" s="2"/>
      <c r="Q80" s="2">
        <f t="shared" si="7"/>
        <v>0</v>
      </c>
    </row>
    <row r="81" spans="2:17" x14ac:dyDescent="0.25">
      <c r="B81" s="31" t="s">
        <v>543</v>
      </c>
      <c r="C81" s="31" t="s">
        <v>81</v>
      </c>
      <c r="D81" s="2">
        <v>131.16</v>
      </c>
      <c r="E81" s="190"/>
      <c r="F81" s="2">
        <v>0</v>
      </c>
      <c r="G81" s="2">
        <v>0</v>
      </c>
      <c r="I81" s="177">
        <f t="shared" si="4"/>
        <v>131.16</v>
      </c>
      <c r="J81" s="2"/>
      <c r="K81" t="str">
        <f>VLOOKUP(B81,'Allocations 2026-27'!$B$9:$C$328,2,FALSE)</f>
        <v>Entiat</v>
      </c>
      <c r="N81" s="2">
        <f t="shared" si="5"/>
        <v>0</v>
      </c>
      <c r="O81">
        <f t="shared" si="6"/>
        <v>0</v>
      </c>
      <c r="P81" s="2"/>
      <c r="Q81" s="2">
        <f t="shared" si="7"/>
        <v>0</v>
      </c>
    </row>
    <row r="82" spans="2:17" x14ac:dyDescent="0.25">
      <c r="B82" s="31" t="s">
        <v>544</v>
      </c>
      <c r="C82" s="31" t="s">
        <v>82</v>
      </c>
      <c r="D82" s="2">
        <v>311.66000000000003</v>
      </c>
      <c r="E82" s="190"/>
      <c r="F82" s="2">
        <v>0</v>
      </c>
      <c r="G82" s="2">
        <v>0</v>
      </c>
      <c r="I82" s="177">
        <f t="shared" si="4"/>
        <v>311.66000000000003</v>
      </c>
      <c r="J82" s="2"/>
      <c r="K82" t="str">
        <f>VLOOKUP(B82,'Allocations 2026-27'!$B$9:$C$328,2,FALSE)</f>
        <v>Enumclaw</v>
      </c>
      <c r="N82" s="2">
        <f t="shared" si="5"/>
        <v>0</v>
      </c>
      <c r="O82">
        <f t="shared" si="6"/>
        <v>0</v>
      </c>
      <c r="P82" s="2"/>
      <c r="Q82" s="2">
        <f t="shared" si="7"/>
        <v>0</v>
      </c>
    </row>
    <row r="83" spans="2:17" x14ac:dyDescent="0.25">
      <c r="B83" s="31" t="s">
        <v>545</v>
      </c>
      <c r="C83" s="31" t="s">
        <v>83</v>
      </c>
      <c r="D83" s="2">
        <v>464.33000000000004</v>
      </c>
      <c r="E83" s="190"/>
      <c r="F83" s="190">
        <v>2</v>
      </c>
      <c r="G83" s="2">
        <v>0</v>
      </c>
      <c r="H83" s="18"/>
      <c r="I83" s="177">
        <f t="shared" si="4"/>
        <v>466.33000000000004</v>
      </c>
      <c r="J83" s="2"/>
      <c r="K83" t="str">
        <f>VLOOKUP(B83,'Allocations 2026-27'!$B$9:$C$328,2,FALSE)</f>
        <v>Ephrata</v>
      </c>
      <c r="N83" s="2">
        <f t="shared" si="5"/>
        <v>0</v>
      </c>
      <c r="O83">
        <f t="shared" si="6"/>
        <v>0</v>
      </c>
      <c r="P83" s="2"/>
      <c r="Q83" s="2">
        <f t="shared" si="7"/>
        <v>0</v>
      </c>
    </row>
    <row r="84" spans="2:17" x14ac:dyDescent="0.25">
      <c r="B84" s="193" t="s">
        <v>781</v>
      </c>
      <c r="C84" s="31" t="s">
        <v>84</v>
      </c>
      <c r="D84" s="2">
        <v>0</v>
      </c>
      <c r="E84" s="190"/>
      <c r="F84" s="2">
        <v>0</v>
      </c>
      <c r="G84" s="2">
        <v>0</v>
      </c>
      <c r="H84" s="18"/>
      <c r="I84" s="177">
        <f t="shared" si="4"/>
        <v>0</v>
      </c>
      <c r="J84" s="2"/>
      <c r="K84" t="e">
        <f>VLOOKUP(B84,'Allocations 2026-27'!$B$9:$C$328,2,FALSE)</f>
        <v>#N/A</v>
      </c>
      <c r="N84" s="2">
        <f t="shared" si="5"/>
        <v>0</v>
      </c>
      <c r="O84">
        <f t="shared" si="6"/>
        <v>0</v>
      </c>
      <c r="P84" s="2"/>
      <c r="Q84" s="2">
        <f t="shared" si="7"/>
        <v>0</v>
      </c>
    </row>
    <row r="85" spans="2:17" x14ac:dyDescent="0.25">
      <c r="B85" s="31" t="s">
        <v>552</v>
      </c>
      <c r="C85" s="31" t="s">
        <v>85</v>
      </c>
      <c r="D85" s="2">
        <v>2</v>
      </c>
      <c r="E85" s="190"/>
      <c r="F85" s="2">
        <v>0</v>
      </c>
      <c r="G85" s="2">
        <v>0</v>
      </c>
      <c r="I85" s="177">
        <f t="shared" si="4"/>
        <v>2</v>
      </c>
      <c r="J85" s="2"/>
      <c r="K85" t="str">
        <f>VLOOKUP(B85,'Allocations 2026-27'!$B$9:$C$328,2,FALSE)</f>
        <v>Evaline</v>
      </c>
      <c r="N85" s="2">
        <f t="shared" si="5"/>
        <v>0</v>
      </c>
      <c r="O85">
        <f t="shared" si="6"/>
        <v>0</v>
      </c>
      <c r="P85" s="2"/>
      <c r="Q85" s="2">
        <f t="shared" si="7"/>
        <v>0</v>
      </c>
    </row>
    <row r="86" spans="2:17" x14ac:dyDescent="0.25">
      <c r="B86" s="31" t="s">
        <v>553</v>
      </c>
      <c r="C86" s="31" t="s">
        <v>86</v>
      </c>
      <c r="D86" s="2">
        <v>3800.33</v>
      </c>
      <c r="E86" s="190"/>
      <c r="F86" s="190">
        <v>103.5</v>
      </c>
      <c r="G86" s="2">
        <v>0</v>
      </c>
      <c r="H86" s="18"/>
      <c r="I86" s="177">
        <f t="shared" si="4"/>
        <v>3903.83</v>
      </c>
      <c r="J86" s="2"/>
      <c r="K86" t="str">
        <f>VLOOKUP(B86,'Allocations 2026-27'!$B$9:$C$328,2,FALSE)</f>
        <v>Everett</v>
      </c>
      <c r="N86" s="2">
        <f t="shared" si="5"/>
        <v>0</v>
      </c>
      <c r="O86">
        <f t="shared" si="6"/>
        <v>0</v>
      </c>
      <c r="P86" s="2"/>
      <c r="Q86" s="2">
        <f t="shared" si="7"/>
        <v>0</v>
      </c>
    </row>
    <row r="87" spans="2:17" x14ac:dyDescent="0.25">
      <c r="B87" s="31" t="s">
        <v>554</v>
      </c>
      <c r="C87" s="31" t="s">
        <v>87</v>
      </c>
      <c r="D87" s="2">
        <v>3830.33</v>
      </c>
      <c r="E87" s="190"/>
      <c r="F87" s="190">
        <v>42.166666666666664</v>
      </c>
      <c r="G87" s="191">
        <v>2</v>
      </c>
      <c r="H87" s="18"/>
      <c r="I87" s="177">
        <f t="shared" si="4"/>
        <v>3870.4966666666664</v>
      </c>
      <c r="J87" s="2"/>
      <c r="K87" t="str">
        <f>VLOOKUP(B87,'Allocations 2026-27'!$B$9:$C$328,2,FALSE)</f>
        <v>Evergreen (Clark)</v>
      </c>
      <c r="N87" s="2">
        <f t="shared" si="5"/>
        <v>0</v>
      </c>
      <c r="O87">
        <f t="shared" si="6"/>
        <v>0</v>
      </c>
      <c r="P87" s="2"/>
      <c r="Q87" s="2">
        <f t="shared" si="7"/>
        <v>0</v>
      </c>
    </row>
    <row r="88" spans="2:17" x14ac:dyDescent="0.25">
      <c r="B88" s="31" t="s">
        <v>555</v>
      </c>
      <c r="C88" s="31" t="s">
        <v>88</v>
      </c>
      <c r="D88" s="2">
        <v>0</v>
      </c>
      <c r="E88" s="190"/>
      <c r="F88" s="2">
        <v>0</v>
      </c>
      <c r="G88" s="2">
        <v>0</v>
      </c>
      <c r="H88" s="18"/>
      <c r="I88" s="177">
        <f t="shared" si="4"/>
        <v>0</v>
      </c>
      <c r="J88" s="2"/>
      <c r="K88" t="str">
        <f>VLOOKUP(B88,'Allocations 2026-27'!$B$9:$C$328,2,FALSE)</f>
        <v>Evergreen (Stev)</v>
      </c>
      <c r="N88" s="2">
        <f t="shared" si="5"/>
        <v>0</v>
      </c>
      <c r="O88">
        <f t="shared" si="6"/>
        <v>0</v>
      </c>
      <c r="P88" s="2"/>
      <c r="Q88" s="2">
        <f t="shared" si="7"/>
        <v>0</v>
      </c>
    </row>
    <row r="89" spans="2:17" x14ac:dyDescent="0.25">
      <c r="B89" s="31" t="s">
        <v>556</v>
      </c>
      <c r="C89" s="31" t="s">
        <v>89</v>
      </c>
      <c r="D89" s="2">
        <v>7006.17</v>
      </c>
      <c r="E89" s="190"/>
      <c r="F89" s="190">
        <v>147</v>
      </c>
      <c r="G89" s="191">
        <v>2</v>
      </c>
      <c r="H89" s="18"/>
      <c r="I89" s="177">
        <f t="shared" si="4"/>
        <v>7151.17</v>
      </c>
      <c r="J89" s="2"/>
      <c r="K89" t="str">
        <f>VLOOKUP(B89,'Allocations 2026-27'!$B$9:$C$328,2,FALSE)</f>
        <v>Federal Way</v>
      </c>
      <c r="N89" s="2">
        <f t="shared" si="5"/>
        <v>0</v>
      </c>
      <c r="O89">
        <f t="shared" si="6"/>
        <v>0</v>
      </c>
      <c r="P89" s="2"/>
      <c r="Q89" s="2">
        <f t="shared" si="7"/>
        <v>0</v>
      </c>
    </row>
    <row r="90" spans="2:17" x14ac:dyDescent="0.25">
      <c r="B90" s="31" t="s">
        <v>557</v>
      </c>
      <c r="C90" s="31" t="s">
        <v>90</v>
      </c>
      <c r="D90" s="2">
        <v>511.66999999999996</v>
      </c>
      <c r="E90" s="190"/>
      <c r="F90" s="190">
        <v>9.1666666666666661</v>
      </c>
      <c r="G90" s="191">
        <v>1</v>
      </c>
      <c r="H90" s="18"/>
      <c r="I90" s="177">
        <f t="shared" si="4"/>
        <v>519.83666666666659</v>
      </c>
      <c r="J90" s="2"/>
      <c r="K90" t="str">
        <f>VLOOKUP(B90,'Allocations 2026-27'!$B$9:$C$328,2,FALSE)</f>
        <v>Ferndale</v>
      </c>
      <c r="N90" s="2">
        <f t="shared" si="5"/>
        <v>0</v>
      </c>
      <c r="O90">
        <f t="shared" si="6"/>
        <v>0</v>
      </c>
      <c r="P90" s="2"/>
      <c r="Q90" s="2">
        <f t="shared" si="7"/>
        <v>0</v>
      </c>
    </row>
    <row r="91" spans="2:17" x14ac:dyDescent="0.25">
      <c r="B91" s="31" t="s">
        <v>558</v>
      </c>
      <c r="C91" s="31" t="s">
        <v>91</v>
      </c>
      <c r="D91" s="2">
        <v>792</v>
      </c>
      <c r="E91" s="190"/>
      <c r="F91" s="190">
        <v>4.166666666666667</v>
      </c>
      <c r="G91" s="2">
        <v>0</v>
      </c>
      <c r="H91" s="18"/>
      <c r="I91" s="177">
        <f t="shared" si="4"/>
        <v>796.16666666666663</v>
      </c>
      <c r="J91" s="2"/>
      <c r="K91" t="str">
        <f>VLOOKUP(B91,'Allocations 2026-27'!$B$9:$C$328,2,FALSE)</f>
        <v>Fife</v>
      </c>
      <c r="N91" s="2">
        <f t="shared" si="5"/>
        <v>0</v>
      </c>
      <c r="O91">
        <f t="shared" si="6"/>
        <v>0</v>
      </c>
      <c r="P91" s="2"/>
      <c r="Q91" s="2">
        <f t="shared" si="7"/>
        <v>0</v>
      </c>
    </row>
    <row r="92" spans="2:17" x14ac:dyDescent="0.25">
      <c r="B92" s="31" t="s">
        <v>559</v>
      </c>
      <c r="C92" s="31" t="s">
        <v>92</v>
      </c>
      <c r="D92" s="2">
        <v>174.32999999999998</v>
      </c>
      <c r="E92" s="190"/>
      <c r="F92" s="190">
        <v>6</v>
      </c>
      <c r="G92" s="2">
        <v>0</v>
      </c>
      <c r="H92" s="18"/>
      <c r="I92" s="177">
        <f t="shared" si="4"/>
        <v>180.32999999999998</v>
      </c>
      <c r="J92" s="2"/>
      <c r="K92" t="str">
        <f>VLOOKUP(B92,'Allocations 2026-27'!$B$9:$C$328,2,FALSE)</f>
        <v>Finley</v>
      </c>
      <c r="N92" s="2">
        <f t="shared" si="5"/>
        <v>0</v>
      </c>
      <c r="O92">
        <f t="shared" si="6"/>
        <v>0</v>
      </c>
      <c r="P92" s="2"/>
      <c r="Q92" s="2">
        <f t="shared" si="7"/>
        <v>0</v>
      </c>
    </row>
    <row r="93" spans="2:17" x14ac:dyDescent="0.25">
      <c r="B93" s="31" t="s">
        <v>560</v>
      </c>
      <c r="C93" s="31" t="s">
        <v>93</v>
      </c>
      <c r="D93" s="2">
        <v>1269.1600000000001</v>
      </c>
      <c r="E93" s="190"/>
      <c r="F93" s="190">
        <v>3.3333333333333335</v>
      </c>
      <c r="G93" s="2">
        <v>0</v>
      </c>
      <c r="H93" s="18"/>
      <c r="I93" s="177">
        <f t="shared" si="4"/>
        <v>1272.4933333333333</v>
      </c>
      <c r="J93" s="2"/>
      <c r="K93" t="str">
        <f>VLOOKUP(B93,'Allocations 2026-27'!$B$9:$C$328,2,FALSE)</f>
        <v>Franklin Pierce</v>
      </c>
      <c r="N93" s="2">
        <f t="shared" si="5"/>
        <v>0</v>
      </c>
      <c r="O93">
        <f t="shared" si="6"/>
        <v>0</v>
      </c>
      <c r="P93" s="2"/>
      <c r="Q93" s="2">
        <f t="shared" si="7"/>
        <v>0</v>
      </c>
    </row>
    <row r="94" spans="2:17" x14ac:dyDescent="0.25">
      <c r="B94" s="31" t="s">
        <v>561</v>
      </c>
      <c r="C94" s="31" t="s">
        <v>94</v>
      </c>
      <c r="D94" s="2">
        <v>3</v>
      </c>
      <c r="E94" s="190"/>
      <c r="F94" s="2">
        <v>0</v>
      </c>
      <c r="G94" s="2">
        <v>0</v>
      </c>
      <c r="H94" s="18"/>
      <c r="I94" s="177">
        <f t="shared" si="4"/>
        <v>3</v>
      </c>
      <c r="J94" s="2"/>
      <c r="K94" t="str">
        <f>VLOOKUP(B94,'Allocations 2026-27'!$B$9:$C$328,2,FALSE)</f>
        <v>Freeman</v>
      </c>
      <c r="N94" s="2">
        <f t="shared" si="5"/>
        <v>0</v>
      </c>
      <c r="O94">
        <f t="shared" si="6"/>
        <v>0</v>
      </c>
      <c r="P94" s="2"/>
      <c r="Q94" s="2">
        <f t="shared" si="7"/>
        <v>0</v>
      </c>
    </row>
    <row r="95" spans="2:17" x14ac:dyDescent="0.25">
      <c r="B95" s="31" t="s">
        <v>562</v>
      </c>
      <c r="C95" s="31" t="s">
        <v>95</v>
      </c>
      <c r="D95" s="2">
        <v>0</v>
      </c>
      <c r="E95" s="190"/>
      <c r="F95" s="2">
        <v>0</v>
      </c>
      <c r="G95" s="2">
        <v>0</v>
      </c>
      <c r="I95" s="177">
        <f t="shared" si="4"/>
        <v>0</v>
      </c>
      <c r="J95" s="2"/>
      <c r="K95" t="str">
        <f>VLOOKUP(B95,'Allocations 2026-27'!$B$9:$C$328,2,FALSE)</f>
        <v>Garfield</v>
      </c>
      <c r="N95" s="2">
        <f t="shared" si="5"/>
        <v>0</v>
      </c>
      <c r="O95">
        <f t="shared" si="6"/>
        <v>0</v>
      </c>
      <c r="P95" s="2"/>
      <c r="Q95" s="2">
        <f t="shared" si="7"/>
        <v>0</v>
      </c>
    </row>
    <row r="96" spans="2:17" x14ac:dyDescent="0.25">
      <c r="B96" s="31" t="s">
        <v>563</v>
      </c>
      <c r="C96" s="31" t="s">
        <v>96</v>
      </c>
      <c r="D96" s="2">
        <v>0</v>
      </c>
      <c r="E96" s="190"/>
      <c r="F96" s="2">
        <v>0</v>
      </c>
      <c r="G96" s="2">
        <v>0</v>
      </c>
      <c r="I96" s="177">
        <f t="shared" si="4"/>
        <v>0</v>
      </c>
      <c r="J96" s="2"/>
      <c r="K96" t="str">
        <f>VLOOKUP(B96,'Allocations 2026-27'!$B$9:$C$328,2,FALSE)</f>
        <v>Glenwood</v>
      </c>
      <c r="N96" s="2">
        <f t="shared" si="5"/>
        <v>0</v>
      </c>
      <c r="O96">
        <f t="shared" si="6"/>
        <v>0</v>
      </c>
      <c r="P96" s="2"/>
      <c r="Q96" s="2">
        <f t="shared" si="7"/>
        <v>0</v>
      </c>
    </row>
    <row r="97" spans="2:17" x14ac:dyDescent="0.25">
      <c r="B97" s="31" t="s">
        <v>564</v>
      </c>
      <c r="C97" s="31" t="s">
        <v>97</v>
      </c>
      <c r="D97" s="2">
        <v>137.32999999999998</v>
      </c>
      <c r="E97" s="190"/>
      <c r="F97" s="190">
        <v>1</v>
      </c>
      <c r="G97" s="191">
        <v>2</v>
      </c>
      <c r="I97" s="177">
        <f t="shared" si="4"/>
        <v>136.32999999999998</v>
      </c>
      <c r="J97" s="2"/>
      <c r="K97" t="str">
        <f>VLOOKUP(B97,'Allocations 2026-27'!$B$9:$C$328,2,FALSE)</f>
        <v>Goldendale</v>
      </c>
      <c r="N97" s="2">
        <f t="shared" si="5"/>
        <v>0</v>
      </c>
      <c r="O97">
        <f t="shared" si="6"/>
        <v>0</v>
      </c>
      <c r="P97" s="2"/>
      <c r="Q97" s="2">
        <f t="shared" si="7"/>
        <v>0</v>
      </c>
    </row>
    <row r="98" spans="2:17" x14ac:dyDescent="0.25">
      <c r="B98" s="31" t="s">
        <v>565</v>
      </c>
      <c r="C98" s="31" t="s">
        <v>98</v>
      </c>
      <c r="D98" s="2">
        <v>0</v>
      </c>
      <c r="E98" s="190"/>
      <c r="F98" s="190">
        <v>154.33333333333334</v>
      </c>
      <c r="G98" s="2">
        <v>0</v>
      </c>
      <c r="I98" s="177">
        <f t="shared" si="4"/>
        <v>154.33333333333334</v>
      </c>
      <c r="J98" s="2"/>
      <c r="K98" t="str">
        <f>VLOOKUP(B98,'Allocations 2026-27'!$B$9:$C$328,2,FALSE)</f>
        <v>Grand Coulee Dam</v>
      </c>
      <c r="N98" s="2">
        <f t="shared" si="5"/>
        <v>0</v>
      </c>
      <c r="O98">
        <f t="shared" si="6"/>
        <v>0</v>
      </c>
      <c r="P98" s="2"/>
      <c r="Q98" s="2">
        <f t="shared" si="7"/>
        <v>0</v>
      </c>
    </row>
    <row r="99" spans="2:17" x14ac:dyDescent="0.25">
      <c r="B99" s="31" t="s">
        <v>566</v>
      </c>
      <c r="C99" s="31" t="s">
        <v>99</v>
      </c>
      <c r="D99" s="2">
        <v>1103.5</v>
      </c>
      <c r="E99" s="190"/>
      <c r="F99" s="190">
        <v>1</v>
      </c>
      <c r="G99" s="2">
        <v>0</v>
      </c>
      <c r="H99" s="18"/>
      <c r="I99" s="177">
        <f t="shared" si="4"/>
        <v>1104.5</v>
      </c>
      <c r="J99" s="2"/>
      <c r="K99" t="str">
        <f>VLOOKUP(B99,'Allocations 2026-27'!$B$9:$C$328,2,FALSE)</f>
        <v>Grandview</v>
      </c>
      <c r="N99" s="2">
        <f t="shared" si="5"/>
        <v>0</v>
      </c>
      <c r="O99">
        <f t="shared" si="6"/>
        <v>0</v>
      </c>
      <c r="P99" s="2"/>
      <c r="Q99" s="2">
        <f t="shared" si="7"/>
        <v>0</v>
      </c>
    </row>
    <row r="100" spans="2:17" x14ac:dyDescent="0.25">
      <c r="B100" s="31" t="s">
        <v>567</v>
      </c>
      <c r="C100" s="31" t="s">
        <v>100</v>
      </c>
      <c r="D100" s="2">
        <v>714.66</v>
      </c>
      <c r="E100" s="190"/>
      <c r="F100" s="190">
        <v>23.5</v>
      </c>
      <c r="G100" s="2">
        <v>0</v>
      </c>
      <c r="I100" s="177">
        <f t="shared" si="4"/>
        <v>738.16</v>
      </c>
      <c r="J100" s="2"/>
      <c r="K100" t="str">
        <f>VLOOKUP(B100,'Allocations 2026-27'!$B$9:$C$328,2,FALSE)</f>
        <v>Granger</v>
      </c>
      <c r="N100" s="2">
        <f t="shared" si="5"/>
        <v>0</v>
      </c>
      <c r="O100">
        <f t="shared" si="6"/>
        <v>0</v>
      </c>
      <c r="P100" s="2"/>
      <c r="Q100" s="2">
        <f t="shared" si="7"/>
        <v>0</v>
      </c>
    </row>
    <row r="101" spans="2:17" x14ac:dyDescent="0.25">
      <c r="B101" s="31" t="s">
        <v>568</v>
      </c>
      <c r="C101" s="31" t="s">
        <v>101</v>
      </c>
      <c r="D101" s="2">
        <v>89.66</v>
      </c>
      <c r="E101" s="190"/>
      <c r="F101" s="2">
        <v>0</v>
      </c>
      <c r="G101" s="2">
        <v>0</v>
      </c>
      <c r="H101" s="18"/>
      <c r="I101" s="177">
        <f t="shared" si="4"/>
        <v>89.66</v>
      </c>
      <c r="J101" s="2"/>
      <c r="K101" t="str">
        <f>VLOOKUP(B101,'Allocations 2026-27'!$B$9:$C$328,2,FALSE)</f>
        <v>Granite Falls</v>
      </c>
      <c r="N101" s="2">
        <f t="shared" si="5"/>
        <v>0</v>
      </c>
      <c r="O101">
        <f t="shared" si="6"/>
        <v>0</v>
      </c>
      <c r="P101" s="2"/>
      <c r="Q101" s="2">
        <f t="shared" si="7"/>
        <v>0</v>
      </c>
    </row>
    <row r="102" spans="2:17" x14ac:dyDescent="0.25">
      <c r="B102" s="31" t="s">
        <v>569</v>
      </c>
      <c r="C102" s="31" t="s">
        <v>102</v>
      </c>
      <c r="D102" s="2">
        <v>0</v>
      </c>
      <c r="E102" s="190"/>
      <c r="F102" s="2">
        <v>0</v>
      </c>
      <c r="G102" s="2">
        <v>0</v>
      </c>
      <c r="H102" s="18"/>
      <c r="I102" s="177">
        <f t="shared" si="4"/>
        <v>0</v>
      </c>
      <c r="J102" s="2"/>
      <c r="K102" t="str">
        <f>VLOOKUP(B102,'Allocations 2026-27'!$B$9:$C$328,2,FALSE)</f>
        <v>Grapeview</v>
      </c>
      <c r="N102" s="2">
        <f t="shared" si="5"/>
        <v>0</v>
      </c>
      <c r="O102">
        <f t="shared" si="6"/>
        <v>0</v>
      </c>
      <c r="P102" s="2"/>
      <c r="Q102" s="2">
        <f t="shared" si="7"/>
        <v>0</v>
      </c>
    </row>
    <row r="103" spans="2:17" x14ac:dyDescent="0.25">
      <c r="B103" s="31" t="s">
        <v>570</v>
      </c>
      <c r="C103" s="31" t="s">
        <v>103</v>
      </c>
      <c r="D103" s="2">
        <v>1.83</v>
      </c>
      <c r="E103" s="190"/>
      <c r="F103" s="2">
        <v>0</v>
      </c>
      <c r="G103" s="2">
        <v>0</v>
      </c>
      <c r="H103" s="18"/>
      <c r="I103" s="177">
        <f t="shared" si="4"/>
        <v>1.83</v>
      </c>
      <c r="J103" s="2"/>
      <c r="K103" t="str">
        <f>VLOOKUP(B103,'Allocations 2026-27'!$B$9:$C$328,2,FALSE)</f>
        <v>Great Northern</v>
      </c>
      <c r="N103" s="2">
        <f t="shared" si="5"/>
        <v>0</v>
      </c>
      <c r="O103">
        <f t="shared" si="6"/>
        <v>0</v>
      </c>
      <c r="P103" s="2"/>
      <c r="Q103" s="2">
        <f t="shared" si="7"/>
        <v>0</v>
      </c>
    </row>
    <row r="104" spans="2:17" x14ac:dyDescent="0.25">
      <c r="B104" s="31" t="s">
        <v>571</v>
      </c>
      <c r="C104" s="31" t="s">
        <v>104</v>
      </c>
      <c r="D104" s="2">
        <v>1.83</v>
      </c>
      <c r="E104" s="190"/>
      <c r="F104" s="2">
        <v>0</v>
      </c>
      <c r="G104" s="2">
        <v>0</v>
      </c>
      <c r="I104" s="177">
        <f t="shared" si="4"/>
        <v>1.83</v>
      </c>
      <c r="J104" s="2"/>
      <c r="K104" t="str">
        <f>VLOOKUP(B104,'Allocations 2026-27'!$B$9:$C$328,2,FALSE)</f>
        <v>Green Mountain</v>
      </c>
      <c r="N104" s="2">
        <f t="shared" si="5"/>
        <v>0</v>
      </c>
      <c r="O104">
        <f t="shared" si="6"/>
        <v>0</v>
      </c>
      <c r="P104" s="2"/>
      <c r="Q104" s="2">
        <f t="shared" si="7"/>
        <v>0</v>
      </c>
    </row>
    <row r="105" spans="2:17" x14ac:dyDescent="0.25">
      <c r="B105" s="31" t="s">
        <v>572</v>
      </c>
      <c r="C105" s="31" t="s">
        <v>105</v>
      </c>
      <c r="D105" s="2">
        <v>2.83</v>
      </c>
      <c r="E105" s="190"/>
      <c r="F105" s="2">
        <v>0</v>
      </c>
      <c r="G105" s="2">
        <v>0</v>
      </c>
      <c r="I105" s="177">
        <f t="shared" si="4"/>
        <v>2.83</v>
      </c>
      <c r="J105" s="2"/>
      <c r="K105" t="str">
        <f>VLOOKUP(B105,'Allocations 2026-27'!$B$9:$C$328,2,FALSE)</f>
        <v>Griffin</v>
      </c>
      <c r="N105" s="2">
        <f t="shared" si="5"/>
        <v>0</v>
      </c>
      <c r="O105">
        <f t="shared" si="6"/>
        <v>0</v>
      </c>
      <c r="P105" s="2"/>
      <c r="Q105" s="2">
        <f t="shared" si="7"/>
        <v>0</v>
      </c>
    </row>
    <row r="106" spans="2:17" x14ac:dyDescent="0.25">
      <c r="B106" s="31" t="s">
        <v>573</v>
      </c>
      <c r="C106" s="31" t="s">
        <v>106</v>
      </c>
      <c r="D106" s="2">
        <v>0</v>
      </c>
      <c r="E106" s="190"/>
      <c r="F106" s="2">
        <v>0</v>
      </c>
      <c r="G106" s="2">
        <v>0</v>
      </c>
      <c r="I106" s="177">
        <f t="shared" si="4"/>
        <v>0</v>
      </c>
      <c r="J106" s="2"/>
      <c r="K106" t="str">
        <f>VLOOKUP(B106,'Allocations 2026-27'!$B$9:$C$328,2,FALSE)</f>
        <v>Harrington</v>
      </c>
      <c r="N106" s="2">
        <f t="shared" si="5"/>
        <v>0</v>
      </c>
      <c r="O106">
        <f t="shared" si="6"/>
        <v>0</v>
      </c>
      <c r="P106" s="2"/>
      <c r="Q106" s="2">
        <f t="shared" si="7"/>
        <v>0</v>
      </c>
    </row>
    <row r="107" spans="2:17" x14ac:dyDescent="0.25">
      <c r="B107" s="31" t="s">
        <v>574</v>
      </c>
      <c r="C107" s="31" t="s">
        <v>107</v>
      </c>
      <c r="D107" s="2">
        <v>297.83999999999997</v>
      </c>
      <c r="E107" s="190"/>
      <c r="F107" s="190">
        <v>1.6666666666666667</v>
      </c>
      <c r="G107" s="2">
        <v>0</v>
      </c>
      <c r="H107" s="18"/>
      <c r="I107" s="177">
        <f t="shared" si="4"/>
        <v>299.50666666666666</v>
      </c>
      <c r="J107" s="2"/>
      <c r="K107" t="str">
        <f>VLOOKUP(B107,'Allocations 2026-27'!$B$9:$C$328,2,FALSE)</f>
        <v>Highland</v>
      </c>
      <c r="N107" s="2">
        <f t="shared" si="5"/>
        <v>0</v>
      </c>
      <c r="O107">
        <f t="shared" si="6"/>
        <v>0</v>
      </c>
      <c r="P107" s="2"/>
      <c r="Q107" s="2">
        <f t="shared" si="7"/>
        <v>0</v>
      </c>
    </row>
    <row r="108" spans="2:17" x14ac:dyDescent="0.25">
      <c r="B108" s="31" t="s">
        <v>575</v>
      </c>
      <c r="C108" s="31" t="s">
        <v>108</v>
      </c>
      <c r="D108" s="2">
        <v>7049.66</v>
      </c>
      <c r="E108" s="190"/>
      <c r="F108" s="190">
        <v>192</v>
      </c>
      <c r="G108" s="191">
        <v>3</v>
      </c>
      <c r="H108" s="18"/>
      <c r="I108" s="177">
        <f t="shared" si="4"/>
        <v>7238.66</v>
      </c>
      <c r="J108" s="2"/>
      <c r="K108" t="str">
        <f>VLOOKUP(B108,'Allocations 2026-27'!$B$9:$C$328,2,FALSE)</f>
        <v>Highline</v>
      </c>
      <c r="N108" s="2">
        <f t="shared" si="5"/>
        <v>0</v>
      </c>
      <c r="O108">
        <f t="shared" si="6"/>
        <v>0</v>
      </c>
      <c r="P108" s="2"/>
      <c r="Q108" s="2">
        <f t="shared" si="7"/>
        <v>0</v>
      </c>
    </row>
    <row r="109" spans="2:17" x14ac:dyDescent="0.25">
      <c r="B109" s="31" t="s">
        <v>445</v>
      </c>
      <c r="C109" s="31" t="s">
        <v>109</v>
      </c>
      <c r="D109" s="2">
        <v>102.33</v>
      </c>
      <c r="E109" s="190"/>
      <c r="F109" s="190">
        <v>5</v>
      </c>
      <c r="G109" s="2">
        <v>0</v>
      </c>
      <c r="I109" s="177">
        <f t="shared" si="4"/>
        <v>107.33</v>
      </c>
      <c r="J109" s="2"/>
      <c r="K109" t="str">
        <f>VLOOKUP(B109,'Allocations 2026-27'!$B$9:$C$328,2,FALSE)</f>
        <v>Hockinson</v>
      </c>
      <c r="N109" s="2">
        <f t="shared" si="5"/>
        <v>0</v>
      </c>
      <c r="O109">
        <f t="shared" si="6"/>
        <v>0</v>
      </c>
      <c r="P109" s="2"/>
      <c r="Q109" s="2">
        <f t="shared" si="7"/>
        <v>0</v>
      </c>
    </row>
    <row r="110" spans="2:17" x14ac:dyDescent="0.25">
      <c r="B110" s="31" t="s">
        <v>576</v>
      </c>
      <c r="C110" s="31" t="s">
        <v>110</v>
      </c>
      <c r="D110" s="2">
        <v>18.84</v>
      </c>
      <c r="E110" s="190"/>
      <c r="F110" s="2">
        <v>0</v>
      </c>
      <c r="G110" s="2">
        <v>0</v>
      </c>
      <c r="H110" s="18"/>
      <c r="I110" s="177">
        <f t="shared" si="4"/>
        <v>18.84</v>
      </c>
      <c r="J110" s="2"/>
      <c r="K110" t="str">
        <f>VLOOKUP(B110,'Allocations 2026-27'!$B$9:$C$328,2,FALSE)</f>
        <v>Hood Canal</v>
      </c>
      <c r="N110" s="2">
        <f t="shared" si="5"/>
        <v>0</v>
      </c>
      <c r="O110">
        <f t="shared" si="6"/>
        <v>0</v>
      </c>
      <c r="P110" s="2"/>
      <c r="Q110" s="2">
        <f t="shared" si="7"/>
        <v>0</v>
      </c>
    </row>
    <row r="111" spans="2:17" x14ac:dyDescent="0.25">
      <c r="B111" s="31" t="s">
        <v>577</v>
      </c>
      <c r="C111" s="31" t="s">
        <v>111</v>
      </c>
      <c r="D111" s="2">
        <v>121</v>
      </c>
      <c r="E111" s="190"/>
      <c r="F111" s="190">
        <v>2</v>
      </c>
      <c r="G111" s="2">
        <v>0</v>
      </c>
      <c r="I111" s="177">
        <f t="shared" si="4"/>
        <v>123</v>
      </c>
      <c r="J111" s="2"/>
      <c r="K111" t="str">
        <f>VLOOKUP(B111,'Allocations 2026-27'!$B$9:$C$328,2,FALSE)</f>
        <v>Hoquiam</v>
      </c>
      <c r="N111" s="2">
        <f t="shared" si="5"/>
        <v>0</v>
      </c>
      <c r="O111">
        <f t="shared" si="6"/>
        <v>0</v>
      </c>
      <c r="P111" s="2"/>
      <c r="Q111" s="2">
        <f t="shared" si="7"/>
        <v>0</v>
      </c>
    </row>
    <row r="112" spans="2:17" x14ac:dyDescent="0.25">
      <c r="B112" s="33" t="s">
        <v>801</v>
      </c>
      <c r="C112" s="34" t="s">
        <v>817</v>
      </c>
      <c r="D112" s="2">
        <v>81</v>
      </c>
      <c r="E112" s="190"/>
      <c r="F112" s="2">
        <v>0</v>
      </c>
      <c r="G112" s="2">
        <v>0</v>
      </c>
      <c r="I112" s="177">
        <f t="shared" si="4"/>
        <v>112.33576642335767</v>
      </c>
      <c r="J112" s="2"/>
      <c r="K112" t="str">
        <f>VLOOKUP(B112,'Allocations 2026-27'!$B$9:$C$328,2,FALSE)</f>
        <v>IMPACT RENTON CHARTER SCHOOL</v>
      </c>
      <c r="L112">
        <v>274</v>
      </c>
      <c r="M112">
        <v>380</v>
      </c>
      <c r="N112" s="2">
        <f>IFERROR(D112/L112,0)</f>
        <v>0.29562043795620441</v>
      </c>
      <c r="O112">
        <f>M112-L112</f>
        <v>106</v>
      </c>
      <c r="P112" s="2"/>
      <c r="Q112" s="2">
        <f t="shared" si="7"/>
        <v>31.335766423357668</v>
      </c>
    </row>
    <row r="113" spans="2:17" x14ac:dyDescent="0.25">
      <c r="B113" s="161" t="s">
        <v>578</v>
      </c>
      <c r="C113" s="34" t="s">
        <v>112</v>
      </c>
      <c r="D113" s="2">
        <v>181.17</v>
      </c>
      <c r="E113" s="190"/>
      <c r="F113" s="2">
        <v>0</v>
      </c>
      <c r="G113" s="2">
        <v>0</v>
      </c>
      <c r="I113" s="177">
        <f t="shared" si="4"/>
        <v>220.70425047438329</v>
      </c>
      <c r="J113" s="2"/>
      <c r="K113" t="str">
        <f>VLOOKUP(B113,'Allocations 2026-27'!$B$9:$C$328,2,FALSE)</f>
        <v>Impact Puget Sound Elementry Charter</v>
      </c>
      <c r="L113">
        <v>527</v>
      </c>
      <c r="M113">
        <v>642</v>
      </c>
      <c r="N113" s="2">
        <f>IFERROR(D113/L113,0)</f>
        <v>0.3437760910815939</v>
      </c>
      <c r="O113">
        <f>M113-L113</f>
        <v>115</v>
      </c>
      <c r="P113" s="2"/>
      <c r="Q113" s="2">
        <f t="shared" si="7"/>
        <v>39.534250474383299</v>
      </c>
    </row>
    <row r="114" spans="2:17" x14ac:dyDescent="0.25">
      <c r="B114" s="33" t="s">
        <v>483</v>
      </c>
      <c r="C114" s="34" t="s">
        <v>818</v>
      </c>
      <c r="D114" s="2">
        <v>29</v>
      </c>
      <c r="E114" s="190"/>
      <c r="F114" s="2">
        <v>0</v>
      </c>
      <c r="G114" s="2">
        <v>0</v>
      </c>
      <c r="H114" s="18"/>
      <c r="I114" s="177">
        <f t="shared" si="4"/>
        <v>29</v>
      </c>
      <c r="J114" s="2"/>
      <c r="K114" t="str">
        <f>VLOOKUP(B114,'Allocations 2026-27'!$B$9:$C$328,2,FALSE)</f>
        <v>Impact Commencement Bay Elementary Charter</v>
      </c>
      <c r="N114" s="2">
        <f t="shared" si="5"/>
        <v>0</v>
      </c>
      <c r="O114">
        <f t="shared" si="6"/>
        <v>0</v>
      </c>
      <c r="P114" s="2"/>
      <c r="Q114" s="2">
        <f t="shared" si="7"/>
        <v>0</v>
      </c>
    </row>
    <row r="115" spans="2:17" x14ac:dyDescent="0.25">
      <c r="B115" s="33" t="s">
        <v>464</v>
      </c>
      <c r="C115" s="34" t="s">
        <v>113</v>
      </c>
      <c r="D115" s="2">
        <v>105.17</v>
      </c>
      <c r="E115" s="190"/>
      <c r="F115" s="2">
        <v>0</v>
      </c>
      <c r="G115" s="2">
        <v>0</v>
      </c>
      <c r="I115" s="177">
        <f t="shared" si="4"/>
        <v>105.17</v>
      </c>
      <c r="J115" s="2"/>
      <c r="K115" t="str">
        <f>VLOOKUP(B115,'Allocations 2026-27'!$B$9:$C$328,2,FALSE)</f>
        <v>Impact Salish Sea Charter</v>
      </c>
      <c r="L115" s="82"/>
      <c r="N115" s="2">
        <f t="shared" si="5"/>
        <v>0</v>
      </c>
      <c r="O115">
        <f t="shared" si="6"/>
        <v>0</v>
      </c>
      <c r="P115" s="2"/>
      <c r="Q115" s="2">
        <f t="shared" si="7"/>
        <v>0</v>
      </c>
    </row>
    <row r="116" spans="2:17" x14ac:dyDescent="0.25">
      <c r="B116" s="31" t="s">
        <v>580</v>
      </c>
      <c r="C116" s="31" t="s">
        <v>114</v>
      </c>
      <c r="D116" s="2">
        <v>0</v>
      </c>
      <c r="E116" s="190"/>
      <c r="F116" s="190">
        <v>34</v>
      </c>
      <c r="G116" s="2">
        <v>0</v>
      </c>
      <c r="H116" s="18"/>
      <c r="I116" s="177">
        <f t="shared" si="4"/>
        <v>34</v>
      </c>
      <c r="J116" s="2"/>
      <c r="K116" t="str">
        <f>VLOOKUP(B116,'Allocations 2026-27'!$B$9:$C$328,2,FALSE)</f>
        <v>Inchelium</v>
      </c>
      <c r="N116" s="2">
        <f t="shared" si="5"/>
        <v>0</v>
      </c>
      <c r="O116">
        <f t="shared" si="6"/>
        <v>0</v>
      </c>
      <c r="P116" s="2"/>
      <c r="Q116" s="2">
        <f t="shared" si="7"/>
        <v>0</v>
      </c>
    </row>
    <row r="117" spans="2:17" x14ac:dyDescent="0.25">
      <c r="B117" s="31" t="s">
        <v>581</v>
      </c>
      <c r="C117" s="31" t="s">
        <v>115</v>
      </c>
      <c r="D117" s="2">
        <v>0</v>
      </c>
      <c r="E117" s="190"/>
      <c r="F117" s="2">
        <v>0</v>
      </c>
      <c r="G117" s="2">
        <v>0</v>
      </c>
      <c r="I117" s="177">
        <f t="shared" si="4"/>
        <v>0</v>
      </c>
      <c r="J117" s="2"/>
      <c r="K117" t="str">
        <f>VLOOKUP(B117,'Allocations 2026-27'!$B$9:$C$328,2,FALSE)</f>
        <v>Index</v>
      </c>
      <c r="N117" s="2">
        <f t="shared" si="5"/>
        <v>0</v>
      </c>
      <c r="O117">
        <f t="shared" si="6"/>
        <v>0</v>
      </c>
      <c r="P117" s="2"/>
      <c r="Q117" s="2">
        <f t="shared" si="7"/>
        <v>0</v>
      </c>
    </row>
    <row r="118" spans="2:17" x14ac:dyDescent="0.25">
      <c r="B118" s="34" t="s">
        <v>667</v>
      </c>
      <c r="C118" s="34" t="s">
        <v>819</v>
      </c>
      <c r="D118" s="2">
        <v>0</v>
      </c>
      <c r="E118" s="190"/>
      <c r="F118" s="2">
        <v>0</v>
      </c>
      <c r="G118" s="2">
        <v>0</v>
      </c>
      <c r="H118" s="18"/>
      <c r="I118" s="177">
        <f t="shared" si="4"/>
        <v>0</v>
      </c>
      <c r="J118" s="2"/>
      <c r="K118" t="str">
        <f>VLOOKUP(B118,'Allocations 2026-27'!$B$9:$C$328,2,FALSE)</f>
        <v>Pride Prep Charter</v>
      </c>
      <c r="N118" s="2">
        <f t="shared" si="5"/>
        <v>0</v>
      </c>
      <c r="O118">
        <f t="shared" si="6"/>
        <v>0</v>
      </c>
      <c r="P118" s="2"/>
      <c r="Q118" s="2">
        <f t="shared" si="7"/>
        <v>0</v>
      </c>
    </row>
    <row r="119" spans="2:17" x14ac:dyDescent="0.25">
      <c r="B119" s="31" t="s">
        <v>582</v>
      </c>
      <c r="C119" s="31" t="s">
        <v>116</v>
      </c>
      <c r="D119" s="2">
        <v>1271.67</v>
      </c>
      <c r="E119" s="190"/>
      <c r="F119" s="190">
        <v>29.166666666666668</v>
      </c>
      <c r="G119" s="2">
        <v>0</v>
      </c>
      <c r="H119" s="18"/>
      <c r="I119" s="177">
        <f t="shared" si="4"/>
        <v>1300.8366666666668</v>
      </c>
      <c r="J119" s="2"/>
      <c r="K119" t="str">
        <f>VLOOKUP(B119,'Allocations 2026-27'!$B$9:$C$328,2,FALSE)</f>
        <v>Issaquah</v>
      </c>
      <c r="N119" s="2">
        <f t="shared" si="5"/>
        <v>0</v>
      </c>
      <c r="O119">
        <f t="shared" si="6"/>
        <v>0</v>
      </c>
      <c r="P119" s="2"/>
      <c r="Q119" s="2">
        <f t="shared" si="7"/>
        <v>0</v>
      </c>
    </row>
    <row r="120" spans="2:17" x14ac:dyDescent="0.25">
      <c r="B120" s="31" t="s">
        <v>583</v>
      </c>
      <c r="C120" s="31" t="s">
        <v>117</v>
      </c>
      <c r="D120" s="2">
        <v>0</v>
      </c>
      <c r="E120" s="190"/>
      <c r="F120" s="2">
        <v>0</v>
      </c>
      <c r="G120" s="2">
        <v>0</v>
      </c>
      <c r="H120" s="18"/>
      <c r="I120" s="177">
        <f t="shared" si="4"/>
        <v>0</v>
      </c>
      <c r="J120" s="2"/>
      <c r="K120" t="str">
        <f>VLOOKUP(B120,'Allocations 2026-27'!$B$9:$C$328,2,FALSE)</f>
        <v>Kahlotus</v>
      </c>
      <c r="N120" s="2">
        <f t="shared" si="5"/>
        <v>0</v>
      </c>
      <c r="O120">
        <f t="shared" si="6"/>
        <v>0</v>
      </c>
      <c r="P120" s="2"/>
      <c r="Q120" s="2">
        <f t="shared" si="7"/>
        <v>0</v>
      </c>
    </row>
    <row r="121" spans="2:17" x14ac:dyDescent="0.25">
      <c r="B121" s="31" t="s">
        <v>584</v>
      </c>
      <c r="C121" s="31" t="s">
        <v>118</v>
      </c>
      <c r="D121" s="2">
        <v>23.67</v>
      </c>
      <c r="E121" s="190"/>
      <c r="F121" s="2">
        <v>0</v>
      </c>
      <c r="G121" s="2">
        <v>0</v>
      </c>
      <c r="I121" s="177">
        <f t="shared" si="4"/>
        <v>23.67</v>
      </c>
      <c r="J121" s="2"/>
      <c r="K121" t="str">
        <f>VLOOKUP(B121,'Allocations 2026-27'!$B$9:$C$328,2,FALSE)</f>
        <v>Kalama</v>
      </c>
      <c r="N121" s="2">
        <f t="shared" si="5"/>
        <v>0</v>
      </c>
      <c r="O121">
        <f t="shared" si="6"/>
        <v>0</v>
      </c>
      <c r="P121" s="2"/>
      <c r="Q121" s="2">
        <f t="shared" si="7"/>
        <v>0</v>
      </c>
    </row>
    <row r="122" spans="2:17" x14ac:dyDescent="0.25">
      <c r="B122" s="31" t="s">
        <v>585</v>
      </c>
      <c r="C122" s="31" t="s">
        <v>119</v>
      </c>
      <c r="D122" s="2">
        <v>0</v>
      </c>
      <c r="E122" s="190"/>
      <c r="F122" s="2">
        <v>0</v>
      </c>
      <c r="G122" s="2">
        <v>0</v>
      </c>
      <c r="H122" s="18"/>
      <c r="I122" s="177">
        <f t="shared" si="4"/>
        <v>0</v>
      </c>
      <c r="J122" s="2"/>
      <c r="K122" t="str">
        <f>VLOOKUP(B122,'Allocations 2026-27'!$B$9:$C$328,2,FALSE)</f>
        <v>Keller</v>
      </c>
      <c r="N122" s="2">
        <f t="shared" si="5"/>
        <v>0</v>
      </c>
      <c r="O122">
        <f t="shared" si="6"/>
        <v>0</v>
      </c>
      <c r="P122" s="2"/>
      <c r="Q122" s="2">
        <f t="shared" si="7"/>
        <v>0</v>
      </c>
    </row>
    <row r="123" spans="2:17" x14ac:dyDescent="0.25">
      <c r="B123" s="31" t="s">
        <v>586</v>
      </c>
      <c r="C123" s="31" t="s">
        <v>120</v>
      </c>
      <c r="D123" s="2">
        <v>343.33000000000004</v>
      </c>
      <c r="E123" s="190"/>
      <c r="F123" s="190">
        <v>11</v>
      </c>
      <c r="G123" s="191">
        <v>3</v>
      </c>
      <c r="H123" s="18"/>
      <c r="I123" s="177">
        <f t="shared" si="4"/>
        <v>351.33000000000004</v>
      </c>
      <c r="J123" s="2"/>
      <c r="K123" t="str">
        <f>VLOOKUP(B123,'Allocations 2026-27'!$B$9:$C$328,2,FALSE)</f>
        <v>Kelso</v>
      </c>
      <c r="N123" s="2">
        <f t="shared" si="5"/>
        <v>0</v>
      </c>
      <c r="O123">
        <f t="shared" si="6"/>
        <v>0</v>
      </c>
      <c r="P123" s="2"/>
      <c r="Q123" s="2">
        <f t="shared" si="7"/>
        <v>0</v>
      </c>
    </row>
    <row r="124" spans="2:17" x14ac:dyDescent="0.25">
      <c r="B124" s="31" t="s">
        <v>587</v>
      </c>
      <c r="C124" s="31" t="s">
        <v>121</v>
      </c>
      <c r="D124" s="2">
        <v>3437.5</v>
      </c>
      <c r="E124" s="190"/>
      <c r="F124" s="2">
        <v>0</v>
      </c>
      <c r="G124" s="191">
        <v>1</v>
      </c>
      <c r="H124" s="18"/>
      <c r="I124" s="177">
        <f t="shared" si="4"/>
        <v>3436.5</v>
      </c>
      <c r="J124" s="2"/>
      <c r="K124" t="str">
        <f>VLOOKUP(B124,'Allocations 2026-27'!$B$9:$C$328,2,FALSE)</f>
        <v>Kennewick</v>
      </c>
      <c r="N124" s="2">
        <f t="shared" si="5"/>
        <v>0</v>
      </c>
      <c r="O124">
        <f t="shared" si="6"/>
        <v>0</v>
      </c>
      <c r="P124" s="2"/>
      <c r="Q124" s="2">
        <f t="shared" si="7"/>
        <v>0</v>
      </c>
    </row>
    <row r="125" spans="2:17" x14ac:dyDescent="0.25">
      <c r="B125" s="31" t="s">
        <v>588</v>
      </c>
      <c r="C125" s="31" t="s">
        <v>122</v>
      </c>
      <c r="D125" s="2">
        <v>7935.66</v>
      </c>
      <c r="E125" s="190"/>
      <c r="F125" s="190">
        <v>107.5</v>
      </c>
      <c r="G125" s="191">
        <v>1</v>
      </c>
      <c r="I125" s="177">
        <f t="shared" si="4"/>
        <v>8042.16</v>
      </c>
      <c r="J125" s="2"/>
      <c r="K125" t="str">
        <f>VLOOKUP(B125,'Allocations 2026-27'!$B$9:$C$328,2,FALSE)</f>
        <v>Kent</v>
      </c>
      <c r="N125" s="2">
        <f t="shared" si="5"/>
        <v>0</v>
      </c>
      <c r="O125">
        <f t="shared" si="6"/>
        <v>0</v>
      </c>
      <c r="P125" s="2"/>
      <c r="Q125" s="2">
        <f t="shared" si="7"/>
        <v>0</v>
      </c>
    </row>
    <row r="126" spans="2:17" x14ac:dyDescent="0.25">
      <c r="B126" s="31" t="s">
        <v>589</v>
      </c>
      <c r="C126" s="31" t="s">
        <v>123</v>
      </c>
      <c r="D126" s="2">
        <v>0</v>
      </c>
      <c r="E126" s="190"/>
      <c r="F126" s="2">
        <v>0</v>
      </c>
      <c r="G126" s="2">
        <v>0</v>
      </c>
      <c r="H126" s="18"/>
      <c r="I126" s="177">
        <f t="shared" si="4"/>
        <v>0</v>
      </c>
      <c r="J126" s="2"/>
      <c r="K126" t="str">
        <f>VLOOKUP(B126,'Allocations 2026-27'!$B$9:$C$328,2,FALSE)</f>
        <v>Kettle Falls</v>
      </c>
      <c r="N126" s="2">
        <f t="shared" si="5"/>
        <v>0</v>
      </c>
      <c r="O126">
        <f t="shared" si="6"/>
        <v>0</v>
      </c>
      <c r="P126" s="2"/>
      <c r="Q126" s="2">
        <f t="shared" si="7"/>
        <v>0</v>
      </c>
    </row>
    <row r="127" spans="2:17" x14ac:dyDescent="0.25">
      <c r="B127" s="31" t="s">
        <v>590</v>
      </c>
      <c r="C127" s="31" t="s">
        <v>124</v>
      </c>
      <c r="D127" s="2">
        <v>345.66</v>
      </c>
      <c r="E127" s="190"/>
      <c r="F127" s="190">
        <v>4</v>
      </c>
      <c r="G127" s="2">
        <v>0</v>
      </c>
      <c r="H127" s="18"/>
      <c r="I127" s="177">
        <f t="shared" si="4"/>
        <v>349.66</v>
      </c>
      <c r="J127" s="2"/>
      <c r="K127" t="str">
        <f>VLOOKUP(B127,'Allocations 2026-27'!$B$9:$C$328,2,FALSE)</f>
        <v>Kiona Benton</v>
      </c>
      <c r="N127" s="2">
        <f t="shared" si="5"/>
        <v>0</v>
      </c>
      <c r="O127">
        <f t="shared" si="6"/>
        <v>0</v>
      </c>
      <c r="P127" s="2"/>
      <c r="Q127" s="2">
        <f t="shared" si="7"/>
        <v>0</v>
      </c>
    </row>
    <row r="128" spans="2:17" x14ac:dyDescent="0.25">
      <c r="B128" s="31" t="s">
        <v>591</v>
      </c>
      <c r="C128" s="31" t="s">
        <v>125</v>
      </c>
      <c r="D128" s="2">
        <v>45.5</v>
      </c>
      <c r="E128" s="190"/>
      <c r="F128" s="2">
        <v>0</v>
      </c>
      <c r="G128" s="2">
        <v>0</v>
      </c>
      <c r="H128" s="18"/>
      <c r="I128" s="177">
        <f t="shared" si="4"/>
        <v>45.5</v>
      </c>
      <c r="J128" s="2"/>
      <c r="K128" t="str">
        <f>VLOOKUP(B128,'Allocations 2026-27'!$B$9:$C$328,2,FALSE)</f>
        <v>Kittitas</v>
      </c>
      <c r="N128" s="2">
        <f t="shared" si="5"/>
        <v>0</v>
      </c>
      <c r="O128">
        <f t="shared" si="6"/>
        <v>0</v>
      </c>
      <c r="P128" s="2"/>
      <c r="Q128" s="2">
        <f t="shared" si="7"/>
        <v>0</v>
      </c>
    </row>
    <row r="129" spans="2:17" x14ac:dyDescent="0.25">
      <c r="B129" s="31" t="s">
        <v>592</v>
      </c>
      <c r="C129" s="31" t="s">
        <v>126</v>
      </c>
      <c r="D129" s="2">
        <v>0</v>
      </c>
      <c r="E129" s="190"/>
      <c r="F129" s="2">
        <v>0</v>
      </c>
      <c r="G129" s="2">
        <v>0</v>
      </c>
      <c r="H129" s="18"/>
      <c r="I129" s="177">
        <f t="shared" si="4"/>
        <v>0</v>
      </c>
      <c r="J129" s="2"/>
      <c r="K129" t="str">
        <f>VLOOKUP(B129,'Allocations 2026-27'!$B$9:$C$328,2,FALSE)</f>
        <v>Klickitat</v>
      </c>
      <c r="N129" s="2">
        <f t="shared" si="5"/>
        <v>0</v>
      </c>
      <c r="O129">
        <f t="shared" si="6"/>
        <v>0</v>
      </c>
      <c r="P129" s="2"/>
      <c r="Q129" s="2">
        <f t="shared" si="7"/>
        <v>0</v>
      </c>
    </row>
    <row r="130" spans="2:17" x14ac:dyDescent="0.25">
      <c r="B130" s="31" t="s">
        <v>593</v>
      </c>
      <c r="C130" s="31" t="s">
        <v>127</v>
      </c>
      <c r="D130" s="2">
        <v>16</v>
      </c>
      <c r="E130" s="190"/>
      <c r="F130" s="190">
        <v>112.83333333333333</v>
      </c>
      <c r="G130" s="2">
        <v>0</v>
      </c>
      <c r="H130" s="18"/>
      <c r="I130" s="177">
        <f t="shared" si="4"/>
        <v>128.83333333333331</v>
      </c>
      <c r="J130" s="2"/>
      <c r="K130" t="str">
        <f>VLOOKUP(B130,'Allocations 2026-27'!$B$9:$C$328,2,FALSE)</f>
        <v>La Conner</v>
      </c>
      <c r="N130" s="2">
        <f t="shared" si="5"/>
        <v>0</v>
      </c>
      <c r="O130">
        <f t="shared" si="6"/>
        <v>0</v>
      </c>
      <c r="P130" s="2"/>
      <c r="Q130" s="2">
        <f t="shared" si="7"/>
        <v>0</v>
      </c>
    </row>
    <row r="131" spans="2:17" x14ac:dyDescent="0.25">
      <c r="B131" s="31" t="s">
        <v>594</v>
      </c>
      <c r="C131" s="31" t="s">
        <v>128</v>
      </c>
      <c r="D131" s="2">
        <v>64.66</v>
      </c>
      <c r="E131" s="190"/>
      <c r="F131" s="2">
        <v>0</v>
      </c>
      <c r="G131" s="191">
        <v>2</v>
      </c>
      <c r="H131" s="18"/>
      <c r="I131" s="177">
        <f t="shared" si="4"/>
        <v>62.66</v>
      </c>
      <c r="J131" s="2"/>
      <c r="K131" t="str">
        <f>VLOOKUP(B131,'Allocations 2026-27'!$B$9:$C$328,2,FALSE)</f>
        <v>Lacenter</v>
      </c>
      <c r="N131" s="2">
        <f t="shared" si="5"/>
        <v>0</v>
      </c>
      <c r="O131">
        <f t="shared" si="6"/>
        <v>0</v>
      </c>
      <c r="P131" s="2"/>
      <c r="Q131" s="2">
        <f t="shared" si="7"/>
        <v>0</v>
      </c>
    </row>
    <row r="132" spans="2:17" x14ac:dyDescent="0.25">
      <c r="B132" s="31" t="s">
        <v>595</v>
      </c>
      <c r="C132" s="31" t="s">
        <v>129</v>
      </c>
      <c r="D132" s="2">
        <v>0</v>
      </c>
      <c r="E132" s="190"/>
      <c r="F132" s="2">
        <v>0</v>
      </c>
      <c r="G132" s="2">
        <v>0</v>
      </c>
      <c r="H132" s="18"/>
      <c r="I132" s="177">
        <f t="shared" si="4"/>
        <v>0</v>
      </c>
      <c r="J132" s="2"/>
      <c r="K132" t="str">
        <f>VLOOKUP(B132,'Allocations 2026-27'!$B$9:$C$328,2,FALSE)</f>
        <v>Lacrosse Joint</v>
      </c>
      <c r="N132" s="2">
        <f t="shared" si="5"/>
        <v>0</v>
      </c>
      <c r="O132">
        <f t="shared" si="6"/>
        <v>0</v>
      </c>
      <c r="P132" s="2"/>
      <c r="Q132" s="2">
        <f t="shared" si="7"/>
        <v>0</v>
      </c>
    </row>
    <row r="133" spans="2:17" x14ac:dyDescent="0.25">
      <c r="B133" s="31" t="s">
        <v>596</v>
      </c>
      <c r="C133" s="31" t="s">
        <v>130</v>
      </c>
      <c r="D133" s="2">
        <v>363.33000000000004</v>
      </c>
      <c r="E133" s="190"/>
      <c r="F133" s="2">
        <v>0</v>
      </c>
      <c r="G133" s="2">
        <v>0</v>
      </c>
      <c r="I133" s="177">
        <f t="shared" si="4"/>
        <v>363.33000000000004</v>
      </c>
      <c r="J133" s="2"/>
      <c r="K133" t="str">
        <f>VLOOKUP(B133,'Allocations 2026-27'!$B$9:$C$328,2,FALSE)</f>
        <v>Lake Chelan</v>
      </c>
      <c r="N133" s="2">
        <f t="shared" si="5"/>
        <v>0</v>
      </c>
      <c r="O133">
        <f t="shared" si="6"/>
        <v>0</v>
      </c>
      <c r="P133" s="2"/>
      <c r="Q133" s="2">
        <f t="shared" si="7"/>
        <v>0</v>
      </c>
    </row>
    <row r="134" spans="2:17" x14ac:dyDescent="0.25">
      <c r="B134" s="31" t="s">
        <v>597</v>
      </c>
      <c r="C134" s="31" t="s">
        <v>131</v>
      </c>
      <c r="D134" s="2">
        <v>730.5</v>
      </c>
      <c r="E134" s="190"/>
      <c r="F134" s="190">
        <v>6</v>
      </c>
      <c r="G134" s="2">
        <v>0</v>
      </c>
      <c r="H134" s="18"/>
      <c r="I134" s="177">
        <f t="shared" si="4"/>
        <v>736.5</v>
      </c>
      <c r="J134" s="2"/>
      <c r="K134" t="str">
        <f>VLOOKUP(B134,'Allocations 2026-27'!$B$9:$C$328,2,FALSE)</f>
        <v>Lake Stevens</v>
      </c>
      <c r="N134" s="2">
        <f t="shared" si="5"/>
        <v>0</v>
      </c>
      <c r="O134">
        <f t="shared" si="6"/>
        <v>0</v>
      </c>
      <c r="P134" s="2"/>
      <c r="Q134" s="2">
        <f t="shared" si="7"/>
        <v>0</v>
      </c>
    </row>
    <row r="135" spans="2:17" x14ac:dyDescent="0.25">
      <c r="B135" s="31" t="s">
        <v>782</v>
      </c>
      <c r="C135" s="31" t="s">
        <v>132</v>
      </c>
      <c r="D135" s="2">
        <v>0</v>
      </c>
      <c r="E135" s="190"/>
      <c r="F135" s="2">
        <v>0</v>
      </c>
      <c r="G135" s="2">
        <v>0</v>
      </c>
      <c r="H135" s="18"/>
      <c r="I135" s="177">
        <f t="shared" si="4"/>
        <v>0</v>
      </c>
      <c r="J135" s="2"/>
      <c r="K135" t="e">
        <f>VLOOKUP(B135,'Allocations 2026-27'!$B$9:$C$328,2,FALSE)</f>
        <v>#N/A</v>
      </c>
      <c r="N135" s="2">
        <f t="shared" si="5"/>
        <v>0</v>
      </c>
      <c r="O135">
        <f t="shared" si="6"/>
        <v>0</v>
      </c>
      <c r="P135" s="2"/>
      <c r="Q135" s="2">
        <f t="shared" si="7"/>
        <v>0</v>
      </c>
    </row>
    <row r="136" spans="2:17" x14ac:dyDescent="0.25">
      <c r="B136" s="31" t="s">
        <v>598</v>
      </c>
      <c r="C136" s="31" t="s">
        <v>133</v>
      </c>
      <c r="D136" s="2">
        <v>3407.33</v>
      </c>
      <c r="E136" s="190"/>
      <c r="F136" s="190">
        <v>54.333333333333336</v>
      </c>
      <c r="G136" s="2">
        <v>0</v>
      </c>
      <c r="I136" s="177">
        <f t="shared" si="4"/>
        <v>3461.6633333333334</v>
      </c>
      <c r="J136" s="2"/>
      <c r="K136" t="str">
        <f>VLOOKUP(B136,'Allocations 2026-27'!$B$9:$C$328,2,FALSE)</f>
        <v>Lake Washington</v>
      </c>
      <c r="N136" s="2">
        <f t="shared" si="5"/>
        <v>0</v>
      </c>
      <c r="O136">
        <f t="shared" si="6"/>
        <v>0</v>
      </c>
      <c r="P136" s="2"/>
      <c r="Q136" s="2">
        <f t="shared" si="7"/>
        <v>0</v>
      </c>
    </row>
    <row r="137" spans="2:17" x14ac:dyDescent="0.25">
      <c r="B137" s="31" t="s">
        <v>599</v>
      </c>
      <c r="C137" s="31" t="s">
        <v>134</v>
      </c>
      <c r="D137" s="2">
        <v>316</v>
      </c>
      <c r="E137" s="190"/>
      <c r="F137" s="190">
        <v>7.666666666666667</v>
      </c>
      <c r="G137" s="2">
        <v>0</v>
      </c>
      <c r="H137" s="18"/>
      <c r="I137" s="177">
        <f t="shared" ref="I137:I200" si="8">IF(D137+E137+F137+Q137-G137&lt;0,0,D137+E137+F137-G137+Q137)</f>
        <v>323.66666666666669</v>
      </c>
      <c r="J137" s="2"/>
      <c r="K137" t="str">
        <f>VLOOKUP(B137,'Allocations 2026-27'!$B$9:$C$328,2,FALSE)</f>
        <v>Lakewood</v>
      </c>
      <c r="N137" s="2">
        <f t="shared" ref="N137:N200" si="9">IFERROR(D137/L137,0)</f>
        <v>0</v>
      </c>
      <c r="O137">
        <f t="shared" ref="O137:O200" si="10">M137-L137</f>
        <v>0</v>
      </c>
      <c r="P137" s="2"/>
      <c r="Q137" s="2">
        <f t="shared" ref="Q137:Q200" si="11">O137*N137</f>
        <v>0</v>
      </c>
    </row>
    <row r="138" spans="2:17" x14ac:dyDescent="0.25">
      <c r="B138" s="31" t="s">
        <v>600</v>
      </c>
      <c r="C138" s="31" t="s">
        <v>135</v>
      </c>
      <c r="D138" s="2">
        <v>0</v>
      </c>
      <c r="E138" s="190"/>
      <c r="F138" s="2">
        <v>0</v>
      </c>
      <c r="G138" s="2">
        <v>0</v>
      </c>
      <c r="H138" s="18"/>
      <c r="I138" s="177">
        <f t="shared" si="8"/>
        <v>0</v>
      </c>
      <c r="J138" s="2"/>
      <c r="K138" t="str">
        <f>VLOOKUP(B138,'Allocations 2026-27'!$B$9:$C$328,2,FALSE)</f>
        <v>Lamont</v>
      </c>
      <c r="N138" s="2">
        <f t="shared" si="9"/>
        <v>0</v>
      </c>
      <c r="O138">
        <f t="shared" si="10"/>
        <v>0</v>
      </c>
      <c r="P138" s="2"/>
      <c r="Q138" s="2">
        <f t="shared" si="11"/>
        <v>0</v>
      </c>
    </row>
    <row r="139" spans="2:17" x14ac:dyDescent="0.25">
      <c r="B139" s="31" t="s">
        <v>601</v>
      </c>
      <c r="C139" s="31" t="s">
        <v>136</v>
      </c>
      <c r="D139" s="2">
        <v>4</v>
      </c>
      <c r="E139" s="190"/>
      <c r="F139" s="2">
        <v>0</v>
      </c>
      <c r="G139" s="2">
        <v>0</v>
      </c>
      <c r="I139" s="177">
        <f t="shared" si="8"/>
        <v>4</v>
      </c>
      <c r="J139" s="2"/>
      <c r="K139" t="str">
        <f>VLOOKUP(B139,'Allocations 2026-27'!$B$9:$C$328,2,FALSE)</f>
        <v>Liberty</v>
      </c>
      <c r="N139" s="2">
        <f t="shared" si="9"/>
        <v>0</v>
      </c>
      <c r="O139">
        <f t="shared" si="10"/>
        <v>0</v>
      </c>
      <c r="P139" s="2"/>
      <c r="Q139" s="2">
        <f t="shared" si="11"/>
        <v>0</v>
      </c>
    </row>
    <row r="140" spans="2:17" x14ac:dyDescent="0.25">
      <c r="B140" s="31" t="s">
        <v>440</v>
      </c>
      <c r="C140" s="31" t="s">
        <v>137</v>
      </c>
      <c r="D140" s="2">
        <v>15.17</v>
      </c>
      <c r="E140" s="190"/>
      <c r="F140" s="2">
        <v>0</v>
      </c>
      <c r="G140" s="2">
        <v>0</v>
      </c>
      <c r="I140" s="177">
        <f t="shared" si="8"/>
        <v>15.17</v>
      </c>
      <c r="J140" s="2"/>
      <c r="K140" t="str">
        <f>VLOOKUP(B140,'Allocations 2026-27'!$B$9:$C$328,2,FALSE)</f>
        <v>Lind</v>
      </c>
      <c r="N140" s="2">
        <f t="shared" si="9"/>
        <v>0</v>
      </c>
      <c r="O140">
        <f t="shared" si="10"/>
        <v>0</v>
      </c>
      <c r="P140" s="2"/>
      <c r="Q140" s="2">
        <f t="shared" si="11"/>
        <v>0</v>
      </c>
    </row>
    <row r="141" spans="2:17" x14ac:dyDescent="0.25">
      <c r="B141" s="31" t="s">
        <v>602</v>
      </c>
      <c r="C141" s="31" t="s">
        <v>138</v>
      </c>
      <c r="D141" s="2">
        <v>544.16999999999996</v>
      </c>
      <c r="E141" s="190"/>
      <c r="F141" s="190">
        <v>11.166666666666666</v>
      </c>
      <c r="G141" s="2">
        <v>0</v>
      </c>
      <c r="I141" s="177">
        <f t="shared" si="8"/>
        <v>555.33666666666659</v>
      </c>
      <c r="J141" s="2"/>
      <c r="K141" t="str">
        <f>VLOOKUP(B141,'Allocations 2026-27'!$B$9:$C$328,2,FALSE)</f>
        <v>Longview</v>
      </c>
      <c r="N141" s="2">
        <f t="shared" si="9"/>
        <v>0</v>
      </c>
      <c r="O141">
        <f t="shared" si="10"/>
        <v>0</v>
      </c>
      <c r="P141" s="2"/>
      <c r="Q141" s="2">
        <f t="shared" si="11"/>
        <v>0</v>
      </c>
    </row>
    <row r="142" spans="2:17" x14ac:dyDescent="0.25">
      <c r="B142" s="31" t="s">
        <v>603</v>
      </c>
      <c r="C142" s="31" t="s">
        <v>139</v>
      </c>
      <c r="D142" s="2">
        <v>0</v>
      </c>
      <c r="E142" s="190"/>
      <c r="F142" s="2">
        <v>0</v>
      </c>
      <c r="G142" s="2">
        <v>0</v>
      </c>
      <c r="I142" s="177">
        <f t="shared" si="8"/>
        <v>0</v>
      </c>
      <c r="J142" s="2"/>
      <c r="K142" t="str">
        <f>VLOOKUP(B142,'Allocations 2026-27'!$B$9:$C$328,2,FALSE)</f>
        <v>Loon Lake</v>
      </c>
      <c r="N142" s="2">
        <f t="shared" si="9"/>
        <v>0</v>
      </c>
      <c r="O142">
        <f t="shared" si="10"/>
        <v>0</v>
      </c>
      <c r="P142" s="2"/>
      <c r="Q142" s="2">
        <f t="shared" si="11"/>
        <v>0</v>
      </c>
    </row>
    <row r="143" spans="2:17" x14ac:dyDescent="0.25">
      <c r="B143" s="31" t="s">
        <v>488</v>
      </c>
      <c r="C143" s="31" t="s">
        <v>140</v>
      </c>
      <c r="D143" s="2">
        <v>19.5</v>
      </c>
      <c r="E143" s="190"/>
      <c r="F143" s="2">
        <v>0</v>
      </c>
      <c r="G143" s="2">
        <v>0</v>
      </c>
      <c r="H143" s="18"/>
      <c r="I143" s="177">
        <f t="shared" si="8"/>
        <v>19.5</v>
      </c>
      <c r="J143" s="2"/>
      <c r="K143" t="str">
        <f>VLOOKUP(B143,'Allocations 2026-27'!$B$9:$C$328,2,FALSE)</f>
        <v>Lopez</v>
      </c>
      <c r="N143" s="2">
        <f t="shared" si="9"/>
        <v>0</v>
      </c>
      <c r="O143">
        <f t="shared" si="10"/>
        <v>0</v>
      </c>
      <c r="P143" s="2"/>
      <c r="Q143" s="2">
        <f t="shared" si="11"/>
        <v>0</v>
      </c>
    </row>
    <row r="144" spans="2:17" x14ac:dyDescent="0.25">
      <c r="B144" s="33" t="s">
        <v>604</v>
      </c>
      <c r="C144" s="34" t="s">
        <v>141</v>
      </c>
      <c r="D144" s="2">
        <v>3</v>
      </c>
      <c r="E144" s="190"/>
      <c r="F144" s="2">
        <v>0</v>
      </c>
      <c r="G144" s="2">
        <v>0</v>
      </c>
      <c r="I144" s="177">
        <f t="shared" si="8"/>
        <v>3</v>
      </c>
      <c r="J144" s="2"/>
      <c r="K144" t="str">
        <f>VLOOKUP(B144,'Allocations 2026-27'!$B$9:$C$328,2,FALSE)</f>
        <v>Lumen Charter</v>
      </c>
      <c r="N144" s="2">
        <f t="shared" si="9"/>
        <v>0</v>
      </c>
      <c r="O144">
        <f t="shared" si="10"/>
        <v>0</v>
      </c>
      <c r="P144" s="2"/>
      <c r="Q144" s="2">
        <f t="shared" si="11"/>
        <v>0</v>
      </c>
    </row>
    <row r="145" spans="2:17" x14ac:dyDescent="0.25">
      <c r="B145" s="34" t="s">
        <v>783</v>
      </c>
      <c r="C145" s="31" t="s">
        <v>142</v>
      </c>
      <c r="D145" s="2">
        <v>0</v>
      </c>
      <c r="E145" s="190"/>
      <c r="F145" s="2">
        <v>0</v>
      </c>
      <c r="G145" s="2">
        <v>0</v>
      </c>
      <c r="I145" s="177">
        <f t="shared" si="8"/>
        <v>0</v>
      </c>
      <c r="J145" s="2"/>
      <c r="K145" t="e">
        <f>VLOOKUP(B145,'Allocations 2026-27'!$B$9:$C$328,2,FALSE)</f>
        <v>#N/A</v>
      </c>
      <c r="N145" s="2">
        <f t="shared" si="9"/>
        <v>0</v>
      </c>
      <c r="O145">
        <f t="shared" si="10"/>
        <v>0</v>
      </c>
      <c r="P145" s="2"/>
      <c r="Q145" s="2">
        <f t="shared" si="11"/>
        <v>0</v>
      </c>
    </row>
    <row r="146" spans="2:17" x14ac:dyDescent="0.25">
      <c r="B146" s="31" t="s">
        <v>605</v>
      </c>
      <c r="C146" s="31" t="s">
        <v>143</v>
      </c>
      <c r="D146" s="2">
        <v>13</v>
      </c>
      <c r="E146" s="190"/>
      <c r="F146" s="2">
        <v>0</v>
      </c>
      <c r="G146" s="2">
        <v>0</v>
      </c>
      <c r="I146" s="177">
        <f t="shared" si="8"/>
        <v>13</v>
      </c>
      <c r="J146" s="2"/>
      <c r="K146" t="str">
        <f>VLOOKUP(B146,'Allocations 2026-27'!$B$9:$C$328,2,FALSE)</f>
        <v>Lyle</v>
      </c>
      <c r="N146" s="2">
        <f t="shared" si="9"/>
        <v>0</v>
      </c>
      <c r="O146">
        <f t="shared" si="10"/>
        <v>0</v>
      </c>
      <c r="P146" s="2"/>
      <c r="Q146" s="2">
        <f t="shared" si="11"/>
        <v>0</v>
      </c>
    </row>
    <row r="147" spans="2:17" x14ac:dyDescent="0.25">
      <c r="B147" s="31" t="s">
        <v>606</v>
      </c>
      <c r="C147" s="31" t="s">
        <v>144</v>
      </c>
      <c r="D147" s="2">
        <v>407.67</v>
      </c>
      <c r="E147" s="190"/>
      <c r="F147" s="2">
        <v>0</v>
      </c>
      <c r="G147" s="191">
        <v>1</v>
      </c>
      <c r="I147" s="177">
        <f t="shared" si="8"/>
        <v>406.67</v>
      </c>
      <c r="J147" s="2"/>
      <c r="K147" t="str">
        <f>VLOOKUP(B147,'Allocations 2026-27'!$B$9:$C$328,2,FALSE)</f>
        <v>Lynden</v>
      </c>
      <c r="N147" s="2">
        <f t="shared" si="9"/>
        <v>0</v>
      </c>
      <c r="O147">
        <f t="shared" si="10"/>
        <v>0</v>
      </c>
      <c r="P147" s="2"/>
      <c r="Q147" s="2">
        <f t="shared" si="11"/>
        <v>0</v>
      </c>
    </row>
    <row r="148" spans="2:17" x14ac:dyDescent="0.25">
      <c r="B148" s="31" t="s">
        <v>607</v>
      </c>
      <c r="C148" s="31" t="s">
        <v>145</v>
      </c>
      <c r="D148" s="2">
        <v>284.83999999999997</v>
      </c>
      <c r="E148" s="190"/>
      <c r="F148" s="2">
        <v>0</v>
      </c>
      <c r="G148" s="2">
        <v>0</v>
      </c>
      <c r="H148" s="18"/>
      <c r="I148" s="177">
        <f t="shared" si="8"/>
        <v>284.83999999999997</v>
      </c>
      <c r="J148" s="2"/>
      <c r="K148" t="str">
        <f>VLOOKUP(B148,'Allocations 2026-27'!$B$9:$C$328,2,FALSE)</f>
        <v>Mabton</v>
      </c>
      <c r="N148" s="2">
        <f t="shared" si="9"/>
        <v>0</v>
      </c>
      <c r="O148">
        <f t="shared" si="10"/>
        <v>0</v>
      </c>
      <c r="P148" s="2"/>
      <c r="Q148" s="2">
        <f t="shared" si="11"/>
        <v>0</v>
      </c>
    </row>
    <row r="149" spans="2:17" x14ac:dyDescent="0.25">
      <c r="B149" s="31" t="s">
        <v>608</v>
      </c>
      <c r="C149" s="31" t="s">
        <v>146</v>
      </c>
      <c r="D149" s="2">
        <v>12.67</v>
      </c>
      <c r="E149" s="190"/>
      <c r="F149" s="2">
        <v>0</v>
      </c>
      <c r="G149" s="2">
        <v>0</v>
      </c>
      <c r="H149" s="18"/>
      <c r="I149" s="177">
        <f t="shared" si="8"/>
        <v>12.67</v>
      </c>
      <c r="J149" s="2"/>
      <c r="K149" t="str">
        <f>VLOOKUP(B149,'Allocations 2026-27'!$B$9:$C$328,2,FALSE)</f>
        <v>Mansfield</v>
      </c>
      <c r="N149" s="2">
        <f t="shared" si="9"/>
        <v>0</v>
      </c>
      <c r="O149">
        <f t="shared" si="10"/>
        <v>0</v>
      </c>
      <c r="P149" s="2"/>
      <c r="Q149" s="2">
        <f t="shared" si="11"/>
        <v>0</v>
      </c>
    </row>
    <row r="150" spans="2:17" x14ac:dyDescent="0.25">
      <c r="B150" s="31" t="s">
        <v>609</v>
      </c>
      <c r="C150" s="31" t="s">
        <v>147</v>
      </c>
      <c r="D150" s="2">
        <v>196.32999999999998</v>
      </c>
      <c r="E150" s="190"/>
      <c r="F150" s="2">
        <v>0</v>
      </c>
      <c r="G150" s="2">
        <v>0</v>
      </c>
      <c r="H150" s="18"/>
      <c r="I150" s="177">
        <f t="shared" si="8"/>
        <v>196.32999999999998</v>
      </c>
      <c r="J150" s="2"/>
      <c r="K150" t="str">
        <f>VLOOKUP(B150,'Allocations 2026-27'!$B$9:$C$328,2,FALSE)</f>
        <v>Manson</v>
      </c>
      <c r="N150" s="2">
        <f t="shared" si="9"/>
        <v>0</v>
      </c>
      <c r="O150">
        <f t="shared" si="10"/>
        <v>0</v>
      </c>
      <c r="P150" s="2"/>
      <c r="Q150" s="2">
        <f t="shared" si="11"/>
        <v>0</v>
      </c>
    </row>
    <row r="151" spans="2:17" x14ac:dyDescent="0.25">
      <c r="B151" s="31" t="s">
        <v>610</v>
      </c>
      <c r="C151" s="31" t="s">
        <v>148</v>
      </c>
      <c r="D151" s="2">
        <v>25.5</v>
      </c>
      <c r="E151" s="190"/>
      <c r="F151" s="190">
        <v>1</v>
      </c>
      <c r="G151" s="2">
        <v>0</v>
      </c>
      <c r="I151" s="177">
        <f t="shared" si="8"/>
        <v>26.5</v>
      </c>
      <c r="J151" s="2"/>
      <c r="K151" t="str">
        <f>VLOOKUP(B151,'Allocations 2026-27'!$B$9:$C$328,2,FALSE)</f>
        <v>Mary M Knight</v>
      </c>
      <c r="N151" s="2">
        <f t="shared" si="9"/>
        <v>0</v>
      </c>
      <c r="O151">
        <f t="shared" si="10"/>
        <v>0</v>
      </c>
      <c r="P151" s="2"/>
      <c r="Q151" s="2">
        <f t="shared" si="11"/>
        <v>0</v>
      </c>
    </row>
    <row r="152" spans="2:17" x14ac:dyDescent="0.25">
      <c r="B152" s="31" t="s">
        <v>611</v>
      </c>
      <c r="C152" s="31" t="s">
        <v>149</v>
      </c>
      <c r="D152" s="2">
        <v>0</v>
      </c>
      <c r="E152" s="190"/>
      <c r="F152" s="2">
        <v>0</v>
      </c>
      <c r="G152" s="2">
        <v>0</v>
      </c>
      <c r="I152" s="177">
        <f t="shared" si="8"/>
        <v>0</v>
      </c>
      <c r="J152" s="2"/>
      <c r="K152" t="str">
        <f>VLOOKUP(B152,'Allocations 2026-27'!$B$9:$C$328,2,FALSE)</f>
        <v>Mary Walker</v>
      </c>
      <c r="N152" s="2">
        <f t="shared" si="9"/>
        <v>0</v>
      </c>
      <c r="O152">
        <f t="shared" si="10"/>
        <v>0</v>
      </c>
      <c r="P152" s="2"/>
      <c r="Q152" s="2">
        <f t="shared" si="11"/>
        <v>0</v>
      </c>
    </row>
    <row r="153" spans="2:17" x14ac:dyDescent="0.25">
      <c r="B153" s="31" t="s">
        <v>612</v>
      </c>
      <c r="C153" s="31" t="s">
        <v>150</v>
      </c>
      <c r="D153" s="2">
        <v>1505.5</v>
      </c>
      <c r="E153" s="190"/>
      <c r="F153" s="190">
        <v>70</v>
      </c>
      <c r="G153" s="191">
        <v>1</v>
      </c>
      <c r="I153" s="177">
        <f t="shared" si="8"/>
        <v>1574.5</v>
      </c>
      <c r="J153" s="2"/>
      <c r="K153" t="str">
        <f>VLOOKUP(B153,'Allocations 2026-27'!$B$9:$C$328,2,FALSE)</f>
        <v>Marysville</v>
      </c>
      <c r="N153" s="2">
        <f t="shared" si="9"/>
        <v>0</v>
      </c>
      <c r="O153">
        <f t="shared" si="10"/>
        <v>0</v>
      </c>
      <c r="P153" s="2"/>
      <c r="Q153" s="2">
        <f t="shared" si="11"/>
        <v>0</v>
      </c>
    </row>
    <row r="154" spans="2:17" x14ac:dyDescent="0.25">
      <c r="B154" s="31" t="s">
        <v>613</v>
      </c>
      <c r="C154" s="31" t="s">
        <v>151</v>
      </c>
      <c r="D154" s="2">
        <v>1.83</v>
      </c>
      <c r="E154" s="190"/>
      <c r="F154" s="2">
        <v>0</v>
      </c>
      <c r="G154" s="2">
        <v>0</v>
      </c>
      <c r="I154" s="177">
        <f t="shared" si="8"/>
        <v>1.83</v>
      </c>
      <c r="J154" s="2"/>
      <c r="K154" t="str">
        <f>VLOOKUP(B154,'Allocations 2026-27'!$B$9:$C$328,2,FALSE)</f>
        <v>Mc Cleary</v>
      </c>
      <c r="N154" s="2">
        <f t="shared" si="9"/>
        <v>0</v>
      </c>
      <c r="O154">
        <f t="shared" si="10"/>
        <v>0</v>
      </c>
      <c r="P154" s="2"/>
      <c r="Q154" s="2">
        <f t="shared" si="11"/>
        <v>0</v>
      </c>
    </row>
    <row r="155" spans="2:17" x14ac:dyDescent="0.25">
      <c r="B155" s="31" t="s">
        <v>614</v>
      </c>
      <c r="C155" s="31" t="s">
        <v>152</v>
      </c>
      <c r="D155" s="2">
        <v>436.66</v>
      </c>
      <c r="E155" s="190"/>
      <c r="F155" s="190">
        <v>29.5</v>
      </c>
      <c r="G155" s="2">
        <v>0</v>
      </c>
      <c r="H155" s="18"/>
      <c r="I155" s="177">
        <f t="shared" si="8"/>
        <v>466.16</v>
      </c>
      <c r="J155" s="2"/>
      <c r="K155" t="str">
        <f>VLOOKUP(B155,'Allocations 2026-27'!$B$9:$C$328,2,FALSE)</f>
        <v>Mead</v>
      </c>
      <c r="N155" s="2">
        <f t="shared" si="9"/>
        <v>0</v>
      </c>
      <c r="O155">
        <f t="shared" si="10"/>
        <v>0</v>
      </c>
      <c r="P155" s="2"/>
      <c r="Q155" s="2">
        <f t="shared" si="11"/>
        <v>0</v>
      </c>
    </row>
    <row r="156" spans="2:17" x14ac:dyDescent="0.25">
      <c r="B156" s="31" t="s">
        <v>615</v>
      </c>
      <c r="C156" s="31" t="s">
        <v>153</v>
      </c>
      <c r="D156" s="2">
        <v>29.840000000000003</v>
      </c>
      <c r="E156" s="190"/>
      <c r="F156" s="2">
        <v>0</v>
      </c>
      <c r="G156" s="2">
        <v>0</v>
      </c>
      <c r="H156" s="18"/>
      <c r="I156" s="177">
        <f t="shared" si="8"/>
        <v>29.840000000000003</v>
      </c>
      <c r="J156" s="2"/>
      <c r="K156" t="str">
        <f>VLOOKUP(B156,'Allocations 2026-27'!$B$9:$C$328,2,FALSE)</f>
        <v>Medical Lake</v>
      </c>
      <c r="N156" s="2">
        <f t="shared" si="9"/>
        <v>0</v>
      </c>
      <c r="O156">
        <f t="shared" si="10"/>
        <v>0</v>
      </c>
      <c r="P156" s="2"/>
      <c r="Q156" s="2">
        <f t="shared" si="11"/>
        <v>0</v>
      </c>
    </row>
    <row r="157" spans="2:17" x14ac:dyDescent="0.25">
      <c r="B157" s="31" t="s">
        <v>616</v>
      </c>
      <c r="C157" s="31" t="s">
        <v>154</v>
      </c>
      <c r="D157" s="2">
        <v>146.5</v>
      </c>
      <c r="E157" s="190"/>
      <c r="F157" s="2">
        <v>0</v>
      </c>
      <c r="G157" s="2">
        <v>0</v>
      </c>
      <c r="H157" s="18"/>
      <c r="I157" s="177">
        <f t="shared" si="8"/>
        <v>146.5</v>
      </c>
      <c r="J157" s="2"/>
      <c r="K157" t="str">
        <f>VLOOKUP(B157,'Allocations 2026-27'!$B$9:$C$328,2,FALSE)</f>
        <v>Mercer Island</v>
      </c>
      <c r="N157" s="2">
        <f t="shared" si="9"/>
        <v>0</v>
      </c>
      <c r="O157">
        <f t="shared" si="10"/>
        <v>0</v>
      </c>
      <c r="P157" s="2"/>
      <c r="Q157" s="2">
        <f t="shared" si="11"/>
        <v>0</v>
      </c>
    </row>
    <row r="158" spans="2:17" x14ac:dyDescent="0.25">
      <c r="B158" s="31" t="s">
        <v>617</v>
      </c>
      <c r="C158" s="31" t="s">
        <v>155</v>
      </c>
      <c r="D158" s="2">
        <v>251.83999999999997</v>
      </c>
      <c r="E158" s="190"/>
      <c r="F158" s="190">
        <v>16</v>
      </c>
      <c r="G158" s="2">
        <v>0</v>
      </c>
      <c r="H158" s="18"/>
      <c r="I158" s="177">
        <f t="shared" si="8"/>
        <v>267.83999999999997</v>
      </c>
      <c r="J158" s="2"/>
      <c r="K158" t="str">
        <f>VLOOKUP(B158,'Allocations 2026-27'!$B$9:$C$328,2,FALSE)</f>
        <v>Meridian</v>
      </c>
      <c r="N158" s="2">
        <f t="shared" si="9"/>
        <v>0</v>
      </c>
      <c r="O158">
        <f t="shared" si="10"/>
        <v>0</v>
      </c>
      <c r="P158" s="2"/>
      <c r="Q158" s="2">
        <f t="shared" si="11"/>
        <v>0</v>
      </c>
    </row>
    <row r="159" spans="2:17" x14ac:dyDescent="0.25">
      <c r="B159" s="31" t="s">
        <v>618</v>
      </c>
      <c r="C159" s="31" t="s">
        <v>156</v>
      </c>
      <c r="D159" s="2">
        <v>22</v>
      </c>
      <c r="E159" s="190"/>
      <c r="F159" s="2">
        <v>0</v>
      </c>
      <c r="G159" s="2">
        <v>0</v>
      </c>
      <c r="H159" s="18"/>
      <c r="I159" s="177">
        <f t="shared" si="8"/>
        <v>22</v>
      </c>
      <c r="J159" s="2"/>
      <c r="K159" t="str">
        <f>VLOOKUP(B159,'Allocations 2026-27'!$B$9:$C$328,2,FALSE)</f>
        <v>Methow Valley</v>
      </c>
      <c r="N159" s="2">
        <f t="shared" si="9"/>
        <v>0</v>
      </c>
      <c r="O159">
        <f t="shared" si="10"/>
        <v>0</v>
      </c>
      <c r="P159" s="2"/>
      <c r="Q159" s="2">
        <f t="shared" si="11"/>
        <v>0</v>
      </c>
    </row>
    <row r="160" spans="2:17" x14ac:dyDescent="0.25">
      <c r="B160" s="31" t="s">
        <v>619</v>
      </c>
      <c r="C160" s="31" t="s">
        <v>157</v>
      </c>
      <c r="D160" s="2">
        <v>0</v>
      </c>
      <c r="E160" s="190"/>
      <c r="F160" s="2">
        <v>0</v>
      </c>
      <c r="G160" s="2">
        <v>0</v>
      </c>
      <c r="I160" s="177">
        <f t="shared" si="8"/>
        <v>0</v>
      </c>
      <c r="J160" s="2"/>
      <c r="K160" t="str">
        <f>VLOOKUP(B160,'Allocations 2026-27'!$B$9:$C$328,2,FALSE)</f>
        <v>Mill A</v>
      </c>
      <c r="N160" s="2">
        <f t="shared" si="9"/>
        <v>0</v>
      </c>
      <c r="O160">
        <f t="shared" si="10"/>
        <v>0</v>
      </c>
      <c r="P160" s="2"/>
      <c r="Q160" s="2">
        <f t="shared" si="11"/>
        <v>0</v>
      </c>
    </row>
    <row r="161" spans="2:17" x14ac:dyDescent="0.25">
      <c r="B161" s="31" t="s">
        <v>620</v>
      </c>
      <c r="C161" s="31" t="s">
        <v>158</v>
      </c>
      <c r="D161" s="2">
        <v>787.17000000000007</v>
      </c>
      <c r="E161" s="190"/>
      <c r="F161" s="190">
        <v>7</v>
      </c>
      <c r="G161" s="2">
        <v>0</v>
      </c>
      <c r="H161" s="18"/>
      <c r="I161" s="177">
        <f t="shared" si="8"/>
        <v>794.17000000000007</v>
      </c>
      <c r="J161" s="2"/>
      <c r="K161" t="str">
        <f>VLOOKUP(B161,'Allocations 2026-27'!$B$9:$C$328,2,FALSE)</f>
        <v>Monroe</v>
      </c>
      <c r="N161" s="2">
        <f t="shared" si="9"/>
        <v>0</v>
      </c>
      <c r="O161">
        <f t="shared" si="10"/>
        <v>0</v>
      </c>
      <c r="P161" s="2"/>
      <c r="Q161" s="2">
        <f t="shared" si="11"/>
        <v>0</v>
      </c>
    </row>
    <row r="162" spans="2:17" x14ac:dyDescent="0.25">
      <c r="B162" s="31" t="s">
        <v>621</v>
      </c>
      <c r="C162" s="31" t="s">
        <v>159</v>
      </c>
      <c r="D162" s="2">
        <v>38.17</v>
      </c>
      <c r="E162" s="190"/>
      <c r="F162" s="2">
        <v>0</v>
      </c>
      <c r="G162" s="2">
        <v>0</v>
      </c>
      <c r="H162" s="18"/>
      <c r="I162" s="177">
        <f t="shared" si="8"/>
        <v>38.17</v>
      </c>
      <c r="J162" s="2"/>
      <c r="K162" t="str">
        <f>VLOOKUP(B162,'Allocations 2026-27'!$B$9:$C$328,2,FALSE)</f>
        <v>Montesano</v>
      </c>
      <c r="N162" s="2">
        <f t="shared" si="9"/>
        <v>0</v>
      </c>
      <c r="O162">
        <f t="shared" si="10"/>
        <v>0</v>
      </c>
      <c r="P162" s="2"/>
      <c r="Q162" s="2">
        <f t="shared" si="11"/>
        <v>0</v>
      </c>
    </row>
    <row r="163" spans="2:17" x14ac:dyDescent="0.25">
      <c r="B163" s="31" t="s">
        <v>622</v>
      </c>
      <c r="C163" s="31" t="s">
        <v>160</v>
      </c>
      <c r="D163" s="2">
        <v>0.33</v>
      </c>
      <c r="E163" s="190"/>
      <c r="F163" s="2">
        <v>0</v>
      </c>
      <c r="G163" s="2">
        <v>0</v>
      </c>
      <c r="H163" s="18"/>
      <c r="I163" s="177">
        <f t="shared" si="8"/>
        <v>0.33</v>
      </c>
      <c r="J163" s="2"/>
      <c r="K163" t="str">
        <f>VLOOKUP(B163,'Allocations 2026-27'!$B$9:$C$328,2,FALSE)</f>
        <v>Morton</v>
      </c>
      <c r="N163" s="2">
        <f t="shared" si="9"/>
        <v>0</v>
      </c>
      <c r="O163">
        <f t="shared" si="10"/>
        <v>0</v>
      </c>
      <c r="P163" s="2"/>
      <c r="Q163" s="2">
        <f t="shared" si="11"/>
        <v>0</v>
      </c>
    </row>
    <row r="164" spans="2:17" x14ac:dyDescent="0.25">
      <c r="B164" s="31" t="s">
        <v>623</v>
      </c>
      <c r="C164" s="31" t="s">
        <v>161</v>
      </c>
      <c r="D164" s="2">
        <v>1162.5</v>
      </c>
      <c r="E164" s="190"/>
      <c r="F164" s="190">
        <v>5</v>
      </c>
      <c r="G164" s="2">
        <v>0</v>
      </c>
      <c r="H164" s="18"/>
      <c r="I164" s="177">
        <f t="shared" si="8"/>
        <v>1167.5</v>
      </c>
      <c r="J164" s="2"/>
      <c r="K164" t="str">
        <f>VLOOKUP(B164,'Allocations 2026-27'!$B$9:$C$328,2,FALSE)</f>
        <v>Moses Lake</v>
      </c>
      <c r="N164" s="2">
        <f t="shared" si="9"/>
        <v>0</v>
      </c>
      <c r="O164">
        <f t="shared" si="10"/>
        <v>0</v>
      </c>
      <c r="P164" s="2"/>
      <c r="Q164" s="2">
        <f t="shared" si="11"/>
        <v>0</v>
      </c>
    </row>
    <row r="165" spans="2:17" x14ac:dyDescent="0.25">
      <c r="B165" s="31" t="s">
        <v>468</v>
      </c>
      <c r="C165" s="31" t="s">
        <v>162</v>
      </c>
      <c r="D165" s="2">
        <v>67.17</v>
      </c>
      <c r="E165" s="190"/>
      <c r="F165" s="2">
        <v>0</v>
      </c>
      <c r="G165" s="2">
        <v>0</v>
      </c>
      <c r="I165" s="177">
        <f t="shared" si="8"/>
        <v>67.17</v>
      </c>
      <c r="J165" s="2"/>
      <c r="K165" t="str">
        <f>VLOOKUP(B165,'Allocations 2026-27'!$B$9:$C$328,2,FALSE)</f>
        <v>Mossyrock</v>
      </c>
      <c r="N165" s="2">
        <f t="shared" si="9"/>
        <v>0</v>
      </c>
      <c r="O165">
        <f t="shared" si="10"/>
        <v>0</v>
      </c>
      <c r="P165" s="2"/>
      <c r="Q165" s="2">
        <f t="shared" si="11"/>
        <v>0</v>
      </c>
    </row>
    <row r="166" spans="2:17" x14ac:dyDescent="0.25">
      <c r="B166" s="31" t="s">
        <v>624</v>
      </c>
      <c r="C166" s="31" t="s">
        <v>163</v>
      </c>
      <c r="D166" s="2">
        <v>121.34</v>
      </c>
      <c r="E166" s="190"/>
      <c r="F166" s="190">
        <v>220.83333333333334</v>
      </c>
      <c r="G166" s="2">
        <v>0</v>
      </c>
      <c r="I166" s="177">
        <f t="shared" si="8"/>
        <v>342.17333333333335</v>
      </c>
      <c r="J166" s="2"/>
      <c r="K166" t="str">
        <f>VLOOKUP(B166,'Allocations 2026-27'!$B$9:$C$328,2,FALSE)</f>
        <v>Mount Adams</v>
      </c>
      <c r="N166" s="2">
        <f t="shared" si="9"/>
        <v>0</v>
      </c>
      <c r="O166">
        <f t="shared" si="10"/>
        <v>0</v>
      </c>
      <c r="P166" s="2"/>
      <c r="Q166" s="2">
        <f t="shared" si="11"/>
        <v>0</v>
      </c>
    </row>
    <row r="167" spans="2:17" x14ac:dyDescent="0.25">
      <c r="B167" s="31" t="s">
        <v>625</v>
      </c>
      <c r="C167" s="31" t="s">
        <v>164</v>
      </c>
      <c r="D167" s="2">
        <v>91.67</v>
      </c>
      <c r="E167" s="190"/>
      <c r="F167" s="190">
        <v>26.833333333333332</v>
      </c>
      <c r="G167" s="2">
        <v>0</v>
      </c>
      <c r="I167" s="177">
        <f t="shared" si="8"/>
        <v>118.50333333333333</v>
      </c>
      <c r="J167" s="2"/>
      <c r="K167" t="str">
        <f>VLOOKUP(B167,'Allocations 2026-27'!$B$9:$C$328,2,FALSE)</f>
        <v>Mount Baker</v>
      </c>
      <c r="N167" s="2">
        <f t="shared" si="9"/>
        <v>0</v>
      </c>
      <c r="O167">
        <f t="shared" si="10"/>
        <v>0</v>
      </c>
      <c r="P167" s="2"/>
      <c r="Q167" s="2">
        <f t="shared" si="11"/>
        <v>0</v>
      </c>
    </row>
    <row r="168" spans="2:17" x14ac:dyDescent="0.25">
      <c r="B168" s="31" t="s">
        <v>626</v>
      </c>
      <c r="C168" s="31" t="s">
        <v>165</v>
      </c>
      <c r="D168" s="2">
        <v>0</v>
      </c>
      <c r="E168" s="190"/>
      <c r="F168" s="2">
        <v>0</v>
      </c>
      <c r="G168" s="2">
        <v>0</v>
      </c>
      <c r="I168" s="177">
        <f t="shared" si="8"/>
        <v>0</v>
      </c>
      <c r="J168" s="2"/>
      <c r="K168" t="str">
        <f>VLOOKUP(B168,'Allocations 2026-27'!$B$9:$C$328,2,FALSE)</f>
        <v>Mount Pleasant</v>
      </c>
      <c r="N168" s="2">
        <f t="shared" si="9"/>
        <v>0</v>
      </c>
      <c r="O168">
        <f t="shared" si="10"/>
        <v>0</v>
      </c>
      <c r="P168" s="2"/>
      <c r="Q168" s="2">
        <f t="shared" si="11"/>
        <v>0</v>
      </c>
    </row>
    <row r="169" spans="2:17" x14ac:dyDescent="0.25">
      <c r="B169" s="31" t="s">
        <v>627</v>
      </c>
      <c r="C169" s="31" t="s">
        <v>166</v>
      </c>
      <c r="D169" s="2">
        <v>1825.83</v>
      </c>
      <c r="E169" s="190"/>
      <c r="F169" s="190">
        <v>8.5</v>
      </c>
      <c r="G169" s="2">
        <v>0</v>
      </c>
      <c r="H169" s="18"/>
      <c r="I169" s="177">
        <f t="shared" si="8"/>
        <v>1834.33</v>
      </c>
      <c r="J169" s="2"/>
      <c r="K169" t="str">
        <f>VLOOKUP(B169,'Allocations 2026-27'!$B$9:$C$328,2,FALSE)</f>
        <v>Mt Vernon</v>
      </c>
      <c r="N169" s="2">
        <f t="shared" si="9"/>
        <v>0</v>
      </c>
      <c r="O169">
        <f t="shared" si="10"/>
        <v>0</v>
      </c>
      <c r="P169" s="2"/>
      <c r="Q169" s="2">
        <f t="shared" si="11"/>
        <v>0</v>
      </c>
    </row>
    <row r="170" spans="2:17" x14ac:dyDescent="0.25">
      <c r="B170" s="34" t="s">
        <v>784</v>
      </c>
      <c r="C170" s="31" t="s">
        <v>167</v>
      </c>
      <c r="D170" s="2">
        <v>0</v>
      </c>
      <c r="E170" s="190"/>
      <c r="F170" s="2">
        <v>0</v>
      </c>
      <c r="G170" s="2">
        <v>0</v>
      </c>
      <c r="H170" s="18"/>
      <c r="I170" s="177">
        <f t="shared" si="8"/>
        <v>0</v>
      </c>
      <c r="J170" s="2"/>
      <c r="K170" t="e">
        <f>VLOOKUP(B170,'Allocations 2026-27'!$B$9:$C$328,2,FALSE)</f>
        <v>#N/A</v>
      </c>
      <c r="N170" s="2">
        <f t="shared" si="9"/>
        <v>0</v>
      </c>
      <c r="O170">
        <f t="shared" si="10"/>
        <v>0</v>
      </c>
      <c r="P170" s="2"/>
      <c r="Q170" s="2">
        <f t="shared" si="11"/>
        <v>0</v>
      </c>
    </row>
    <row r="171" spans="2:17" x14ac:dyDescent="0.25">
      <c r="B171" s="31" t="s">
        <v>628</v>
      </c>
      <c r="C171" s="31" t="s">
        <v>168</v>
      </c>
      <c r="D171" s="2">
        <v>4251.16</v>
      </c>
      <c r="E171" s="190"/>
      <c r="F171" s="190">
        <v>10</v>
      </c>
      <c r="G171" s="2">
        <v>0</v>
      </c>
      <c r="H171" s="18"/>
      <c r="I171" s="177">
        <f t="shared" si="8"/>
        <v>4261.16</v>
      </c>
      <c r="J171" s="2"/>
      <c r="K171" t="str">
        <f>VLOOKUP(B171,'Allocations 2026-27'!$B$9:$C$328,2,FALSE)</f>
        <v>Mukilteo</v>
      </c>
      <c r="N171" s="2">
        <f t="shared" si="9"/>
        <v>0</v>
      </c>
      <c r="O171">
        <f t="shared" si="10"/>
        <v>0</v>
      </c>
      <c r="P171" s="2"/>
      <c r="Q171" s="2">
        <f t="shared" si="11"/>
        <v>0</v>
      </c>
    </row>
    <row r="172" spans="2:17" x14ac:dyDescent="0.25">
      <c r="B172" s="31" t="s">
        <v>629</v>
      </c>
      <c r="C172" s="31" t="s">
        <v>169</v>
      </c>
      <c r="D172" s="2">
        <v>67.66</v>
      </c>
      <c r="E172" s="190"/>
      <c r="F172" s="190">
        <v>8.3333333333333339</v>
      </c>
      <c r="G172" s="2">
        <v>0</v>
      </c>
      <c r="I172" s="177">
        <f t="shared" si="8"/>
        <v>75.993333333333325</v>
      </c>
      <c r="J172" s="2"/>
      <c r="K172" t="str">
        <f>VLOOKUP(B172,'Allocations 2026-27'!$B$9:$C$328,2,FALSE)</f>
        <v>Naches Valley</v>
      </c>
      <c r="N172" s="2">
        <f t="shared" si="9"/>
        <v>0</v>
      </c>
      <c r="O172">
        <f t="shared" si="10"/>
        <v>0</v>
      </c>
      <c r="P172" s="2"/>
      <c r="Q172" s="2">
        <f t="shared" si="11"/>
        <v>0</v>
      </c>
    </row>
    <row r="173" spans="2:17" x14ac:dyDescent="0.25">
      <c r="B173" s="31" t="s">
        <v>630</v>
      </c>
      <c r="C173" s="31" t="s">
        <v>170</v>
      </c>
      <c r="D173" s="2">
        <v>25.67</v>
      </c>
      <c r="E173" s="190"/>
      <c r="F173" s="2">
        <v>0</v>
      </c>
      <c r="G173" s="2">
        <v>0</v>
      </c>
      <c r="H173" s="18"/>
      <c r="I173" s="177">
        <f t="shared" si="8"/>
        <v>25.67</v>
      </c>
      <c r="J173" s="2"/>
      <c r="K173" t="str">
        <f>VLOOKUP(B173,'Allocations 2026-27'!$B$9:$C$328,2,FALSE)</f>
        <v>Napavine</v>
      </c>
      <c r="N173" s="2">
        <f t="shared" si="9"/>
        <v>0</v>
      </c>
      <c r="O173">
        <f t="shared" si="10"/>
        <v>0</v>
      </c>
      <c r="P173" s="2"/>
      <c r="Q173" s="2">
        <f t="shared" si="11"/>
        <v>0</v>
      </c>
    </row>
    <row r="174" spans="2:17" x14ac:dyDescent="0.25">
      <c r="B174" s="31" t="s">
        <v>477</v>
      </c>
      <c r="C174" s="31" t="s">
        <v>171</v>
      </c>
      <c r="D174" s="2">
        <v>12.34</v>
      </c>
      <c r="E174" s="190"/>
      <c r="F174" s="2">
        <v>0</v>
      </c>
      <c r="G174" s="2">
        <v>0</v>
      </c>
      <c r="I174" s="177">
        <f t="shared" si="8"/>
        <v>12.34</v>
      </c>
      <c r="J174" s="2"/>
      <c r="K174" t="str">
        <f>VLOOKUP(B174,'Allocations 2026-27'!$B$9:$C$328,2,FALSE)</f>
        <v>Naselle Grays Riv</v>
      </c>
      <c r="N174" s="2">
        <f t="shared" si="9"/>
        <v>0</v>
      </c>
      <c r="O174">
        <f t="shared" si="10"/>
        <v>0</v>
      </c>
      <c r="P174" s="2"/>
      <c r="Q174" s="2">
        <f t="shared" si="11"/>
        <v>0</v>
      </c>
    </row>
    <row r="175" spans="2:17" x14ac:dyDescent="0.25">
      <c r="B175" s="31" t="s">
        <v>631</v>
      </c>
      <c r="C175" s="31" t="s">
        <v>172</v>
      </c>
      <c r="D175" s="2">
        <v>0</v>
      </c>
      <c r="E175" s="190"/>
      <c r="F175" s="190">
        <v>14.833333333333334</v>
      </c>
      <c r="G175" s="2">
        <v>0</v>
      </c>
      <c r="I175" s="177">
        <f t="shared" si="8"/>
        <v>14.833333333333334</v>
      </c>
      <c r="J175" s="2"/>
      <c r="K175" t="str">
        <f>VLOOKUP(B175,'Allocations 2026-27'!$B$9:$C$328,2,FALSE)</f>
        <v>Nespelem</v>
      </c>
      <c r="N175" s="2">
        <f t="shared" si="9"/>
        <v>0</v>
      </c>
      <c r="O175">
        <f t="shared" si="10"/>
        <v>0</v>
      </c>
      <c r="P175" s="2"/>
      <c r="Q175" s="2">
        <f t="shared" si="11"/>
        <v>0</v>
      </c>
    </row>
    <row r="176" spans="2:17" x14ac:dyDescent="0.25">
      <c r="B176" s="31" t="s">
        <v>632</v>
      </c>
      <c r="C176" s="31" t="s">
        <v>173</v>
      </c>
      <c r="D176" s="2">
        <v>0</v>
      </c>
      <c r="E176" s="190"/>
      <c r="F176" s="2">
        <v>0</v>
      </c>
      <c r="G176" s="2">
        <v>0</v>
      </c>
      <c r="H176" s="18"/>
      <c r="I176" s="177">
        <f t="shared" si="8"/>
        <v>0</v>
      </c>
      <c r="J176" s="2"/>
      <c r="K176" t="str">
        <f>VLOOKUP(B176,'Allocations 2026-27'!$B$9:$C$328,2,FALSE)</f>
        <v>Newport</v>
      </c>
      <c r="N176" s="2">
        <f t="shared" si="9"/>
        <v>0</v>
      </c>
      <c r="O176">
        <f t="shared" si="10"/>
        <v>0</v>
      </c>
      <c r="P176" s="2"/>
      <c r="Q176" s="2">
        <f t="shared" si="11"/>
        <v>0</v>
      </c>
    </row>
    <row r="177" spans="2:17" x14ac:dyDescent="0.25">
      <c r="B177" s="31" t="s">
        <v>633</v>
      </c>
      <c r="C177" s="31" t="s">
        <v>174</v>
      </c>
      <c r="D177" s="2">
        <v>10.5</v>
      </c>
      <c r="E177" s="190"/>
      <c r="F177" s="2">
        <v>0</v>
      </c>
      <c r="G177" s="2">
        <v>0</v>
      </c>
      <c r="H177" s="18"/>
      <c r="I177" s="177">
        <f t="shared" si="8"/>
        <v>10.5</v>
      </c>
      <c r="J177" s="2"/>
      <c r="K177" t="str">
        <f>VLOOKUP(B177,'Allocations 2026-27'!$B$9:$C$328,2,FALSE)</f>
        <v>Nine Mile Falls</v>
      </c>
      <c r="N177" s="2">
        <f t="shared" si="9"/>
        <v>0</v>
      </c>
      <c r="O177">
        <f t="shared" si="10"/>
        <v>0</v>
      </c>
      <c r="P177" s="2"/>
      <c r="Q177" s="2">
        <f t="shared" si="11"/>
        <v>0</v>
      </c>
    </row>
    <row r="178" spans="2:17" x14ac:dyDescent="0.25">
      <c r="B178" s="31" t="s">
        <v>634</v>
      </c>
      <c r="C178" s="31" t="s">
        <v>175</v>
      </c>
      <c r="D178" s="2">
        <v>306.33999999999997</v>
      </c>
      <c r="E178" s="190"/>
      <c r="F178" s="190">
        <v>30.666666666666668</v>
      </c>
      <c r="G178" s="2">
        <v>0</v>
      </c>
      <c r="I178" s="177">
        <f t="shared" si="8"/>
        <v>337.00666666666666</v>
      </c>
      <c r="J178" s="2"/>
      <c r="K178" t="str">
        <f>VLOOKUP(B178,'Allocations 2026-27'!$B$9:$C$328,2,FALSE)</f>
        <v>Nooksack Valley</v>
      </c>
      <c r="N178" s="2">
        <f t="shared" si="9"/>
        <v>0</v>
      </c>
      <c r="O178">
        <f t="shared" si="10"/>
        <v>0</v>
      </c>
      <c r="P178" s="2"/>
      <c r="Q178" s="2">
        <f t="shared" si="11"/>
        <v>0</v>
      </c>
    </row>
    <row r="179" spans="2:17" x14ac:dyDescent="0.25">
      <c r="B179" s="31" t="s">
        <v>635</v>
      </c>
      <c r="C179" s="31" t="s">
        <v>176</v>
      </c>
      <c r="D179" s="2">
        <v>15</v>
      </c>
      <c r="E179" s="190"/>
      <c r="F179" s="190">
        <v>4</v>
      </c>
      <c r="G179" s="2">
        <v>0</v>
      </c>
      <c r="H179" s="18"/>
      <c r="I179" s="177">
        <f t="shared" si="8"/>
        <v>19</v>
      </c>
      <c r="J179" s="2"/>
      <c r="K179" t="str">
        <f>VLOOKUP(B179,'Allocations 2026-27'!$B$9:$C$328,2,FALSE)</f>
        <v>North Beach</v>
      </c>
      <c r="N179" s="2">
        <f t="shared" si="9"/>
        <v>0</v>
      </c>
      <c r="O179">
        <f t="shared" si="10"/>
        <v>0</v>
      </c>
      <c r="P179" s="2"/>
      <c r="Q179" s="2">
        <f t="shared" si="11"/>
        <v>0</v>
      </c>
    </row>
    <row r="180" spans="2:17" x14ac:dyDescent="0.25">
      <c r="B180" s="31" t="s">
        <v>636</v>
      </c>
      <c r="C180" s="31" t="s">
        <v>177</v>
      </c>
      <c r="D180" s="2">
        <v>722.32999999999993</v>
      </c>
      <c r="E180" s="190"/>
      <c r="F180" s="190">
        <v>1</v>
      </c>
      <c r="G180" s="2">
        <v>0</v>
      </c>
      <c r="H180" s="18"/>
      <c r="I180" s="177">
        <f t="shared" si="8"/>
        <v>723.32999999999993</v>
      </c>
      <c r="J180" s="2"/>
      <c r="K180" t="str">
        <f>VLOOKUP(B180,'Allocations 2026-27'!$B$9:$C$328,2,FALSE)</f>
        <v>North Franklin</v>
      </c>
      <c r="N180" s="2">
        <f t="shared" si="9"/>
        <v>0</v>
      </c>
      <c r="O180">
        <f t="shared" si="10"/>
        <v>0</v>
      </c>
      <c r="P180" s="2"/>
      <c r="Q180" s="2">
        <f t="shared" si="11"/>
        <v>0</v>
      </c>
    </row>
    <row r="181" spans="2:17" x14ac:dyDescent="0.25">
      <c r="B181" s="31" t="s">
        <v>637</v>
      </c>
      <c r="C181" s="31" t="s">
        <v>178</v>
      </c>
      <c r="D181" s="2">
        <v>313.33999999999997</v>
      </c>
      <c r="E181" s="190"/>
      <c r="F181" s="190">
        <v>28.333333333333332</v>
      </c>
      <c r="G181" s="2">
        <v>0</v>
      </c>
      <c r="H181" s="18"/>
      <c r="I181" s="177">
        <f t="shared" si="8"/>
        <v>341.67333333333329</v>
      </c>
      <c r="J181" s="2"/>
      <c r="K181" t="str">
        <f>VLOOKUP(B181,'Allocations 2026-27'!$B$9:$C$328,2,FALSE)</f>
        <v>North Kitsap</v>
      </c>
      <c r="N181" s="2">
        <f t="shared" si="9"/>
        <v>0</v>
      </c>
      <c r="O181">
        <f t="shared" si="10"/>
        <v>0</v>
      </c>
      <c r="P181" s="2"/>
      <c r="Q181" s="2">
        <f t="shared" si="11"/>
        <v>0</v>
      </c>
    </row>
    <row r="182" spans="2:17" x14ac:dyDescent="0.25">
      <c r="B182" s="31" t="s">
        <v>638</v>
      </c>
      <c r="C182" s="31" t="s">
        <v>179</v>
      </c>
      <c r="D182" s="2">
        <v>375</v>
      </c>
      <c r="E182" s="190"/>
      <c r="F182" s="190">
        <v>19</v>
      </c>
      <c r="G182" s="2">
        <v>0</v>
      </c>
      <c r="I182" s="177">
        <f t="shared" si="8"/>
        <v>394</v>
      </c>
      <c r="J182" s="2"/>
      <c r="K182" t="str">
        <f>VLOOKUP(B182,'Allocations 2026-27'!$B$9:$C$328,2,FALSE)</f>
        <v>North Mason</v>
      </c>
      <c r="N182" s="2">
        <f t="shared" si="9"/>
        <v>0</v>
      </c>
      <c r="O182">
        <f t="shared" si="10"/>
        <v>0</v>
      </c>
      <c r="P182" s="2"/>
      <c r="Q182" s="2">
        <f t="shared" si="11"/>
        <v>0</v>
      </c>
    </row>
    <row r="183" spans="2:17" x14ac:dyDescent="0.25">
      <c r="B183" s="31" t="s">
        <v>639</v>
      </c>
      <c r="C183" s="31" t="s">
        <v>180</v>
      </c>
      <c r="D183" s="2">
        <v>0</v>
      </c>
      <c r="E183" s="190"/>
      <c r="F183" s="2">
        <v>0</v>
      </c>
      <c r="G183" s="2">
        <v>0</v>
      </c>
      <c r="H183" s="18"/>
      <c r="I183" s="177">
        <f t="shared" si="8"/>
        <v>0</v>
      </c>
      <c r="J183" s="2"/>
      <c r="K183" t="str">
        <f>VLOOKUP(B183,'Allocations 2026-27'!$B$9:$C$328,2,FALSE)</f>
        <v>North River</v>
      </c>
      <c r="N183" s="2">
        <f t="shared" si="9"/>
        <v>0</v>
      </c>
      <c r="O183">
        <f t="shared" si="10"/>
        <v>0</v>
      </c>
      <c r="P183" s="2"/>
      <c r="Q183" s="2">
        <f t="shared" si="11"/>
        <v>0</v>
      </c>
    </row>
    <row r="184" spans="2:17" x14ac:dyDescent="0.25">
      <c r="B184" s="31" t="s">
        <v>640</v>
      </c>
      <c r="C184" s="31" t="s">
        <v>181</v>
      </c>
      <c r="D184" s="2">
        <v>1030.5</v>
      </c>
      <c r="E184" s="190"/>
      <c r="F184" s="190">
        <v>27.5</v>
      </c>
      <c r="G184" s="2">
        <v>0</v>
      </c>
      <c r="H184" s="18"/>
      <c r="I184" s="177">
        <f t="shared" si="8"/>
        <v>1058</v>
      </c>
      <c r="J184" s="2"/>
      <c r="K184" t="str">
        <f>VLOOKUP(B184,'Allocations 2026-27'!$B$9:$C$328,2,FALSE)</f>
        <v>North Thurston</v>
      </c>
      <c r="N184" s="2">
        <f t="shared" si="9"/>
        <v>0</v>
      </c>
      <c r="O184">
        <f t="shared" si="10"/>
        <v>0</v>
      </c>
      <c r="P184" s="2"/>
      <c r="Q184" s="2">
        <f t="shared" si="11"/>
        <v>0</v>
      </c>
    </row>
    <row r="185" spans="2:17" x14ac:dyDescent="0.25">
      <c r="B185" s="31" t="s">
        <v>641</v>
      </c>
      <c r="C185" s="31" t="s">
        <v>182</v>
      </c>
      <c r="D185" s="2">
        <v>0</v>
      </c>
      <c r="E185" s="190"/>
      <c r="F185" s="2">
        <v>0</v>
      </c>
      <c r="G185" s="2">
        <v>0</v>
      </c>
      <c r="I185" s="177">
        <f t="shared" si="8"/>
        <v>0</v>
      </c>
      <c r="J185" s="2"/>
      <c r="K185" t="str">
        <f>VLOOKUP(B185,'Allocations 2026-27'!$B$9:$C$328,2,FALSE)</f>
        <v>Northport</v>
      </c>
      <c r="N185" s="2">
        <f t="shared" si="9"/>
        <v>0</v>
      </c>
      <c r="O185">
        <f t="shared" si="10"/>
        <v>0</v>
      </c>
      <c r="P185" s="2"/>
      <c r="Q185" s="2">
        <f t="shared" si="11"/>
        <v>0</v>
      </c>
    </row>
    <row r="186" spans="2:17" x14ac:dyDescent="0.25">
      <c r="B186" s="31" t="s">
        <v>642</v>
      </c>
      <c r="C186" s="31" t="s">
        <v>183</v>
      </c>
      <c r="D186" s="2">
        <v>2416.33</v>
      </c>
      <c r="E186" s="190"/>
      <c r="F186" s="190">
        <v>10.166666666666666</v>
      </c>
      <c r="G186" s="2">
        <v>0</v>
      </c>
      <c r="I186" s="177">
        <f t="shared" si="8"/>
        <v>2426.4966666666664</v>
      </c>
      <c r="J186" s="2"/>
      <c r="K186" t="str">
        <f>VLOOKUP(B186,'Allocations 2026-27'!$B$9:$C$328,2,FALSE)</f>
        <v>Northshore</v>
      </c>
      <c r="N186" s="2">
        <f t="shared" si="9"/>
        <v>0</v>
      </c>
      <c r="O186">
        <f t="shared" si="10"/>
        <v>0</v>
      </c>
      <c r="P186" s="2"/>
      <c r="Q186" s="2">
        <f t="shared" si="11"/>
        <v>0</v>
      </c>
    </row>
    <row r="187" spans="2:17" x14ac:dyDescent="0.25">
      <c r="B187" s="31" t="s">
        <v>643</v>
      </c>
      <c r="C187" s="31" t="s">
        <v>184</v>
      </c>
      <c r="D187" s="2">
        <v>248.5</v>
      </c>
      <c r="E187" s="190"/>
      <c r="F187" s="190">
        <v>35.833333333333336</v>
      </c>
      <c r="G187" s="2">
        <v>0</v>
      </c>
      <c r="H187" s="18"/>
      <c r="I187" s="177">
        <f t="shared" si="8"/>
        <v>284.33333333333331</v>
      </c>
      <c r="J187" s="2"/>
      <c r="K187" t="str">
        <f>VLOOKUP(B187,'Allocations 2026-27'!$B$9:$C$328,2,FALSE)</f>
        <v>Oak Harbor</v>
      </c>
      <c r="N187" s="2">
        <f t="shared" si="9"/>
        <v>0</v>
      </c>
      <c r="O187">
        <f t="shared" si="10"/>
        <v>0</v>
      </c>
      <c r="P187" s="2"/>
      <c r="Q187" s="2">
        <f t="shared" si="11"/>
        <v>0</v>
      </c>
    </row>
    <row r="188" spans="2:17" x14ac:dyDescent="0.25">
      <c r="B188" s="31" t="s">
        <v>644</v>
      </c>
      <c r="C188" s="31" t="s">
        <v>185</v>
      </c>
      <c r="D188" s="2">
        <v>0</v>
      </c>
      <c r="E188" s="190"/>
      <c r="F188" s="2">
        <v>0</v>
      </c>
      <c r="G188" s="2">
        <v>0</v>
      </c>
      <c r="H188" s="18"/>
      <c r="I188" s="177">
        <f t="shared" si="8"/>
        <v>0</v>
      </c>
      <c r="J188" s="2"/>
      <c r="K188" t="str">
        <f>VLOOKUP(B188,'Allocations 2026-27'!$B$9:$C$328,2,FALSE)</f>
        <v>Oakesdale</v>
      </c>
      <c r="N188" s="2">
        <f t="shared" si="9"/>
        <v>0</v>
      </c>
      <c r="O188">
        <f t="shared" si="10"/>
        <v>0</v>
      </c>
      <c r="P188" s="2"/>
      <c r="Q188" s="2">
        <f t="shared" si="11"/>
        <v>0</v>
      </c>
    </row>
    <row r="189" spans="2:17" x14ac:dyDescent="0.25">
      <c r="B189" s="31" t="s">
        <v>458</v>
      </c>
      <c r="C189" s="31" t="s">
        <v>186</v>
      </c>
      <c r="D189" s="2">
        <v>5.67</v>
      </c>
      <c r="E189" s="190"/>
      <c r="F189" s="2">
        <v>0</v>
      </c>
      <c r="G189" s="2">
        <v>0</v>
      </c>
      <c r="H189" s="18"/>
      <c r="I189" s="177">
        <f t="shared" si="8"/>
        <v>5.67</v>
      </c>
      <c r="J189" s="2"/>
      <c r="K189" t="str">
        <f>VLOOKUP(B189,'Allocations 2026-27'!$B$9:$C$328,2,FALSE)</f>
        <v>Oakville</v>
      </c>
      <c r="N189" s="2">
        <f t="shared" si="9"/>
        <v>0</v>
      </c>
      <c r="O189">
        <f t="shared" si="10"/>
        <v>0</v>
      </c>
      <c r="P189" s="2"/>
      <c r="Q189" s="2">
        <f t="shared" si="11"/>
        <v>0</v>
      </c>
    </row>
    <row r="190" spans="2:17" x14ac:dyDescent="0.25">
      <c r="B190" s="31" t="s">
        <v>473</v>
      </c>
      <c r="C190" s="31" t="s">
        <v>187</v>
      </c>
      <c r="D190" s="2">
        <v>54.5</v>
      </c>
      <c r="E190" s="190"/>
      <c r="F190" s="2">
        <v>0</v>
      </c>
      <c r="G190" s="2">
        <v>0</v>
      </c>
      <c r="H190" s="18"/>
      <c r="I190" s="177">
        <f t="shared" si="8"/>
        <v>54.5</v>
      </c>
      <c r="J190" s="2"/>
      <c r="K190" t="str">
        <f>VLOOKUP(B190,'Allocations 2026-27'!$B$9:$C$328,2,FALSE)</f>
        <v>Ocean Beach</v>
      </c>
      <c r="N190" s="2">
        <f t="shared" si="9"/>
        <v>0</v>
      </c>
      <c r="O190">
        <f t="shared" si="10"/>
        <v>0</v>
      </c>
      <c r="P190" s="2"/>
      <c r="Q190" s="2">
        <f t="shared" si="11"/>
        <v>0</v>
      </c>
    </row>
    <row r="191" spans="2:17" x14ac:dyDescent="0.25">
      <c r="B191" s="31" t="s">
        <v>456</v>
      </c>
      <c r="C191" s="31" t="s">
        <v>188</v>
      </c>
      <c r="D191" s="2">
        <v>65.67</v>
      </c>
      <c r="E191" s="190"/>
      <c r="F191" s="2">
        <v>0</v>
      </c>
      <c r="G191" s="2">
        <v>0</v>
      </c>
      <c r="H191" s="18"/>
      <c r="I191" s="177">
        <f t="shared" si="8"/>
        <v>65.67</v>
      </c>
      <c r="J191" s="2"/>
      <c r="K191" t="str">
        <f>VLOOKUP(B191,'Allocations 2026-27'!$B$9:$C$328,2,FALSE)</f>
        <v>Ocosta</v>
      </c>
      <c r="N191" s="2">
        <f t="shared" si="9"/>
        <v>0</v>
      </c>
      <c r="O191">
        <f t="shared" si="10"/>
        <v>0</v>
      </c>
      <c r="P191" s="2"/>
      <c r="Q191" s="2">
        <f t="shared" si="11"/>
        <v>0</v>
      </c>
    </row>
    <row r="192" spans="2:17" x14ac:dyDescent="0.25">
      <c r="B192" s="31" t="s">
        <v>645</v>
      </c>
      <c r="C192" s="31" t="s">
        <v>189</v>
      </c>
      <c r="D192" s="2">
        <v>0</v>
      </c>
      <c r="E192" s="190"/>
      <c r="F192" s="2">
        <v>0</v>
      </c>
      <c r="G192" s="2">
        <v>0</v>
      </c>
      <c r="I192" s="177">
        <f t="shared" si="8"/>
        <v>0</v>
      </c>
      <c r="J192" s="2"/>
      <c r="K192" t="str">
        <f>VLOOKUP(B192,'Allocations 2026-27'!$B$9:$C$328,2,FALSE)</f>
        <v>Odessa</v>
      </c>
      <c r="N192" s="2">
        <f t="shared" si="9"/>
        <v>0</v>
      </c>
      <c r="O192">
        <f t="shared" si="10"/>
        <v>0</v>
      </c>
      <c r="P192" s="2"/>
      <c r="Q192" s="2">
        <f t="shared" si="11"/>
        <v>0</v>
      </c>
    </row>
    <row r="193" spans="2:17" x14ac:dyDescent="0.25">
      <c r="B193" s="31" t="s">
        <v>646</v>
      </c>
      <c r="C193" s="31" t="s">
        <v>190</v>
      </c>
      <c r="D193" s="2">
        <v>92.16</v>
      </c>
      <c r="E193" s="190"/>
      <c r="F193" s="190">
        <v>1</v>
      </c>
      <c r="G193" s="2">
        <v>0</v>
      </c>
      <c r="I193" s="177">
        <f t="shared" si="8"/>
        <v>93.16</v>
      </c>
      <c r="J193" s="2"/>
      <c r="K193" t="str">
        <f>VLOOKUP(B193,'Allocations 2026-27'!$B$9:$C$328,2,FALSE)</f>
        <v>Okanogan</v>
      </c>
      <c r="N193" s="2">
        <f t="shared" si="9"/>
        <v>0</v>
      </c>
      <c r="O193">
        <f t="shared" si="10"/>
        <v>0</v>
      </c>
      <c r="P193" s="2"/>
      <c r="Q193" s="2">
        <f t="shared" si="11"/>
        <v>0</v>
      </c>
    </row>
    <row r="194" spans="2:17" x14ac:dyDescent="0.25">
      <c r="B194" s="31" t="s">
        <v>647</v>
      </c>
      <c r="C194" s="31" t="s">
        <v>191</v>
      </c>
      <c r="D194" s="2">
        <v>368.66</v>
      </c>
      <c r="E194" s="190"/>
      <c r="F194" s="190">
        <v>9.6666666666666661</v>
      </c>
      <c r="G194" s="2">
        <v>0</v>
      </c>
      <c r="H194" s="18"/>
      <c r="I194" s="177">
        <f t="shared" si="8"/>
        <v>378.32666666666671</v>
      </c>
      <c r="J194" s="2"/>
      <c r="K194" t="str">
        <f>VLOOKUP(B194,'Allocations 2026-27'!$B$9:$C$328,2,FALSE)</f>
        <v>Olympia</v>
      </c>
      <c r="N194" s="2">
        <f t="shared" si="9"/>
        <v>0</v>
      </c>
      <c r="O194">
        <f t="shared" si="10"/>
        <v>0</v>
      </c>
      <c r="P194" s="2"/>
      <c r="Q194" s="2">
        <f t="shared" si="11"/>
        <v>0</v>
      </c>
    </row>
    <row r="195" spans="2:17" x14ac:dyDescent="0.25">
      <c r="B195" s="31" t="s">
        <v>648</v>
      </c>
      <c r="C195" s="31" t="s">
        <v>192</v>
      </c>
      <c r="D195" s="2">
        <v>375</v>
      </c>
      <c r="E195" s="190"/>
      <c r="F195" s="194">
        <v>46</v>
      </c>
      <c r="G195" s="2">
        <v>0</v>
      </c>
      <c r="H195" s="18"/>
      <c r="I195" s="177">
        <f t="shared" si="8"/>
        <v>421</v>
      </c>
      <c r="J195" s="2"/>
      <c r="K195" t="str">
        <f>VLOOKUP(B195,'Allocations 2026-27'!$B$9:$C$328,2,FALSE)</f>
        <v>Omak</v>
      </c>
      <c r="N195" s="2">
        <f t="shared" si="9"/>
        <v>0</v>
      </c>
      <c r="O195">
        <f t="shared" si="10"/>
        <v>0</v>
      </c>
      <c r="P195" s="2"/>
      <c r="Q195" s="2">
        <f t="shared" si="11"/>
        <v>0</v>
      </c>
    </row>
    <row r="196" spans="2:17" x14ac:dyDescent="0.25">
      <c r="B196" s="31" t="s">
        <v>649</v>
      </c>
      <c r="C196" s="31" t="s">
        <v>193</v>
      </c>
      <c r="D196" s="2">
        <v>22.5</v>
      </c>
      <c r="E196" s="190"/>
      <c r="F196" s="2">
        <v>0</v>
      </c>
      <c r="G196" s="2">
        <v>0</v>
      </c>
      <c r="H196" s="18"/>
      <c r="I196" s="177">
        <f t="shared" si="8"/>
        <v>22.5</v>
      </c>
      <c r="J196" s="2"/>
      <c r="K196" t="str">
        <f>VLOOKUP(B196,'Allocations 2026-27'!$B$9:$C$328,2,FALSE)</f>
        <v>Onalaska</v>
      </c>
      <c r="N196" s="2">
        <f t="shared" si="9"/>
        <v>0</v>
      </c>
      <c r="O196">
        <f t="shared" si="10"/>
        <v>0</v>
      </c>
      <c r="P196" s="2"/>
      <c r="Q196" s="2">
        <f t="shared" si="11"/>
        <v>0</v>
      </c>
    </row>
    <row r="197" spans="2:17" x14ac:dyDescent="0.25">
      <c r="B197" s="31" t="s">
        <v>650</v>
      </c>
      <c r="C197" s="31" t="s">
        <v>194</v>
      </c>
      <c r="D197" s="2">
        <v>0</v>
      </c>
      <c r="E197" s="190"/>
      <c r="F197" s="2">
        <v>0</v>
      </c>
      <c r="G197" s="2">
        <v>0</v>
      </c>
      <c r="H197" s="18"/>
      <c r="I197" s="177">
        <f t="shared" si="8"/>
        <v>0</v>
      </c>
      <c r="J197" s="2"/>
      <c r="K197" t="str">
        <f>VLOOKUP(B197,'Allocations 2026-27'!$B$9:$C$328,2,FALSE)</f>
        <v>Onion Creek</v>
      </c>
      <c r="N197" s="2">
        <f t="shared" si="9"/>
        <v>0</v>
      </c>
      <c r="O197">
        <f t="shared" si="10"/>
        <v>0</v>
      </c>
      <c r="P197" s="2"/>
      <c r="Q197" s="2">
        <f t="shared" si="11"/>
        <v>0</v>
      </c>
    </row>
    <row r="198" spans="2:17" x14ac:dyDescent="0.25">
      <c r="B198" s="31" t="s">
        <v>486</v>
      </c>
      <c r="C198" s="31" t="s">
        <v>195</v>
      </c>
      <c r="D198" s="2">
        <v>52.33</v>
      </c>
      <c r="E198" s="190"/>
      <c r="F198" s="2">
        <v>0</v>
      </c>
      <c r="G198" s="2">
        <v>0</v>
      </c>
      <c r="H198" s="18"/>
      <c r="I198" s="177">
        <f t="shared" si="8"/>
        <v>52.33</v>
      </c>
      <c r="J198" s="2"/>
      <c r="K198" t="str">
        <f>VLOOKUP(B198,'Allocations 2026-27'!$B$9:$C$328,2,FALSE)</f>
        <v>Orcas</v>
      </c>
      <c r="N198" s="2">
        <f t="shared" si="9"/>
        <v>0</v>
      </c>
      <c r="O198">
        <f t="shared" si="10"/>
        <v>0</v>
      </c>
      <c r="P198" s="2"/>
      <c r="Q198" s="2">
        <f t="shared" si="11"/>
        <v>0</v>
      </c>
    </row>
    <row r="199" spans="2:17" x14ac:dyDescent="0.25">
      <c r="B199" s="31" t="s">
        <v>651</v>
      </c>
      <c r="C199" s="31" t="s">
        <v>196</v>
      </c>
      <c r="D199" s="2">
        <v>0.5</v>
      </c>
      <c r="E199" s="190"/>
      <c r="F199" s="190">
        <v>1</v>
      </c>
      <c r="G199" s="2">
        <v>0</v>
      </c>
      <c r="H199" s="18"/>
      <c r="I199" s="177">
        <f t="shared" si="8"/>
        <v>1.5</v>
      </c>
      <c r="J199" s="2"/>
      <c r="K199" t="str">
        <f>VLOOKUP(B199,'Allocations 2026-27'!$B$9:$C$328,2,FALSE)</f>
        <v>Orchard Prairie</v>
      </c>
      <c r="N199" s="2">
        <f t="shared" si="9"/>
        <v>0</v>
      </c>
      <c r="O199">
        <f t="shared" si="10"/>
        <v>0</v>
      </c>
      <c r="P199" s="2"/>
      <c r="Q199" s="2">
        <f t="shared" si="11"/>
        <v>0</v>
      </c>
    </row>
    <row r="200" spans="2:17" x14ac:dyDescent="0.25">
      <c r="B200" s="31" t="s">
        <v>652</v>
      </c>
      <c r="C200" s="31" t="s">
        <v>197</v>
      </c>
      <c r="D200" s="2">
        <v>0</v>
      </c>
      <c r="E200" s="190"/>
      <c r="F200" s="2">
        <v>0</v>
      </c>
      <c r="G200" s="2">
        <v>0</v>
      </c>
      <c r="H200" s="18"/>
      <c r="I200" s="177">
        <f t="shared" si="8"/>
        <v>0</v>
      </c>
      <c r="J200" s="2"/>
      <c r="K200" t="str">
        <f>VLOOKUP(B200,'Allocations 2026-27'!$B$9:$C$328,2,FALSE)</f>
        <v>Orient</v>
      </c>
      <c r="N200" s="2">
        <f t="shared" si="9"/>
        <v>0</v>
      </c>
      <c r="O200">
        <f t="shared" si="10"/>
        <v>0</v>
      </c>
      <c r="P200" s="2"/>
      <c r="Q200" s="2">
        <f t="shared" si="11"/>
        <v>0</v>
      </c>
    </row>
    <row r="201" spans="2:17" x14ac:dyDescent="0.25">
      <c r="B201" s="31" t="s">
        <v>448</v>
      </c>
      <c r="C201" s="31" t="s">
        <v>198</v>
      </c>
      <c r="D201" s="2">
        <v>64.17</v>
      </c>
      <c r="E201" s="190"/>
      <c r="F201" s="2">
        <v>0</v>
      </c>
      <c r="G201" s="2">
        <v>0</v>
      </c>
      <c r="H201" s="18"/>
      <c r="I201" s="177">
        <f t="shared" ref="I201:I264" si="12">IF(D201+E201+F201+Q201-G201&lt;0,0,D201+E201+F201-G201+Q201)</f>
        <v>64.17</v>
      </c>
      <c r="J201" s="2"/>
      <c r="K201" t="str">
        <f>VLOOKUP(B201,'Allocations 2026-27'!$B$9:$C$328,2,FALSE)</f>
        <v>Orondo</v>
      </c>
      <c r="N201" s="2">
        <f t="shared" ref="N201:N264" si="13">IFERROR(D201/L201,0)</f>
        <v>0</v>
      </c>
      <c r="O201">
        <f t="shared" ref="O201:O264" si="14">M201-L201</f>
        <v>0</v>
      </c>
      <c r="P201" s="2"/>
      <c r="Q201" s="2">
        <f t="shared" ref="Q201:Q264" si="15">O201*N201</f>
        <v>0</v>
      </c>
    </row>
    <row r="202" spans="2:17" x14ac:dyDescent="0.25">
      <c r="B202" s="31" t="s">
        <v>653</v>
      </c>
      <c r="C202" s="31" t="s">
        <v>199</v>
      </c>
      <c r="D202" s="2">
        <v>56.17</v>
      </c>
      <c r="E202" s="190"/>
      <c r="F202" s="2">
        <v>0</v>
      </c>
      <c r="G202" s="2">
        <v>0</v>
      </c>
      <c r="H202" s="18"/>
      <c r="I202" s="177">
        <f t="shared" si="12"/>
        <v>56.17</v>
      </c>
      <c r="J202" s="2"/>
      <c r="K202" t="str">
        <f>VLOOKUP(B202,'Allocations 2026-27'!$B$9:$C$328,2,FALSE)</f>
        <v>Oroville</v>
      </c>
      <c r="N202" s="2">
        <f t="shared" si="13"/>
        <v>0</v>
      </c>
      <c r="O202">
        <f t="shared" si="14"/>
        <v>0</v>
      </c>
      <c r="P202" s="2"/>
      <c r="Q202" s="2">
        <f t="shared" si="15"/>
        <v>0</v>
      </c>
    </row>
    <row r="203" spans="2:17" x14ac:dyDescent="0.25">
      <c r="B203" s="31" t="s">
        <v>654</v>
      </c>
      <c r="C203" s="31" t="s">
        <v>200</v>
      </c>
      <c r="D203" s="2">
        <v>224</v>
      </c>
      <c r="E203" s="190"/>
      <c r="F203" s="2">
        <v>0</v>
      </c>
      <c r="G203" s="2">
        <v>0</v>
      </c>
      <c r="I203" s="177">
        <f t="shared" si="12"/>
        <v>224</v>
      </c>
      <c r="J203" s="2"/>
      <c r="K203" t="str">
        <f>VLOOKUP(B203,'Allocations 2026-27'!$B$9:$C$328,2,FALSE)</f>
        <v>Orting</v>
      </c>
      <c r="N203" s="2">
        <f t="shared" si="13"/>
        <v>0</v>
      </c>
      <c r="O203">
        <f t="shared" si="14"/>
        <v>0</v>
      </c>
      <c r="P203" s="2"/>
      <c r="Q203" s="2">
        <f t="shared" si="15"/>
        <v>0</v>
      </c>
    </row>
    <row r="204" spans="2:17" x14ac:dyDescent="0.25">
      <c r="B204" s="31" t="s">
        <v>655</v>
      </c>
      <c r="C204" s="31" t="s">
        <v>201</v>
      </c>
      <c r="D204" s="2">
        <v>1900.8400000000001</v>
      </c>
      <c r="E204" s="190"/>
      <c r="F204" s="2">
        <v>0</v>
      </c>
      <c r="G204" s="2">
        <v>0</v>
      </c>
      <c r="I204" s="177">
        <f t="shared" si="12"/>
        <v>1900.8400000000001</v>
      </c>
      <c r="J204" s="2"/>
      <c r="K204" t="str">
        <f>VLOOKUP(B204,'Allocations 2026-27'!$B$9:$C$328,2,FALSE)</f>
        <v>Othello</v>
      </c>
      <c r="N204" s="2">
        <f t="shared" si="13"/>
        <v>0</v>
      </c>
      <c r="O204">
        <f t="shared" si="14"/>
        <v>0</v>
      </c>
      <c r="P204" s="2"/>
      <c r="Q204" s="2">
        <f t="shared" si="15"/>
        <v>0</v>
      </c>
    </row>
    <row r="205" spans="2:17" x14ac:dyDescent="0.25">
      <c r="B205" s="31" t="s">
        <v>656</v>
      </c>
      <c r="C205" s="31" t="s">
        <v>202</v>
      </c>
      <c r="D205" s="2">
        <v>5.17</v>
      </c>
      <c r="E205" s="190"/>
      <c r="F205" s="2">
        <v>0</v>
      </c>
      <c r="G205" s="2">
        <v>0</v>
      </c>
      <c r="I205" s="177">
        <f t="shared" si="12"/>
        <v>5.17</v>
      </c>
      <c r="J205" s="2"/>
      <c r="K205" t="str">
        <f>VLOOKUP(B205,'Allocations 2026-27'!$B$9:$C$328,2,FALSE)</f>
        <v>Palisades</v>
      </c>
      <c r="N205" s="2">
        <f t="shared" si="13"/>
        <v>0</v>
      </c>
      <c r="O205">
        <f t="shared" si="14"/>
        <v>0</v>
      </c>
      <c r="P205" s="2"/>
      <c r="Q205" s="2">
        <f t="shared" si="15"/>
        <v>0</v>
      </c>
    </row>
    <row r="206" spans="2:17" x14ac:dyDescent="0.25">
      <c r="B206" s="31" t="s">
        <v>657</v>
      </c>
      <c r="C206" s="31" t="s">
        <v>203</v>
      </c>
      <c r="D206" s="2">
        <v>0</v>
      </c>
      <c r="E206" s="190"/>
      <c r="F206" s="2">
        <v>0</v>
      </c>
      <c r="G206" s="2">
        <v>0</v>
      </c>
      <c r="I206" s="177">
        <f t="shared" si="12"/>
        <v>0</v>
      </c>
      <c r="J206" s="2"/>
      <c r="K206" t="str">
        <f>VLOOKUP(B206,'Allocations 2026-27'!$B$9:$C$328,2,FALSE)</f>
        <v>Palouse</v>
      </c>
      <c r="N206" s="2">
        <f t="shared" si="13"/>
        <v>0</v>
      </c>
      <c r="O206">
        <f t="shared" si="14"/>
        <v>0</v>
      </c>
      <c r="P206" s="2"/>
      <c r="Q206" s="2">
        <f t="shared" si="15"/>
        <v>0</v>
      </c>
    </row>
    <row r="207" spans="2:17" x14ac:dyDescent="0.25">
      <c r="B207" s="193" t="s">
        <v>823</v>
      </c>
      <c r="C207" s="31" t="s">
        <v>820</v>
      </c>
      <c r="D207" s="2">
        <v>0</v>
      </c>
      <c r="E207" s="190"/>
      <c r="F207" s="2">
        <v>0</v>
      </c>
      <c r="G207" s="2">
        <v>0</v>
      </c>
      <c r="H207" s="18"/>
      <c r="I207" s="177">
        <f t="shared" si="12"/>
        <v>0</v>
      </c>
      <c r="J207" s="2"/>
      <c r="K207" t="e">
        <f>VLOOKUP(B207,'Allocations 2026-27'!$B$9:$C$328,2,FALSE)</f>
        <v>#N/A</v>
      </c>
      <c r="N207" s="2">
        <f t="shared" si="13"/>
        <v>0</v>
      </c>
      <c r="O207">
        <f t="shared" si="14"/>
        <v>0</v>
      </c>
      <c r="P207" s="2"/>
      <c r="Q207" s="2">
        <f t="shared" si="15"/>
        <v>0</v>
      </c>
    </row>
    <row r="208" spans="2:17" x14ac:dyDescent="0.25">
      <c r="B208" s="31" t="s">
        <v>658</v>
      </c>
      <c r="C208" s="31" t="s">
        <v>204</v>
      </c>
      <c r="D208" s="2">
        <v>6734</v>
      </c>
      <c r="E208" s="190"/>
      <c r="F208" s="2">
        <v>0</v>
      </c>
      <c r="G208" s="191">
        <v>5</v>
      </c>
      <c r="H208" s="18"/>
      <c r="I208" s="177">
        <f t="shared" si="12"/>
        <v>6729</v>
      </c>
      <c r="J208" s="2"/>
      <c r="K208" t="str">
        <f>VLOOKUP(B208,'Allocations 2026-27'!$B$9:$C$328,2,FALSE)</f>
        <v>Pasco</v>
      </c>
      <c r="N208" s="2">
        <f t="shared" si="13"/>
        <v>0</v>
      </c>
      <c r="O208">
        <f t="shared" si="14"/>
        <v>0</v>
      </c>
      <c r="P208" s="2"/>
      <c r="Q208" s="2">
        <f t="shared" si="15"/>
        <v>0</v>
      </c>
    </row>
    <row r="209" spans="2:17" x14ac:dyDescent="0.25">
      <c r="B209" s="31" t="s">
        <v>659</v>
      </c>
      <c r="C209" s="31" t="s">
        <v>205</v>
      </c>
      <c r="D209" s="2">
        <v>47.84</v>
      </c>
      <c r="E209" s="190"/>
      <c r="F209" s="2">
        <v>0</v>
      </c>
      <c r="G209" s="2">
        <v>0</v>
      </c>
      <c r="I209" s="177">
        <f t="shared" si="12"/>
        <v>47.84</v>
      </c>
      <c r="J209" s="2"/>
      <c r="K209" t="str">
        <f>VLOOKUP(B209,'Allocations 2026-27'!$B$9:$C$328,2,FALSE)</f>
        <v>Pateros</v>
      </c>
      <c r="N209" s="2">
        <f t="shared" si="13"/>
        <v>0</v>
      </c>
      <c r="O209">
        <f t="shared" si="14"/>
        <v>0</v>
      </c>
      <c r="P209" s="2"/>
      <c r="Q209" s="2">
        <f t="shared" si="15"/>
        <v>0</v>
      </c>
    </row>
    <row r="210" spans="2:17" x14ac:dyDescent="0.25">
      <c r="B210" s="31" t="s">
        <v>442</v>
      </c>
      <c r="C210" s="31" t="s">
        <v>206</v>
      </c>
      <c r="D210" s="2">
        <v>20.67</v>
      </c>
      <c r="E210" s="190"/>
      <c r="F210" s="2">
        <v>0</v>
      </c>
      <c r="G210" s="2">
        <v>0</v>
      </c>
      <c r="H210" s="18"/>
      <c r="I210" s="177">
        <f t="shared" si="12"/>
        <v>20.67</v>
      </c>
      <c r="J210" s="2"/>
      <c r="K210" t="str">
        <f>VLOOKUP(B210,'Allocations 2026-27'!$B$9:$C$328,2,FALSE)</f>
        <v>Paterson</v>
      </c>
      <c r="N210" s="2">
        <f t="shared" si="13"/>
        <v>0</v>
      </c>
      <c r="O210">
        <f t="shared" si="14"/>
        <v>0</v>
      </c>
      <c r="P210" s="2"/>
      <c r="Q210" s="2">
        <f t="shared" si="15"/>
        <v>0</v>
      </c>
    </row>
    <row r="211" spans="2:17" x14ac:dyDescent="0.25">
      <c r="B211" s="31" t="s">
        <v>660</v>
      </c>
      <c r="C211" s="31" t="s">
        <v>207</v>
      </c>
      <c r="D211" s="2">
        <v>0</v>
      </c>
      <c r="E211" s="190"/>
      <c r="F211" s="2">
        <v>0</v>
      </c>
      <c r="G211" s="2">
        <v>0</v>
      </c>
      <c r="H211" s="18"/>
      <c r="I211" s="177">
        <f t="shared" si="12"/>
        <v>0</v>
      </c>
      <c r="J211" s="2"/>
      <c r="K211" t="str">
        <f>VLOOKUP(B211,'Allocations 2026-27'!$B$9:$C$328,2,FALSE)</f>
        <v>Pe Ell</v>
      </c>
      <c r="N211" s="2">
        <f t="shared" si="13"/>
        <v>0</v>
      </c>
      <c r="O211">
        <f t="shared" si="14"/>
        <v>0</v>
      </c>
      <c r="P211" s="2"/>
      <c r="Q211" s="2">
        <f t="shared" si="15"/>
        <v>0</v>
      </c>
    </row>
    <row r="212" spans="2:17" x14ac:dyDescent="0.25">
      <c r="B212" s="31" t="s">
        <v>661</v>
      </c>
      <c r="C212" s="31" t="s">
        <v>208</v>
      </c>
      <c r="D212" s="2">
        <v>234.83999999999997</v>
      </c>
      <c r="E212" s="190"/>
      <c r="F212" s="190">
        <v>1</v>
      </c>
      <c r="G212" s="2">
        <v>0</v>
      </c>
      <c r="H212" s="18"/>
      <c r="I212" s="177">
        <f t="shared" si="12"/>
        <v>235.83999999999997</v>
      </c>
      <c r="J212" s="2"/>
      <c r="K212" t="str">
        <f>VLOOKUP(B212,'Allocations 2026-27'!$B$9:$C$328,2,FALSE)</f>
        <v>Peninsula</v>
      </c>
      <c r="N212" s="2">
        <f t="shared" si="13"/>
        <v>0</v>
      </c>
      <c r="O212">
        <f t="shared" si="14"/>
        <v>0</v>
      </c>
      <c r="P212" s="2"/>
      <c r="Q212" s="2">
        <f t="shared" si="15"/>
        <v>0</v>
      </c>
    </row>
    <row r="213" spans="2:17" x14ac:dyDescent="0.25">
      <c r="B213" s="33" t="s">
        <v>662</v>
      </c>
      <c r="C213" s="34" t="s">
        <v>209</v>
      </c>
      <c r="D213" s="2">
        <v>42.66</v>
      </c>
      <c r="E213" s="190"/>
      <c r="F213" s="2">
        <v>0</v>
      </c>
      <c r="G213" s="2">
        <v>0</v>
      </c>
      <c r="I213" s="177">
        <f t="shared" si="12"/>
        <v>42.66</v>
      </c>
      <c r="J213" s="2"/>
      <c r="K213" t="str">
        <f>VLOOKUP(B213,'Allocations 2026-27'!$B$9:$C$328,2,FALSE)</f>
        <v>Pinnacle Prep Charter</v>
      </c>
      <c r="N213" s="2">
        <f t="shared" si="13"/>
        <v>0</v>
      </c>
      <c r="O213">
        <f t="shared" si="14"/>
        <v>0</v>
      </c>
      <c r="P213" s="2"/>
      <c r="Q213" s="2">
        <f t="shared" si="15"/>
        <v>0</v>
      </c>
    </row>
    <row r="214" spans="2:17" x14ac:dyDescent="0.25">
      <c r="B214" s="31" t="s">
        <v>663</v>
      </c>
      <c r="C214" s="31" t="s">
        <v>210</v>
      </c>
      <c r="D214" s="2">
        <v>60.84</v>
      </c>
      <c r="E214" s="190"/>
      <c r="F214" s="2">
        <v>0</v>
      </c>
      <c r="G214" s="2">
        <v>0</v>
      </c>
      <c r="I214" s="177">
        <f t="shared" si="12"/>
        <v>60.84</v>
      </c>
      <c r="J214" s="2"/>
      <c r="K214" t="str">
        <f>VLOOKUP(B214,'Allocations 2026-27'!$B$9:$C$328,2,FALSE)</f>
        <v>Pioneer</v>
      </c>
      <c r="N214" s="2">
        <f t="shared" si="13"/>
        <v>0</v>
      </c>
      <c r="O214">
        <f t="shared" si="14"/>
        <v>0</v>
      </c>
      <c r="P214" s="2"/>
      <c r="Q214" s="2">
        <f t="shared" si="15"/>
        <v>0</v>
      </c>
    </row>
    <row r="215" spans="2:17" x14ac:dyDescent="0.25">
      <c r="B215" s="31" t="s">
        <v>450</v>
      </c>
      <c r="C215" s="31" t="s">
        <v>211</v>
      </c>
      <c r="D215" s="2">
        <v>1.33</v>
      </c>
      <c r="E215" s="190"/>
      <c r="F215" s="2">
        <v>0</v>
      </c>
      <c r="G215" s="2">
        <v>0</v>
      </c>
      <c r="I215" s="177">
        <f t="shared" si="12"/>
        <v>1.33</v>
      </c>
      <c r="J215" s="2"/>
      <c r="K215" t="str">
        <f>VLOOKUP(B215,'Allocations 2026-27'!$B$9:$C$328,2,FALSE)</f>
        <v>Pomeroy</v>
      </c>
      <c r="N215" s="2">
        <f t="shared" si="13"/>
        <v>0</v>
      </c>
      <c r="O215">
        <f t="shared" si="14"/>
        <v>0</v>
      </c>
      <c r="P215" s="2"/>
      <c r="Q215" s="2">
        <f t="shared" si="15"/>
        <v>0</v>
      </c>
    </row>
    <row r="216" spans="2:17" x14ac:dyDescent="0.25">
      <c r="B216" s="31" t="s">
        <v>664</v>
      </c>
      <c r="C216" s="31" t="s">
        <v>212</v>
      </c>
      <c r="D216" s="2">
        <v>54.34</v>
      </c>
      <c r="E216" s="190"/>
      <c r="F216" s="2">
        <v>0</v>
      </c>
      <c r="G216" s="2">
        <v>0</v>
      </c>
      <c r="H216" s="18"/>
      <c r="I216" s="177">
        <f t="shared" si="12"/>
        <v>54.34</v>
      </c>
      <c r="J216" s="2"/>
      <c r="K216" t="str">
        <f>VLOOKUP(B216,'Allocations 2026-27'!$B$9:$C$328,2,FALSE)</f>
        <v>Port Angeles</v>
      </c>
      <c r="N216" s="2">
        <f t="shared" si="13"/>
        <v>0</v>
      </c>
      <c r="O216">
        <f t="shared" si="14"/>
        <v>0</v>
      </c>
      <c r="P216" s="2"/>
      <c r="Q216" s="2">
        <f t="shared" si="15"/>
        <v>0</v>
      </c>
    </row>
    <row r="217" spans="2:17" x14ac:dyDescent="0.25">
      <c r="B217" s="31" t="s">
        <v>665</v>
      </c>
      <c r="C217" s="31" t="s">
        <v>213</v>
      </c>
      <c r="D217" s="2">
        <v>37.5</v>
      </c>
      <c r="E217" s="190"/>
      <c r="F217" s="2">
        <v>0</v>
      </c>
      <c r="G217" s="2">
        <v>0</v>
      </c>
      <c r="H217" s="18"/>
      <c r="I217" s="177">
        <f t="shared" si="12"/>
        <v>37.5</v>
      </c>
      <c r="J217" s="2"/>
      <c r="K217" t="str">
        <f>VLOOKUP(B217,'Allocations 2026-27'!$B$9:$C$328,2,FALSE)</f>
        <v>Port Townsend</v>
      </c>
      <c r="N217" s="2">
        <f t="shared" si="13"/>
        <v>0</v>
      </c>
      <c r="O217">
        <f t="shared" si="14"/>
        <v>0</v>
      </c>
      <c r="P217" s="2"/>
      <c r="Q217" s="2">
        <f t="shared" si="15"/>
        <v>0</v>
      </c>
    </row>
    <row r="218" spans="2:17" x14ac:dyDescent="0.25">
      <c r="B218" s="31" t="s">
        <v>666</v>
      </c>
      <c r="C218" s="31" t="s">
        <v>214</v>
      </c>
      <c r="D218" s="2">
        <v>89.33</v>
      </c>
      <c r="E218" s="190"/>
      <c r="F218" s="2">
        <v>0</v>
      </c>
      <c r="G218" s="2">
        <v>0</v>
      </c>
      <c r="H218" s="18"/>
      <c r="I218" s="177">
        <f t="shared" si="12"/>
        <v>89.33</v>
      </c>
      <c r="J218" s="2"/>
      <c r="K218" t="str">
        <f>VLOOKUP(B218,'Allocations 2026-27'!$B$9:$C$328,2,FALSE)</f>
        <v>Prescott</v>
      </c>
      <c r="N218" s="2">
        <f t="shared" si="13"/>
        <v>0</v>
      </c>
      <c r="O218">
        <f t="shared" si="14"/>
        <v>0</v>
      </c>
      <c r="P218" s="2"/>
      <c r="Q218" s="2">
        <f t="shared" si="15"/>
        <v>0</v>
      </c>
    </row>
    <row r="219" spans="2:17" x14ac:dyDescent="0.25">
      <c r="B219" s="31" t="s">
        <v>668</v>
      </c>
      <c r="C219" s="31" t="s">
        <v>216</v>
      </c>
      <c r="D219" s="2">
        <v>695</v>
      </c>
      <c r="E219" s="190"/>
      <c r="F219" s="2">
        <v>0</v>
      </c>
      <c r="G219" s="2">
        <v>0</v>
      </c>
      <c r="I219" s="177">
        <f t="shared" si="12"/>
        <v>695</v>
      </c>
      <c r="J219" s="2"/>
      <c r="K219" t="str">
        <f>VLOOKUP(B219,'Allocations 2026-27'!$B$9:$C$328,2,FALSE)</f>
        <v>Prosser</v>
      </c>
      <c r="N219" s="2">
        <f t="shared" si="13"/>
        <v>0</v>
      </c>
      <c r="O219">
        <f t="shared" si="14"/>
        <v>0</v>
      </c>
      <c r="P219" s="2"/>
      <c r="Q219" s="2">
        <f t="shared" si="15"/>
        <v>0</v>
      </c>
    </row>
    <row r="220" spans="2:17" x14ac:dyDescent="0.25">
      <c r="B220" s="31" t="s">
        <v>669</v>
      </c>
      <c r="C220" s="31" t="s">
        <v>217</v>
      </c>
      <c r="D220" s="2">
        <v>155.66</v>
      </c>
      <c r="E220" s="190"/>
      <c r="F220" s="190">
        <v>7.333333333333333</v>
      </c>
      <c r="G220" s="191">
        <v>1</v>
      </c>
      <c r="H220" s="18"/>
      <c r="I220" s="177">
        <f t="shared" si="12"/>
        <v>161.99333333333334</v>
      </c>
      <c r="J220" s="2"/>
      <c r="K220" t="str">
        <f>VLOOKUP(B220,'Allocations 2026-27'!$B$9:$C$328,2,FALSE)</f>
        <v>Pullman</v>
      </c>
      <c r="N220" s="2">
        <f t="shared" si="13"/>
        <v>0</v>
      </c>
      <c r="O220">
        <f t="shared" si="14"/>
        <v>0</v>
      </c>
      <c r="P220" s="2"/>
      <c r="Q220" s="2">
        <f t="shared" si="15"/>
        <v>0</v>
      </c>
    </row>
    <row r="221" spans="2:17" x14ac:dyDescent="0.25">
      <c r="B221" s="31" t="s">
        <v>672</v>
      </c>
      <c r="C221" s="31" t="s">
        <v>218</v>
      </c>
      <c r="D221" s="2">
        <v>2253.83</v>
      </c>
      <c r="E221" s="190"/>
      <c r="F221" s="190">
        <v>138.5</v>
      </c>
      <c r="G221" s="191">
        <v>2</v>
      </c>
      <c r="H221" s="18"/>
      <c r="I221" s="177">
        <f t="shared" si="12"/>
        <v>2390.33</v>
      </c>
      <c r="J221" s="2"/>
      <c r="K221" t="str">
        <f>VLOOKUP(B221,'Allocations 2026-27'!$B$9:$C$328,2,FALSE)</f>
        <v>Puyallup</v>
      </c>
      <c r="N221" s="2">
        <f t="shared" si="13"/>
        <v>0</v>
      </c>
      <c r="O221">
        <f t="shared" si="14"/>
        <v>0</v>
      </c>
      <c r="P221" s="2"/>
      <c r="Q221" s="2">
        <f t="shared" si="15"/>
        <v>0</v>
      </c>
    </row>
    <row r="222" spans="2:17" x14ac:dyDescent="0.25">
      <c r="B222" s="31" t="s">
        <v>673</v>
      </c>
      <c r="C222" s="31" t="s">
        <v>219</v>
      </c>
      <c r="D222" s="2">
        <v>0</v>
      </c>
      <c r="E222" s="190"/>
      <c r="F222" s="2">
        <v>0</v>
      </c>
      <c r="G222" s="2">
        <v>0</v>
      </c>
      <c r="H222" s="18"/>
      <c r="I222" s="177">
        <f t="shared" si="12"/>
        <v>0</v>
      </c>
      <c r="J222" s="2"/>
      <c r="K222" t="str">
        <f>VLOOKUP(B222,'Allocations 2026-27'!$B$9:$C$328,2,FALSE)</f>
        <v>Queets-Clearwater</v>
      </c>
      <c r="N222" s="2">
        <f t="shared" si="13"/>
        <v>0</v>
      </c>
      <c r="O222">
        <f t="shared" si="14"/>
        <v>0</v>
      </c>
      <c r="P222" s="2"/>
      <c r="Q222" s="2">
        <f t="shared" si="15"/>
        <v>0</v>
      </c>
    </row>
    <row r="223" spans="2:17" x14ac:dyDescent="0.25">
      <c r="B223" s="31" t="s">
        <v>674</v>
      </c>
      <c r="C223" s="31" t="s">
        <v>220</v>
      </c>
      <c r="D223" s="2">
        <v>0</v>
      </c>
      <c r="E223" s="190"/>
      <c r="F223" s="2">
        <v>0</v>
      </c>
      <c r="G223" s="2">
        <v>0</v>
      </c>
      <c r="H223" s="18"/>
      <c r="I223" s="177">
        <f t="shared" si="12"/>
        <v>0</v>
      </c>
      <c r="J223" s="2"/>
      <c r="K223" t="str">
        <f>VLOOKUP(B223,'Allocations 2026-27'!$B$9:$C$328,2,FALSE)</f>
        <v>Quilcene</v>
      </c>
      <c r="N223" s="2">
        <f t="shared" si="13"/>
        <v>0</v>
      </c>
      <c r="O223">
        <f t="shared" si="14"/>
        <v>0</v>
      </c>
      <c r="P223" s="2"/>
      <c r="Q223" s="2">
        <f t="shared" si="15"/>
        <v>0</v>
      </c>
    </row>
    <row r="224" spans="2:17" x14ac:dyDescent="0.25">
      <c r="B224" s="36" t="s">
        <v>785</v>
      </c>
      <c r="C224" s="31" t="s">
        <v>221</v>
      </c>
      <c r="D224" s="2">
        <v>0</v>
      </c>
      <c r="E224" s="190"/>
      <c r="F224" s="2">
        <v>0</v>
      </c>
      <c r="G224" s="2">
        <v>0</v>
      </c>
      <c r="I224" s="177">
        <f t="shared" si="12"/>
        <v>0</v>
      </c>
      <c r="J224" s="2"/>
      <c r="K224" t="e">
        <f>VLOOKUP(B224,'Allocations 2026-27'!$B$9:$C$328,2,FALSE)</f>
        <v>#N/A</v>
      </c>
      <c r="N224" s="2">
        <f t="shared" si="13"/>
        <v>0</v>
      </c>
      <c r="O224">
        <f t="shared" si="14"/>
        <v>0</v>
      </c>
      <c r="P224" s="2"/>
      <c r="Q224" s="2">
        <f t="shared" si="15"/>
        <v>0</v>
      </c>
    </row>
    <row r="225" spans="2:17" x14ac:dyDescent="0.25">
      <c r="B225" s="31" t="s">
        <v>675</v>
      </c>
      <c r="C225" s="31" t="s">
        <v>222</v>
      </c>
      <c r="D225" s="2">
        <v>374.83000000000004</v>
      </c>
      <c r="E225" s="190"/>
      <c r="F225" s="190">
        <v>38.666666666666664</v>
      </c>
      <c r="G225" s="2">
        <v>0</v>
      </c>
      <c r="H225" s="18"/>
      <c r="I225" s="177">
        <f t="shared" si="12"/>
        <v>413.49666666666673</v>
      </c>
      <c r="J225" s="2"/>
      <c r="K225" t="str">
        <f>VLOOKUP(B225,'Allocations 2026-27'!$B$9:$C$328,2,FALSE)</f>
        <v>Quillayute Valley</v>
      </c>
      <c r="N225" s="2">
        <f t="shared" si="13"/>
        <v>0</v>
      </c>
      <c r="O225">
        <f t="shared" si="14"/>
        <v>0</v>
      </c>
      <c r="P225" s="2"/>
      <c r="Q225" s="2">
        <f t="shared" si="15"/>
        <v>0</v>
      </c>
    </row>
    <row r="226" spans="2:17" x14ac:dyDescent="0.25">
      <c r="B226" s="31" t="s">
        <v>453</v>
      </c>
      <c r="C226" s="31" t="s">
        <v>223</v>
      </c>
      <c r="D226" s="2">
        <v>43.33</v>
      </c>
      <c r="E226" s="190"/>
      <c r="F226" s="190">
        <v>12</v>
      </c>
      <c r="G226" s="2">
        <v>0</v>
      </c>
      <c r="H226" s="18"/>
      <c r="I226" s="177">
        <f t="shared" si="12"/>
        <v>55.33</v>
      </c>
      <c r="J226" s="2"/>
      <c r="K226" t="str">
        <f>VLOOKUP(B226,'Allocations 2026-27'!$B$9:$C$328,2,FALSE)</f>
        <v>Quinault</v>
      </c>
      <c r="N226" s="2">
        <f t="shared" si="13"/>
        <v>0</v>
      </c>
      <c r="O226">
        <f t="shared" si="14"/>
        <v>0</v>
      </c>
      <c r="P226" s="2"/>
      <c r="Q226" s="2">
        <f t="shared" si="15"/>
        <v>0</v>
      </c>
    </row>
    <row r="227" spans="2:17" x14ac:dyDescent="0.25">
      <c r="B227" s="31" t="s">
        <v>676</v>
      </c>
      <c r="C227" s="31" t="s">
        <v>224</v>
      </c>
      <c r="D227" s="2">
        <v>1326.17</v>
      </c>
      <c r="E227" s="190"/>
      <c r="F227" s="2">
        <v>0</v>
      </c>
      <c r="G227" s="2">
        <v>0</v>
      </c>
      <c r="I227" s="177">
        <f t="shared" si="12"/>
        <v>1326.17</v>
      </c>
      <c r="J227" s="2"/>
      <c r="K227" t="str">
        <f>VLOOKUP(B227,'Allocations 2026-27'!$B$9:$C$328,2,FALSE)</f>
        <v>Quincy</v>
      </c>
      <c r="N227" s="2">
        <f t="shared" si="13"/>
        <v>0</v>
      </c>
      <c r="O227">
        <f t="shared" si="14"/>
        <v>0</v>
      </c>
      <c r="P227" s="2"/>
      <c r="Q227" s="2">
        <f t="shared" si="15"/>
        <v>0</v>
      </c>
    </row>
    <row r="228" spans="2:17" x14ac:dyDescent="0.25">
      <c r="B228" s="31" t="s">
        <v>677</v>
      </c>
      <c r="C228" s="31" t="s">
        <v>225</v>
      </c>
      <c r="D228" s="2">
        <v>14.83</v>
      </c>
      <c r="E228" s="190"/>
      <c r="F228" s="2">
        <v>0</v>
      </c>
      <c r="G228" s="2">
        <v>0</v>
      </c>
      <c r="H228" s="18"/>
      <c r="I228" s="177">
        <f t="shared" si="12"/>
        <v>14.83</v>
      </c>
      <c r="J228" s="2"/>
      <c r="K228" t="str">
        <f>VLOOKUP(B228,'Allocations 2026-27'!$B$9:$C$328,2,FALSE)</f>
        <v>Rainier</v>
      </c>
      <c r="N228" s="2">
        <f t="shared" si="13"/>
        <v>0</v>
      </c>
      <c r="O228">
        <f t="shared" si="14"/>
        <v>0</v>
      </c>
      <c r="P228" s="2"/>
      <c r="Q228" s="2">
        <f t="shared" si="15"/>
        <v>0</v>
      </c>
    </row>
    <row r="229" spans="2:17" x14ac:dyDescent="0.25">
      <c r="B229" s="34" t="s">
        <v>678</v>
      </c>
      <c r="C229" s="31" t="s">
        <v>226</v>
      </c>
      <c r="D229" s="2">
        <v>109.5</v>
      </c>
      <c r="E229" s="190"/>
      <c r="F229" s="2">
        <v>0</v>
      </c>
      <c r="G229" s="2">
        <v>0</v>
      </c>
      <c r="H229" s="18"/>
      <c r="I229" s="177">
        <f t="shared" si="12"/>
        <v>109.5</v>
      </c>
      <c r="J229" s="2"/>
      <c r="K229" t="str">
        <f>VLOOKUP(B229,'Allocations 2026-27'!$B$9:$C$328,2,FALSE)</f>
        <v>Rainier Prep Charter</v>
      </c>
      <c r="N229" s="2">
        <f t="shared" si="13"/>
        <v>0</v>
      </c>
      <c r="O229">
        <f t="shared" si="14"/>
        <v>0</v>
      </c>
      <c r="P229" s="2"/>
      <c r="Q229" s="2">
        <f t="shared" si="15"/>
        <v>0</v>
      </c>
    </row>
    <row r="230" spans="2:17" x14ac:dyDescent="0.25">
      <c r="B230" s="193" t="s">
        <v>461</v>
      </c>
      <c r="C230" s="31" t="s">
        <v>821</v>
      </c>
      <c r="D230" s="2">
        <v>6</v>
      </c>
      <c r="E230" s="190"/>
      <c r="F230" s="2">
        <v>0</v>
      </c>
      <c r="G230" s="2">
        <v>0</v>
      </c>
      <c r="I230" s="177">
        <f t="shared" si="12"/>
        <v>7.0270270270270272</v>
      </c>
      <c r="J230" s="2"/>
      <c r="K230" t="str">
        <f>VLOOKUP(B230,'Allocations 2026-27'!$B$9:$C$328,2,FALSE)</f>
        <v>Rainier Valley Leadership Academy Charter</v>
      </c>
      <c r="L230">
        <v>111</v>
      </c>
      <c r="M230">
        <v>130</v>
      </c>
      <c r="N230" s="2">
        <f t="shared" si="13"/>
        <v>5.4054054054054057E-2</v>
      </c>
      <c r="O230">
        <f t="shared" si="14"/>
        <v>19</v>
      </c>
      <c r="P230" s="2"/>
      <c r="Q230" s="2">
        <f t="shared" si="15"/>
        <v>1.0270270270270272</v>
      </c>
    </row>
    <row r="231" spans="2:17" x14ac:dyDescent="0.25">
      <c r="B231" s="31" t="s">
        <v>475</v>
      </c>
      <c r="C231" s="31" t="s">
        <v>227</v>
      </c>
      <c r="D231" s="2">
        <v>56.17</v>
      </c>
      <c r="E231" s="190"/>
      <c r="F231" s="2">
        <v>0</v>
      </c>
      <c r="G231" s="2">
        <v>0</v>
      </c>
      <c r="I231" s="177">
        <f t="shared" si="12"/>
        <v>56.17</v>
      </c>
      <c r="J231" s="2"/>
      <c r="K231" t="str">
        <f>VLOOKUP(B231,'Allocations 2026-27'!$B$9:$C$328,2,FALSE)</f>
        <v>Raymond</v>
      </c>
      <c r="N231" s="2">
        <f t="shared" si="13"/>
        <v>0</v>
      </c>
      <c r="O231">
        <f t="shared" si="14"/>
        <v>0</v>
      </c>
      <c r="P231" s="2"/>
      <c r="Q231" s="2">
        <f t="shared" si="15"/>
        <v>0</v>
      </c>
    </row>
    <row r="232" spans="2:17" x14ac:dyDescent="0.25">
      <c r="B232" s="31" t="s">
        <v>679</v>
      </c>
      <c r="C232" s="31" t="s">
        <v>228</v>
      </c>
      <c r="D232" s="2">
        <v>5</v>
      </c>
      <c r="E232" s="190"/>
      <c r="F232" s="190">
        <v>9</v>
      </c>
      <c r="G232" s="2">
        <v>0</v>
      </c>
      <c r="H232" s="18"/>
      <c r="I232" s="177">
        <f t="shared" si="12"/>
        <v>14</v>
      </c>
      <c r="J232" s="2"/>
      <c r="K232" t="str">
        <f>VLOOKUP(B232,'Allocations 2026-27'!$B$9:$C$328,2,FALSE)</f>
        <v>Reardan</v>
      </c>
      <c r="N232" s="2">
        <f t="shared" si="13"/>
        <v>0</v>
      </c>
      <c r="O232">
        <f t="shared" si="14"/>
        <v>0</v>
      </c>
      <c r="P232" s="2"/>
      <c r="Q232" s="2">
        <f t="shared" si="15"/>
        <v>0</v>
      </c>
    </row>
    <row r="233" spans="2:17" x14ac:dyDescent="0.25">
      <c r="B233" s="31" t="s">
        <v>680</v>
      </c>
      <c r="C233" s="31" t="s">
        <v>229</v>
      </c>
      <c r="D233" s="2">
        <v>3652</v>
      </c>
      <c r="E233" s="190"/>
      <c r="F233" s="190">
        <v>34.333333333333336</v>
      </c>
      <c r="G233" s="2">
        <v>0</v>
      </c>
      <c r="H233" s="18"/>
      <c r="I233" s="177">
        <f t="shared" si="12"/>
        <v>3686.3333333333335</v>
      </c>
      <c r="J233" s="2"/>
      <c r="K233" t="str">
        <f>VLOOKUP(B233,'Allocations 2026-27'!$B$9:$C$328,2,FALSE)</f>
        <v>Renton</v>
      </c>
      <c r="N233" s="2">
        <f t="shared" si="13"/>
        <v>0</v>
      </c>
      <c r="O233">
        <f t="shared" si="14"/>
        <v>0</v>
      </c>
      <c r="P233" s="2"/>
      <c r="Q233" s="2">
        <f t="shared" si="15"/>
        <v>0</v>
      </c>
    </row>
    <row r="234" spans="2:17" x14ac:dyDescent="0.25">
      <c r="B234" s="193" t="s">
        <v>786</v>
      </c>
      <c r="C234" s="31" t="s">
        <v>230</v>
      </c>
      <c r="D234" s="2">
        <v>0</v>
      </c>
      <c r="E234" s="190"/>
      <c r="F234" s="2">
        <v>0</v>
      </c>
      <c r="G234" s="2">
        <v>0</v>
      </c>
      <c r="H234" s="18"/>
      <c r="I234" s="177">
        <f t="shared" si="12"/>
        <v>0</v>
      </c>
      <c r="J234" s="2"/>
      <c r="K234" t="e">
        <f>VLOOKUP(B234,'Allocations 2026-27'!$B$9:$C$328,2,FALSE)</f>
        <v>#N/A</v>
      </c>
      <c r="N234" s="2">
        <f t="shared" si="13"/>
        <v>0</v>
      </c>
      <c r="O234">
        <f t="shared" si="14"/>
        <v>0</v>
      </c>
      <c r="P234" s="2"/>
      <c r="Q234" s="2">
        <f t="shared" si="15"/>
        <v>0</v>
      </c>
    </row>
    <row r="235" spans="2:17" x14ac:dyDescent="0.25">
      <c r="B235" s="31" t="s">
        <v>681</v>
      </c>
      <c r="C235" s="31" t="s">
        <v>231</v>
      </c>
      <c r="D235" s="2">
        <v>0</v>
      </c>
      <c r="E235" s="190"/>
      <c r="F235" s="2">
        <v>0</v>
      </c>
      <c r="G235" s="2">
        <v>0</v>
      </c>
      <c r="I235" s="177">
        <f t="shared" si="12"/>
        <v>0</v>
      </c>
      <c r="J235" s="2"/>
      <c r="K235" t="str">
        <f>VLOOKUP(B235,'Allocations 2026-27'!$B$9:$C$328,2,FALSE)</f>
        <v>Republic</v>
      </c>
      <c r="N235" s="2">
        <f t="shared" si="13"/>
        <v>0</v>
      </c>
      <c r="O235">
        <f t="shared" si="14"/>
        <v>0</v>
      </c>
      <c r="P235" s="2"/>
      <c r="Q235" s="2">
        <f t="shared" si="15"/>
        <v>0</v>
      </c>
    </row>
    <row r="236" spans="2:17" x14ac:dyDescent="0.25">
      <c r="B236" s="31" t="s">
        <v>682</v>
      </c>
      <c r="C236" s="31" t="s">
        <v>232</v>
      </c>
      <c r="D236" s="2">
        <v>892.16</v>
      </c>
      <c r="E236" s="190"/>
      <c r="F236" s="190">
        <v>52.833333333333336</v>
      </c>
      <c r="G236" s="191">
        <v>3</v>
      </c>
      <c r="H236" s="18"/>
      <c r="I236" s="177">
        <f t="shared" si="12"/>
        <v>941.99333333333334</v>
      </c>
      <c r="J236" s="2"/>
      <c r="K236" t="str">
        <f>VLOOKUP(B236,'Allocations 2026-27'!$B$9:$C$328,2,FALSE)</f>
        <v>Richland</v>
      </c>
      <c r="N236" s="2">
        <f t="shared" si="13"/>
        <v>0</v>
      </c>
      <c r="O236">
        <f t="shared" si="14"/>
        <v>0</v>
      </c>
      <c r="P236" s="2"/>
      <c r="Q236" s="2">
        <f t="shared" si="15"/>
        <v>0</v>
      </c>
    </row>
    <row r="237" spans="2:17" x14ac:dyDescent="0.25">
      <c r="B237" s="31" t="s">
        <v>683</v>
      </c>
      <c r="C237" s="31" t="s">
        <v>233</v>
      </c>
      <c r="D237" s="2">
        <v>209.32999999999998</v>
      </c>
      <c r="E237" s="190"/>
      <c r="F237" s="190">
        <v>13</v>
      </c>
      <c r="G237" s="2">
        <v>0</v>
      </c>
      <c r="H237" s="18"/>
      <c r="I237" s="177">
        <f t="shared" si="12"/>
        <v>222.32999999999998</v>
      </c>
      <c r="J237" s="2"/>
      <c r="K237" t="str">
        <f>VLOOKUP(B237,'Allocations 2026-27'!$B$9:$C$328,2,FALSE)</f>
        <v>Ridgefield</v>
      </c>
      <c r="N237" s="2">
        <f t="shared" si="13"/>
        <v>0</v>
      </c>
      <c r="O237">
        <f t="shared" si="14"/>
        <v>0</v>
      </c>
      <c r="P237" s="2"/>
      <c r="Q237" s="2">
        <f t="shared" si="15"/>
        <v>0</v>
      </c>
    </row>
    <row r="238" spans="2:17" x14ac:dyDescent="0.25">
      <c r="B238" s="31" t="s">
        <v>684</v>
      </c>
      <c r="C238" s="31" t="s">
        <v>234</v>
      </c>
      <c r="D238" s="2">
        <v>2</v>
      </c>
      <c r="E238" s="190"/>
      <c r="F238" s="2">
        <v>0</v>
      </c>
      <c r="G238" s="2">
        <v>0</v>
      </c>
      <c r="H238" s="18"/>
      <c r="I238" s="177">
        <f t="shared" si="12"/>
        <v>2</v>
      </c>
      <c r="J238" s="2"/>
      <c r="K238" t="str">
        <f>VLOOKUP(B238,'Allocations 2026-27'!$B$9:$C$328,2,FALSE)</f>
        <v>Ritzville</v>
      </c>
      <c r="N238" s="2">
        <f t="shared" si="13"/>
        <v>0</v>
      </c>
      <c r="O238">
        <f t="shared" si="14"/>
        <v>0</v>
      </c>
      <c r="P238" s="2"/>
      <c r="Q238" s="2">
        <f t="shared" si="15"/>
        <v>0</v>
      </c>
    </row>
    <row r="239" spans="2:17" x14ac:dyDescent="0.25">
      <c r="B239" s="31" t="s">
        <v>685</v>
      </c>
      <c r="C239" s="31" t="s">
        <v>235</v>
      </c>
      <c r="D239" s="2">
        <v>14.34</v>
      </c>
      <c r="E239" s="190"/>
      <c r="F239" s="2">
        <v>0</v>
      </c>
      <c r="G239" s="2">
        <v>0</v>
      </c>
      <c r="I239" s="177">
        <f t="shared" si="12"/>
        <v>14.34</v>
      </c>
      <c r="J239" s="2"/>
      <c r="K239" t="str">
        <f>VLOOKUP(B239,'Allocations 2026-27'!$B$9:$C$328,2,FALSE)</f>
        <v>Riverside</v>
      </c>
      <c r="N239" s="2">
        <f t="shared" si="13"/>
        <v>0</v>
      </c>
      <c r="O239">
        <f t="shared" si="14"/>
        <v>0</v>
      </c>
      <c r="P239" s="2"/>
      <c r="Q239" s="2">
        <f t="shared" si="15"/>
        <v>0</v>
      </c>
    </row>
    <row r="240" spans="2:17" x14ac:dyDescent="0.25">
      <c r="B240" s="31" t="s">
        <v>686</v>
      </c>
      <c r="C240" s="31" t="s">
        <v>236</v>
      </c>
      <c r="D240" s="2">
        <v>235.83</v>
      </c>
      <c r="E240" s="190"/>
      <c r="F240" s="190">
        <v>2</v>
      </c>
      <c r="G240" s="2">
        <v>0</v>
      </c>
      <c r="H240" s="18"/>
      <c r="I240" s="177">
        <f t="shared" si="12"/>
        <v>237.83</v>
      </c>
      <c r="J240" s="2"/>
      <c r="K240" t="str">
        <f>VLOOKUP(B240,'Allocations 2026-27'!$B$9:$C$328,2,FALSE)</f>
        <v>Riverview</v>
      </c>
      <c r="N240" s="2">
        <f t="shared" si="13"/>
        <v>0</v>
      </c>
      <c r="O240">
        <f t="shared" si="14"/>
        <v>0</v>
      </c>
      <c r="P240" s="2"/>
      <c r="Q240" s="2">
        <f t="shared" si="15"/>
        <v>0</v>
      </c>
    </row>
    <row r="241" spans="2:17" x14ac:dyDescent="0.25">
      <c r="B241" s="31" t="s">
        <v>687</v>
      </c>
      <c r="C241" s="31" t="s">
        <v>237</v>
      </c>
      <c r="D241" s="2">
        <v>223.33</v>
      </c>
      <c r="E241" s="190"/>
      <c r="F241" s="190">
        <v>48.5</v>
      </c>
      <c r="G241" s="191">
        <v>1</v>
      </c>
      <c r="H241" s="18"/>
      <c r="I241" s="177">
        <f t="shared" si="12"/>
        <v>270.83000000000004</v>
      </c>
      <c r="J241" s="2"/>
      <c r="K241" t="str">
        <f>VLOOKUP(B241,'Allocations 2026-27'!$B$9:$C$328,2,FALSE)</f>
        <v>Rochester</v>
      </c>
      <c r="N241" s="2">
        <f t="shared" si="13"/>
        <v>0</v>
      </c>
      <c r="O241">
        <f t="shared" si="14"/>
        <v>0</v>
      </c>
      <c r="P241" s="2"/>
      <c r="Q241" s="2">
        <f t="shared" si="15"/>
        <v>0</v>
      </c>
    </row>
    <row r="242" spans="2:17" x14ac:dyDescent="0.25">
      <c r="B242" s="31" t="s">
        <v>688</v>
      </c>
      <c r="C242" s="31" t="s">
        <v>238</v>
      </c>
      <c r="D242" s="2">
        <v>12</v>
      </c>
      <c r="E242" s="190"/>
      <c r="F242" s="2">
        <v>0</v>
      </c>
      <c r="G242" s="2">
        <v>0</v>
      </c>
      <c r="H242" s="18"/>
      <c r="I242" s="177">
        <f t="shared" si="12"/>
        <v>12</v>
      </c>
      <c r="J242" s="2"/>
      <c r="K242" t="str">
        <f>VLOOKUP(B242,'Allocations 2026-27'!$B$9:$C$328,2,FALSE)</f>
        <v>Roosevelt</v>
      </c>
      <c r="N242" s="2">
        <f t="shared" si="13"/>
        <v>0</v>
      </c>
      <c r="O242">
        <f t="shared" si="14"/>
        <v>0</v>
      </c>
      <c r="P242" s="2"/>
      <c r="Q242" s="2">
        <f t="shared" si="15"/>
        <v>0</v>
      </c>
    </row>
    <row r="243" spans="2:17" x14ac:dyDescent="0.25">
      <c r="B243" s="33" t="s">
        <v>810</v>
      </c>
      <c r="C243" s="34" t="s">
        <v>822</v>
      </c>
      <c r="D243" s="2">
        <v>1.33</v>
      </c>
      <c r="E243" s="190"/>
      <c r="F243" s="2">
        <v>0</v>
      </c>
      <c r="G243" s="2">
        <v>0</v>
      </c>
      <c r="H243" s="18"/>
      <c r="I243" s="177">
        <f t="shared" si="12"/>
        <v>2.1612499999999999</v>
      </c>
      <c r="J243" s="2"/>
      <c r="K243" t="str">
        <f>VLOOKUP(B243,'Allocations 2026-27'!$B$9:$C$328,2,FALSE)</f>
        <v>ROOTED CHARTER SCHOOL</v>
      </c>
      <c r="L243">
        <v>64</v>
      </c>
      <c r="M243">
        <v>104</v>
      </c>
      <c r="N243" s="2">
        <f t="shared" si="13"/>
        <v>2.0781250000000001E-2</v>
      </c>
      <c r="O243">
        <f t="shared" si="14"/>
        <v>40</v>
      </c>
      <c r="P243" s="2"/>
      <c r="Q243" s="2">
        <f t="shared" si="15"/>
        <v>0.83125000000000004</v>
      </c>
    </row>
    <row r="244" spans="2:17" x14ac:dyDescent="0.25">
      <c r="B244" s="31" t="s">
        <v>689</v>
      </c>
      <c r="C244" s="31" t="s">
        <v>239</v>
      </c>
      <c r="D244" s="2">
        <v>0</v>
      </c>
      <c r="E244" s="190"/>
      <c r="F244" s="2">
        <v>0</v>
      </c>
      <c r="G244" s="2">
        <v>0</v>
      </c>
      <c r="I244" s="177">
        <f t="shared" si="12"/>
        <v>0</v>
      </c>
      <c r="J244" s="2"/>
      <c r="K244" t="str">
        <f>VLOOKUP(B244,'Allocations 2026-27'!$B$9:$C$328,2,FALSE)</f>
        <v>Rosalia</v>
      </c>
      <c r="N244" s="2">
        <f t="shared" si="13"/>
        <v>0</v>
      </c>
      <c r="O244">
        <f t="shared" si="14"/>
        <v>0</v>
      </c>
      <c r="P244" s="2"/>
      <c r="Q244" s="2">
        <f t="shared" si="15"/>
        <v>0</v>
      </c>
    </row>
    <row r="245" spans="2:17" x14ac:dyDescent="0.25">
      <c r="B245" s="31" t="s">
        <v>690</v>
      </c>
      <c r="C245" s="31" t="s">
        <v>240</v>
      </c>
      <c r="D245" s="2">
        <v>736.5</v>
      </c>
      <c r="E245" s="190"/>
      <c r="F245" s="2">
        <v>0</v>
      </c>
      <c r="G245" s="2">
        <v>0</v>
      </c>
      <c r="H245" s="18"/>
      <c r="I245" s="177">
        <f t="shared" si="12"/>
        <v>736.5</v>
      </c>
      <c r="J245" s="2"/>
      <c r="K245" t="str">
        <f>VLOOKUP(B245,'Allocations 2026-27'!$B$9:$C$328,2,FALSE)</f>
        <v>Royal</v>
      </c>
      <c r="N245" s="2">
        <f t="shared" si="13"/>
        <v>0</v>
      </c>
      <c r="O245">
        <f t="shared" si="14"/>
        <v>0</v>
      </c>
      <c r="P245" s="2"/>
      <c r="Q245" s="2">
        <f t="shared" si="15"/>
        <v>0</v>
      </c>
    </row>
    <row r="246" spans="2:17" x14ac:dyDescent="0.25">
      <c r="B246" s="31" t="s">
        <v>490</v>
      </c>
      <c r="C246" s="31" t="s">
        <v>241</v>
      </c>
      <c r="D246" s="2">
        <v>71</v>
      </c>
      <c r="E246" s="190"/>
      <c r="F246" s="2">
        <v>0</v>
      </c>
      <c r="G246" s="2">
        <v>0</v>
      </c>
      <c r="H246" s="18"/>
      <c r="I246" s="177">
        <f t="shared" si="12"/>
        <v>71</v>
      </c>
      <c r="J246" s="2"/>
      <c r="K246" t="str">
        <f>VLOOKUP(B246,'Allocations 2026-27'!$B$9:$C$328,2,FALSE)</f>
        <v>San Juan</v>
      </c>
      <c r="N246" s="2">
        <f t="shared" si="13"/>
        <v>0</v>
      </c>
      <c r="O246">
        <f t="shared" si="14"/>
        <v>0</v>
      </c>
      <c r="P246" s="2"/>
      <c r="Q246" s="2">
        <f t="shared" si="15"/>
        <v>0</v>
      </c>
    </row>
    <row r="247" spans="2:17" x14ac:dyDescent="0.25">
      <c r="B247" s="31" t="s">
        <v>691</v>
      </c>
      <c r="C247" s="31" t="s">
        <v>242</v>
      </c>
      <c r="D247" s="2">
        <v>0</v>
      </c>
      <c r="E247" s="190"/>
      <c r="F247" s="2">
        <v>0</v>
      </c>
      <c r="G247" s="2">
        <v>0</v>
      </c>
      <c r="I247" s="177">
        <f t="shared" si="12"/>
        <v>0</v>
      </c>
      <c r="J247" s="2"/>
      <c r="K247" t="str">
        <f>VLOOKUP(B247,'Allocations 2026-27'!$B$9:$C$328,2,FALSE)</f>
        <v>Satsop</v>
      </c>
      <c r="N247" s="2">
        <f t="shared" si="13"/>
        <v>0</v>
      </c>
      <c r="O247">
        <f t="shared" si="14"/>
        <v>0</v>
      </c>
      <c r="P247" s="2"/>
      <c r="Q247" s="2">
        <f t="shared" si="15"/>
        <v>0</v>
      </c>
    </row>
    <row r="248" spans="2:17" x14ac:dyDescent="0.25">
      <c r="B248" s="31" t="s">
        <v>696</v>
      </c>
      <c r="C248" s="31" t="s">
        <v>243</v>
      </c>
      <c r="D248" s="2">
        <v>7384.67</v>
      </c>
      <c r="E248" s="190"/>
      <c r="F248" s="190">
        <v>145.33333333333334</v>
      </c>
      <c r="G248" s="2">
        <v>0</v>
      </c>
      <c r="H248" s="18"/>
      <c r="I248" s="177">
        <f t="shared" si="12"/>
        <v>7530.0033333333331</v>
      </c>
      <c r="J248" s="2"/>
      <c r="K248" t="str">
        <f>VLOOKUP(B248,'Allocations 2026-27'!$B$9:$C$328,2,FALSE)</f>
        <v>Seattle</v>
      </c>
      <c r="N248" s="2">
        <f t="shared" si="13"/>
        <v>0</v>
      </c>
      <c r="O248">
        <f t="shared" si="14"/>
        <v>0</v>
      </c>
      <c r="P248" s="2"/>
      <c r="Q248" s="2">
        <f t="shared" si="15"/>
        <v>0</v>
      </c>
    </row>
    <row r="249" spans="2:17" x14ac:dyDescent="0.25">
      <c r="B249" s="31" t="s">
        <v>697</v>
      </c>
      <c r="C249" s="31" t="s">
        <v>244</v>
      </c>
      <c r="D249" s="2">
        <v>427.16999999999996</v>
      </c>
      <c r="E249" s="190"/>
      <c r="F249" s="190">
        <v>33.666666666666664</v>
      </c>
      <c r="G249" s="2">
        <v>0</v>
      </c>
      <c r="H249" s="18"/>
      <c r="I249" s="177">
        <f t="shared" si="12"/>
        <v>460.83666666666664</v>
      </c>
      <c r="J249" s="2"/>
      <c r="K249" t="str">
        <f>VLOOKUP(B249,'Allocations 2026-27'!$B$9:$C$328,2,FALSE)</f>
        <v>Sedro Woolley</v>
      </c>
      <c r="N249" s="2">
        <f t="shared" si="13"/>
        <v>0</v>
      </c>
      <c r="O249">
        <f t="shared" si="14"/>
        <v>0</v>
      </c>
      <c r="P249" s="2"/>
      <c r="Q249" s="2">
        <f t="shared" si="15"/>
        <v>0</v>
      </c>
    </row>
    <row r="250" spans="2:17" x14ac:dyDescent="0.25">
      <c r="B250" s="31" t="s">
        <v>698</v>
      </c>
      <c r="C250" s="31" t="s">
        <v>245</v>
      </c>
      <c r="D250" s="2">
        <v>419.34000000000003</v>
      </c>
      <c r="E250" s="190"/>
      <c r="F250" s="190">
        <v>6</v>
      </c>
      <c r="G250" s="2">
        <v>0</v>
      </c>
      <c r="H250" s="18"/>
      <c r="I250" s="177">
        <f t="shared" si="12"/>
        <v>425.34000000000003</v>
      </c>
      <c r="J250" s="2"/>
      <c r="K250" t="str">
        <f>VLOOKUP(B250,'Allocations 2026-27'!$B$9:$C$328,2,FALSE)</f>
        <v>Selah</v>
      </c>
      <c r="N250" s="2">
        <f t="shared" si="13"/>
        <v>0</v>
      </c>
      <c r="O250">
        <f t="shared" si="14"/>
        <v>0</v>
      </c>
      <c r="P250" s="2"/>
      <c r="Q250" s="2">
        <f t="shared" si="15"/>
        <v>0</v>
      </c>
    </row>
    <row r="251" spans="2:17" x14ac:dyDescent="0.25">
      <c r="B251" s="31" t="s">
        <v>699</v>
      </c>
      <c r="C251" s="31" t="s">
        <v>246</v>
      </c>
      <c r="D251" s="2">
        <v>0</v>
      </c>
      <c r="E251" s="190"/>
      <c r="F251" s="2">
        <v>0</v>
      </c>
      <c r="G251" s="2">
        <v>0</v>
      </c>
      <c r="H251" s="18"/>
      <c r="I251" s="177">
        <f t="shared" si="12"/>
        <v>0</v>
      </c>
      <c r="J251" s="2"/>
      <c r="K251" t="str">
        <f>VLOOKUP(B251,'Allocations 2026-27'!$B$9:$C$328,2,FALSE)</f>
        <v>Selkirk</v>
      </c>
      <c r="N251" s="2">
        <f t="shared" si="13"/>
        <v>0</v>
      </c>
      <c r="O251">
        <f t="shared" si="14"/>
        <v>0</v>
      </c>
      <c r="P251" s="2"/>
      <c r="Q251" s="2">
        <f t="shared" si="15"/>
        <v>0</v>
      </c>
    </row>
    <row r="252" spans="2:17" x14ac:dyDescent="0.25">
      <c r="B252" s="31" t="s">
        <v>700</v>
      </c>
      <c r="C252" s="31" t="s">
        <v>247</v>
      </c>
      <c r="D252" s="2">
        <v>49.5</v>
      </c>
      <c r="E252" s="190"/>
      <c r="F252" s="2">
        <v>0</v>
      </c>
      <c r="G252" s="2">
        <v>0</v>
      </c>
      <c r="H252" s="18"/>
      <c r="I252" s="177">
        <f t="shared" si="12"/>
        <v>49.5</v>
      </c>
      <c r="J252" s="2"/>
      <c r="K252" t="str">
        <f>VLOOKUP(B252,'Allocations 2026-27'!$B$9:$C$328,2,FALSE)</f>
        <v>Sequim</v>
      </c>
      <c r="N252" s="2">
        <f t="shared" si="13"/>
        <v>0</v>
      </c>
      <c r="O252">
        <f t="shared" si="14"/>
        <v>0</v>
      </c>
      <c r="P252" s="2"/>
      <c r="Q252" s="2">
        <f t="shared" si="15"/>
        <v>0</v>
      </c>
    </row>
    <row r="253" spans="2:17" x14ac:dyDescent="0.25">
      <c r="B253" s="31" t="s">
        <v>701</v>
      </c>
      <c r="C253" s="31" t="s">
        <v>248</v>
      </c>
      <c r="D253" s="2">
        <v>0</v>
      </c>
      <c r="E253" s="190"/>
      <c r="F253" s="2">
        <v>0</v>
      </c>
      <c r="G253" s="2">
        <v>0</v>
      </c>
      <c r="I253" s="177">
        <f t="shared" si="12"/>
        <v>0</v>
      </c>
      <c r="J253" s="2"/>
      <c r="K253" t="str">
        <f>VLOOKUP(B253,'Allocations 2026-27'!$B$9:$C$328,2,FALSE)</f>
        <v>Shaw</v>
      </c>
      <c r="N253" s="2">
        <f t="shared" si="13"/>
        <v>0</v>
      </c>
      <c r="O253">
        <f t="shared" si="14"/>
        <v>0</v>
      </c>
      <c r="P253" s="2"/>
      <c r="Q253" s="2">
        <f t="shared" si="15"/>
        <v>0</v>
      </c>
    </row>
    <row r="254" spans="2:17" x14ac:dyDescent="0.25">
      <c r="B254" s="31" t="s">
        <v>702</v>
      </c>
      <c r="C254" s="31" t="s">
        <v>249</v>
      </c>
      <c r="D254" s="2">
        <v>1163.67</v>
      </c>
      <c r="E254" s="190"/>
      <c r="F254" s="190">
        <v>10.833333333333334</v>
      </c>
      <c r="G254" s="2">
        <v>0</v>
      </c>
      <c r="H254" s="18"/>
      <c r="I254" s="177">
        <f t="shared" si="12"/>
        <v>1174.5033333333333</v>
      </c>
      <c r="J254" s="2"/>
      <c r="K254" t="str">
        <f>VLOOKUP(B254,'Allocations 2026-27'!$B$9:$C$328,2,FALSE)</f>
        <v>Shelton</v>
      </c>
      <c r="N254" s="2">
        <f t="shared" si="13"/>
        <v>0</v>
      </c>
      <c r="O254">
        <f t="shared" si="14"/>
        <v>0</v>
      </c>
      <c r="P254" s="2"/>
      <c r="Q254" s="2">
        <f t="shared" si="15"/>
        <v>0</v>
      </c>
    </row>
    <row r="255" spans="2:17" x14ac:dyDescent="0.25">
      <c r="B255" s="31" t="s">
        <v>703</v>
      </c>
      <c r="C255" s="31" t="s">
        <v>250</v>
      </c>
      <c r="D255" s="2">
        <v>1069.67</v>
      </c>
      <c r="E255" s="190"/>
      <c r="F255" s="190">
        <v>32.166666666666664</v>
      </c>
      <c r="G255" s="2">
        <v>0</v>
      </c>
      <c r="I255" s="177">
        <f t="shared" si="12"/>
        <v>1101.8366666666668</v>
      </c>
      <c r="J255" s="2"/>
      <c r="K255" t="str">
        <f>VLOOKUP(B255,'Allocations 2026-27'!$B$9:$C$328,2,FALSE)</f>
        <v>Shoreline</v>
      </c>
      <c r="N255" s="2">
        <f t="shared" si="13"/>
        <v>0</v>
      </c>
      <c r="O255">
        <f t="shared" si="14"/>
        <v>0</v>
      </c>
      <c r="P255" s="2"/>
      <c r="Q255" s="2">
        <f t="shared" si="15"/>
        <v>0</v>
      </c>
    </row>
    <row r="256" spans="2:17" x14ac:dyDescent="0.25">
      <c r="B256" s="31" t="s">
        <v>704</v>
      </c>
      <c r="C256" s="31" t="s">
        <v>251</v>
      </c>
      <c r="D256" s="2">
        <v>1</v>
      </c>
      <c r="E256" s="190"/>
      <c r="F256" s="2">
        <v>0</v>
      </c>
      <c r="G256" s="2">
        <v>0</v>
      </c>
      <c r="H256" s="18"/>
      <c r="I256" s="177">
        <f t="shared" si="12"/>
        <v>1</v>
      </c>
      <c r="J256" s="2"/>
      <c r="K256" t="str">
        <f>VLOOKUP(B256,'Allocations 2026-27'!$B$9:$C$328,2,FALSE)</f>
        <v>Skamania</v>
      </c>
      <c r="N256" s="2">
        <f t="shared" si="13"/>
        <v>0</v>
      </c>
      <c r="O256">
        <f t="shared" si="14"/>
        <v>0</v>
      </c>
      <c r="P256" s="2"/>
      <c r="Q256" s="2">
        <f t="shared" si="15"/>
        <v>0</v>
      </c>
    </row>
    <row r="257" spans="2:17" x14ac:dyDescent="0.25">
      <c r="B257" s="31" t="s">
        <v>705</v>
      </c>
      <c r="C257" s="31" t="s">
        <v>252</v>
      </c>
      <c r="D257" s="2">
        <v>0</v>
      </c>
      <c r="E257" s="190"/>
      <c r="F257" s="2">
        <v>0</v>
      </c>
      <c r="G257" s="2">
        <v>0</v>
      </c>
      <c r="H257" s="18"/>
      <c r="I257" s="177">
        <f t="shared" si="12"/>
        <v>0</v>
      </c>
      <c r="J257" s="2"/>
      <c r="K257" t="str">
        <f>VLOOKUP(B257,'Allocations 2026-27'!$B$9:$C$328,2,FALSE)</f>
        <v>Skykomish</v>
      </c>
      <c r="N257" s="2">
        <f t="shared" si="13"/>
        <v>0</v>
      </c>
      <c r="O257">
        <f t="shared" si="14"/>
        <v>0</v>
      </c>
      <c r="P257" s="2"/>
      <c r="Q257" s="2">
        <f t="shared" si="15"/>
        <v>0</v>
      </c>
    </row>
    <row r="258" spans="2:17" x14ac:dyDescent="0.25">
      <c r="B258" s="31" t="s">
        <v>706</v>
      </c>
      <c r="C258" s="31" t="s">
        <v>253</v>
      </c>
      <c r="D258" s="2">
        <v>655.32999999999993</v>
      </c>
      <c r="E258" s="190"/>
      <c r="F258" s="190">
        <v>2.8333333333333335</v>
      </c>
      <c r="G258" s="2">
        <v>0</v>
      </c>
      <c r="H258" s="18"/>
      <c r="I258" s="177">
        <f t="shared" si="12"/>
        <v>658.1633333333333</v>
      </c>
      <c r="J258" s="2"/>
      <c r="K258" t="str">
        <f>VLOOKUP(B258,'Allocations 2026-27'!$B$9:$C$328,2,FALSE)</f>
        <v>Snohomish</v>
      </c>
      <c r="N258" s="2">
        <f t="shared" si="13"/>
        <v>0</v>
      </c>
      <c r="O258">
        <f t="shared" si="14"/>
        <v>0</v>
      </c>
      <c r="P258" s="2"/>
      <c r="Q258" s="2">
        <f t="shared" si="15"/>
        <v>0</v>
      </c>
    </row>
    <row r="259" spans="2:17" x14ac:dyDescent="0.25">
      <c r="B259" s="31" t="s">
        <v>707</v>
      </c>
      <c r="C259" s="31" t="s">
        <v>254</v>
      </c>
      <c r="D259" s="2">
        <v>256.16999999999996</v>
      </c>
      <c r="E259" s="190"/>
      <c r="F259" s="190">
        <v>1.1666666666666667</v>
      </c>
      <c r="G259" s="2">
        <v>0</v>
      </c>
      <c r="H259" s="18"/>
      <c r="I259" s="177">
        <f t="shared" si="12"/>
        <v>257.33666666666664</v>
      </c>
      <c r="J259" s="2"/>
      <c r="K259" t="str">
        <f>VLOOKUP(B259,'Allocations 2026-27'!$B$9:$C$328,2,FALSE)</f>
        <v>Snoqualmie Valley</v>
      </c>
      <c r="N259" s="2">
        <f t="shared" si="13"/>
        <v>0</v>
      </c>
      <c r="O259">
        <f t="shared" si="14"/>
        <v>0</v>
      </c>
      <c r="P259" s="2"/>
      <c r="Q259" s="2">
        <f t="shared" si="15"/>
        <v>0</v>
      </c>
    </row>
    <row r="260" spans="2:17" x14ac:dyDescent="0.25">
      <c r="B260" s="31" t="s">
        <v>708</v>
      </c>
      <c r="C260" s="31" t="s">
        <v>255</v>
      </c>
      <c r="D260" s="2">
        <v>144.84</v>
      </c>
      <c r="E260" s="190"/>
      <c r="F260" s="2">
        <v>0</v>
      </c>
      <c r="G260" s="2">
        <v>0</v>
      </c>
      <c r="H260" s="18"/>
      <c r="I260" s="177">
        <f t="shared" si="12"/>
        <v>144.84</v>
      </c>
      <c r="J260" s="2"/>
      <c r="K260" t="str">
        <f>VLOOKUP(B260,'Allocations 2026-27'!$B$9:$C$328,2,FALSE)</f>
        <v>Soap Lake</v>
      </c>
      <c r="N260" s="2">
        <f t="shared" si="13"/>
        <v>0</v>
      </c>
      <c r="O260">
        <f t="shared" si="14"/>
        <v>0</v>
      </c>
      <c r="P260" s="2"/>
      <c r="Q260" s="2">
        <f t="shared" si="15"/>
        <v>0</v>
      </c>
    </row>
    <row r="261" spans="2:17" x14ac:dyDescent="0.25">
      <c r="B261" s="31" t="s">
        <v>709</v>
      </c>
      <c r="C261" s="31" t="s">
        <v>256</v>
      </c>
      <c r="D261" s="2">
        <v>200.67000000000002</v>
      </c>
      <c r="E261" s="190"/>
      <c r="F261" s="2">
        <v>0</v>
      </c>
      <c r="G261" s="2">
        <v>0</v>
      </c>
      <c r="I261" s="177">
        <f t="shared" si="12"/>
        <v>200.67000000000002</v>
      </c>
      <c r="J261" s="2"/>
      <c r="K261" t="str">
        <f>VLOOKUP(B261,'Allocations 2026-27'!$B$9:$C$328,2,FALSE)</f>
        <v>South Bend</v>
      </c>
      <c r="N261" s="2">
        <f t="shared" si="13"/>
        <v>0</v>
      </c>
      <c r="O261">
        <f t="shared" si="14"/>
        <v>0</v>
      </c>
      <c r="P261" s="2"/>
      <c r="Q261" s="2">
        <f t="shared" si="15"/>
        <v>0</v>
      </c>
    </row>
    <row r="262" spans="2:17" x14ac:dyDescent="0.25">
      <c r="B262" s="31" t="s">
        <v>710</v>
      </c>
      <c r="C262" s="31" t="s">
        <v>257</v>
      </c>
      <c r="D262" s="2">
        <v>272.5</v>
      </c>
      <c r="E262" s="190"/>
      <c r="F262" s="190">
        <v>25</v>
      </c>
      <c r="G262" s="2">
        <v>0</v>
      </c>
      <c r="I262" s="177">
        <f t="shared" si="12"/>
        <v>297.5</v>
      </c>
      <c r="J262" s="2"/>
      <c r="K262" t="str">
        <f>VLOOKUP(B262,'Allocations 2026-27'!$B$9:$C$328,2,FALSE)</f>
        <v>South Kitsap</v>
      </c>
      <c r="N262" s="2">
        <f t="shared" si="13"/>
        <v>0</v>
      </c>
      <c r="O262">
        <f t="shared" si="14"/>
        <v>0</v>
      </c>
      <c r="P262" s="2"/>
      <c r="Q262" s="2">
        <f t="shared" si="15"/>
        <v>0</v>
      </c>
    </row>
    <row r="263" spans="2:17" x14ac:dyDescent="0.25">
      <c r="B263" s="31" t="s">
        <v>711</v>
      </c>
      <c r="C263" s="31" t="s">
        <v>258</v>
      </c>
      <c r="D263" s="2">
        <v>16.5</v>
      </c>
      <c r="E263" s="190"/>
      <c r="F263" s="2">
        <v>0</v>
      </c>
      <c r="G263" s="191">
        <v>5</v>
      </c>
      <c r="I263" s="177">
        <f t="shared" si="12"/>
        <v>11.5</v>
      </c>
      <c r="J263" s="2"/>
      <c r="K263" t="str">
        <f>VLOOKUP(B263,'Allocations 2026-27'!$B$9:$C$328,2,FALSE)</f>
        <v>South Whidbey</v>
      </c>
      <c r="N263" s="2">
        <f t="shared" si="13"/>
        <v>0</v>
      </c>
      <c r="O263">
        <f t="shared" si="14"/>
        <v>0</v>
      </c>
      <c r="P263" s="2"/>
      <c r="Q263" s="2">
        <f t="shared" si="15"/>
        <v>0</v>
      </c>
    </row>
    <row r="264" spans="2:17" x14ac:dyDescent="0.25">
      <c r="B264" s="31" t="s">
        <v>712</v>
      </c>
      <c r="C264" s="31" t="s">
        <v>259</v>
      </c>
      <c r="D264" s="2">
        <v>15.67</v>
      </c>
      <c r="E264" s="190"/>
      <c r="F264" s="2">
        <v>0</v>
      </c>
      <c r="G264" s="2">
        <v>0</v>
      </c>
      <c r="H264" s="18"/>
      <c r="I264" s="177">
        <f t="shared" si="12"/>
        <v>15.67</v>
      </c>
      <c r="J264" s="2"/>
      <c r="K264" t="str">
        <f>VLOOKUP(B264,'Allocations 2026-27'!$B$9:$C$328,2,FALSE)</f>
        <v>Southside</v>
      </c>
      <c r="N264" s="2">
        <f t="shared" si="13"/>
        <v>0</v>
      </c>
      <c r="O264">
        <f t="shared" si="14"/>
        <v>0</v>
      </c>
      <c r="P264" s="2"/>
      <c r="Q264" s="2">
        <f t="shared" si="15"/>
        <v>0</v>
      </c>
    </row>
    <row r="265" spans="2:17" x14ac:dyDescent="0.25">
      <c r="B265" s="31" t="s">
        <v>713</v>
      </c>
      <c r="C265" s="31" t="s">
        <v>260</v>
      </c>
      <c r="D265" s="2">
        <v>2776.33</v>
      </c>
      <c r="E265" s="190"/>
      <c r="F265" s="190">
        <v>206.66666666666666</v>
      </c>
      <c r="G265" s="191">
        <v>1</v>
      </c>
      <c r="H265" s="18"/>
      <c r="I265" s="177">
        <f t="shared" ref="I265:I328" si="16">IF(D265+E265+F265+Q265-G265&lt;0,0,D265+E265+F265-G265+Q265)</f>
        <v>2981.9966666666664</v>
      </c>
      <c r="J265" s="2"/>
      <c r="K265" t="str">
        <f>VLOOKUP(B265,'Allocations 2026-27'!$B$9:$C$328,2,FALSE)</f>
        <v>Spokane</v>
      </c>
      <c r="N265" s="2">
        <f t="shared" ref="N265:N328" si="17">IFERROR(D265/L265,0)</f>
        <v>0</v>
      </c>
      <c r="O265">
        <f t="shared" ref="O265:O328" si="18">M265-L265</f>
        <v>0</v>
      </c>
      <c r="P265" s="2"/>
      <c r="Q265" s="2">
        <f t="shared" ref="Q265:Q328" si="19">O265*N265</f>
        <v>0</v>
      </c>
    </row>
    <row r="266" spans="2:17" x14ac:dyDescent="0.25">
      <c r="B266" s="34" t="s">
        <v>714</v>
      </c>
      <c r="C266" s="31" t="s">
        <v>261</v>
      </c>
      <c r="D266" s="2">
        <v>69</v>
      </c>
      <c r="E266" s="190"/>
      <c r="F266" s="2">
        <v>0</v>
      </c>
      <c r="G266" s="2">
        <v>0</v>
      </c>
      <c r="H266" s="18"/>
      <c r="I266" s="177">
        <f t="shared" si="16"/>
        <v>69</v>
      </c>
      <c r="J266" s="2"/>
      <c r="K266" t="str">
        <f>VLOOKUP(B266,'Allocations 2026-27'!$B$9:$C$328,2,FALSE)</f>
        <v>Spokane Int'l Charter</v>
      </c>
      <c r="N266" s="2">
        <f t="shared" si="17"/>
        <v>0</v>
      </c>
      <c r="O266">
        <f t="shared" si="18"/>
        <v>0</v>
      </c>
      <c r="P266" s="2"/>
      <c r="Q266" s="2">
        <f t="shared" si="19"/>
        <v>0</v>
      </c>
    </row>
    <row r="267" spans="2:17" x14ac:dyDescent="0.25">
      <c r="B267" s="31" t="s">
        <v>715</v>
      </c>
      <c r="C267" s="31" t="s">
        <v>262</v>
      </c>
      <c r="D267" s="2">
        <v>0</v>
      </c>
      <c r="E267" s="190"/>
      <c r="F267" s="2">
        <v>0</v>
      </c>
      <c r="G267" s="2">
        <v>0</v>
      </c>
      <c r="H267" s="18"/>
      <c r="I267" s="177">
        <f t="shared" si="16"/>
        <v>0</v>
      </c>
      <c r="J267" s="2"/>
      <c r="K267" t="str">
        <f>VLOOKUP(B267,'Allocations 2026-27'!$B$9:$C$328,2,FALSE)</f>
        <v>Sprague</v>
      </c>
      <c r="N267" s="2">
        <f t="shared" si="17"/>
        <v>0</v>
      </c>
      <c r="O267">
        <f t="shared" si="18"/>
        <v>0</v>
      </c>
      <c r="P267" s="2"/>
      <c r="Q267" s="2">
        <f t="shared" si="19"/>
        <v>0</v>
      </c>
    </row>
    <row r="268" spans="2:17" x14ac:dyDescent="0.25">
      <c r="B268" s="31" t="s">
        <v>716</v>
      </c>
      <c r="C268" s="31" t="s">
        <v>263</v>
      </c>
      <c r="D268" s="2">
        <v>0</v>
      </c>
      <c r="E268" s="190"/>
      <c r="F268" s="2">
        <v>0</v>
      </c>
      <c r="G268" s="2">
        <v>0</v>
      </c>
      <c r="H268" s="18"/>
      <c r="I268" s="177">
        <f t="shared" si="16"/>
        <v>0</v>
      </c>
      <c r="J268" s="2"/>
      <c r="K268" t="str">
        <f>VLOOKUP(B268,'Allocations 2026-27'!$B$9:$C$328,2,FALSE)</f>
        <v>St John</v>
      </c>
      <c r="N268" s="2">
        <f t="shared" si="17"/>
        <v>0</v>
      </c>
      <c r="O268">
        <f t="shared" si="18"/>
        <v>0</v>
      </c>
      <c r="P268" s="2"/>
      <c r="Q268" s="2">
        <f t="shared" si="19"/>
        <v>0</v>
      </c>
    </row>
    <row r="269" spans="2:17" x14ac:dyDescent="0.25">
      <c r="B269" s="31" t="s">
        <v>717</v>
      </c>
      <c r="C269" s="31" t="s">
        <v>264</v>
      </c>
      <c r="D269" s="2">
        <v>176.16</v>
      </c>
      <c r="E269" s="190"/>
      <c r="F269" s="190">
        <v>16.666666666666668</v>
      </c>
      <c r="G269" s="2">
        <v>0</v>
      </c>
      <c r="I269" s="177">
        <f t="shared" si="16"/>
        <v>192.82666666666665</v>
      </c>
      <c r="J269" s="2"/>
      <c r="K269" t="str">
        <f>VLOOKUP(B269,'Allocations 2026-27'!$B$9:$C$328,2,FALSE)</f>
        <v>Stanwood</v>
      </c>
      <c r="N269" s="2">
        <f t="shared" si="17"/>
        <v>0</v>
      </c>
      <c r="O269">
        <f t="shared" si="18"/>
        <v>0</v>
      </c>
      <c r="P269" s="2"/>
      <c r="Q269" s="2">
        <f t="shared" si="19"/>
        <v>0</v>
      </c>
    </row>
    <row r="270" spans="2:17" x14ac:dyDescent="0.25">
      <c r="B270" s="31" t="s">
        <v>718</v>
      </c>
      <c r="C270" s="31" t="s">
        <v>265</v>
      </c>
      <c r="D270" s="2">
        <v>0</v>
      </c>
      <c r="E270" s="190"/>
      <c r="F270" s="2">
        <v>0</v>
      </c>
      <c r="G270" s="2">
        <v>0</v>
      </c>
      <c r="H270" s="18"/>
      <c r="I270" s="177">
        <f t="shared" si="16"/>
        <v>0</v>
      </c>
      <c r="J270" s="2"/>
      <c r="K270" t="str">
        <f>VLOOKUP(B270,'Allocations 2026-27'!$B$9:$C$328,2,FALSE)</f>
        <v>Star</v>
      </c>
      <c r="N270" s="2">
        <f t="shared" si="17"/>
        <v>0</v>
      </c>
      <c r="O270">
        <f t="shared" si="18"/>
        <v>0</v>
      </c>
      <c r="P270" s="2"/>
      <c r="Q270" s="2">
        <f t="shared" si="19"/>
        <v>0</v>
      </c>
    </row>
    <row r="271" spans="2:17" x14ac:dyDescent="0.25">
      <c r="B271" s="31" t="s">
        <v>719</v>
      </c>
      <c r="C271" s="31" t="s">
        <v>266</v>
      </c>
      <c r="D271" s="2">
        <v>0</v>
      </c>
      <c r="E271" s="190"/>
      <c r="F271" s="2">
        <v>0</v>
      </c>
      <c r="G271" s="2">
        <v>0</v>
      </c>
      <c r="H271" s="18"/>
      <c r="I271" s="177">
        <f t="shared" si="16"/>
        <v>0</v>
      </c>
      <c r="J271" s="2"/>
      <c r="K271" t="str">
        <f>VLOOKUP(B271,'Allocations 2026-27'!$B$9:$C$328,2,FALSE)</f>
        <v>Starbuck</v>
      </c>
      <c r="N271" s="2">
        <f t="shared" si="17"/>
        <v>0</v>
      </c>
      <c r="O271">
        <f t="shared" si="18"/>
        <v>0</v>
      </c>
      <c r="P271" s="2"/>
      <c r="Q271" s="2">
        <f t="shared" si="19"/>
        <v>0</v>
      </c>
    </row>
    <row r="272" spans="2:17" x14ac:dyDescent="0.25">
      <c r="B272" s="31" t="s">
        <v>720</v>
      </c>
      <c r="C272" s="31" t="s">
        <v>267</v>
      </c>
      <c r="D272" s="2">
        <v>0</v>
      </c>
      <c r="E272" s="190"/>
      <c r="F272" s="2">
        <v>0</v>
      </c>
      <c r="G272" s="2">
        <v>0</v>
      </c>
      <c r="I272" s="177">
        <f t="shared" si="16"/>
        <v>0</v>
      </c>
      <c r="J272" s="2"/>
      <c r="K272" t="str">
        <f>VLOOKUP(B272,'Allocations 2026-27'!$B$9:$C$328,2,FALSE)</f>
        <v>Stehekin</v>
      </c>
      <c r="N272" s="2">
        <f t="shared" si="17"/>
        <v>0</v>
      </c>
      <c r="O272">
        <f t="shared" si="18"/>
        <v>0</v>
      </c>
      <c r="P272" s="2"/>
      <c r="Q272" s="2">
        <f t="shared" si="19"/>
        <v>0</v>
      </c>
    </row>
    <row r="273" spans="2:17" x14ac:dyDescent="0.25">
      <c r="B273" s="31" t="s">
        <v>721</v>
      </c>
      <c r="C273" s="31" t="s">
        <v>268</v>
      </c>
      <c r="D273" s="2">
        <v>112.33</v>
      </c>
      <c r="E273" s="190"/>
      <c r="F273" s="2">
        <v>0</v>
      </c>
      <c r="G273" s="2">
        <v>0</v>
      </c>
      <c r="I273" s="177">
        <f t="shared" si="16"/>
        <v>112.33</v>
      </c>
      <c r="J273" s="2"/>
      <c r="K273" t="str">
        <f>VLOOKUP(B273,'Allocations 2026-27'!$B$9:$C$328,2,FALSE)</f>
        <v>Steilacoom Hist.</v>
      </c>
      <c r="N273" s="2">
        <f t="shared" si="17"/>
        <v>0</v>
      </c>
      <c r="O273">
        <f t="shared" si="18"/>
        <v>0</v>
      </c>
      <c r="P273" s="2"/>
      <c r="Q273" s="2">
        <f t="shared" si="19"/>
        <v>0</v>
      </c>
    </row>
    <row r="274" spans="2:17" x14ac:dyDescent="0.25">
      <c r="B274" s="31" t="s">
        <v>722</v>
      </c>
      <c r="C274" s="31" t="s">
        <v>269</v>
      </c>
      <c r="D274" s="2">
        <v>0</v>
      </c>
      <c r="E274" s="190"/>
      <c r="F274" s="2">
        <v>0</v>
      </c>
      <c r="G274" s="2">
        <v>0</v>
      </c>
      <c r="H274" s="18"/>
      <c r="I274" s="177">
        <f t="shared" si="16"/>
        <v>0</v>
      </c>
      <c r="J274" s="2"/>
      <c r="K274" t="str">
        <f>VLOOKUP(B274,'Allocations 2026-27'!$B$9:$C$328,2,FALSE)</f>
        <v>Steptoe</v>
      </c>
      <c r="N274" s="2">
        <f t="shared" si="17"/>
        <v>0</v>
      </c>
      <c r="O274">
        <f t="shared" si="18"/>
        <v>0</v>
      </c>
      <c r="P274" s="2"/>
      <c r="Q274" s="2">
        <f t="shared" si="19"/>
        <v>0</v>
      </c>
    </row>
    <row r="275" spans="2:17" x14ac:dyDescent="0.25">
      <c r="B275" s="31" t="s">
        <v>723</v>
      </c>
      <c r="C275" s="31" t="s">
        <v>270</v>
      </c>
      <c r="D275" s="2">
        <v>14.17</v>
      </c>
      <c r="E275" s="190"/>
      <c r="F275" s="2">
        <v>0</v>
      </c>
      <c r="G275" s="2">
        <v>0</v>
      </c>
      <c r="I275" s="177">
        <f t="shared" si="16"/>
        <v>14.17</v>
      </c>
      <c r="J275" s="2"/>
      <c r="K275" t="str">
        <f>VLOOKUP(B275,'Allocations 2026-27'!$B$9:$C$328,2,FALSE)</f>
        <v>Stevenson-Carson</v>
      </c>
      <c r="N275" s="2">
        <f t="shared" si="17"/>
        <v>0</v>
      </c>
      <c r="O275">
        <f t="shared" si="18"/>
        <v>0</v>
      </c>
      <c r="P275" s="2"/>
      <c r="Q275" s="2">
        <f t="shared" si="19"/>
        <v>0</v>
      </c>
    </row>
    <row r="276" spans="2:17" x14ac:dyDescent="0.25">
      <c r="B276" s="31" t="s">
        <v>724</v>
      </c>
      <c r="C276" s="31" t="s">
        <v>271</v>
      </c>
      <c r="D276" s="2">
        <v>290.5</v>
      </c>
      <c r="E276" s="190"/>
      <c r="F276" s="190">
        <v>5</v>
      </c>
      <c r="G276" s="2">
        <v>0</v>
      </c>
      <c r="I276" s="177">
        <f t="shared" si="16"/>
        <v>295.5</v>
      </c>
      <c r="J276" s="2"/>
      <c r="K276" t="str">
        <f>VLOOKUP(B276,'Allocations 2026-27'!$B$9:$C$328,2,FALSE)</f>
        <v>Sultan</v>
      </c>
      <c r="N276" s="2">
        <f t="shared" si="17"/>
        <v>0</v>
      </c>
      <c r="O276">
        <f t="shared" si="18"/>
        <v>0</v>
      </c>
      <c r="P276" s="2"/>
      <c r="Q276" s="2">
        <f t="shared" si="19"/>
        <v>0</v>
      </c>
    </row>
    <row r="277" spans="2:17" x14ac:dyDescent="0.25">
      <c r="B277" s="33" t="s">
        <v>725</v>
      </c>
      <c r="C277" s="31" t="s">
        <v>272</v>
      </c>
      <c r="D277" s="2">
        <v>98</v>
      </c>
      <c r="E277" s="190"/>
      <c r="F277" s="2">
        <v>0</v>
      </c>
      <c r="G277" s="2">
        <v>0</v>
      </c>
      <c r="H277" s="18"/>
      <c r="I277" s="177">
        <f t="shared" si="16"/>
        <v>98</v>
      </c>
      <c r="J277" s="2"/>
      <c r="K277" t="str">
        <f>VLOOKUP(B277,'Allocations 2026-27'!$B$9:$C$328,2,FALSE)</f>
        <v>Summit Atlas Charter</v>
      </c>
      <c r="N277" s="2">
        <f t="shared" si="17"/>
        <v>0</v>
      </c>
      <c r="O277">
        <f t="shared" si="18"/>
        <v>0</v>
      </c>
      <c r="P277" s="2"/>
      <c r="Q277" s="2">
        <f t="shared" si="19"/>
        <v>0</v>
      </c>
    </row>
    <row r="278" spans="2:17" x14ac:dyDescent="0.25">
      <c r="B278" s="36" t="s">
        <v>727</v>
      </c>
      <c r="C278" s="31" t="s">
        <v>274</v>
      </c>
      <c r="D278" s="2">
        <v>20.67</v>
      </c>
      <c r="E278" s="190"/>
      <c r="F278" s="2">
        <v>0</v>
      </c>
      <c r="G278" s="2">
        <v>0</v>
      </c>
      <c r="H278" s="18"/>
      <c r="I278" s="177">
        <f t="shared" si="16"/>
        <v>20.67</v>
      </c>
      <c r="J278" s="2"/>
      <c r="K278" t="str">
        <f>VLOOKUP(B278,'Allocations 2026-27'!$B$9:$C$328,2,FALSE)</f>
        <v>Summit Sierra Charter</v>
      </c>
      <c r="N278" s="2">
        <f t="shared" si="17"/>
        <v>0</v>
      </c>
      <c r="O278">
        <f t="shared" si="18"/>
        <v>0</v>
      </c>
      <c r="P278" s="2"/>
      <c r="Q278" s="2">
        <f t="shared" si="19"/>
        <v>0</v>
      </c>
    </row>
    <row r="279" spans="2:17" x14ac:dyDescent="0.25">
      <c r="B279" s="31" t="s">
        <v>728</v>
      </c>
      <c r="C279" s="31" t="s">
        <v>275</v>
      </c>
      <c r="D279" s="2">
        <v>0</v>
      </c>
      <c r="E279" s="190"/>
      <c r="F279" s="2">
        <v>0</v>
      </c>
      <c r="G279" s="2">
        <v>0</v>
      </c>
      <c r="I279" s="177">
        <f t="shared" si="16"/>
        <v>0</v>
      </c>
      <c r="J279" s="2"/>
      <c r="K279" t="str">
        <f>VLOOKUP(B279,'Allocations 2026-27'!$B$9:$C$328,2,FALSE)</f>
        <v>Summit Valley</v>
      </c>
      <c r="N279" s="2">
        <f t="shared" si="17"/>
        <v>0</v>
      </c>
      <c r="O279">
        <f t="shared" si="18"/>
        <v>0</v>
      </c>
      <c r="P279" s="2"/>
      <c r="Q279" s="2">
        <f t="shared" si="19"/>
        <v>0</v>
      </c>
    </row>
    <row r="280" spans="2:17" x14ac:dyDescent="0.25">
      <c r="B280" s="31" t="s">
        <v>729</v>
      </c>
      <c r="C280" s="31" t="s">
        <v>276</v>
      </c>
      <c r="D280" s="2">
        <v>644.5</v>
      </c>
      <c r="E280" s="190"/>
      <c r="F280" s="190">
        <v>18</v>
      </c>
      <c r="G280" s="2">
        <v>0</v>
      </c>
      <c r="H280" s="18"/>
      <c r="I280" s="177">
        <f t="shared" si="16"/>
        <v>662.5</v>
      </c>
      <c r="J280" s="2"/>
      <c r="K280" t="str">
        <f>VLOOKUP(B280,'Allocations 2026-27'!$B$9:$C$328,2,FALSE)</f>
        <v>Sumner</v>
      </c>
      <c r="N280" s="2">
        <f t="shared" si="17"/>
        <v>0</v>
      </c>
      <c r="O280">
        <f t="shared" si="18"/>
        <v>0</v>
      </c>
      <c r="P280" s="2"/>
      <c r="Q280" s="2">
        <f t="shared" si="19"/>
        <v>0</v>
      </c>
    </row>
    <row r="281" spans="2:17" x14ac:dyDescent="0.25">
      <c r="B281" s="31" t="s">
        <v>730</v>
      </c>
      <c r="C281" s="31" t="s">
        <v>277</v>
      </c>
      <c r="D281" s="2">
        <v>1902</v>
      </c>
      <c r="E281" s="190"/>
      <c r="F281" s="190">
        <v>2.3333333333333335</v>
      </c>
      <c r="G281" s="2">
        <v>0</v>
      </c>
      <c r="I281" s="177">
        <f t="shared" si="16"/>
        <v>1904.3333333333333</v>
      </c>
      <c r="J281" s="2"/>
      <c r="K281" t="str">
        <f>VLOOKUP(B281,'Allocations 2026-27'!$B$9:$C$328,2,FALSE)</f>
        <v>Sunnyside</v>
      </c>
      <c r="N281" s="2">
        <f t="shared" si="17"/>
        <v>0</v>
      </c>
      <c r="O281">
        <f t="shared" si="18"/>
        <v>0</v>
      </c>
      <c r="P281" s="2"/>
      <c r="Q281" s="2">
        <f t="shared" si="19"/>
        <v>0</v>
      </c>
    </row>
    <row r="282" spans="2:17" x14ac:dyDescent="0.25">
      <c r="B282" s="34" t="s">
        <v>787</v>
      </c>
      <c r="C282" s="31" t="s">
        <v>278</v>
      </c>
      <c r="D282" s="2">
        <v>0</v>
      </c>
      <c r="E282" s="190"/>
      <c r="F282" s="2">
        <v>0</v>
      </c>
      <c r="G282" s="2">
        <v>0</v>
      </c>
      <c r="H282" s="18"/>
      <c r="I282" s="177">
        <f t="shared" si="16"/>
        <v>0</v>
      </c>
      <c r="J282" s="2"/>
      <c r="K282" t="e">
        <f>VLOOKUP(B282,'Allocations 2026-27'!$B$9:$C$328,2,FALSE)</f>
        <v>#N/A</v>
      </c>
      <c r="N282" s="2">
        <f t="shared" si="17"/>
        <v>0</v>
      </c>
      <c r="O282">
        <f t="shared" si="18"/>
        <v>0</v>
      </c>
      <c r="P282" s="2"/>
      <c r="Q282" s="2">
        <f t="shared" si="19"/>
        <v>0</v>
      </c>
    </row>
    <row r="283" spans="2:17" x14ac:dyDescent="0.25">
      <c r="B283" s="31" t="s">
        <v>731</v>
      </c>
      <c r="C283" s="31" t="s">
        <v>279</v>
      </c>
      <c r="D283" s="2">
        <v>3702.67</v>
      </c>
      <c r="E283" s="190"/>
      <c r="F283" s="190">
        <v>263.16666666666669</v>
      </c>
      <c r="G283" s="191">
        <v>2</v>
      </c>
      <c r="I283" s="177">
        <f t="shared" si="16"/>
        <v>3963.8366666666666</v>
      </c>
      <c r="J283" s="2"/>
      <c r="K283" t="str">
        <f>VLOOKUP(B283,'Allocations 2026-27'!$B$9:$C$328,2,FALSE)</f>
        <v>Tacoma</v>
      </c>
      <c r="N283" s="2">
        <f t="shared" si="17"/>
        <v>0</v>
      </c>
      <c r="O283">
        <f t="shared" si="18"/>
        <v>0</v>
      </c>
      <c r="P283" s="2"/>
      <c r="Q283" s="2">
        <f t="shared" si="19"/>
        <v>0</v>
      </c>
    </row>
    <row r="284" spans="2:17" x14ac:dyDescent="0.25">
      <c r="B284" s="31" t="s">
        <v>732</v>
      </c>
      <c r="C284" s="31" t="s">
        <v>280</v>
      </c>
      <c r="D284" s="2">
        <v>0</v>
      </c>
      <c r="E284" s="190"/>
      <c r="F284" s="2">
        <v>0</v>
      </c>
      <c r="G284" s="2">
        <v>0</v>
      </c>
      <c r="H284" s="18"/>
      <c r="I284" s="177">
        <f t="shared" si="16"/>
        <v>0</v>
      </c>
      <c r="J284" s="2"/>
      <c r="K284" t="str">
        <f>VLOOKUP(B284,'Allocations 2026-27'!$B$9:$C$328,2,FALSE)</f>
        <v>Taholah</v>
      </c>
      <c r="N284" s="2">
        <f t="shared" si="17"/>
        <v>0</v>
      </c>
      <c r="O284">
        <f t="shared" si="18"/>
        <v>0</v>
      </c>
      <c r="P284" s="2"/>
      <c r="Q284" s="2">
        <f t="shared" si="19"/>
        <v>0</v>
      </c>
    </row>
    <row r="285" spans="2:17" x14ac:dyDescent="0.25">
      <c r="B285" s="31" t="s">
        <v>733</v>
      </c>
      <c r="C285" s="31" t="s">
        <v>281</v>
      </c>
      <c r="D285" s="2">
        <v>506.34000000000003</v>
      </c>
      <c r="E285" s="190"/>
      <c r="F285" s="190">
        <v>1</v>
      </c>
      <c r="G285" s="2">
        <v>0</v>
      </c>
      <c r="I285" s="177">
        <f t="shared" si="16"/>
        <v>507.34000000000003</v>
      </c>
      <c r="J285" s="2"/>
      <c r="K285" t="str">
        <f>VLOOKUP(B285,'Allocations 2026-27'!$B$9:$C$328,2,FALSE)</f>
        <v>Tahoma</v>
      </c>
      <c r="N285" s="2">
        <f t="shared" si="17"/>
        <v>0</v>
      </c>
      <c r="O285">
        <f t="shared" si="18"/>
        <v>0</v>
      </c>
      <c r="P285" s="2"/>
      <c r="Q285" s="2">
        <f t="shared" si="19"/>
        <v>0</v>
      </c>
    </row>
    <row r="286" spans="2:17" x14ac:dyDescent="0.25">
      <c r="B286" s="31" t="s">
        <v>734</v>
      </c>
      <c r="C286" s="31" t="s">
        <v>282</v>
      </c>
      <c r="D286" s="2">
        <v>2.34</v>
      </c>
      <c r="E286" s="190"/>
      <c r="F286" s="2">
        <v>0</v>
      </c>
      <c r="G286" s="2">
        <v>0</v>
      </c>
      <c r="H286" s="18"/>
      <c r="I286" s="177">
        <f t="shared" si="16"/>
        <v>2.34</v>
      </c>
      <c r="J286" s="2"/>
      <c r="K286" t="str">
        <f>VLOOKUP(B286,'Allocations 2026-27'!$B$9:$C$328,2,FALSE)</f>
        <v>Tekoa</v>
      </c>
      <c r="N286" s="2">
        <f t="shared" si="17"/>
        <v>0</v>
      </c>
      <c r="O286">
        <f t="shared" si="18"/>
        <v>0</v>
      </c>
      <c r="P286" s="2"/>
      <c r="Q286" s="2">
        <f t="shared" si="19"/>
        <v>0</v>
      </c>
    </row>
    <row r="287" spans="2:17" x14ac:dyDescent="0.25">
      <c r="B287" s="31" t="s">
        <v>735</v>
      </c>
      <c r="C287" s="31" t="s">
        <v>283</v>
      </c>
      <c r="D287" s="2">
        <v>22</v>
      </c>
      <c r="E287" s="190"/>
      <c r="F287" s="2">
        <v>0</v>
      </c>
      <c r="G287" s="2">
        <v>0</v>
      </c>
      <c r="H287" s="18"/>
      <c r="I287" s="177">
        <f t="shared" si="16"/>
        <v>22</v>
      </c>
      <c r="J287" s="2"/>
      <c r="K287" t="str">
        <f>VLOOKUP(B287,'Allocations 2026-27'!$B$9:$C$328,2,FALSE)</f>
        <v>Tenino</v>
      </c>
      <c r="N287" s="2">
        <f t="shared" si="17"/>
        <v>0</v>
      </c>
      <c r="O287">
        <f t="shared" si="18"/>
        <v>0</v>
      </c>
      <c r="P287" s="2"/>
      <c r="Q287" s="2">
        <f t="shared" si="19"/>
        <v>0</v>
      </c>
    </row>
    <row r="288" spans="2:17" x14ac:dyDescent="0.25">
      <c r="B288" s="31" t="s">
        <v>736</v>
      </c>
      <c r="C288" s="31" t="s">
        <v>284</v>
      </c>
      <c r="D288" s="2">
        <v>6.5</v>
      </c>
      <c r="E288" s="190"/>
      <c r="F288" s="2">
        <v>0</v>
      </c>
      <c r="G288" s="2">
        <v>0</v>
      </c>
      <c r="I288" s="177">
        <f t="shared" si="16"/>
        <v>6.5</v>
      </c>
      <c r="J288" s="2"/>
      <c r="K288" t="str">
        <f>VLOOKUP(B288,'Allocations 2026-27'!$B$9:$C$328,2,FALSE)</f>
        <v>Thorp</v>
      </c>
      <c r="N288" s="2">
        <f t="shared" si="17"/>
        <v>0</v>
      </c>
      <c r="O288">
        <f t="shared" si="18"/>
        <v>0</v>
      </c>
      <c r="P288" s="2"/>
      <c r="Q288" s="2">
        <f t="shared" si="19"/>
        <v>0</v>
      </c>
    </row>
    <row r="289" spans="2:17" x14ac:dyDescent="0.25">
      <c r="B289" s="31" t="s">
        <v>737</v>
      </c>
      <c r="C289" s="31" t="s">
        <v>285</v>
      </c>
      <c r="D289" s="2">
        <v>9</v>
      </c>
      <c r="E289" s="190"/>
      <c r="F289" s="2">
        <v>0</v>
      </c>
      <c r="G289" s="2">
        <v>0</v>
      </c>
      <c r="I289" s="177">
        <f t="shared" si="16"/>
        <v>9</v>
      </c>
      <c r="J289" s="2"/>
      <c r="K289" t="str">
        <f>VLOOKUP(B289,'Allocations 2026-27'!$B$9:$C$328,2,FALSE)</f>
        <v>Toledo</v>
      </c>
      <c r="N289" s="2">
        <f t="shared" si="17"/>
        <v>0</v>
      </c>
      <c r="O289">
        <f t="shared" si="18"/>
        <v>0</v>
      </c>
      <c r="P289" s="2"/>
      <c r="Q289" s="2">
        <f t="shared" si="19"/>
        <v>0</v>
      </c>
    </row>
    <row r="290" spans="2:17" x14ac:dyDescent="0.25">
      <c r="B290" s="31" t="s">
        <v>738</v>
      </c>
      <c r="C290" s="31" t="s">
        <v>286</v>
      </c>
      <c r="D290" s="2">
        <v>130.5</v>
      </c>
      <c r="E290" s="190"/>
      <c r="F290" s="2">
        <v>0</v>
      </c>
      <c r="G290" s="2">
        <v>0</v>
      </c>
      <c r="I290" s="177">
        <f t="shared" si="16"/>
        <v>130.5</v>
      </c>
      <c r="J290" s="2"/>
      <c r="K290" t="str">
        <f>VLOOKUP(B290,'Allocations 2026-27'!$B$9:$C$328,2,FALSE)</f>
        <v>Tonasket</v>
      </c>
      <c r="N290" s="2">
        <f t="shared" si="17"/>
        <v>0</v>
      </c>
      <c r="O290">
        <f t="shared" si="18"/>
        <v>0</v>
      </c>
      <c r="P290" s="2"/>
      <c r="Q290" s="2">
        <f t="shared" si="19"/>
        <v>0</v>
      </c>
    </row>
    <row r="291" spans="2:17" x14ac:dyDescent="0.25">
      <c r="B291" s="31" t="s">
        <v>739</v>
      </c>
      <c r="C291" s="31" t="s">
        <v>287</v>
      </c>
      <c r="D291" s="2">
        <v>1165.17</v>
      </c>
      <c r="E291" s="190"/>
      <c r="F291" s="190">
        <v>114.66666666666667</v>
      </c>
      <c r="G291" s="2">
        <v>0</v>
      </c>
      <c r="H291" s="18"/>
      <c r="I291" s="177">
        <f t="shared" si="16"/>
        <v>1279.8366666666668</v>
      </c>
      <c r="J291" s="2"/>
      <c r="K291" t="str">
        <f>VLOOKUP(B291,'Allocations 2026-27'!$B$9:$C$328,2,FALSE)</f>
        <v>Toppenish</v>
      </c>
      <c r="N291" s="2">
        <f t="shared" si="17"/>
        <v>0</v>
      </c>
      <c r="O291">
        <f t="shared" si="18"/>
        <v>0</v>
      </c>
      <c r="P291" s="2"/>
      <c r="Q291" s="2">
        <f t="shared" si="19"/>
        <v>0</v>
      </c>
    </row>
    <row r="292" spans="2:17" x14ac:dyDescent="0.25">
      <c r="B292" s="31" t="s">
        <v>494</v>
      </c>
      <c r="C292" s="31" t="s">
        <v>288</v>
      </c>
      <c r="D292" s="2">
        <v>29.340000000000003</v>
      </c>
      <c r="E292" s="190"/>
      <c r="F292" s="2">
        <v>0</v>
      </c>
      <c r="G292" s="2">
        <v>0</v>
      </c>
      <c r="H292" s="18"/>
      <c r="I292" s="177">
        <f t="shared" si="16"/>
        <v>29.340000000000003</v>
      </c>
      <c r="J292" s="2"/>
      <c r="K292" t="str">
        <f>VLOOKUP(B292,'Allocations 2026-27'!$B$9:$C$328,2,FALSE)</f>
        <v>Touchet</v>
      </c>
      <c r="N292" s="2">
        <f t="shared" si="17"/>
        <v>0</v>
      </c>
      <c r="O292">
        <f t="shared" si="18"/>
        <v>0</v>
      </c>
      <c r="P292" s="2"/>
      <c r="Q292" s="2">
        <f t="shared" si="19"/>
        <v>0</v>
      </c>
    </row>
    <row r="293" spans="2:17" x14ac:dyDescent="0.25">
      <c r="B293" s="31" t="s">
        <v>740</v>
      </c>
      <c r="C293" s="31" t="s">
        <v>289</v>
      </c>
      <c r="D293" s="2">
        <v>0</v>
      </c>
      <c r="E293" s="190"/>
      <c r="F293" s="2">
        <v>0</v>
      </c>
      <c r="G293" s="2">
        <v>0</v>
      </c>
      <c r="H293" s="18"/>
      <c r="I293" s="177">
        <f t="shared" si="16"/>
        <v>0</v>
      </c>
      <c r="J293" s="2"/>
      <c r="K293" t="str">
        <f>VLOOKUP(B293,'Allocations 2026-27'!$B$9:$C$328,2,FALSE)</f>
        <v>Toutle Lake</v>
      </c>
      <c r="N293" s="2">
        <f t="shared" si="17"/>
        <v>0</v>
      </c>
      <c r="O293">
        <f t="shared" si="18"/>
        <v>0</v>
      </c>
      <c r="P293" s="2"/>
      <c r="Q293" s="2">
        <f t="shared" si="19"/>
        <v>0</v>
      </c>
    </row>
    <row r="294" spans="2:17" x14ac:dyDescent="0.25">
      <c r="B294" s="31" t="s">
        <v>741</v>
      </c>
      <c r="C294" s="31" t="s">
        <v>290</v>
      </c>
      <c r="D294" s="2">
        <v>9.67</v>
      </c>
      <c r="E294" s="190"/>
      <c r="F294" s="2">
        <v>0</v>
      </c>
      <c r="G294" s="2">
        <v>0</v>
      </c>
      <c r="I294" s="177">
        <f t="shared" si="16"/>
        <v>9.67</v>
      </c>
      <c r="J294" s="2"/>
      <c r="K294" t="str">
        <f>VLOOKUP(B294,'Allocations 2026-27'!$B$9:$C$328,2,FALSE)</f>
        <v>Trout Lake</v>
      </c>
      <c r="N294" s="2">
        <f t="shared" si="17"/>
        <v>0</v>
      </c>
      <c r="O294">
        <f t="shared" si="18"/>
        <v>0</v>
      </c>
      <c r="P294" s="2"/>
      <c r="Q294" s="2">
        <f t="shared" si="19"/>
        <v>0</v>
      </c>
    </row>
    <row r="295" spans="2:17" x14ac:dyDescent="0.25">
      <c r="B295" s="31" t="s">
        <v>742</v>
      </c>
      <c r="C295" s="31" t="s">
        <v>291</v>
      </c>
      <c r="D295" s="2">
        <v>1325.34</v>
      </c>
      <c r="E295" s="190"/>
      <c r="F295" s="190">
        <v>2.3333333333333335</v>
      </c>
      <c r="G295" s="2">
        <v>0</v>
      </c>
      <c r="H295" s="18"/>
      <c r="I295" s="177">
        <f t="shared" si="16"/>
        <v>1327.6733333333332</v>
      </c>
      <c r="J295" s="2"/>
      <c r="K295" t="str">
        <f>VLOOKUP(B295,'Allocations 2026-27'!$B$9:$C$328,2,FALSE)</f>
        <v>Tukwila</v>
      </c>
      <c r="N295" s="2">
        <f t="shared" si="17"/>
        <v>0</v>
      </c>
      <c r="O295">
        <f t="shared" si="18"/>
        <v>0</v>
      </c>
      <c r="P295" s="2"/>
      <c r="Q295" s="2">
        <f t="shared" si="19"/>
        <v>0</v>
      </c>
    </row>
    <row r="296" spans="2:17" x14ac:dyDescent="0.25">
      <c r="B296" s="31" t="s">
        <v>743</v>
      </c>
      <c r="C296" s="31" t="s">
        <v>292</v>
      </c>
      <c r="D296" s="2">
        <v>163.5</v>
      </c>
      <c r="E296" s="190"/>
      <c r="F296" s="190">
        <v>0.33333333333333331</v>
      </c>
      <c r="G296" s="2">
        <v>0</v>
      </c>
      <c r="I296" s="177">
        <f t="shared" si="16"/>
        <v>163.83333333333334</v>
      </c>
      <c r="J296" s="2"/>
      <c r="K296" t="str">
        <f>VLOOKUP(B296,'Allocations 2026-27'!$B$9:$C$328,2,FALSE)</f>
        <v>Tumwater</v>
      </c>
      <c r="N296" s="2">
        <f t="shared" si="17"/>
        <v>0</v>
      </c>
      <c r="O296">
        <f t="shared" si="18"/>
        <v>0</v>
      </c>
      <c r="P296" s="2"/>
      <c r="Q296" s="2">
        <f t="shared" si="19"/>
        <v>0</v>
      </c>
    </row>
    <row r="297" spans="2:17" x14ac:dyDescent="0.25">
      <c r="B297" s="31" t="s">
        <v>744</v>
      </c>
      <c r="C297" s="31" t="s">
        <v>293</v>
      </c>
      <c r="D297" s="2">
        <v>88.5</v>
      </c>
      <c r="E297" s="190"/>
      <c r="F297" s="190">
        <v>2</v>
      </c>
      <c r="G297" s="2">
        <v>0</v>
      </c>
      <c r="H297" s="18"/>
      <c r="I297" s="177">
        <f t="shared" si="16"/>
        <v>90.5</v>
      </c>
      <c r="J297" s="2"/>
      <c r="K297" t="str">
        <f>VLOOKUP(B297,'Allocations 2026-27'!$B$9:$C$328,2,FALSE)</f>
        <v>Union Gap</v>
      </c>
      <c r="N297" s="2">
        <f t="shared" si="17"/>
        <v>0</v>
      </c>
      <c r="O297">
        <f t="shared" si="18"/>
        <v>0</v>
      </c>
      <c r="P297" s="2"/>
      <c r="Q297" s="2">
        <f t="shared" si="19"/>
        <v>0</v>
      </c>
    </row>
    <row r="298" spans="2:17" x14ac:dyDescent="0.25">
      <c r="B298" s="31" t="s">
        <v>745</v>
      </c>
      <c r="C298" s="31" t="s">
        <v>294</v>
      </c>
      <c r="D298" s="2">
        <v>418.84000000000003</v>
      </c>
      <c r="E298" s="190"/>
      <c r="F298" s="190">
        <v>3.8333333333333335</v>
      </c>
      <c r="G298" s="2">
        <v>0</v>
      </c>
      <c r="I298" s="177">
        <f t="shared" si="16"/>
        <v>422.67333333333335</v>
      </c>
      <c r="J298" s="2"/>
      <c r="K298" t="str">
        <f>VLOOKUP(B298,'Allocations 2026-27'!$B$9:$C$328,2,FALSE)</f>
        <v>University Place</v>
      </c>
      <c r="N298" s="2">
        <f t="shared" si="17"/>
        <v>0</v>
      </c>
      <c r="O298">
        <f t="shared" si="18"/>
        <v>0</v>
      </c>
      <c r="P298" s="2"/>
      <c r="Q298" s="2">
        <f t="shared" si="19"/>
        <v>0</v>
      </c>
    </row>
    <row r="299" spans="2:17" x14ac:dyDescent="0.25">
      <c r="B299" s="31" t="s">
        <v>746</v>
      </c>
      <c r="C299" s="31" t="s">
        <v>295</v>
      </c>
      <c r="D299" s="2">
        <v>50</v>
      </c>
      <c r="E299" s="190"/>
      <c r="F299" s="190">
        <v>1</v>
      </c>
      <c r="G299" s="2">
        <v>0</v>
      </c>
      <c r="H299" s="18"/>
      <c r="I299" s="177">
        <f t="shared" si="16"/>
        <v>51</v>
      </c>
      <c r="J299" s="2"/>
      <c r="K299" t="str">
        <f>VLOOKUP(B299,'Allocations 2026-27'!$B$9:$C$328,2,FALSE)</f>
        <v>Valley</v>
      </c>
      <c r="N299" s="2">
        <f t="shared" si="17"/>
        <v>0</v>
      </c>
      <c r="O299">
        <f t="shared" si="18"/>
        <v>0</v>
      </c>
      <c r="P299" s="2"/>
      <c r="Q299" s="2">
        <f t="shared" si="19"/>
        <v>0</v>
      </c>
    </row>
    <row r="300" spans="2:17" x14ac:dyDescent="0.25">
      <c r="B300" s="31" t="s">
        <v>747</v>
      </c>
      <c r="C300" s="31" t="s">
        <v>296</v>
      </c>
      <c r="D300" s="2">
        <v>3785</v>
      </c>
      <c r="E300" s="190"/>
      <c r="F300" s="190">
        <v>36.833333333333336</v>
      </c>
      <c r="G300" s="191">
        <v>10</v>
      </c>
      <c r="H300" s="18"/>
      <c r="I300" s="177">
        <f t="shared" si="16"/>
        <v>3811.8333333333335</v>
      </c>
      <c r="J300" s="2"/>
      <c r="K300" t="str">
        <f>VLOOKUP(B300,'Allocations 2026-27'!$B$9:$C$328,2,FALSE)</f>
        <v>Vancouver</v>
      </c>
      <c r="N300" s="2">
        <f t="shared" si="17"/>
        <v>0</v>
      </c>
      <c r="O300">
        <f t="shared" si="18"/>
        <v>0</v>
      </c>
      <c r="P300" s="2"/>
      <c r="Q300" s="2">
        <f t="shared" si="19"/>
        <v>0</v>
      </c>
    </row>
    <row r="301" spans="2:17" x14ac:dyDescent="0.25">
      <c r="B301" s="31" t="s">
        <v>748</v>
      </c>
      <c r="C301" s="31" t="s">
        <v>297</v>
      </c>
      <c r="D301" s="2">
        <v>93.67</v>
      </c>
      <c r="E301" s="190"/>
      <c r="F301" s="2">
        <v>0</v>
      </c>
      <c r="G301" s="2">
        <v>0</v>
      </c>
      <c r="I301" s="177">
        <f t="shared" si="16"/>
        <v>93.67</v>
      </c>
      <c r="J301" s="2"/>
      <c r="K301" t="str">
        <f>VLOOKUP(B301,'Allocations 2026-27'!$B$9:$C$328,2,FALSE)</f>
        <v>Vashon Island</v>
      </c>
      <c r="N301" s="2">
        <f t="shared" si="17"/>
        <v>0</v>
      </c>
      <c r="O301">
        <f t="shared" si="18"/>
        <v>0</v>
      </c>
      <c r="P301" s="2"/>
      <c r="Q301" s="2">
        <f t="shared" si="19"/>
        <v>0</v>
      </c>
    </row>
    <row r="302" spans="2:17" x14ac:dyDescent="0.25">
      <c r="B302" s="33" t="s">
        <v>788</v>
      </c>
      <c r="C302" s="31" t="s">
        <v>298</v>
      </c>
      <c r="D302" s="2">
        <v>0</v>
      </c>
      <c r="E302" s="190"/>
      <c r="F302" s="2">
        <v>0</v>
      </c>
      <c r="G302" s="2">
        <v>0</v>
      </c>
      <c r="H302" s="18"/>
      <c r="I302" s="177">
        <f t="shared" si="16"/>
        <v>0</v>
      </c>
      <c r="J302" s="2"/>
      <c r="K302" t="e">
        <f>VLOOKUP(B302,'Allocations 2026-27'!$B$9:$C$328,2,FALSE)</f>
        <v>#N/A</v>
      </c>
      <c r="N302" s="2">
        <f t="shared" si="17"/>
        <v>0</v>
      </c>
      <c r="O302">
        <f t="shared" si="18"/>
        <v>0</v>
      </c>
      <c r="P302" s="2"/>
      <c r="Q302" s="2">
        <f t="shared" si="19"/>
        <v>0</v>
      </c>
    </row>
    <row r="303" spans="2:17" x14ac:dyDescent="0.25">
      <c r="B303" s="31" t="s">
        <v>749</v>
      </c>
      <c r="C303" s="31" t="s">
        <v>299</v>
      </c>
      <c r="D303" s="2">
        <v>8.17</v>
      </c>
      <c r="E303" s="190"/>
      <c r="F303" s="2">
        <v>0</v>
      </c>
      <c r="G303" s="2">
        <v>0</v>
      </c>
      <c r="I303" s="177">
        <f t="shared" si="16"/>
        <v>8.17</v>
      </c>
      <c r="J303" s="2"/>
      <c r="K303" t="str">
        <f>VLOOKUP(B303,'Allocations 2026-27'!$B$9:$C$328,2,FALSE)</f>
        <v>Wahkiakum</v>
      </c>
      <c r="N303" s="2">
        <f t="shared" si="17"/>
        <v>0</v>
      </c>
      <c r="O303">
        <f t="shared" si="18"/>
        <v>0</v>
      </c>
      <c r="P303" s="2"/>
      <c r="Q303" s="2">
        <f t="shared" si="19"/>
        <v>0</v>
      </c>
    </row>
    <row r="304" spans="2:17" x14ac:dyDescent="0.25">
      <c r="B304" s="31" t="s">
        <v>750</v>
      </c>
      <c r="C304" s="31" t="s">
        <v>300</v>
      </c>
      <c r="D304" s="2">
        <v>1295.1600000000001</v>
      </c>
      <c r="E304" s="190"/>
      <c r="F304" s="2">
        <v>0</v>
      </c>
      <c r="G304" s="2">
        <v>0</v>
      </c>
      <c r="H304" s="18"/>
      <c r="I304" s="177">
        <f t="shared" si="16"/>
        <v>1295.1600000000001</v>
      </c>
      <c r="J304" s="2"/>
      <c r="K304" t="str">
        <f>VLOOKUP(B304,'Allocations 2026-27'!$B$9:$C$328,2,FALSE)</f>
        <v>Wahluke</v>
      </c>
      <c r="N304" s="2">
        <f t="shared" si="17"/>
        <v>0</v>
      </c>
      <c r="O304">
        <f t="shared" si="18"/>
        <v>0</v>
      </c>
      <c r="P304" s="2"/>
      <c r="Q304" s="2">
        <f t="shared" si="19"/>
        <v>0</v>
      </c>
    </row>
    <row r="305" spans="2:17" x14ac:dyDescent="0.25">
      <c r="B305" s="31" t="s">
        <v>751</v>
      </c>
      <c r="C305" s="31" t="s">
        <v>301</v>
      </c>
      <c r="D305" s="2">
        <v>0</v>
      </c>
      <c r="E305" s="190"/>
      <c r="F305" s="2">
        <v>0</v>
      </c>
      <c r="G305" s="2">
        <v>0</v>
      </c>
      <c r="I305" s="177">
        <f t="shared" si="16"/>
        <v>0</v>
      </c>
      <c r="J305" s="2"/>
      <c r="K305" t="str">
        <f>VLOOKUP(B305,'Allocations 2026-27'!$B$9:$C$328,2,FALSE)</f>
        <v>Waitsburg</v>
      </c>
      <c r="N305" s="2">
        <f t="shared" si="17"/>
        <v>0</v>
      </c>
      <c r="O305">
        <f t="shared" si="18"/>
        <v>0</v>
      </c>
      <c r="P305" s="2"/>
      <c r="Q305" s="2">
        <f t="shared" si="19"/>
        <v>0</v>
      </c>
    </row>
    <row r="306" spans="2:17" x14ac:dyDescent="0.25">
      <c r="B306" s="31" t="s">
        <v>752</v>
      </c>
      <c r="C306" s="31" t="s">
        <v>302</v>
      </c>
      <c r="D306" s="2">
        <v>782.67000000000007</v>
      </c>
      <c r="E306" s="190"/>
      <c r="F306" s="190">
        <v>1</v>
      </c>
      <c r="G306" s="191">
        <v>1</v>
      </c>
      <c r="I306" s="177">
        <f t="shared" si="16"/>
        <v>782.67000000000007</v>
      </c>
      <c r="J306" s="2"/>
      <c r="K306" t="str">
        <f>VLOOKUP(B306,'Allocations 2026-27'!$B$9:$C$328,2,FALSE)</f>
        <v>Walla Walla</v>
      </c>
      <c r="N306" s="2">
        <f t="shared" si="17"/>
        <v>0</v>
      </c>
      <c r="O306">
        <f t="shared" si="18"/>
        <v>0</v>
      </c>
      <c r="P306" s="2"/>
      <c r="Q306" s="2">
        <f t="shared" si="19"/>
        <v>0</v>
      </c>
    </row>
    <row r="307" spans="2:17" x14ac:dyDescent="0.25">
      <c r="B307" s="31" t="s">
        <v>753</v>
      </c>
      <c r="C307" s="31" t="s">
        <v>303</v>
      </c>
      <c r="D307" s="2">
        <v>1059.83</v>
      </c>
      <c r="E307" s="190"/>
      <c r="F307" s="190">
        <v>382.16666666666669</v>
      </c>
      <c r="G307" s="2">
        <v>0</v>
      </c>
      <c r="H307" s="18"/>
      <c r="I307" s="177">
        <f t="shared" si="16"/>
        <v>1441.9966666666667</v>
      </c>
      <c r="J307" s="2"/>
      <c r="K307" t="str">
        <f>VLOOKUP(B307,'Allocations 2026-27'!$B$9:$C$328,2,FALSE)</f>
        <v>Wapato</v>
      </c>
      <c r="N307" s="2">
        <f t="shared" si="17"/>
        <v>0</v>
      </c>
      <c r="O307">
        <f t="shared" si="18"/>
        <v>0</v>
      </c>
      <c r="P307" s="2"/>
      <c r="Q307" s="2">
        <f t="shared" si="19"/>
        <v>0</v>
      </c>
    </row>
    <row r="308" spans="2:17" x14ac:dyDescent="0.25">
      <c r="B308" s="31" t="s">
        <v>754</v>
      </c>
      <c r="C308" s="31" t="s">
        <v>304</v>
      </c>
      <c r="D308" s="2">
        <v>276</v>
      </c>
      <c r="E308" s="190"/>
      <c r="F308" s="2">
        <v>0</v>
      </c>
      <c r="G308" s="2">
        <v>0</v>
      </c>
      <c r="H308" s="18"/>
      <c r="I308" s="177">
        <f t="shared" si="16"/>
        <v>276</v>
      </c>
      <c r="J308" s="2"/>
      <c r="K308" t="str">
        <f>VLOOKUP(B308,'Allocations 2026-27'!$B$9:$C$328,2,FALSE)</f>
        <v>Warden</v>
      </c>
      <c r="N308" s="2">
        <f t="shared" si="17"/>
        <v>0</v>
      </c>
      <c r="O308">
        <f t="shared" si="18"/>
        <v>0</v>
      </c>
      <c r="P308" s="2"/>
      <c r="Q308" s="2">
        <f t="shared" si="19"/>
        <v>0</v>
      </c>
    </row>
    <row r="309" spans="2:17" x14ac:dyDescent="0.25">
      <c r="B309" s="31" t="s">
        <v>755</v>
      </c>
      <c r="C309" s="31" t="s">
        <v>305</v>
      </c>
      <c r="D309" s="2">
        <v>108.83</v>
      </c>
      <c r="E309" s="190"/>
      <c r="F309" s="2">
        <v>0</v>
      </c>
      <c r="G309" s="191">
        <v>2</v>
      </c>
      <c r="I309" s="177">
        <f t="shared" si="16"/>
        <v>106.83</v>
      </c>
      <c r="J309" s="2"/>
      <c r="K309" t="str">
        <f>VLOOKUP(B309,'Allocations 2026-27'!$B$9:$C$328,2,FALSE)</f>
        <v>Washougal</v>
      </c>
      <c r="N309" s="2">
        <f t="shared" si="17"/>
        <v>0</v>
      </c>
      <c r="O309">
        <f t="shared" si="18"/>
        <v>0</v>
      </c>
      <c r="P309" s="2"/>
      <c r="Q309" s="2">
        <f t="shared" si="19"/>
        <v>0</v>
      </c>
    </row>
    <row r="310" spans="2:17" x14ac:dyDescent="0.25">
      <c r="B310" s="31" t="s">
        <v>756</v>
      </c>
      <c r="C310" s="31" t="s">
        <v>306</v>
      </c>
      <c r="D310" s="2">
        <v>0</v>
      </c>
      <c r="E310" s="190"/>
      <c r="F310" s="2">
        <v>0</v>
      </c>
      <c r="G310" s="2">
        <v>0</v>
      </c>
      <c r="H310" s="18"/>
      <c r="I310" s="177">
        <f t="shared" si="16"/>
        <v>0</v>
      </c>
      <c r="J310" s="2"/>
      <c r="K310" t="str">
        <f>VLOOKUP(B310,'Allocations 2026-27'!$B$9:$C$328,2,FALSE)</f>
        <v>Washtucna</v>
      </c>
      <c r="N310" s="2">
        <f t="shared" si="17"/>
        <v>0</v>
      </c>
      <c r="O310">
        <f t="shared" si="18"/>
        <v>0</v>
      </c>
      <c r="P310" s="2"/>
      <c r="Q310" s="2">
        <f t="shared" si="19"/>
        <v>0</v>
      </c>
    </row>
    <row r="311" spans="2:17" x14ac:dyDescent="0.25">
      <c r="B311" s="31" t="s">
        <v>757</v>
      </c>
      <c r="C311" s="31" t="s">
        <v>307</v>
      </c>
      <c r="D311" s="2">
        <v>24.159999999999997</v>
      </c>
      <c r="E311" s="190"/>
      <c r="F311" s="2">
        <v>0</v>
      </c>
      <c r="G311" s="2">
        <v>0</v>
      </c>
      <c r="H311" s="18"/>
      <c r="I311" s="177">
        <f t="shared" si="16"/>
        <v>24.159999999999997</v>
      </c>
      <c r="J311" s="2"/>
      <c r="K311" t="str">
        <f>VLOOKUP(B311,'Allocations 2026-27'!$B$9:$C$328,2,FALSE)</f>
        <v>Waterville</v>
      </c>
      <c r="N311" s="2">
        <f t="shared" si="17"/>
        <v>0</v>
      </c>
      <c r="O311">
        <f t="shared" si="18"/>
        <v>0</v>
      </c>
      <c r="P311" s="2"/>
      <c r="Q311" s="2">
        <f t="shared" si="19"/>
        <v>0</v>
      </c>
    </row>
    <row r="312" spans="2:17" x14ac:dyDescent="0.25">
      <c r="B312" s="31" t="s">
        <v>758</v>
      </c>
      <c r="C312" s="31" t="s">
        <v>308</v>
      </c>
      <c r="D312" s="2">
        <v>0</v>
      </c>
      <c r="E312" s="190"/>
      <c r="F312" s="190">
        <v>73.166666666666671</v>
      </c>
      <c r="G312" s="2">
        <v>0</v>
      </c>
      <c r="I312" s="177">
        <f t="shared" si="16"/>
        <v>73.166666666666671</v>
      </c>
      <c r="J312" s="2"/>
      <c r="K312" t="str">
        <f>VLOOKUP(B312,'Allocations 2026-27'!$B$9:$C$328,2,FALSE)</f>
        <v>Wellpinit</v>
      </c>
      <c r="N312" s="2">
        <f t="shared" si="17"/>
        <v>0</v>
      </c>
      <c r="O312">
        <f t="shared" si="18"/>
        <v>0</v>
      </c>
      <c r="P312" s="2"/>
      <c r="Q312" s="2">
        <f t="shared" si="19"/>
        <v>0</v>
      </c>
    </row>
    <row r="313" spans="2:17" x14ac:dyDescent="0.25">
      <c r="B313" s="31" t="s">
        <v>759</v>
      </c>
      <c r="C313" s="31" t="s">
        <v>309</v>
      </c>
      <c r="D313" s="2">
        <v>1588</v>
      </c>
      <c r="E313" s="190"/>
      <c r="F313" s="190">
        <v>10.5</v>
      </c>
      <c r="G313" s="2">
        <v>0</v>
      </c>
      <c r="I313" s="177">
        <f t="shared" si="16"/>
        <v>1598.5</v>
      </c>
      <c r="J313" s="2"/>
      <c r="K313" t="str">
        <f>VLOOKUP(B313,'Allocations 2026-27'!$B$9:$C$328,2,FALSE)</f>
        <v>Wenatchee</v>
      </c>
      <c r="N313" s="2">
        <f t="shared" si="17"/>
        <v>0</v>
      </c>
      <c r="O313">
        <f t="shared" si="18"/>
        <v>0</v>
      </c>
      <c r="P313" s="2"/>
      <c r="Q313" s="2">
        <f t="shared" si="19"/>
        <v>0</v>
      </c>
    </row>
    <row r="314" spans="2:17" x14ac:dyDescent="0.25">
      <c r="B314" s="31" t="s">
        <v>760</v>
      </c>
      <c r="C314" s="31" t="s">
        <v>310</v>
      </c>
      <c r="D314" s="2">
        <v>214.33</v>
      </c>
      <c r="E314" s="190"/>
      <c r="F314" s="2">
        <v>0</v>
      </c>
      <c r="G314" s="2">
        <v>0</v>
      </c>
      <c r="I314" s="177">
        <f t="shared" si="16"/>
        <v>214.33</v>
      </c>
      <c r="J314" s="2"/>
      <c r="K314" t="str">
        <f>VLOOKUP(B314,'Allocations 2026-27'!$B$9:$C$328,2,FALSE)</f>
        <v>West Valley (Spok</v>
      </c>
      <c r="N314" s="2">
        <f t="shared" si="17"/>
        <v>0</v>
      </c>
      <c r="O314">
        <f t="shared" si="18"/>
        <v>0</v>
      </c>
      <c r="P314" s="2"/>
      <c r="Q314" s="2">
        <f t="shared" si="19"/>
        <v>0</v>
      </c>
    </row>
    <row r="315" spans="2:17" x14ac:dyDescent="0.25">
      <c r="B315" s="31" t="s">
        <v>761</v>
      </c>
      <c r="C315" s="31" t="s">
        <v>311</v>
      </c>
      <c r="D315" s="2">
        <v>545.5</v>
      </c>
      <c r="E315" s="190"/>
      <c r="F315" s="190">
        <v>10.5</v>
      </c>
      <c r="G315" s="2">
        <v>0</v>
      </c>
      <c r="I315" s="177">
        <f t="shared" si="16"/>
        <v>556</v>
      </c>
      <c r="J315" s="2"/>
      <c r="K315" t="str">
        <f>VLOOKUP(B315,'Allocations 2026-27'!$B$9:$C$328,2,FALSE)</f>
        <v>West Valley (Yak)</v>
      </c>
      <c r="N315" s="2">
        <f t="shared" si="17"/>
        <v>0</v>
      </c>
      <c r="O315">
        <f t="shared" si="18"/>
        <v>0</v>
      </c>
      <c r="P315" s="2"/>
      <c r="Q315" s="2">
        <f t="shared" si="19"/>
        <v>0</v>
      </c>
    </row>
    <row r="316" spans="2:17" x14ac:dyDescent="0.25">
      <c r="B316" s="33" t="s">
        <v>762</v>
      </c>
      <c r="C316" s="34" t="s">
        <v>312</v>
      </c>
      <c r="D316" s="2">
        <v>0</v>
      </c>
      <c r="E316" s="190"/>
      <c r="F316" s="2">
        <v>0</v>
      </c>
      <c r="G316" s="2">
        <v>0</v>
      </c>
      <c r="I316" s="177">
        <f t="shared" si="16"/>
        <v>0</v>
      </c>
      <c r="J316" s="2"/>
      <c r="K316" t="str">
        <f>VLOOKUP(B316,'Allocations 2026-27'!$B$9:$C$328,2,FALSE)</f>
        <v>Whatcom Intergenerational Charter</v>
      </c>
      <c r="N316" s="2">
        <f t="shared" si="17"/>
        <v>0</v>
      </c>
      <c r="O316">
        <f t="shared" si="18"/>
        <v>0</v>
      </c>
      <c r="P316" s="2"/>
      <c r="Q316" s="2">
        <f t="shared" si="19"/>
        <v>0</v>
      </c>
    </row>
    <row r="317" spans="2:17" x14ac:dyDescent="0.25">
      <c r="B317" s="31" t="s">
        <v>764</v>
      </c>
      <c r="C317" s="31" t="s">
        <v>313</v>
      </c>
      <c r="D317" s="2">
        <v>0</v>
      </c>
      <c r="E317" s="190"/>
      <c r="F317" s="2">
        <v>0</v>
      </c>
      <c r="G317" s="2">
        <v>0</v>
      </c>
      <c r="I317" s="177">
        <f t="shared" si="16"/>
        <v>0</v>
      </c>
      <c r="J317" s="2"/>
      <c r="K317" t="str">
        <f>VLOOKUP(B317,'Allocations 2026-27'!$B$9:$C$328,2,FALSE)</f>
        <v>White Pass</v>
      </c>
      <c r="N317" s="2">
        <f t="shared" si="17"/>
        <v>0</v>
      </c>
      <c r="O317">
        <f t="shared" si="18"/>
        <v>0</v>
      </c>
      <c r="P317" s="2"/>
      <c r="Q317" s="2">
        <f t="shared" si="19"/>
        <v>0</v>
      </c>
    </row>
    <row r="318" spans="2:17" x14ac:dyDescent="0.25">
      <c r="B318" s="31" t="s">
        <v>765</v>
      </c>
      <c r="C318" s="31" t="s">
        <v>314</v>
      </c>
      <c r="D318" s="2">
        <v>240.83</v>
      </c>
      <c r="E318" s="190"/>
      <c r="F318" s="2">
        <v>0</v>
      </c>
      <c r="G318" s="2">
        <v>0</v>
      </c>
      <c r="H318" s="18"/>
      <c r="I318" s="177">
        <f t="shared" si="16"/>
        <v>240.83</v>
      </c>
      <c r="J318" s="2"/>
      <c r="K318" t="str">
        <f>VLOOKUP(B318,'Allocations 2026-27'!$B$9:$C$328,2,FALSE)</f>
        <v>White River</v>
      </c>
      <c r="N318" s="2">
        <f t="shared" si="17"/>
        <v>0</v>
      </c>
      <c r="O318">
        <f t="shared" si="18"/>
        <v>0</v>
      </c>
      <c r="P318" s="2"/>
      <c r="Q318" s="2">
        <f t="shared" si="19"/>
        <v>0</v>
      </c>
    </row>
    <row r="319" spans="2:17" x14ac:dyDescent="0.25">
      <c r="B319" s="31" t="s">
        <v>766</v>
      </c>
      <c r="C319" s="31" t="s">
        <v>315</v>
      </c>
      <c r="D319" s="2">
        <v>160.5</v>
      </c>
      <c r="E319" s="190"/>
      <c r="F319" s="190">
        <v>3</v>
      </c>
      <c r="G319" s="2">
        <v>0</v>
      </c>
      <c r="I319" s="177">
        <f t="shared" si="16"/>
        <v>163.5</v>
      </c>
      <c r="J319" s="2"/>
      <c r="K319" t="str">
        <f>VLOOKUP(B319,'Allocations 2026-27'!$B$9:$C$328,2,FALSE)</f>
        <v>White Salmon</v>
      </c>
      <c r="N319" s="2">
        <f t="shared" si="17"/>
        <v>0</v>
      </c>
      <c r="O319">
        <f t="shared" si="18"/>
        <v>0</v>
      </c>
      <c r="P319" s="2"/>
      <c r="Q319" s="2">
        <f t="shared" si="19"/>
        <v>0</v>
      </c>
    </row>
    <row r="320" spans="2:17" x14ac:dyDescent="0.25">
      <c r="B320" s="33" t="s">
        <v>498</v>
      </c>
      <c r="C320" s="34" t="s">
        <v>316</v>
      </c>
      <c r="D320" s="2">
        <v>5</v>
      </c>
      <c r="E320" s="190"/>
      <c r="F320" s="2">
        <v>0</v>
      </c>
      <c r="G320" s="2">
        <v>0</v>
      </c>
      <c r="I320" s="177">
        <f t="shared" si="16"/>
        <v>5</v>
      </c>
      <c r="J320" s="2"/>
      <c r="K320" t="str">
        <f>VLOOKUP(B320,'Allocations 2026-27'!$B$9:$C$328,2,FALSE)</f>
        <v>Why Not You Academy Charter</v>
      </c>
      <c r="N320" s="2">
        <f t="shared" si="17"/>
        <v>0</v>
      </c>
      <c r="O320">
        <f t="shared" si="18"/>
        <v>0</v>
      </c>
      <c r="P320" s="2"/>
      <c r="Q320" s="2">
        <f t="shared" si="19"/>
        <v>0</v>
      </c>
    </row>
    <row r="321" spans="2:17" x14ac:dyDescent="0.25">
      <c r="B321" s="31" t="s">
        <v>767</v>
      </c>
      <c r="C321" s="31" t="s">
        <v>317</v>
      </c>
      <c r="D321" s="2">
        <v>0</v>
      </c>
      <c r="E321" s="190"/>
      <c r="F321" s="2">
        <v>0</v>
      </c>
      <c r="G321" s="2">
        <v>0</v>
      </c>
      <c r="I321" s="177">
        <f t="shared" si="16"/>
        <v>0</v>
      </c>
      <c r="J321" s="2"/>
      <c r="K321" t="str">
        <f>VLOOKUP(B321,'Allocations 2026-27'!$B$9:$C$328,2,FALSE)</f>
        <v>Wilbur</v>
      </c>
      <c r="N321" s="2">
        <f t="shared" si="17"/>
        <v>0</v>
      </c>
      <c r="O321">
        <f t="shared" si="18"/>
        <v>0</v>
      </c>
      <c r="P321" s="2"/>
      <c r="Q321" s="2">
        <f t="shared" si="19"/>
        <v>0</v>
      </c>
    </row>
    <row r="322" spans="2:17" x14ac:dyDescent="0.25">
      <c r="B322" s="31" t="s">
        <v>768</v>
      </c>
      <c r="C322" s="31" t="s">
        <v>318</v>
      </c>
      <c r="D322" s="2">
        <v>5</v>
      </c>
      <c r="E322" s="190"/>
      <c r="F322" s="2">
        <v>0</v>
      </c>
      <c r="G322" s="2">
        <v>0</v>
      </c>
      <c r="I322" s="177">
        <f t="shared" si="16"/>
        <v>5</v>
      </c>
      <c r="J322" s="2"/>
      <c r="K322" t="str">
        <f>VLOOKUP(B322,'Allocations 2026-27'!$B$9:$C$328,2,FALSE)</f>
        <v>Willapa Valley</v>
      </c>
      <c r="N322" s="2">
        <f t="shared" si="17"/>
        <v>0</v>
      </c>
      <c r="O322">
        <f t="shared" si="18"/>
        <v>0</v>
      </c>
      <c r="P322" s="2"/>
      <c r="Q322" s="2">
        <f t="shared" si="19"/>
        <v>0</v>
      </c>
    </row>
    <row r="323" spans="2:17" x14ac:dyDescent="0.25">
      <c r="B323" s="31" t="s">
        <v>771</v>
      </c>
      <c r="C323" s="31" t="s">
        <v>319</v>
      </c>
      <c r="D323" s="2">
        <v>2</v>
      </c>
      <c r="E323" s="190"/>
      <c r="F323" s="2">
        <v>0</v>
      </c>
      <c r="G323" s="2">
        <v>0</v>
      </c>
      <c r="I323" s="177">
        <f t="shared" si="16"/>
        <v>2</v>
      </c>
      <c r="J323" s="2"/>
      <c r="K323" t="str">
        <f>VLOOKUP(B323,'Allocations 2026-27'!$B$9:$C$328,2,FALSE)</f>
        <v>Wilson Creek</v>
      </c>
      <c r="N323" s="2">
        <f t="shared" si="17"/>
        <v>0</v>
      </c>
      <c r="O323">
        <f t="shared" si="18"/>
        <v>0</v>
      </c>
      <c r="P323" s="2"/>
      <c r="Q323" s="2">
        <f t="shared" si="19"/>
        <v>0</v>
      </c>
    </row>
    <row r="324" spans="2:17" x14ac:dyDescent="0.25">
      <c r="B324" s="31" t="s">
        <v>470</v>
      </c>
      <c r="C324" s="31" t="s">
        <v>320</v>
      </c>
      <c r="D324" s="2">
        <v>44.16</v>
      </c>
      <c r="E324" s="190"/>
      <c r="F324" s="190">
        <v>1</v>
      </c>
      <c r="G324" s="2">
        <v>0</v>
      </c>
      <c r="I324" s="177">
        <f t="shared" si="16"/>
        <v>45.16</v>
      </c>
      <c r="J324" s="2"/>
      <c r="K324" t="str">
        <f>VLOOKUP(B324,'Allocations 2026-27'!$B$9:$C$328,2,FALSE)</f>
        <v>Winlock</v>
      </c>
      <c r="N324" s="2">
        <f t="shared" si="17"/>
        <v>0</v>
      </c>
      <c r="O324">
        <f t="shared" si="18"/>
        <v>0</v>
      </c>
      <c r="P324" s="2"/>
      <c r="Q324" s="2">
        <f t="shared" si="19"/>
        <v>0</v>
      </c>
    </row>
    <row r="325" spans="2:17" x14ac:dyDescent="0.25">
      <c r="B325" s="31" t="s">
        <v>772</v>
      </c>
      <c r="C325" s="31" t="s">
        <v>321</v>
      </c>
      <c r="D325" s="2">
        <v>2</v>
      </c>
      <c r="E325" s="190"/>
      <c r="F325" s="2">
        <v>0</v>
      </c>
      <c r="G325" s="2">
        <v>0</v>
      </c>
      <c r="I325" s="177">
        <f t="shared" si="16"/>
        <v>2</v>
      </c>
      <c r="J325" s="2"/>
      <c r="K325" t="str">
        <f>VLOOKUP(B325,'Allocations 2026-27'!$B$9:$C$328,2,FALSE)</f>
        <v>Wishkah Valley</v>
      </c>
      <c r="N325" s="2">
        <f t="shared" si="17"/>
        <v>0</v>
      </c>
      <c r="O325">
        <f t="shared" si="18"/>
        <v>0</v>
      </c>
      <c r="P325" s="2"/>
      <c r="Q325" s="2">
        <f t="shared" si="19"/>
        <v>0</v>
      </c>
    </row>
    <row r="326" spans="2:17" x14ac:dyDescent="0.25">
      <c r="B326" s="31" t="s">
        <v>773</v>
      </c>
      <c r="C326" s="31" t="s">
        <v>322</v>
      </c>
      <c r="D326" s="2">
        <v>0</v>
      </c>
      <c r="E326" s="190"/>
      <c r="F326" s="2">
        <v>0</v>
      </c>
      <c r="G326" s="2">
        <v>0</v>
      </c>
      <c r="I326" s="177">
        <f t="shared" si="16"/>
        <v>0</v>
      </c>
      <c r="J326" s="2"/>
      <c r="K326" t="str">
        <f>VLOOKUP(B326,'Allocations 2026-27'!$B$9:$C$328,2,FALSE)</f>
        <v>Wishram</v>
      </c>
      <c r="N326" s="2">
        <f t="shared" si="17"/>
        <v>0</v>
      </c>
      <c r="O326">
        <f t="shared" si="18"/>
        <v>0</v>
      </c>
      <c r="P326" s="2"/>
      <c r="Q326" s="2">
        <f t="shared" si="19"/>
        <v>0</v>
      </c>
    </row>
    <row r="327" spans="2:17" x14ac:dyDescent="0.25">
      <c r="B327" s="31" t="s">
        <v>774</v>
      </c>
      <c r="C327" s="31" t="s">
        <v>323</v>
      </c>
      <c r="D327" s="2">
        <v>184.16</v>
      </c>
      <c r="E327" s="190"/>
      <c r="F327" s="190">
        <v>1</v>
      </c>
      <c r="G327" s="2">
        <v>0</v>
      </c>
      <c r="I327" s="177">
        <f t="shared" si="16"/>
        <v>185.16</v>
      </c>
      <c r="J327" s="2"/>
      <c r="K327" t="str">
        <f>VLOOKUP(B327,'Allocations 2026-27'!$B$9:$C$328,2,FALSE)</f>
        <v>Woodland</v>
      </c>
      <c r="N327" s="2">
        <f t="shared" si="17"/>
        <v>0</v>
      </c>
      <c r="O327">
        <f t="shared" si="18"/>
        <v>0</v>
      </c>
      <c r="P327" s="2"/>
      <c r="Q327" s="2">
        <f t="shared" si="19"/>
        <v>0</v>
      </c>
    </row>
    <row r="328" spans="2:17" x14ac:dyDescent="0.25">
      <c r="B328" s="33" t="s">
        <v>789</v>
      </c>
      <c r="C328" s="31" t="s">
        <v>324</v>
      </c>
      <c r="D328" s="2">
        <v>0</v>
      </c>
      <c r="E328" s="190"/>
      <c r="F328" s="2">
        <v>0</v>
      </c>
      <c r="G328" s="2">
        <v>0</v>
      </c>
      <c r="I328" s="177">
        <f t="shared" si="16"/>
        <v>0</v>
      </c>
      <c r="J328" s="2"/>
      <c r="K328" t="e">
        <f>VLOOKUP(B328,'Allocations 2026-27'!$B$9:$C$328,2,FALSE)</f>
        <v>#N/A</v>
      </c>
      <c r="N328" s="2">
        <f t="shared" si="17"/>
        <v>0</v>
      </c>
      <c r="O328">
        <f t="shared" si="18"/>
        <v>0</v>
      </c>
      <c r="P328" s="2"/>
      <c r="Q328" s="2">
        <f t="shared" si="19"/>
        <v>0</v>
      </c>
    </row>
    <row r="329" spans="2:17" x14ac:dyDescent="0.25">
      <c r="B329" s="31" t="s">
        <v>775</v>
      </c>
      <c r="C329" s="31" t="s">
        <v>325</v>
      </c>
      <c r="D329" s="2">
        <v>4904.17</v>
      </c>
      <c r="E329" s="190"/>
      <c r="F329" s="190">
        <v>47</v>
      </c>
      <c r="G329" s="2">
        <v>0</v>
      </c>
      <c r="I329" s="177">
        <f t="shared" ref="I329:I331" si="20">IF(D329+E329+F329+Q329-G329&lt;0,0,D329+E329+F329-G329+Q329)</f>
        <v>4951.17</v>
      </c>
      <c r="J329" s="2"/>
      <c r="K329" t="str">
        <f>VLOOKUP(B329,'Allocations 2026-27'!$B$9:$C$328,2,FALSE)</f>
        <v>Yakima</v>
      </c>
      <c r="N329" s="2">
        <f t="shared" ref="N329:N331" si="21">IFERROR(D329/L329,0)</f>
        <v>0</v>
      </c>
      <c r="O329">
        <f t="shared" ref="O329:O331" si="22">M329-L329</f>
        <v>0</v>
      </c>
      <c r="P329" s="2"/>
      <c r="Q329" s="2">
        <f t="shared" ref="Q329:Q331" si="23">O329*N329</f>
        <v>0</v>
      </c>
    </row>
    <row r="330" spans="2:17" x14ac:dyDescent="0.25">
      <c r="B330" s="31" t="s">
        <v>776</v>
      </c>
      <c r="C330" s="31" t="s">
        <v>326</v>
      </c>
      <c r="D330" s="2">
        <v>213.16</v>
      </c>
      <c r="E330" s="190"/>
      <c r="F330" s="190">
        <v>3.5</v>
      </c>
      <c r="G330" s="2">
        <v>0</v>
      </c>
      <c r="I330" s="177">
        <f t="shared" si="20"/>
        <v>216.66</v>
      </c>
      <c r="J330" s="2"/>
      <c r="K330" t="str">
        <f>VLOOKUP(B330,'Allocations 2026-27'!$B$9:$C$328,2,FALSE)</f>
        <v>Yelm</v>
      </c>
      <c r="N330" s="2">
        <f t="shared" si="21"/>
        <v>0</v>
      </c>
      <c r="O330">
        <f t="shared" si="22"/>
        <v>0</v>
      </c>
      <c r="P330" s="2"/>
      <c r="Q330" s="2">
        <f t="shared" si="23"/>
        <v>0</v>
      </c>
    </row>
    <row r="331" spans="2:17" x14ac:dyDescent="0.25">
      <c r="B331" s="31" t="s">
        <v>777</v>
      </c>
      <c r="C331" s="31" t="s">
        <v>327</v>
      </c>
      <c r="D331" s="2">
        <v>156.5</v>
      </c>
      <c r="E331" s="13"/>
      <c r="F331" s="190">
        <v>10.166666666666666</v>
      </c>
      <c r="G331" s="2">
        <v>0</v>
      </c>
      <c r="I331" s="177">
        <f t="shared" si="20"/>
        <v>166.66666666666666</v>
      </c>
      <c r="J331" s="2"/>
      <c r="K331" t="str">
        <f>VLOOKUP(B331,'Allocations 2026-27'!$B$9:$C$328,2,FALSE)</f>
        <v>Zillah</v>
      </c>
      <c r="N331" s="2">
        <f t="shared" si="21"/>
        <v>0</v>
      </c>
      <c r="O331">
        <f t="shared" si="22"/>
        <v>0</v>
      </c>
      <c r="P331" s="2"/>
      <c r="Q331" s="2">
        <f t="shared" si="23"/>
        <v>0</v>
      </c>
    </row>
  </sheetData>
  <autoFilter ref="B7:Q331" xr:uid="{9CA48ADF-D2D7-469D-A6E4-66C4BE958902}"/>
  <mergeCells count="1">
    <mergeCell ref="D4:H4"/>
  </mergeCells>
  <conditionalFormatting sqref="B320">
    <cfRule type="duplicateValues" dxfId="14" priority="1"/>
  </conditionalFormatting>
  <conditionalFormatting sqref="B321:B331 B8:B319">
    <cfRule type="duplicateValues" dxfId="13" priority="4"/>
  </conditionalFormatting>
  <conditionalFormatting sqref="C320">
    <cfRule type="duplicateValues" dxfId="12" priority="2"/>
  </conditionalFormatting>
  <conditionalFormatting sqref="C321:C323 C8:C319">
    <cfRule type="duplicateValues" dxfId="11" priority="3"/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8ADF-D2D7-469D-A6E4-66C4BE958902}">
  <dimension ref="A1:Q332"/>
  <sheetViews>
    <sheetView workbookViewId="0">
      <selection activeCell="K8" sqref="K8"/>
    </sheetView>
  </sheetViews>
  <sheetFormatPr defaultRowHeight="15" x14ac:dyDescent="0.25"/>
  <cols>
    <col min="1" max="1" width="6.140625" customWidth="1"/>
    <col min="2" max="2" width="9.28515625" style="1" customWidth="1"/>
    <col min="3" max="3" width="25.5703125" bestFit="1" customWidth="1"/>
    <col min="4" max="4" width="15.5703125" style="7" bestFit="1" customWidth="1"/>
    <col min="5" max="5" width="15.28515625" style="19" customWidth="1"/>
    <col min="6" max="6" width="11.42578125" style="37" customWidth="1"/>
    <col min="7" max="7" width="11" style="18" bestFit="1" customWidth="1"/>
    <col min="8" max="8" width="6" style="19" customWidth="1"/>
    <col min="9" max="9" width="18.5703125" style="6" customWidth="1"/>
    <col min="10" max="10" width="18.28515625" hidden="1" customWidth="1"/>
    <col min="11" max="11" width="27.28515625" customWidth="1"/>
    <col min="12" max="13" width="18" customWidth="1"/>
    <col min="14" max="14" width="12.7109375" customWidth="1"/>
    <col min="15" max="15" width="13.5703125" customWidth="1"/>
    <col min="17" max="17" width="10.7109375" customWidth="1"/>
  </cols>
  <sheetData>
    <row r="1" spans="1:17" x14ac:dyDescent="0.25">
      <c r="D1" s="2"/>
      <c r="E1" s="3"/>
      <c r="F1" s="3"/>
      <c r="G1" s="4"/>
      <c r="H1" s="5"/>
    </row>
    <row r="2" spans="1:17" x14ac:dyDescent="0.25">
      <c r="E2" s="8"/>
      <c r="F2" s="8"/>
      <c r="G2" s="4"/>
      <c r="H2" s="5"/>
    </row>
    <row r="3" spans="1:17" x14ac:dyDescent="0.25">
      <c r="B3" s="1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 s="6">
        <v>8</v>
      </c>
      <c r="J3">
        <v>9</v>
      </c>
    </row>
    <row r="4" spans="1:17" ht="13.15" customHeight="1" x14ac:dyDescent="0.25">
      <c r="A4" s="9"/>
      <c r="B4" s="10"/>
      <c r="C4" s="11"/>
      <c r="D4" s="202"/>
      <c r="E4" s="202"/>
      <c r="F4" s="202"/>
      <c r="G4" s="202"/>
      <c r="H4" s="203"/>
      <c r="I4" s="12"/>
      <c r="J4" s="13"/>
    </row>
    <row r="5" spans="1:17" ht="30" x14ac:dyDescent="0.35">
      <c r="C5" s="14"/>
      <c r="D5" s="15"/>
      <c r="E5" s="16"/>
      <c r="F5" s="17"/>
      <c r="I5" s="20" t="s">
        <v>825</v>
      </c>
      <c r="J5" s="21"/>
      <c r="K5" s="13"/>
    </row>
    <row r="6" spans="1:17" ht="26.25" customHeight="1" x14ac:dyDescent="0.25">
      <c r="B6" s="1" t="s">
        <v>0</v>
      </c>
      <c r="C6" t="s">
        <v>1</v>
      </c>
      <c r="D6" s="22" t="s">
        <v>2</v>
      </c>
      <c r="E6" s="23" t="s">
        <v>3</v>
      </c>
      <c r="F6" s="24" t="s">
        <v>4</v>
      </c>
      <c r="G6" s="25" t="s">
        <v>5</v>
      </c>
      <c r="H6" s="26" t="s">
        <v>6</v>
      </c>
      <c r="I6" s="27" t="s">
        <v>7</v>
      </c>
      <c r="J6" s="28"/>
      <c r="L6" t="s">
        <v>804</v>
      </c>
      <c r="M6" t="s">
        <v>813</v>
      </c>
      <c r="N6" t="s">
        <v>808</v>
      </c>
      <c r="O6" t="s">
        <v>805</v>
      </c>
      <c r="P6" t="s">
        <v>806</v>
      </c>
      <c r="Q6" t="s">
        <v>807</v>
      </c>
    </row>
    <row r="7" spans="1:17" x14ac:dyDescent="0.25">
      <c r="C7" t="s">
        <v>8</v>
      </c>
      <c r="D7" s="2">
        <v>158530.25999999995</v>
      </c>
      <c r="E7" s="22">
        <v>717</v>
      </c>
      <c r="F7" s="22">
        <v>3959.0000000000009</v>
      </c>
      <c r="G7" s="22">
        <v>78</v>
      </c>
      <c r="H7" s="22"/>
      <c r="I7" s="29">
        <v>163115.42666666658</v>
      </c>
      <c r="J7">
        <f>SUM(J8:J319)</f>
        <v>0</v>
      </c>
      <c r="N7" s="2"/>
      <c r="P7" s="2"/>
      <c r="Q7" s="2"/>
    </row>
    <row r="8" spans="1:17" x14ac:dyDescent="0.25">
      <c r="B8" s="30" t="s">
        <v>439</v>
      </c>
      <c r="C8" s="31" t="s">
        <v>9</v>
      </c>
      <c r="D8" s="2">
        <v>482.33000000000004</v>
      </c>
      <c r="E8" s="32">
        <v>7</v>
      </c>
      <c r="F8" s="32">
        <v>15.166666666666666</v>
      </c>
      <c r="G8" s="18">
        <v>1</v>
      </c>
      <c r="H8" s="18"/>
      <c r="I8" s="177">
        <f>IF(D8+E8+F8-G8+Q8&lt;0,0,D8+E8+F8+Q8-G8)</f>
        <v>503.49666666666673</v>
      </c>
      <c r="J8" s="2"/>
      <c r="K8" t="e">
        <f>VLOOKUP(B8,#REF!,2,FALSE)</f>
        <v>#REF!</v>
      </c>
      <c r="N8" s="2">
        <f>IFERROR(D8/L8,0)</f>
        <v>0</v>
      </c>
      <c r="O8">
        <f>M8-L8</f>
        <v>0</v>
      </c>
      <c r="P8" s="2"/>
      <c r="Q8" s="2">
        <f>O8*N8</f>
        <v>0</v>
      </c>
    </row>
    <row r="9" spans="1:17" x14ac:dyDescent="0.25">
      <c r="B9" s="30" t="s">
        <v>441</v>
      </c>
      <c r="C9" s="31" t="s">
        <v>10</v>
      </c>
      <c r="D9" s="2">
        <v>0</v>
      </c>
      <c r="E9" s="32"/>
      <c r="F9" s="32">
        <v>0</v>
      </c>
      <c r="G9" s="18">
        <v>0</v>
      </c>
      <c r="H9" s="18"/>
      <c r="I9" s="177">
        <f t="shared" ref="I9:I72" si="0">IF(D9+E9+F9-G9+Q9&lt;0,0,D9+E9+F9+Q9-G9)</f>
        <v>0</v>
      </c>
      <c r="J9" s="2"/>
      <c r="K9" t="e">
        <f>VLOOKUP(B9,#REF!,2,FALSE)</f>
        <v>#REF!</v>
      </c>
      <c r="N9" s="2">
        <f t="shared" ref="N9:N72" si="1">IFERROR(D9/L9,0)</f>
        <v>0</v>
      </c>
      <c r="O9">
        <f t="shared" ref="O9:O72" si="2">M9-L9</f>
        <v>0</v>
      </c>
      <c r="P9" s="2"/>
      <c r="Q9" s="2">
        <f t="shared" ref="Q9:Q72" si="3">O9*N9</f>
        <v>0</v>
      </c>
    </row>
    <row r="10" spans="1:17" x14ac:dyDescent="0.25">
      <c r="B10" s="30" t="s">
        <v>444</v>
      </c>
      <c r="C10" s="31" t="s">
        <v>11</v>
      </c>
      <c r="D10" s="2">
        <v>0</v>
      </c>
      <c r="E10" s="32"/>
      <c r="F10" s="32">
        <v>0</v>
      </c>
      <c r="G10" s="18">
        <v>0</v>
      </c>
      <c r="I10" s="177">
        <f t="shared" si="0"/>
        <v>0</v>
      </c>
      <c r="J10" s="2"/>
      <c r="K10" t="e">
        <f>VLOOKUP(B10,#REF!,2,FALSE)</f>
        <v>#REF!</v>
      </c>
      <c r="N10" s="2">
        <f t="shared" si="1"/>
        <v>0</v>
      </c>
      <c r="O10">
        <f t="shared" si="2"/>
        <v>0</v>
      </c>
      <c r="P10" s="2"/>
      <c r="Q10" s="2">
        <f t="shared" si="3"/>
        <v>0</v>
      </c>
    </row>
    <row r="11" spans="1:17" x14ac:dyDescent="0.25">
      <c r="B11" s="30" t="s">
        <v>447</v>
      </c>
      <c r="C11" s="31" t="s">
        <v>12</v>
      </c>
      <c r="D11" s="2">
        <v>58.17</v>
      </c>
      <c r="E11" s="32"/>
      <c r="F11" s="32">
        <v>0</v>
      </c>
      <c r="G11" s="18">
        <v>0</v>
      </c>
      <c r="I11" s="177">
        <f t="shared" si="0"/>
        <v>58.17</v>
      </c>
      <c r="J11" s="2"/>
      <c r="K11" t="e">
        <f>VLOOKUP(B11,#REF!,2,FALSE)</f>
        <v>#REF!</v>
      </c>
      <c r="N11" s="2">
        <f t="shared" si="1"/>
        <v>0</v>
      </c>
      <c r="O11">
        <f t="shared" si="2"/>
        <v>0</v>
      </c>
      <c r="P11" s="2"/>
      <c r="Q11" s="2">
        <f t="shared" si="3"/>
        <v>0</v>
      </c>
    </row>
    <row r="12" spans="1:17" x14ac:dyDescent="0.25">
      <c r="B12" s="30" t="s">
        <v>449</v>
      </c>
      <c r="C12" s="31" t="s">
        <v>13</v>
      </c>
      <c r="D12" s="2">
        <v>369.5</v>
      </c>
      <c r="E12" s="32"/>
      <c r="F12" s="32">
        <v>19</v>
      </c>
      <c r="G12" s="18">
        <v>1</v>
      </c>
      <c r="H12" s="18"/>
      <c r="I12" s="177">
        <f t="shared" si="0"/>
        <v>387.5</v>
      </c>
      <c r="J12" s="2"/>
      <c r="K12" t="e">
        <f>VLOOKUP(B12,#REF!,2,FALSE)</f>
        <v>#REF!</v>
      </c>
      <c r="N12" s="2">
        <f t="shared" si="1"/>
        <v>0</v>
      </c>
      <c r="O12">
        <f t="shared" si="2"/>
        <v>0</v>
      </c>
      <c r="P12" s="2"/>
      <c r="Q12" s="2">
        <f t="shared" si="3"/>
        <v>0</v>
      </c>
    </row>
    <row r="13" spans="1:17" x14ac:dyDescent="0.25">
      <c r="B13" s="30" t="s">
        <v>452</v>
      </c>
      <c r="C13" s="31" t="s">
        <v>14</v>
      </c>
      <c r="D13" s="2">
        <v>0</v>
      </c>
      <c r="E13" s="32"/>
      <c r="F13" s="32">
        <v>0</v>
      </c>
      <c r="G13" s="18">
        <v>0</v>
      </c>
      <c r="I13" s="177">
        <f t="shared" si="0"/>
        <v>0</v>
      </c>
      <c r="J13" s="2"/>
      <c r="K13" t="e">
        <f>VLOOKUP(B13,#REF!,2,FALSE)</f>
        <v>#REF!</v>
      </c>
      <c r="N13" s="2">
        <f t="shared" si="1"/>
        <v>0</v>
      </c>
      <c r="O13">
        <f t="shared" si="2"/>
        <v>0</v>
      </c>
      <c r="P13" s="2"/>
      <c r="Q13" s="2">
        <f t="shared" si="3"/>
        <v>0</v>
      </c>
    </row>
    <row r="14" spans="1:17" x14ac:dyDescent="0.25">
      <c r="B14" s="30" t="s">
        <v>455</v>
      </c>
      <c r="C14" s="31" t="s">
        <v>15</v>
      </c>
      <c r="D14" s="2">
        <v>5487.34</v>
      </c>
      <c r="E14" s="32"/>
      <c r="F14" s="32">
        <v>38</v>
      </c>
      <c r="G14" s="18">
        <v>2</v>
      </c>
      <c r="H14" s="18"/>
      <c r="I14" s="177">
        <f t="shared" si="0"/>
        <v>5523.34</v>
      </c>
      <c r="J14" s="2"/>
      <c r="K14" t="e">
        <f>VLOOKUP(B14,#REF!,2,FALSE)</f>
        <v>#REF!</v>
      </c>
      <c r="N14" s="2">
        <f t="shared" si="1"/>
        <v>0</v>
      </c>
      <c r="O14">
        <f t="shared" si="2"/>
        <v>0</v>
      </c>
      <c r="P14" s="2"/>
      <c r="Q14" s="2">
        <f t="shared" si="3"/>
        <v>0</v>
      </c>
    </row>
    <row r="15" spans="1:17" x14ac:dyDescent="0.25">
      <c r="B15" s="30" t="s">
        <v>457</v>
      </c>
      <c r="C15" s="31" t="s">
        <v>16</v>
      </c>
      <c r="D15" s="2">
        <v>45.5</v>
      </c>
      <c r="E15" s="32"/>
      <c r="F15" s="32">
        <v>0</v>
      </c>
      <c r="G15" s="18">
        <v>0</v>
      </c>
      <c r="I15" s="177">
        <f t="shared" si="0"/>
        <v>45.5</v>
      </c>
      <c r="J15" s="2"/>
      <c r="K15" t="e">
        <f>VLOOKUP(B15,#REF!,2,FALSE)</f>
        <v>#REF!</v>
      </c>
      <c r="N15" s="2">
        <f t="shared" si="1"/>
        <v>0</v>
      </c>
      <c r="O15">
        <f t="shared" si="2"/>
        <v>0</v>
      </c>
      <c r="P15" s="2"/>
      <c r="Q15" s="2">
        <f t="shared" si="3"/>
        <v>0</v>
      </c>
    </row>
    <row r="16" spans="1:17" x14ac:dyDescent="0.25">
      <c r="B16" s="30" t="s">
        <v>812</v>
      </c>
      <c r="C16" s="31" t="s">
        <v>811</v>
      </c>
      <c r="D16" s="2">
        <v>0</v>
      </c>
      <c r="E16" s="32"/>
      <c r="F16" s="32">
        <v>0</v>
      </c>
      <c r="G16" s="18">
        <v>0</v>
      </c>
      <c r="H16" s="18"/>
      <c r="I16" s="177">
        <f t="shared" si="0"/>
        <v>0</v>
      </c>
      <c r="J16" s="2"/>
      <c r="K16" t="e">
        <f>VLOOKUP(B16,#REF!,2,FALSE)</f>
        <v>#REF!</v>
      </c>
      <c r="N16" s="2">
        <f t="shared" si="1"/>
        <v>0</v>
      </c>
      <c r="O16">
        <f t="shared" si="2"/>
        <v>0</v>
      </c>
      <c r="P16" s="2"/>
      <c r="Q16" s="2">
        <f t="shared" si="3"/>
        <v>0</v>
      </c>
    </row>
    <row r="17" spans="2:17" x14ac:dyDescent="0.25">
      <c r="B17" s="30" t="s">
        <v>460</v>
      </c>
      <c r="C17" s="31" t="s">
        <v>17</v>
      </c>
      <c r="D17" s="2">
        <v>1449.5</v>
      </c>
      <c r="E17" s="32"/>
      <c r="F17" s="32">
        <v>11.5</v>
      </c>
      <c r="G17" s="18">
        <v>8</v>
      </c>
      <c r="H17" s="18"/>
      <c r="I17" s="177">
        <f t="shared" si="0"/>
        <v>1453</v>
      </c>
      <c r="J17" s="2"/>
      <c r="K17" t="e">
        <f>VLOOKUP(B17,#REF!,2,FALSE)</f>
        <v>#REF!</v>
      </c>
      <c r="N17" s="2">
        <f t="shared" si="1"/>
        <v>0</v>
      </c>
      <c r="O17">
        <f t="shared" si="2"/>
        <v>0</v>
      </c>
      <c r="P17" s="2"/>
      <c r="Q17" s="2">
        <f t="shared" si="3"/>
        <v>0</v>
      </c>
    </row>
    <row r="18" spans="2:17" x14ac:dyDescent="0.25">
      <c r="B18" s="30" t="s">
        <v>463</v>
      </c>
      <c r="C18" s="31" t="s">
        <v>18</v>
      </c>
      <c r="D18" s="2">
        <v>3908.67</v>
      </c>
      <c r="E18" s="32">
        <v>8</v>
      </c>
      <c r="F18" s="32">
        <v>10</v>
      </c>
      <c r="G18" s="18">
        <v>0</v>
      </c>
      <c r="H18" s="18"/>
      <c r="I18" s="177">
        <f t="shared" si="0"/>
        <v>3926.67</v>
      </c>
      <c r="J18" s="2"/>
      <c r="K18" t="e">
        <f>VLOOKUP(B18,#REF!,2,FALSE)</f>
        <v>#REF!</v>
      </c>
      <c r="N18" s="2">
        <f t="shared" si="1"/>
        <v>0</v>
      </c>
      <c r="O18">
        <f t="shared" si="2"/>
        <v>0</v>
      </c>
      <c r="P18" s="2"/>
      <c r="Q18" s="2">
        <f t="shared" si="3"/>
        <v>0</v>
      </c>
    </row>
    <row r="19" spans="2:17" x14ac:dyDescent="0.25">
      <c r="B19" s="30" t="s">
        <v>465</v>
      </c>
      <c r="C19" s="31" t="s">
        <v>19</v>
      </c>
      <c r="D19" s="2">
        <v>1049.83</v>
      </c>
      <c r="E19" s="32">
        <v>16</v>
      </c>
      <c r="F19" s="32">
        <v>7</v>
      </c>
      <c r="G19" s="18">
        <v>1</v>
      </c>
      <c r="I19" s="177">
        <f t="shared" si="0"/>
        <v>1071.83</v>
      </c>
      <c r="J19" s="2"/>
      <c r="K19" t="e">
        <f>VLOOKUP(B19,#REF!,2,FALSE)</f>
        <v>#REF!</v>
      </c>
      <c r="N19" s="2">
        <f t="shared" si="1"/>
        <v>0</v>
      </c>
      <c r="O19">
        <f t="shared" si="2"/>
        <v>0</v>
      </c>
      <c r="P19" s="2"/>
      <c r="Q19" s="2">
        <f t="shared" si="3"/>
        <v>0</v>
      </c>
    </row>
    <row r="20" spans="2:17" x14ac:dyDescent="0.25">
      <c r="B20" s="30" t="s">
        <v>467</v>
      </c>
      <c r="C20" s="31" t="s">
        <v>20</v>
      </c>
      <c r="D20" s="2">
        <v>0</v>
      </c>
      <c r="E20" s="32"/>
      <c r="F20" s="32">
        <v>0</v>
      </c>
      <c r="G20" s="18">
        <v>0</v>
      </c>
      <c r="H20" s="18"/>
      <c r="I20" s="177">
        <f t="shared" si="0"/>
        <v>0</v>
      </c>
      <c r="J20" s="2"/>
      <c r="K20" t="e">
        <f>VLOOKUP(B20,#REF!,2,FALSE)</f>
        <v>#REF!</v>
      </c>
      <c r="N20" s="2">
        <f t="shared" si="1"/>
        <v>0</v>
      </c>
      <c r="O20">
        <f t="shared" si="2"/>
        <v>0</v>
      </c>
      <c r="P20" s="2"/>
      <c r="Q20" s="2">
        <f t="shared" si="3"/>
        <v>0</v>
      </c>
    </row>
    <row r="21" spans="2:17" x14ac:dyDescent="0.25">
      <c r="B21" s="30" t="s">
        <v>469</v>
      </c>
      <c r="C21" s="31" t="s">
        <v>21</v>
      </c>
      <c r="D21" s="2">
        <v>1765.83</v>
      </c>
      <c r="E21" s="32"/>
      <c r="F21" s="32">
        <v>67</v>
      </c>
      <c r="G21" s="18">
        <v>0</v>
      </c>
      <c r="H21" s="18"/>
      <c r="I21" s="177">
        <f t="shared" si="0"/>
        <v>1832.83</v>
      </c>
      <c r="J21" s="2"/>
      <c r="K21" t="e">
        <f>VLOOKUP(B21,#REF!,2,FALSE)</f>
        <v>#REF!</v>
      </c>
      <c r="N21" s="2">
        <f t="shared" si="1"/>
        <v>0</v>
      </c>
      <c r="O21">
        <f t="shared" si="2"/>
        <v>0</v>
      </c>
      <c r="P21" s="2"/>
      <c r="Q21" s="2">
        <f t="shared" si="3"/>
        <v>0</v>
      </c>
    </row>
    <row r="22" spans="2:17" x14ac:dyDescent="0.25">
      <c r="B22" s="30" t="s">
        <v>472</v>
      </c>
      <c r="C22" s="31" t="s">
        <v>22</v>
      </c>
      <c r="D22" s="2">
        <v>0</v>
      </c>
      <c r="E22" s="32"/>
      <c r="F22" s="32">
        <v>0</v>
      </c>
      <c r="G22" s="18">
        <v>0</v>
      </c>
      <c r="I22" s="177">
        <f t="shared" si="0"/>
        <v>0</v>
      </c>
      <c r="J22" s="2"/>
      <c r="K22" t="e">
        <f>VLOOKUP(B22,#REF!,2,FALSE)</f>
        <v>#REF!</v>
      </c>
      <c r="N22" s="2">
        <f t="shared" si="1"/>
        <v>0</v>
      </c>
      <c r="O22">
        <f t="shared" si="2"/>
        <v>0</v>
      </c>
      <c r="P22" s="2"/>
      <c r="Q22" s="2">
        <f t="shared" si="3"/>
        <v>0</v>
      </c>
    </row>
    <row r="23" spans="2:17" x14ac:dyDescent="0.25">
      <c r="B23" s="30" t="s">
        <v>474</v>
      </c>
      <c r="C23" s="31" t="s">
        <v>23</v>
      </c>
      <c r="D23" s="2">
        <v>109.67</v>
      </c>
      <c r="E23" s="32"/>
      <c r="F23" s="32">
        <v>2.8333333333333335</v>
      </c>
      <c r="G23" s="18">
        <v>0</v>
      </c>
      <c r="H23" s="18"/>
      <c r="I23" s="177">
        <f t="shared" si="0"/>
        <v>112.50333333333333</v>
      </c>
      <c r="J23" s="2"/>
      <c r="K23" t="e">
        <f>VLOOKUP(B23,#REF!,2,FALSE)</f>
        <v>#REF!</v>
      </c>
      <c r="N23" s="2">
        <f t="shared" si="1"/>
        <v>0</v>
      </c>
      <c r="O23">
        <f t="shared" si="2"/>
        <v>0</v>
      </c>
      <c r="P23" s="2"/>
      <c r="Q23" s="2">
        <f t="shared" si="3"/>
        <v>0</v>
      </c>
    </row>
    <row r="24" spans="2:17" x14ac:dyDescent="0.25">
      <c r="B24" s="30" t="s">
        <v>476</v>
      </c>
      <c r="C24" s="31" t="s">
        <v>24</v>
      </c>
      <c r="D24" s="2">
        <v>18.329999999999998</v>
      </c>
      <c r="E24" s="32"/>
      <c r="F24" s="32">
        <v>0</v>
      </c>
      <c r="G24" s="18">
        <v>0</v>
      </c>
      <c r="I24" s="177">
        <f t="shared" si="0"/>
        <v>18.329999999999998</v>
      </c>
      <c r="J24" s="2"/>
      <c r="K24" t="e">
        <f>VLOOKUP(B24,#REF!,2,FALSE)</f>
        <v>#REF!</v>
      </c>
      <c r="N24" s="2">
        <f t="shared" si="1"/>
        <v>0</v>
      </c>
      <c r="O24">
        <f t="shared" si="2"/>
        <v>0</v>
      </c>
      <c r="P24" s="2"/>
      <c r="Q24" s="2">
        <f t="shared" si="3"/>
        <v>0</v>
      </c>
    </row>
    <row r="25" spans="2:17" x14ac:dyDescent="0.25">
      <c r="B25" s="30" t="s">
        <v>479</v>
      </c>
      <c r="C25" s="31" t="s">
        <v>25</v>
      </c>
      <c r="D25" s="2">
        <v>658.33</v>
      </c>
      <c r="E25" s="32"/>
      <c r="F25" s="32">
        <v>0</v>
      </c>
      <c r="G25" s="18">
        <v>0</v>
      </c>
      <c r="I25" s="177">
        <f t="shared" si="0"/>
        <v>658.33</v>
      </c>
      <c r="J25" s="2"/>
      <c r="K25" t="e">
        <f>VLOOKUP(B25,#REF!,2,FALSE)</f>
        <v>#REF!</v>
      </c>
      <c r="N25" s="2">
        <f t="shared" si="1"/>
        <v>0</v>
      </c>
      <c r="O25">
        <f t="shared" si="2"/>
        <v>0</v>
      </c>
      <c r="P25" s="2"/>
      <c r="Q25" s="2">
        <f t="shared" si="3"/>
        <v>0</v>
      </c>
    </row>
    <row r="26" spans="2:17" x14ac:dyDescent="0.25">
      <c r="B26" s="30" t="s">
        <v>482</v>
      </c>
      <c r="C26" s="31" t="s">
        <v>26</v>
      </c>
      <c r="D26" s="2">
        <v>395.34000000000003</v>
      </c>
      <c r="E26" s="32"/>
      <c r="F26" s="32">
        <v>0</v>
      </c>
      <c r="G26" s="18">
        <v>0</v>
      </c>
      <c r="H26" s="18"/>
      <c r="I26" s="177">
        <f t="shared" si="0"/>
        <v>395.34000000000003</v>
      </c>
      <c r="J26" s="2"/>
      <c r="K26" t="e">
        <f>VLOOKUP(B26,#REF!,2,FALSE)</f>
        <v>#REF!</v>
      </c>
      <c r="N26" s="2">
        <f t="shared" si="1"/>
        <v>0</v>
      </c>
      <c r="O26">
        <f t="shared" si="2"/>
        <v>0</v>
      </c>
      <c r="P26" s="2"/>
      <c r="Q26" s="2">
        <f t="shared" si="3"/>
        <v>0</v>
      </c>
    </row>
    <row r="27" spans="2:17" x14ac:dyDescent="0.25">
      <c r="B27" s="30" t="s">
        <v>485</v>
      </c>
      <c r="C27" s="31" t="s">
        <v>27</v>
      </c>
      <c r="D27" s="2">
        <v>417</v>
      </c>
      <c r="E27" s="32"/>
      <c r="F27" s="32">
        <v>0</v>
      </c>
      <c r="G27" s="18">
        <v>0</v>
      </c>
      <c r="I27" s="177">
        <f t="shared" si="0"/>
        <v>417</v>
      </c>
      <c r="J27" s="2"/>
      <c r="K27" t="e">
        <f>VLOOKUP(B27,#REF!,2,FALSE)</f>
        <v>#REF!</v>
      </c>
      <c r="N27" s="2">
        <f t="shared" si="1"/>
        <v>0</v>
      </c>
      <c r="O27">
        <f t="shared" si="2"/>
        <v>0</v>
      </c>
      <c r="P27" s="2"/>
      <c r="Q27" s="2">
        <f t="shared" si="3"/>
        <v>0</v>
      </c>
    </row>
    <row r="28" spans="2:17" x14ac:dyDescent="0.25">
      <c r="B28" s="30" t="s">
        <v>487</v>
      </c>
      <c r="C28" s="31" t="s">
        <v>28</v>
      </c>
      <c r="D28" s="2">
        <v>1</v>
      </c>
      <c r="E28" s="32"/>
      <c r="F28" s="32">
        <v>0</v>
      </c>
      <c r="G28" s="18">
        <v>0</v>
      </c>
      <c r="I28" s="177">
        <f t="shared" si="0"/>
        <v>1</v>
      </c>
      <c r="J28" s="2"/>
      <c r="K28" t="e">
        <f>VLOOKUP(B28,#REF!,2,FALSE)</f>
        <v>#REF!</v>
      </c>
      <c r="N28" s="2">
        <f t="shared" si="1"/>
        <v>0</v>
      </c>
      <c r="O28">
        <f t="shared" si="2"/>
        <v>0</v>
      </c>
      <c r="P28" s="2"/>
      <c r="Q28" s="2">
        <f t="shared" si="3"/>
        <v>0</v>
      </c>
    </row>
    <row r="29" spans="2:17" x14ac:dyDescent="0.25">
      <c r="B29" s="30" t="s">
        <v>489</v>
      </c>
      <c r="C29" s="31" t="s">
        <v>29</v>
      </c>
      <c r="D29" s="2">
        <v>796.34</v>
      </c>
      <c r="E29" s="32">
        <v>1</v>
      </c>
      <c r="F29" s="32">
        <v>7.333333333333333</v>
      </c>
      <c r="G29" s="18">
        <v>0</v>
      </c>
      <c r="H29" s="18"/>
      <c r="I29" s="177">
        <f t="shared" si="0"/>
        <v>804.6733333333334</v>
      </c>
      <c r="J29" s="2"/>
      <c r="K29" t="e">
        <f>VLOOKUP(B29,#REF!,2,FALSE)</f>
        <v>#REF!</v>
      </c>
      <c r="N29" s="2">
        <f t="shared" si="1"/>
        <v>0</v>
      </c>
      <c r="O29">
        <f t="shared" si="2"/>
        <v>0</v>
      </c>
      <c r="P29" s="2"/>
      <c r="Q29" s="2">
        <f t="shared" si="3"/>
        <v>0</v>
      </c>
    </row>
    <row r="30" spans="2:17" x14ac:dyDescent="0.25">
      <c r="B30" s="30" t="s">
        <v>491</v>
      </c>
      <c r="C30" s="31" t="s">
        <v>30</v>
      </c>
      <c r="D30" s="2">
        <v>282.5</v>
      </c>
      <c r="E30" s="32"/>
      <c r="F30" s="32">
        <v>6</v>
      </c>
      <c r="G30" s="18">
        <v>2</v>
      </c>
      <c r="I30" s="177">
        <f t="shared" si="0"/>
        <v>286.5</v>
      </c>
      <c r="J30" s="2"/>
      <c r="K30" t="e">
        <f>VLOOKUP(B30,#REF!,2,FALSE)</f>
        <v>#REF!</v>
      </c>
      <c r="N30" s="2">
        <f t="shared" si="1"/>
        <v>0</v>
      </c>
      <c r="O30">
        <f t="shared" si="2"/>
        <v>0</v>
      </c>
      <c r="P30" s="2"/>
      <c r="Q30" s="2">
        <f t="shared" si="3"/>
        <v>0</v>
      </c>
    </row>
    <row r="31" spans="2:17" x14ac:dyDescent="0.25">
      <c r="B31" s="30" t="s">
        <v>493</v>
      </c>
      <c r="C31" s="31" t="s">
        <v>31</v>
      </c>
      <c r="D31" s="2">
        <v>0</v>
      </c>
      <c r="E31" s="32"/>
      <c r="F31" s="32">
        <v>0</v>
      </c>
      <c r="G31" s="18">
        <v>0</v>
      </c>
      <c r="I31" s="177">
        <f t="shared" si="0"/>
        <v>0</v>
      </c>
      <c r="J31" s="2"/>
      <c r="K31" t="e">
        <f>VLOOKUP(B31,#REF!,2,FALSE)</f>
        <v>#REF!</v>
      </c>
      <c r="N31" s="2">
        <f t="shared" si="1"/>
        <v>0</v>
      </c>
      <c r="O31">
        <f t="shared" si="2"/>
        <v>0</v>
      </c>
      <c r="P31" s="2"/>
      <c r="Q31" s="2">
        <f t="shared" si="3"/>
        <v>0</v>
      </c>
    </row>
    <row r="32" spans="2:17" x14ac:dyDescent="0.25">
      <c r="B32" s="30" t="s">
        <v>495</v>
      </c>
      <c r="C32" s="31" t="s">
        <v>32</v>
      </c>
      <c r="D32" s="2">
        <v>0</v>
      </c>
      <c r="E32" s="32"/>
      <c r="F32" s="32">
        <v>0</v>
      </c>
      <c r="G32" s="18">
        <v>0</v>
      </c>
      <c r="H32" s="18"/>
      <c r="I32" s="177">
        <f t="shared" si="0"/>
        <v>0</v>
      </c>
      <c r="J32" s="2"/>
      <c r="K32" t="e">
        <f>VLOOKUP(B32,#REF!,2,FALSE)</f>
        <v>#REF!</v>
      </c>
      <c r="N32" s="2">
        <f t="shared" si="1"/>
        <v>0</v>
      </c>
      <c r="O32">
        <f t="shared" si="2"/>
        <v>0</v>
      </c>
      <c r="P32" s="2"/>
      <c r="Q32" s="2">
        <f t="shared" si="3"/>
        <v>0</v>
      </c>
    </row>
    <row r="33" spans="2:17" x14ac:dyDescent="0.25">
      <c r="B33" s="30" t="s">
        <v>496</v>
      </c>
      <c r="C33" s="31" t="s">
        <v>33</v>
      </c>
      <c r="D33" s="2">
        <v>136.16</v>
      </c>
      <c r="E33" s="32"/>
      <c r="F33" s="32">
        <v>0</v>
      </c>
      <c r="G33" s="18">
        <v>0</v>
      </c>
      <c r="H33" s="18"/>
      <c r="I33" s="177">
        <f t="shared" si="0"/>
        <v>136.16</v>
      </c>
      <c r="J33" s="2"/>
      <c r="K33" t="e">
        <f>VLOOKUP(B33,#REF!,2,FALSE)</f>
        <v>#REF!</v>
      </c>
      <c r="N33" s="2">
        <f t="shared" si="1"/>
        <v>0</v>
      </c>
      <c r="O33">
        <f t="shared" si="2"/>
        <v>0</v>
      </c>
      <c r="P33" s="2"/>
      <c r="Q33" s="2">
        <f t="shared" si="3"/>
        <v>0</v>
      </c>
    </row>
    <row r="34" spans="2:17" x14ac:dyDescent="0.25">
      <c r="B34" s="30" t="s">
        <v>500</v>
      </c>
      <c r="C34" s="31" t="s">
        <v>34</v>
      </c>
      <c r="D34" s="2">
        <v>185.5</v>
      </c>
      <c r="E34" s="32"/>
      <c r="F34" s="32">
        <v>0</v>
      </c>
      <c r="G34" s="18">
        <v>0</v>
      </c>
      <c r="H34" s="18"/>
      <c r="I34" s="177">
        <f t="shared" si="0"/>
        <v>185.5</v>
      </c>
      <c r="J34" s="2"/>
      <c r="K34" t="e">
        <f>VLOOKUP(B34,#REF!,2,FALSE)</f>
        <v>#REF!</v>
      </c>
      <c r="N34" s="2">
        <f t="shared" si="1"/>
        <v>0</v>
      </c>
      <c r="O34">
        <f t="shared" si="2"/>
        <v>0</v>
      </c>
      <c r="P34" s="2"/>
      <c r="Q34" s="2">
        <f t="shared" si="3"/>
        <v>0</v>
      </c>
    </row>
    <row r="35" spans="2:17" x14ac:dyDescent="0.25">
      <c r="B35" s="30" t="s">
        <v>501</v>
      </c>
      <c r="C35" s="31" t="s">
        <v>35</v>
      </c>
      <c r="D35" s="2">
        <v>24.34</v>
      </c>
      <c r="E35" s="32"/>
      <c r="F35" s="32">
        <v>0</v>
      </c>
      <c r="G35" s="18">
        <v>0</v>
      </c>
      <c r="I35" s="177">
        <f t="shared" si="0"/>
        <v>24.34</v>
      </c>
      <c r="J35" s="2"/>
      <c r="K35" t="e">
        <f>VLOOKUP(B35,#REF!,2,FALSE)</f>
        <v>#REF!</v>
      </c>
      <c r="N35" s="2">
        <f t="shared" si="1"/>
        <v>0</v>
      </c>
      <c r="O35">
        <f t="shared" si="2"/>
        <v>0</v>
      </c>
      <c r="P35" s="2"/>
      <c r="Q35" s="2">
        <f t="shared" si="3"/>
        <v>0</v>
      </c>
    </row>
    <row r="36" spans="2:17" x14ac:dyDescent="0.25">
      <c r="B36" s="33" t="s">
        <v>502</v>
      </c>
      <c r="C36" s="34" t="s">
        <v>36</v>
      </c>
      <c r="D36" s="2">
        <v>10.17</v>
      </c>
      <c r="E36" s="32"/>
      <c r="F36" s="32">
        <v>0</v>
      </c>
      <c r="G36" s="18">
        <v>0</v>
      </c>
      <c r="I36" s="177">
        <f>IF(D36+E36+F36-G36+Q36&lt;0,0,D36+E36+F36+Q36-G36)</f>
        <v>10.450275590551181</v>
      </c>
      <c r="J36" s="2"/>
      <c r="K36" t="e">
        <f>VLOOKUP(B36,#REF!,2,FALSE)</f>
        <v>#REF!</v>
      </c>
      <c r="L36">
        <v>508</v>
      </c>
      <c r="M36">
        <v>522</v>
      </c>
      <c r="N36" s="2">
        <f t="shared" si="1"/>
        <v>2.0019685039370079E-2</v>
      </c>
      <c r="O36">
        <f t="shared" si="2"/>
        <v>14</v>
      </c>
      <c r="P36" s="2"/>
      <c r="Q36" s="2">
        <f t="shared" si="3"/>
        <v>0.28027559055118112</v>
      </c>
    </row>
    <row r="37" spans="2:17" x14ac:dyDescent="0.25">
      <c r="B37" s="30" t="s">
        <v>504</v>
      </c>
      <c r="C37" s="31" t="s">
        <v>37</v>
      </c>
      <c r="D37" s="2">
        <v>0</v>
      </c>
      <c r="E37" s="32"/>
      <c r="F37" s="32">
        <v>0</v>
      </c>
      <c r="G37" s="18">
        <v>0</v>
      </c>
      <c r="I37" s="177">
        <f t="shared" si="0"/>
        <v>0</v>
      </c>
      <c r="J37" s="2"/>
      <c r="K37" t="e">
        <f>VLOOKUP(B37,#REF!,2,FALSE)</f>
        <v>#REF!</v>
      </c>
      <c r="N37" s="2">
        <f t="shared" si="1"/>
        <v>0</v>
      </c>
      <c r="O37">
        <f t="shared" si="2"/>
        <v>0</v>
      </c>
      <c r="P37" s="2"/>
      <c r="Q37" s="2">
        <f t="shared" si="3"/>
        <v>0</v>
      </c>
    </row>
    <row r="38" spans="2:17" x14ac:dyDescent="0.25">
      <c r="B38" s="30" t="s">
        <v>505</v>
      </c>
      <c r="C38" s="31" t="s">
        <v>38</v>
      </c>
      <c r="D38" s="2">
        <v>516.16999999999996</v>
      </c>
      <c r="E38" s="32"/>
      <c r="F38" s="32">
        <v>4</v>
      </c>
      <c r="G38" s="18">
        <v>0</v>
      </c>
      <c r="I38" s="177">
        <f t="shared" si="0"/>
        <v>520.16999999999996</v>
      </c>
      <c r="J38" s="2"/>
      <c r="K38" t="e">
        <f>VLOOKUP(B38,#REF!,2,FALSE)</f>
        <v>#REF!</v>
      </c>
      <c r="N38" s="2">
        <f t="shared" si="1"/>
        <v>0</v>
      </c>
      <c r="O38">
        <f t="shared" si="2"/>
        <v>0</v>
      </c>
      <c r="P38" s="2"/>
      <c r="Q38" s="2">
        <f t="shared" si="3"/>
        <v>0</v>
      </c>
    </row>
    <row r="39" spans="2:17" x14ac:dyDescent="0.25">
      <c r="B39" s="30" t="s">
        <v>506</v>
      </c>
      <c r="C39" s="31" t="s">
        <v>39</v>
      </c>
      <c r="D39" s="2">
        <v>930.17</v>
      </c>
      <c r="E39" s="32">
        <v>2</v>
      </c>
      <c r="F39" s="32">
        <v>7</v>
      </c>
      <c r="G39" s="18">
        <v>0</v>
      </c>
      <c r="I39" s="177">
        <f t="shared" si="0"/>
        <v>939.17</v>
      </c>
      <c r="J39" s="2"/>
      <c r="K39" t="e">
        <f>VLOOKUP(B39,#REF!,2,FALSE)</f>
        <v>#REF!</v>
      </c>
      <c r="N39" s="2">
        <f t="shared" si="1"/>
        <v>0</v>
      </c>
      <c r="O39">
        <f t="shared" si="2"/>
        <v>0</v>
      </c>
      <c r="P39" s="2"/>
      <c r="Q39" s="2">
        <f t="shared" si="3"/>
        <v>0</v>
      </c>
    </row>
    <row r="40" spans="2:17" x14ac:dyDescent="0.25">
      <c r="B40" s="30" t="s">
        <v>507</v>
      </c>
      <c r="C40" s="31" t="s">
        <v>40</v>
      </c>
      <c r="D40" s="2">
        <v>557.32999999999993</v>
      </c>
      <c r="E40" s="32"/>
      <c r="F40" s="32">
        <v>5</v>
      </c>
      <c r="G40" s="18">
        <v>0</v>
      </c>
      <c r="H40" s="18"/>
      <c r="I40" s="177">
        <f t="shared" si="0"/>
        <v>562.32999999999993</v>
      </c>
      <c r="J40" s="2"/>
      <c r="K40" t="e">
        <f>VLOOKUP(B40,#REF!,2,FALSE)</f>
        <v>#REF!</v>
      </c>
      <c r="N40" s="2">
        <f t="shared" si="1"/>
        <v>0</v>
      </c>
      <c r="O40">
        <f t="shared" si="2"/>
        <v>0</v>
      </c>
      <c r="P40" s="2"/>
      <c r="Q40" s="2">
        <f t="shared" si="3"/>
        <v>0</v>
      </c>
    </row>
    <row r="41" spans="2:17" x14ac:dyDescent="0.25">
      <c r="B41" s="30" t="s">
        <v>508</v>
      </c>
      <c r="C41" s="31" t="s">
        <v>41</v>
      </c>
      <c r="D41" s="2">
        <v>160.34</v>
      </c>
      <c r="E41" s="32"/>
      <c r="F41" s="32">
        <v>0</v>
      </c>
      <c r="G41" s="18">
        <v>0</v>
      </c>
      <c r="H41" s="35"/>
      <c r="I41" s="177">
        <f t="shared" si="0"/>
        <v>160.34</v>
      </c>
      <c r="J41" s="2"/>
      <c r="K41" t="e">
        <f>VLOOKUP(B41,#REF!,2,FALSE)</f>
        <v>#REF!</v>
      </c>
      <c r="N41" s="2">
        <f t="shared" si="1"/>
        <v>0</v>
      </c>
      <c r="O41">
        <f t="shared" si="2"/>
        <v>0</v>
      </c>
      <c r="P41" s="2"/>
      <c r="Q41" s="2">
        <f t="shared" si="3"/>
        <v>0</v>
      </c>
    </row>
    <row r="42" spans="2:17" x14ac:dyDescent="0.25">
      <c r="B42" s="30" t="s">
        <v>509</v>
      </c>
      <c r="C42" s="31" t="s">
        <v>42</v>
      </c>
      <c r="D42" s="2">
        <v>532</v>
      </c>
      <c r="E42" s="32"/>
      <c r="F42" s="32">
        <v>0</v>
      </c>
      <c r="G42" s="18">
        <v>0</v>
      </c>
      <c r="H42" s="18"/>
      <c r="I42" s="177">
        <f t="shared" si="0"/>
        <v>532</v>
      </c>
      <c r="J42" s="2"/>
      <c r="K42" t="e">
        <f>VLOOKUP(B42,#REF!,2,FALSE)</f>
        <v>#REF!</v>
      </c>
      <c r="N42" s="2">
        <f t="shared" si="1"/>
        <v>0</v>
      </c>
      <c r="O42">
        <f t="shared" si="2"/>
        <v>0</v>
      </c>
      <c r="P42" s="2"/>
      <c r="Q42" s="2">
        <f t="shared" si="3"/>
        <v>0</v>
      </c>
    </row>
    <row r="43" spans="2:17" x14ac:dyDescent="0.25">
      <c r="B43" s="30" t="s">
        <v>510</v>
      </c>
      <c r="C43" s="31" t="s">
        <v>43</v>
      </c>
      <c r="D43" s="2">
        <v>1.33</v>
      </c>
      <c r="E43" s="32"/>
      <c r="F43" s="32">
        <v>0</v>
      </c>
      <c r="G43" s="18">
        <v>0</v>
      </c>
      <c r="H43" s="18"/>
      <c r="I43" s="177">
        <f t="shared" si="0"/>
        <v>1.33</v>
      </c>
      <c r="J43" s="2"/>
      <c r="K43" t="e">
        <f>VLOOKUP(B43,#REF!,2,FALSE)</f>
        <v>#REF!</v>
      </c>
      <c r="N43" s="2">
        <f t="shared" si="1"/>
        <v>0</v>
      </c>
      <c r="O43">
        <f t="shared" si="2"/>
        <v>0</v>
      </c>
      <c r="P43" s="2"/>
      <c r="Q43" s="2">
        <f t="shared" si="3"/>
        <v>0</v>
      </c>
    </row>
    <row r="44" spans="2:17" x14ac:dyDescent="0.25">
      <c r="B44" s="33" t="s">
        <v>779</v>
      </c>
      <c r="C44" s="34" t="s">
        <v>44</v>
      </c>
      <c r="D44" s="2">
        <v>5.83</v>
      </c>
      <c r="E44" s="32"/>
      <c r="F44" s="32">
        <v>32.166666666666664</v>
      </c>
      <c r="G44" s="18">
        <v>0</v>
      </c>
      <c r="I44" s="177">
        <f t="shared" si="0"/>
        <v>37.996666666666663</v>
      </c>
      <c r="J44" s="2"/>
      <c r="K44" t="e">
        <f>VLOOKUP(B44,#REF!,2,FALSE)</f>
        <v>#REF!</v>
      </c>
      <c r="N44" s="2">
        <f t="shared" si="1"/>
        <v>0</v>
      </c>
      <c r="O44">
        <f t="shared" si="2"/>
        <v>0</v>
      </c>
      <c r="P44" s="2"/>
      <c r="Q44" s="2">
        <f t="shared" si="3"/>
        <v>0</v>
      </c>
    </row>
    <row r="45" spans="2:17" x14ac:dyDescent="0.25">
      <c r="B45" s="30" t="s">
        <v>511</v>
      </c>
      <c r="C45" s="31" t="s">
        <v>45</v>
      </c>
      <c r="D45" s="2">
        <v>25.67</v>
      </c>
      <c r="E45" s="32"/>
      <c r="F45" s="32">
        <v>0</v>
      </c>
      <c r="G45" s="18">
        <v>0</v>
      </c>
      <c r="H45" s="18"/>
      <c r="I45" s="177">
        <f t="shared" si="0"/>
        <v>25.67</v>
      </c>
      <c r="J45" s="2"/>
      <c r="K45" t="e">
        <f>VLOOKUP(B45,#REF!,2,FALSE)</f>
        <v>#REF!</v>
      </c>
      <c r="N45" s="2">
        <f t="shared" si="1"/>
        <v>0</v>
      </c>
      <c r="O45">
        <f t="shared" si="2"/>
        <v>0</v>
      </c>
      <c r="P45" s="2"/>
      <c r="Q45" s="2">
        <f t="shared" si="3"/>
        <v>0</v>
      </c>
    </row>
    <row r="46" spans="2:17" x14ac:dyDescent="0.25">
      <c r="B46" s="30" t="s">
        <v>512</v>
      </c>
      <c r="C46" s="31" t="s">
        <v>46</v>
      </c>
      <c r="D46" s="2">
        <v>26.17</v>
      </c>
      <c r="E46" s="32"/>
      <c r="F46" s="32">
        <v>0</v>
      </c>
      <c r="G46" s="18">
        <v>0</v>
      </c>
      <c r="H46" s="18"/>
      <c r="I46" s="177">
        <f t="shared" si="0"/>
        <v>26.17</v>
      </c>
      <c r="J46" s="2"/>
      <c r="K46" t="e">
        <f>VLOOKUP(B46,#REF!,2,FALSE)</f>
        <v>#REF!</v>
      </c>
      <c r="N46" s="2">
        <f t="shared" si="1"/>
        <v>0</v>
      </c>
      <c r="O46">
        <f t="shared" si="2"/>
        <v>0</v>
      </c>
      <c r="P46" s="2"/>
      <c r="Q46" s="2">
        <f t="shared" si="3"/>
        <v>0</v>
      </c>
    </row>
    <row r="47" spans="2:17" x14ac:dyDescent="0.25">
      <c r="B47" s="30" t="s">
        <v>466</v>
      </c>
      <c r="C47" s="31" t="s">
        <v>47</v>
      </c>
      <c r="D47" s="2">
        <v>17.5</v>
      </c>
      <c r="E47" s="32"/>
      <c r="F47" s="32">
        <v>0</v>
      </c>
      <c r="G47" s="18">
        <v>0</v>
      </c>
      <c r="I47" s="177">
        <f t="shared" si="0"/>
        <v>17.5</v>
      </c>
      <c r="J47" s="2"/>
      <c r="K47" t="e">
        <f>VLOOKUP(B47,#REF!,2,FALSE)</f>
        <v>#REF!</v>
      </c>
      <c r="N47" s="2">
        <f t="shared" si="1"/>
        <v>0</v>
      </c>
      <c r="O47">
        <f t="shared" si="2"/>
        <v>0</v>
      </c>
      <c r="P47" s="2"/>
      <c r="Q47" s="2">
        <f t="shared" si="3"/>
        <v>0</v>
      </c>
    </row>
    <row r="48" spans="2:17" x14ac:dyDescent="0.25">
      <c r="B48" s="30" t="s">
        <v>513</v>
      </c>
      <c r="C48" s="31" t="s">
        <v>48</v>
      </c>
      <c r="D48" s="2">
        <v>2073.33</v>
      </c>
      <c r="E48" s="32">
        <v>20</v>
      </c>
      <c r="F48" s="32">
        <v>5</v>
      </c>
      <c r="G48" s="18">
        <v>1</v>
      </c>
      <c r="H48" s="18"/>
      <c r="I48" s="177">
        <f t="shared" si="0"/>
        <v>2097.33</v>
      </c>
      <c r="J48" s="2"/>
      <c r="K48" t="e">
        <f>VLOOKUP(B48,#REF!,2,FALSE)</f>
        <v>#REF!</v>
      </c>
      <c r="N48" s="2">
        <f t="shared" si="1"/>
        <v>0</v>
      </c>
      <c r="O48">
        <f t="shared" si="2"/>
        <v>0</v>
      </c>
      <c r="P48" s="2"/>
      <c r="Q48" s="2">
        <f t="shared" si="3"/>
        <v>0</v>
      </c>
    </row>
    <row r="49" spans="2:17" x14ac:dyDescent="0.25">
      <c r="B49" s="30" t="s">
        <v>780</v>
      </c>
      <c r="C49" s="31" t="s">
        <v>49</v>
      </c>
      <c r="D49" s="2">
        <v>0</v>
      </c>
      <c r="E49" s="32"/>
      <c r="F49" s="32">
        <v>0</v>
      </c>
      <c r="G49" s="18">
        <v>0</v>
      </c>
      <c r="H49" s="18"/>
      <c r="I49" s="177">
        <f t="shared" si="0"/>
        <v>0</v>
      </c>
      <c r="J49" s="2"/>
      <c r="K49" t="e">
        <f>VLOOKUP(B49,#REF!,2,FALSE)</f>
        <v>#REF!</v>
      </c>
      <c r="N49" s="2">
        <f t="shared" si="1"/>
        <v>0</v>
      </c>
      <c r="O49">
        <f t="shared" si="2"/>
        <v>0</v>
      </c>
      <c r="P49" s="2"/>
      <c r="Q49" s="2">
        <f t="shared" si="3"/>
        <v>0</v>
      </c>
    </row>
    <row r="50" spans="2:17" x14ac:dyDescent="0.25">
      <c r="B50" s="30" t="s">
        <v>514</v>
      </c>
      <c r="C50" s="31" t="s">
        <v>50</v>
      </c>
      <c r="D50" s="2">
        <v>0</v>
      </c>
      <c r="E50" s="32"/>
      <c r="F50" s="32">
        <v>0</v>
      </c>
      <c r="G50" s="18">
        <v>0</v>
      </c>
      <c r="H50" s="18"/>
      <c r="I50" s="177">
        <f t="shared" si="0"/>
        <v>0</v>
      </c>
      <c r="J50" s="2"/>
      <c r="K50" t="e">
        <f>VLOOKUP(B50,#REF!,2,FALSE)</f>
        <v>#REF!</v>
      </c>
      <c r="N50" s="2">
        <f t="shared" si="1"/>
        <v>0</v>
      </c>
      <c r="O50">
        <f t="shared" si="2"/>
        <v>0</v>
      </c>
      <c r="P50" s="2"/>
      <c r="Q50" s="2">
        <f t="shared" si="3"/>
        <v>0</v>
      </c>
    </row>
    <row r="51" spans="2:17" x14ac:dyDescent="0.25">
      <c r="B51" s="30" t="s">
        <v>515</v>
      </c>
      <c r="C51" s="31" t="s">
        <v>51</v>
      </c>
      <c r="D51" s="2">
        <v>243.82999999999998</v>
      </c>
      <c r="E51" s="32"/>
      <c r="F51" s="32">
        <v>0</v>
      </c>
      <c r="G51" s="18">
        <v>0</v>
      </c>
      <c r="H51" s="18"/>
      <c r="I51" s="177">
        <f t="shared" si="0"/>
        <v>243.82999999999998</v>
      </c>
      <c r="J51" s="2"/>
      <c r="K51" t="e">
        <f>VLOOKUP(B51,#REF!,2,FALSE)</f>
        <v>#REF!</v>
      </c>
      <c r="N51" s="2">
        <f t="shared" si="1"/>
        <v>0</v>
      </c>
      <c r="O51">
        <f t="shared" si="2"/>
        <v>0</v>
      </c>
      <c r="P51" s="2"/>
      <c r="Q51" s="2">
        <f t="shared" si="3"/>
        <v>0</v>
      </c>
    </row>
    <row r="52" spans="2:17" x14ac:dyDescent="0.25">
      <c r="B52" s="30" t="s">
        <v>516</v>
      </c>
      <c r="C52" s="31" t="s">
        <v>52</v>
      </c>
      <c r="D52" s="2">
        <v>0</v>
      </c>
      <c r="E52" s="32"/>
      <c r="F52" s="32">
        <v>0</v>
      </c>
      <c r="G52" s="18">
        <v>0</v>
      </c>
      <c r="I52" s="177">
        <f t="shared" si="0"/>
        <v>0</v>
      </c>
      <c r="J52" s="2"/>
      <c r="K52" t="e">
        <f>VLOOKUP(B52,#REF!,2,FALSE)</f>
        <v>#REF!</v>
      </c>
      <c r="N52" s="2">
        <f t="shared" si="1"/>
        <v>0</v>
      </c>
      <c r="O52">
        <f t="shared" si="2"/>
        <v>0</v>
      </c>
      <c r="P52" s="2"/>
      <c r="Q52" s="2">
        <f t="shared" si="3"/>
        <v>0</v>
      </c>
    </row>
    <row r="53" spans="2:17" x14ac:dyDescent="0.25">
      <c r="B53" s="30" t="s">
        <v>517</v>
      </c>
      <c r="C53" s="31" t="s">
        <v>53</v>
      </c>
      <c r="D53" s="2">
        <v>0</v>
      </c>
      <c r="E53" s="32"/>
      <c r="F53" s="32">
        <v>0</v>
      </c>
      <c r="G53" s="18">
        <v>0</v>
      </c>
      <c r="I53" s="177">
        <f t="shared" si="0"/>
        <v>0</v>
      </c>
      <c r="J53" s="2"/>
      <c r="K53" t="e">
        <f>VLOOKUP(B53,#REF!,2,FALSE)</f>
        <v>#REF!</v>
      </c>
      <c r="N53" s="2">
        <f t="shared" si="1"/>
        <v>0</v>
      </c>
      <c r="O53">
        <f t="shared" si="2"/>
        <v>0</v>
      </c>
      <c r="P53" s="2"/>
      <c r="Q53" s="2">
        <f t="shared" si="3"/>
        <v>0</v>
      </c>
    </row>
    <row r="54" spans="2:17" x14ac:dyDescent="0.25">
      <c r="B54" s="30" t="s">
        <v>518</v>
      </c>
      <c r="C54" s="31" t="s">
        <v>54</v>
      </c>
      <c r="D54" s="2">
        <v>141.32999999999998</v>
      </c>
      <c r="E54" s="32"/>
      <c r="F54" s="32">
        <v>0</v>
      </c>
      <c r="G54" s="18">
        <v>0</v>
      </c>
      <c r="I54" s="177">
        <f t="shared" si="0"/>
        <v>141.32999999999998</v>
      </c>
      <c r="J54" s="2"/>
      <c r="K54" t="e">
        <f>VLOOKUP(B54,#REF!,2,FALSE)</f>
        <v>#REF!</v>
      </c>
      <c r="N54" s="2">
        <f t="shared" si="1"/>
        <v>0</v>
      </c>
      <c r="O54">
        <f t="shared" si="2"/>
        <v>0</v>
      </c>
      <c r="P54" s="2"/>
      <c r="Q54" s="2">
        <f t="shared" si="3"/>
        <v>0</v>
      </c>
    </row>
    <row r="55" spans="2:17" x14ac:dyDescent="0.25">
      <c r="B55" s="30" t="s">
        <v>519</v>
      </c>
      <c r="C55" s="31" t="s">
        <v>55</v>
      </c>
      <c r="D55" s="2">
        <v>9</v>
      </c>
      <c r="E55" s="32"/>
      <c r="F55" s="32">
        <v>0</v>
      </c>
      <c r="G55" s="18">
        <v>0</v>
      </c>
      <c r="I55" s="177">
        <f t="shared" si="0"/>
        <v>9</v>
      </c>
      <c r="J55" s="2"/>
      <c r="K55" t="e">
        <f>VLOOKUP(B55,#REF!,2,FALSE)</f>
        <v>#REF!</v>
      </c>
      <c r="N55" s="2">
        <f t="shared" si="1"/>
        <v>0</v>
      </c>
      <c r="O55">
        <f t="shared" si="2"/>
        <v>0</v>
      </c>
      <c r="P55" s="2"/>
      <c r="Q55" s="2">
        <f t="shared" si="3"/>
        <v>0</v>
      </c>
    </row>
    <row r="56" spans="2:17" x14ac:dyDescent="0.25">
      <c r="B56" s="30" t="s">
        <v>520</v>
      </c>
      <c r="C56" s="31" t="s">
        <v>56</v>
      </c>
      <c r="D56" s="2">
        <v>16.170000000000002</v>
      </c>
      <c r="E56" s="32"/>
      <c r="F56" s="32">
        <v>16</v>
      </c>
      <c r="G56" s="18">
        <v>0</v>
      </c>
      <c r="H56" s="18"/>
      <c r="I56" s="177">
        <f t="shared" si="0"/>
        <v>32.17</v>
      </c>
      <c r="J56" s="2"/>
      <c r="K56" t="e">
        <f>VLOOKUP(B56,#REF!,2,FALSE)</f>
        <v>#REF!</v>
      </c>
      <c r="N56" s="2">
        <f t="shared" si="1"/>
        <v>0</v>
      </c>
      <c r="O56">
        <f t="shared" si="2"/>
        <v>0</v>
      </c>
      <c r="P56" s="2"/>
      <c r="Q56" s="2">
        <f t="shared" si="3"/>
        <v>0</v>
      </c>
    </row>
    <row r="57" spans="2:17" x14ac:dyDescent="0.25">
      <c r="B57" s="30" t="s">
        <v>492</v>
      </c>
      <c r="C57" s="31" t="s">
        <v>57</v>
      </c>
      <c r="D57" s="2">
        <v>26.5</v>
      </c>
      <c r="E57" s="32"/>
      <c r="F57" s="32">
        <v>0</v>
      </c>
      <c r="G57" s="18">
        <v>0</v>
      </c>
      <c r="I57" s="177">
        <f t="shared" si="0"/>
        <v>26.5</v>
      </c>
      <c r="J57" s="2"/>
      <c r="K57" t="e">
        <f>VLOOKUP(B57,#REF!,2,FALSE)</f>
        <v>#REF!</v>
      </c>
      <c r="N57" s="2">
        <f t="shared" si="1"/>
        <v>0</v>
      </c>
      <c r="O57">
        <f t="shared" si="2"/>
        <v>0</v>
      </c>
      <c r="P57" s="2"/>
      <c r="Q57" s="2">
        <f t="shared" si="3"/>
        <v>0</v>
      </c>
    </row>
    <row r="58" spans="2:17" x14ac:dyDescent="0.25">
      <c r="B58" s="30" t="s">
        <v>521</v>
      </c>
      <c r="C58" s="31" t="s">
        <v>58</v>
      </c>
      <c r="D58" s="2">
        <v>1.83</v>
      </c>
      <c r="E58" s="32"/>
      <c r="F58" s="32">
        <v>0</v>
      </c>
      <c r="G58" s="18">
        <v>0</v>
      </c>
      <c r="H58" s="18"/>
      <c r="I58" s="177">
        <f t="shared" si="0"/>
        <v>1.83</v>
      </c>
      <c r="J58" s="2"/>
      <c r="K58" t="e">
        <f>VLOOKUP(B58,#REF!,2,FALSE)</f>
        <v>#REF!</v>
      </c>
      <c r="N58" s="2">
        <f t="shared" si="1"/>
        <v>0</v>
      </c>
      <c r="O58">
        <f t="shared" si="2"/>
        <v>0</v>
      </c>
      <c r="P58" s="2"/>
      <c r="Q58" s="2">
        <f t="shared" si="3"/>
        <v>0</v>
      </c>
    </row>
    <row r="59" spans="2:17" x14ac:dyDescent="0.25">
      <c r="B59" s="30" t="s">
        <v>522</v>
      </c>
      <c r="C59" s="31" t="s">
        <v>59</v>
      </c>
      <c r="D59" s="2">
        <v>0</v>
      </c>
      <c r="E59" s="32"/>
      <c r="F59" s="32">
        <v>0</v>
      </c>
      <c r="G59" s="18">
        <v>0</v>
      </c>
      <c r="I59" s="177">
        <f t="shared" si="0"/>
        <v>0</v>
      </c>
      <c r="J59" s="2"/>
      <c r="K59" t="e">
        <f>VLOOKUP(B59,#REF!,2,FALSE)</f>
        <v>#REF!</v>
      </c>
      <c r="N59" s="2">
        <f t="shared" si="1"/>
        <v>0</v>
      </c>
      <c r="O59">
        <f t="shared" si="2"/>
        <v>0</v>
      </c>
      <c r="P59" s="2"/>
      <c r="Q59" s="2">
        <f t="shared" si="3"/>
        <v>0</v>
      </c>
    </row>
    <row r="60" spans="2:17" x14ac:dyDescent="0.25">
      <c r="B60" s="30" t="s">
        <v>523</v>
      </c>
      <c r="C60" s="31" t="s">
        <v>60</v>
      </c>
      <c r="D60" s="2">
        <v>31.840000000000003</v>
      </c>
      <c r="E60" s="32"/>
      <c r="F60" s="32">
        <v>0</v>
      </c>
      <c r="G60" s="18">
        <v>0</v>
      </c>
      <c r="H60" s="18"/>
      <c r="I60" s="177">
        <f t="shared" si="0"/>
        <v>31.840000000000003</v>
      </c>
      <c r="J60" s="2"/>
      <c r="K60" t="e">
        <f>VLOOKUP(B60,#REF!,2,FALSE)</f>
        <v>#REF!</v>
      </c>
      <c r="N60" s="2">
        <f t="shared" si="1"/>
        <v>0</v>
      </c>
      <c r="O60">
        <f t="shared" si="2"/>
        <v>0</v>
      </c>
      <c r="P60" s="2"/>
      <c r="Q60" s="2">
        <f t="shared" si="3"/>
        <v>0</v>
      </c>
    </row>
    <row r="61" spans="2:17" x14ac:dyDescent="0.25">
      <c r="B61" s="30" t="s">
        <v>524</v>
      </c>
      <c r="C61" s="31" t="s">
        <v>61</v>
      </c>
      <c r="D61" s="2">
        <v>0</v>
      </c>
      <c r="E61" s="32"/>
      <c r="F61" s="32">
        <v>0</v>
      </c>
      <c r="G61" s="18">
        <v>0</v>
      </c>
      <c r="H61" s="18"/>
      <c r="I61" s="177">
        <f t="shared" si="0"/>
        <v>0</v>
      </c>
      <c r="J61" s="2"/>
      <c r="K61" t="e">
        <f>VLOOKUP(B61,#REF!,2,FALSE)</f>
        <v>#REF!</v>
      </c>
      <c r="N61" s="2">
        <f t="shared" si="1"/>
        <v>0</v>
      </c>
      <c r="O61">
        <f t="shared" si="2"/>
        <v>0</v>
      </c>
      <c r="P61" s="2"/>
      <c r="Q61" s="2">
        <f t="shared" si="3"/>
        <v>0</v>
      </c>
    </row>
    <row r="62" spans="2:17" x14ac:dyDescent="0.25">
      <c r="B62" s="30" t="s">
        <v>525</v>
      </c>
      <c r="C62" s="31" t="s">
        <v>62</v>
      </c>
      <c r="D62" s="2">
        <v>0</v>
      </c>
      <c r="E62" s="32"/>
      <c r="F62" s="32">
        <v>0</v>
      </c>
      <c r="G62" s="18">
        <v>0</v>
      </c>
      <c r="H62" s="18"/>
      <c r="I62" s="177">
        <f t="shared" si="0"/>
        <v>0</v>
      </c>
      <c r="J62" s="2"/>
      <c r="K62" t="e">
        <f>VLOOKUP(B62,#REF!,2,FALSE)</f>
        <v>#REF!</v>
      </c>
      <c r="N62" s="2">
        <f t="shared" si="1"/>
        <v>0</v>
      </c>
      <c r="O62">
        <f t="shared" si="2"/>
        <v>0</v>
      </c>
      <c r="P62" s="2"/>
      <c r="Q62" s="2">
        <f t="shared" si="3"/>
        <v>0</v>
      </c>
    </row>
    <row r="63" spans="2:17" x14ac:dyDescent="0.25">
      <c r="B63" s="30" t="s">
        <v>526</v>
      </c>
      <c r="C63" s="31" t="s">
        <v>63</v>
      </c>
      <c r="D63" s="2">
        <v>0</v>
      </c>
      <c r="E63" s="32"/>
      <c r="F63" s="32">
        <v>0</v>
      </c>
      <c r="G63" s="18">
        <v>0</v>
      </c>
      <c r="H63" s="18"/>
      <c r="I63" s="177">
        <f t="shared" si="0"/>
        <v>0</v>
      </c>
      <c r="J63" s="2"/>
      <c r="K63" t="e">
        <f>VLOOKUP(B63,#REF!,2,FALSE)</f>
        <v>#REF!</v>
      </c>
      <c r="N63" s="2">
        <f t="shared" si="1"/>
        <v>0</v>
      </c>
      <c r="O63">
        <f t="shared" si="2"/>
        <v>0</v>
      </c>
      <c r="P63" s="2"/>
      <c r="Q63" s="2">
        <f t="shared" si="3"/>
        <v>0</v>
      </c>
    </row>
    <row r="64" spans="2:17" x14ac:dyDescent="0.25">
      <c r="B64" s="30" t="s">
        <v>527</v>
      </c>
      <c r="C64" s="31" t="s">
        <v>64</v>
      </c>
      <c r="D64" s="2">
        <v>0</v>
      </c>
      <c r="E64" s="32"/>
      <c r="F64" s="32">
        <v>0</v>
      </c>
      <c r="G64" s="18">
        <v>0</v>
      </c>
      <c r="I64" s="177">
        <f t="shared" si="0"/>
        <v>0</v>
      </c>
      <c r="J64" s="2"/>
      <c r="K64" t="e">
        <f>VLOOKUP(B64,#REF!,2,FALSE)</f>
        <v>#REF!</v>
      </c>
      <c r="N64" s="2">
        <f t="shared" si="1"/>
        <v>0</v>
      </c>
      <c r="O64">
        <f t="shared" si="2"/>
        <v>0</v>
      </c>
      <c r="P64" s="2"/>
      <c r="Q64" s="2">
        <f t="shared" si="3"/>
        <v>0</v>
      </c>
    </row>
    <row r="65" spans="2:17" x14ac:dyDescent="0.25">
      <c r="B65" s="30" t="s">
        <v>528</v>
      </c>
      <c r="C65" s="31" t="s">
        <v>65</v>
      </c>
      <c r="D65" s="2">
        <v>0</v>
      </c>
      <c r="E65" s="32"/>
      <c r="F65" s="32">
        <v>0</v>
      </c>
      <c r="G65" s="18">
        <v>0</v>
      </c>
      <c r="I65" s="177">
        <f t="shared" si="0"/>
        <v>0</v>
      </c>
      <c r="J65" s="2"/>
      <c r="K65" t="e">
        <f>VLOOKUP(B65,#REF!,2,FALSE)</f>
        <v>#REF!</v>
      </c>
      <c r="N65" s="2">
        <f t="shared" si="1"/>
        <v>0</v>
      </c>
      <c r="O65">
        <f t="shared" si="2"/>
        <v>0</v>
      </c>
      <c r="P65" s="2"/>
      <c r="Q65" s="2">
        <f t="shared" si="3"/>
        <v>0</v>
      </c>
    </row>
    <row r="66" spans="2:17" x14ac:dyDescent="0.25">
      <c r="B66" s="30" t="s">
        <v>529</v>
      </c>
      <c r="C66" s="31" t="s">
        <v>66</v>
      </c>
      <c r="D66" s="2">
        <v>0.33</v>
      </c>
      <c r="E66" s="32"/>
      <c r="F66" s="32">
        <v>0</v>
      </c>
      <c r="G66" s="18">
        <v>0</v>
      </c>
      <c r="H66" s="18"/>
      <c r="I66" s="177">
        <f t="shared" si="0"/>
        <v>0.33</v>
      </c>
      <c r="J66" s="2"/>
      <c r="K66" t="e">
        <f>VLOOKUP(B66,#REF!,2,FALSE)</f>
        <v>#REF!</v>
      </c>
      <c r="N66" s="2">
        <f t="shared" si="1"/>
        <v>0</v>
      </c>
      <c r="O66">
        <f t="shared" si="2"/>
        <v>0</v>
      </c>
      <c r="P66" s="2"/>
      <c r="Q66" s="2">
        <f t="shared" si="3"/>
        <v>0</v>
      </c>
    </row>
    <row r="67" spans="2:17" x14ac:dyDescent="0.25">
      <c r="B67" s="30" t="s">
        <v>530</v>
      </c>
      <c r="C67" s="31" t="s">
        <v>67</v>
      </c>
      <c r="D67" s="2">
        <v>0</v>
      </c>
      <c r="E67" s="32"/>
      <c r="F67" s="32">
        <v>0</v>
      </c>
      <c r="G67" s="18">
        <v>0</v>
      </c>
      <c r="I67" s="177">
        <f t="shared" si="0"/>
        <v>0</v>
      </c>
      <c r="J67" s="2"/>
      <c r="K67" t="e">
        <f>VLOOKUP(B67,#REF!,2,FALSE)</f>
        <v>#REF!</v>
      </c>
      <c r="N67" s="2">
        <f t="shared" si="1"/>
        <v>0</v>
      </c>
      <c r="O67">
        <f t="shared" si="2"/>
        <v>0</v>
      </c>
      <c r="P67" s="2"/>
      <c r="Q67" s="2">
        <f t="shared" si="3"/>
        <v>0</v>
      </c>
    </row>
    <row r="68" spans="2:17" x14ac:dyDescent="0.25">
      <c r="B68" s="30" t="s">
        <v>531</v>
      </c>
      <c r="C68" s="31" t="s">
        <v>68</v>
      </c>
      <c r="D68" s="2">
        <v>1</v>
      </c>
      <c r="E68" s="32"/>
      <c r="F68" s="32">
        <v>0</v>
      </c>
      <c r="G68" s="18">
        <v>0</v>
      </c>
      <c r="H68" s="18"/>
      <c r="I68" s="177">
        <f t="shared" si="0"/>
        <v>1</v>
      </c>
      <c r="J68" s="2"/>
      <c r="K68" t="e">
        <f>VLOOKUP(B68,#REF!,2,FALSE)</f>
        <v>#REF!</v>
      </c>
      <c r="N68" s="2">
        <f t="shared" si="1"/>
        <v>0</v>
      </c>
      <c r="O68">
        <f t="shared" si="2"/>
        <v>0</v>
      </c>
      <c r="P68" s="2"/>
      <c r="Q68" s="2">
        <f t="shared" si="3"/>
        <v>0</v>
      </c>
    </row>
    <row r="69" spans="2:17" x14ac:dyDescent="0.25">
      <c r="B69" s="30" t="s">
        <v>532</v>
      </c>
      <c r="C69" s="31" t="s">
        <v>69</v>
      </c>
      <c r="D69" s="2">
        <v>30.17</v>
      </c>
      <c r="E69" s="32"/>
      <c r="F69" s="32">
        <v>1</v>
      </c>
      <c r="G69" s="18">
        <v>0</v>
      </c>
      <c r="I69" s="177">
        <f t="shared" si="0"/>
        <v>31.17</v>
      </c>
      <c r="J69" s="2"/>
      <c r="K69" t="e">
        <f>VLOOKUP(B69,#REF!,2,FALSE)</f>
        <v>#REF!</v>
      </c>
      <c r="N69" s="2">
        <f t="shared" si="1"/>
        <v>0</v>
      </c>
      <c r="O69">
        <f t="shared" si="2"/>
        <v>0</v>
      </c>
      <c r="P69" s="2"/>
      <c r="Q69" s="2">
        <f t="shared" si="3"/>
        <v>0</v>
      </c>
    </row>
    <row r="70" spans="2:17" x14ac:dyDescent="0.25">
      <c r="B70" s="30" t="s">
        <v>480</v>
      </c>
      <c r="C70" s="31" t="s">
        <v>70</v>
      </c>
      <c r="D70" s="2">
        <v>119.34</v>
      </c>
      <c r="E70" s="32"/>
      <c r="F70" s="32">
        <v>0</v>
      </c>
      <c r="G70" s="18">
        <v>1</v>
      </c>
      <c r="H70" s="18"/>
      <c r="I70" s="177">
        <f t="shared" si="0"/>
        <v>118.34</v>
      </c>
      <c r="J70" s="2"/>
      <c r="K70" t="e">
        <f>VLOOKUP(B70,#REF!,2,FALSE)</f>
        <v>#REF!</v>
      </c>
      <c r="N70" s="2">
        <f t="shared" si="1"/>
        <v>0</v>
      </c>
      <c r="O70">
        <f t="shared" si="2"/>
        <v>0</v>
      </c>
      <c r="P70" s="2"/>
      <c r="Q70" s="2">
        <f t="shared" si="3"/>
        <v>0</v>
      </c>
    </row>
    <row r="71" spans="2:17" x14ac:dyDescent="0.25">
      <c r="B71" s="30" t="s">
        <v>533</v>
      </c>
      <c r="C71" s="31" t="s">
        <v>71</v>
      </c>
      <c r="D71" s="2">
        <v>0</v>
      </c>
      <c r="E71" s="32"/>
      <c r="F71" s="32">
        <v>0</v>
      </c>
      <c r="G71" s="18">
        <v>0</v>
      </c>
      <c r="H71" s="18"/>
      <c r="I71" s="177">
        <f t="shared" si="0"/>
        <v>0</v>
      </c>
      <c r="J71" s="2"/>
      <c r="K71" t="e">
        <f>VLOOKUP(B71,#REF!,2,FALSE)</f>
        <v>#REF!</v>
      </c>
      <c r="N71" s="2">
        <f t="shared" si="1"/>
        <v>0</v>
      </c>
      <c r="O71">
        <f t="shared" si="2"/>
        <v>0</v>
      </c>
      <c r="P71" s="2"/>
      <c r="Q71" s="2">
        <f t="shared" si="3"/>
        <v>0</v>
      </c>
    </row>
    <row r="72" spans="2:17" x14ac:dyDescent="0.25">
      <c r="B72" s="30" t="s">
        <v>534</v>
      </c>
      <c r="C72" s="31" t="s">
        <v>72</v>
      </c>
      <c r="D72" s="2">
        <v>191</v>
      </c>
      <c r="E72" s="32"/>
      <c r="F72" s="32">
        <v>17</v>
      </c>
      <c r="G72" s="18">
        <v>0</v>
      </c>
      <c r="H72" s="18"/>
      <c r="I72" s="177">
        <f t="shared" si="0"/>
        <v>208</v>
      </c>
      <c r="J72" s="2"/>
      <c r="K72" t="e">
        <f>VLOOKUP(B72,#REF!,2,FALSE)</f>
        <v>#REF!</v>
      </c>
      <c r="N72" s="2">
        <f t="shared" si="1"/>
        <v>0</v>
      </c>
      <c r="O72">
        <f t="shared" si="2"/>
        <v>0</v>
      </c>
      <c r="P72" s="2"/>
      <c r="Q72" s="2">
        <f t="shared" si="3"/>
        <v>0</v>
      </c>
    </row>
    <row r="73" spans="2:17" x14ac:dyDescent="0.25">
      <c r="B73" s="30" t="s">
        <v>535</v>
      </c>
      <c r="C73" s="31" t="s">
        <v>73</v>
      </c>
      <c r="D73" s="2">
        <v>466.34000000000003</v>
      </c>
      <c r="E73" s="32"/>
      <c r="F73" s="32">
        <v>7.666666666666667</v>
      </c>
      <c r="G73" s="18">
        <v>0</v>
      </c>
      <c r="H73" s="18"/>
      <c r="I73" s="177">
        <f t="shared" ref="I73:I136" si="4">IF(D73+E73+F73-G73+Q73&lt;0,0,D73+E73+F73+Q73-G73)</f>
        <v>474.00666666666672</v>
      </c>
      <c r="J73" s="2"/>
      <c r="K73" t="e">
        <f>VLOOKUP(B73,#REF!,2,FALSE)</f>
        <v>#REF!</v>
      </c>
      <c r="N73" s="2">
        <f t="shared" ref="N73:N136" si="5">IFERROR(D73/L73,0)</f>
        <v>0</v>
      </c>
      <c r="O73">
        <f t="shared" ref="O73:O136" si="6">M73-L73</f>
        <v>0</v>
      </c>
      <c r="P73" s="2"/>
      <c r="Q73" s="2">
        <f t="shared" ref="Q73:Q136" si="7">O73*N73</f>
        <v>0</v>
      </c>
    </row>
    <row r="74" spans="2:17" x14ac:dyDescent="0.25">
      <c r="B74" s="30" t="s">
        <v>536</v>
      </c>
      <c r="C74" s="31" t="s">
        <v>74</v>
      </c>
      <c r="D74" s="2">
        <v>1175.8399999999999</v>
      </c>
      <c r="E74" s="32"/>
      <c r="F74" s="32">
        <v>1</v>
      </c>
      <c r="G74" s="18">
        <v>0</v>
      </c>
      <c r="H74" s="18"/>
      <c r="I74" s="177">
        <f t="shared" si="4"/>
        <v>1176.8399999999999</v>
      </c>
      <c r="J74" s="2"/>
      <c r="K74" t="e">
        <f>VLOOKUP(B74,#REF!,2,FALSE)</f>
        <v>#REF!</v>
      </c>
      <c r="N74" s="2">
        <f t="shared" si="5"/>
        <v>0</v>
      </c>
      <c r="O74">
        <f t="shared" si="6"/>
        <v>0</v>
      </c>
      <c r="P74" s="2"/>
      <c r="Q74" s="2">
        <f t="shared" si="7"/>
        <v>0</v>
      </c>
    </row>
    <row r="75" spans="2:17" x14ac:dyDescent="0.25">
      <c r="B75" s="30" t="s">
        <v>537</v>
      </c>
      <c r="C75" s="31" t="s">
        <v>75</v>
      </c>
      <c r="D75" s="2">
        <v>4</v>
      </c>
      <c r="E75" s="32"/>
      <c r="F75" s="32">
        <v>0</v>
      </c>
      <c r="G75" s="18">
        <v>0</v>
      </c>
      <c r="H75" s="18"/>
      <c r="I75" s="177">
        <f t="shared" si="4"/>
        <v>4</v>
      </c>
      <c r="J75" s="2"/>
      <c r="K75" t="e">
        <f>VLOOKUP(B75,#REF!,2,FALSE)</f>
        <v>#REF!</v>
      </c>
      <c r="N75" s="2">
        <f t="shared" si="5"/>
        <v>0</v>
      </c>
      <c r="O75">
        <f t="shared" si="6"/>
        <v>0</v>
      </c>
      <c r="P75" s="2"/>
      <c r="Q75" s="2">
        <f t="shared" si="7"/>
        <v>0</v>
      </c>
    </row>
    <row r="76" spans="2:17" x14ac:dyDescent="0.25">
      <c r="B76" s="30" t="s">
        <v>538</v>
      </c>
      <c r="C76" s="31" t="s">
        <v>76</v>
      </c>
      <c r="D76" s="2">
        <v>20.329999999999998</v>
      </c>
      <c r="E76" s="32"/>
      <c r="F76" s="32">
        <v>0</v>
      </c>
      <c r="G76" s="18">
        <v>0</v>
      </c>
      <c r="H76" s="18"/>
      <c r="I76" s="177">
        <f t="shared" si="4"/>
        <v>20.329999999999998</v>
      </c>
      <c r="J76" s="2"/>
      <c r="K76" t="e">
        <f>VLOOKUP(B76,#REF!,2,FALSE)</f>
        <v>#REF!</v>
      </c>
      <c r="N76" s="2">
        <f t="shared" si="5"/>
        <v>0</v>
      </c>
      <c r="O76">
        <f t="shared" si="6"/>
        <v>0</v>
      </c>
      <c r="P76" s="2"/>
      <c r="Q76" s="2">
        <f t="shared" si="7"/>
        <v>0</v>
      </c>
    </row>
    <row r="77" spans="2:17" x14ac:dyDescent="0.25">
      <c r="B77" s="30" t="s">
        <v>539</v>
      </c>
      <c r="C77" s="31" t="s">
        <v>77</v>
      </c>
      <c r="D77" s="2">
        <v>4116</v>
      </c>
      <c r="E77" s="32">
        <v>82</v>
      </c>
      <c r="F77" s="32">
        <v>50.5</v>
      </c>
      <c r="G77" s="18">
        <v>1</v>
      </c>
      <c r="H77" s="18"/>
      <c r="I77" s="177">
        <f t="shared" si="4"/>
        <v>4247.5</v>
      </c>
      <c r="J77" s="2"/>
      <c r="K77" t="e">
        <f>VLOOKUP(B77,#REF!,2,FALSE)</f>
        <v>#REF!</v>
      </c>
      <c r="N77" s="2">
        <f t="shared" si="5"/>
        <v>0</v>
      </c>
      <c r="O77">
        <f t="shared" si="6"/>
        <v>0</v>
      </c>
      <c r="P77" s="2"/>
      <c r="Q77" s="2">
        <f t="shared" si="7"/>
        <v>0</v>
      </c>
    </row>
    <row r="78" spans="2:17" x14ac:dyDescent="0.25">
      <c r="B78" s="30" t="s">
        <v>540</v>
      </c>
      <c r="C78" s="31" t="s">
        <v>78</v>
      </c>
      <c r="D78" s="2">
        <v>259.33999999999997</v>
      </c>
      <c r="E78" s="32"/>
      <c r="F78" s="32">
        <v>7.333333333333333</v>
      </c>
      <c r="G78" s="18">
        <v>1</v>
      </c>
      <c r="H78" s="18"/>
      <c r="I78" s="177">
        <f t="shared" si="4"/>
        <v>265.67333333333329</v>
      </c>
      <c r="J78" s="2"/>
      <c r="K78" t="e">
        <f>VLOOKUP(B78,#REF!,2,FALSE)</f>
        <v>#REF!</v>
      </c>
      <c r="N78" s="2">
        <f t="shared" si="5"/>
        <v>0</v>
      </c>
      <c r="O78">
        <f t="shared" si="6"/>
        <v>0</v>
      </c>
      <c r="P78" s="2"/>
      <c r="Q78" s="2">
        <f t="shared" si="7"/>
        <v>0</v>
      </c>
    </row>
    <row r="79" spans="2:17" x14ac:dyDescent="0.25">
      <c r="B79" s="30" t="s">
        <v>541</v>
      </c>
      <c r="C79" s="31" t="s">
        <v>79</v>
      </c>
      <c r="D79" s="2">
        <v>137.82999999999998</v>
      </c>
      <c r="E79" s="32"/>
      <c r="F79" s="32">
        <v>3</v>
      </c>
      <c r="G79" s="18">
        <v>0</v>
      </c>
      <c r="H79" s="18"/>
      <c r="I79" s="177">
        <f t="shared" si="4"/>
        <v>140.82999999999998</v>
      </c>
      <c r="J79" s="2"/>
      <c r="K79" t="e">
        <f>VLOOKUP(B79,#REF!,2,FALSE)</f>
        <v>#REF!</v>
      </c>
      <c r="N79" s="2">
        <f t="shared" si="5"/>
        <v>0</v>
      </c>
      <c r="O79">
        <f t="shared" si="6"/>
        <v>0</v>
      </c>
      <c r="P79" s="2"/>
      <c r="Q79" s="2">
        <f t="shared" si="7"/>
        <v>0</v>
      </c>
    </row>
    <row r="80" spans="2:17" x14ac:dyDescent="0.25">
      <c r="B80" s="30" t="s">
        <v>542</v>
      </c>
      <c r="C80" s="31" t="s">
        <v>80</v>
      </c>
      <c r="D80" s="2">
        <v>0</v>
      </c>
      <c r="E80" s="32"/>
      <c r="F80" s="32">
        <v>0</v>
      </c>
      <c r="G80" s="18">
        <v>0</v>
      </c>
      <c r="I80" s="177">
        <f t="shared" si="4"/>
        <v>0</v>
      </c>
      <c r="J80" s="2"/>
      <c r="K80" t="e">
        <f>VLOOKUP(B80,#REF!,2,FALSE)</f>
        <v>#REF!</v>
      </c>
      <c r="N80" s="2">
        <f t="shared" si="5"/>
        <v>0</v>
      </c>
      <c r="O80">
        <f t="shared" si="6"/>
        <v>0</v>
      </c>
      <c r="P80" s="2"/>
      <c r="Q80" s="2">
        <f t="shared" si="7"/>
        <v>0</v>
      </c>
    </row>
    <row r="81" spans="2:17" x14ac:dyDescent="0.25">
      <c r="B81" s="30" t="s">
        <v>543</v>
      </c>
      <c r="C81" s="31" t="s">
        <v>81</v>
      </c>
      <c r="D81" s="2">
        <v>130.5</v>
      </c>
      <c r="E81" s="32"/>
      <c r="F81" s="32">
        <v>0</v>
      </c>
      <c r="G81" s="18">
        <v>0</v>
      </c>
      <c r="I81" s="177">
        <f t="shared" si="4"/>
        <v>130.5</v>
      </c>
      <c r="J81" s="2"/>
      <c r="K81" t="e">
        <f>VLOOKUP(B81,#REF!,2,FALSE)</f>
        <v>#REF!</v>
      </c>
      <c r="N81" s="2">
        <f t="shared" si="5"/>
        <v>0</v>
      </c>
      <c r="O81">
        <f t="shared" si="6"/>
        <v>0</v>
      </c>
      <c r="P81" s="2"/>
      <c r="Q81" s="2">
        <f t="shared" si="7"/>
        <v>0</v>
      </c>
    </row>
    <row r="82" spans="2:17" x14ac:dyDescent="0.25">
      <c r="B82" s="30" t="s">
        <v>544</v>
      </c>
      <c r="C82" s="31" t="s">
        <v>82</v>
      </c>
      <c r="D82" s="2">
        <v>329.16999999999996</v>
      </c>
      <c r="E82" s="32"/>
      <c r="F82" s="32">
        <v>0</v>
      </c>
      <c r="G82" s="18">
        <v>0</v>
      </c>
      <c r="I82" s="177">
        <f t="shared" si="4"/>
        <v>329.16999999999996</v>
      </c>
      <c r="J82" s="2"/>
      <c r="K82" t="e">
        <f>VLOOKUP(B82,#REF!,2,FALSE)</f>
        <v>#REF!</v>
      </c>
      <c r="N82" s="2">
        <f t="shared" si="5"/>
        <v>0</v>
      </c>
      <c r="O82">
        <f t="shared" si="6"/>
        <v>0</v>
      </c>
      <c r="P82" s="2"/>
      <c r="Q82" s="2">
        <f t="shared" si="7"/>
        <v>0</v>
      </c>
    </row>
    <row r="83" spans="2:17" x14ac:dyDescent="0.25">
      <c r="B83" s="30" t="s">
        <v>545</v>
      </c>
      <c r="C83" s="31" t="s">
        <v>83</v>
      </c>
      <c r="D83" s="2">
        <v>477.83</v>
      </c>
      <c r="E83" s="32">
        <v>3</v>
      </c>
      <c r="F83" s="32">
        <v>2</v>
      </c>
      <c r="G83" s="18">
        <v>0</v>
      </c>
      <c r="H83" s="18"/>
      <c r="I83" s="177">
        <f t="shared" si="4"/>
        <v>482.83</v>
      </c>
      <c r="J83" s="2"/>
      <c r="K83" t="e">
        <f>VLOOKUP(B83,#REF!,2,FALSE)</f>
        <v>#REF!</v>
      </c>
      <c r="N83" s="2">
        <f t="shared" si="5"/>
        <v>0</v>
      </c>
      <c r="O83">
        <f t="shared" si="6"/>
        <v>0</v>
      </c>
      <c r="P83" s="2"/>
      <c r="Q83" s="2">
        <f t="shared" si="7"/>
        <v>0</v>
      </c>
    </row>
    <row r="84" spans="2:17" x14ac:dyDescent="0.25">
      <c r="B84" s="33" t="s">
        <v>781</v>
      </c>
      <c r="C84" s="31" t="s">
        <v>84</v>
      </c>
      <c r="D84" s="2">
        <v>0</v>
      </c>
      <c r="E84" s="32"/>
      <c r="F84" s="32">
        <v>0</v>
      </c>
      <c r="G84" s="18">
        <v>0</v>
      </c>
      <c r="H84" s="18"/>
      <c r="I84" s="177">
        <f t="shared" si="4"/>
        <v>0</v>
      </c>
      <c r="J84" s="2"/>
      <c r="K84" t="e">
        <f>VLOOKUP(B84,#REF!,2,FALSE)</f>
        <v>#REF!</v>
      </c>
      <c r="N84" s="2">
        <f t="shared" si="5"/>
        <v>0</v>
      </c>
      <c r="O84">
        <f t="shared" si="6"/>
        <v>0</v>
      </c>
      <c r="P84" s="2"/>
      <c r="Q84" s="2">
        <f t="shared" si="7"/>
        <v>0</v>
      </c>
    </row>
    <row r="85" spans="2:17" x14ac:dyDescent="0.25">
      <c r="B85" s="30" t="s">
        <v>552</v>
      </c>
      <c r="C85" s="31" t="s">
        <v>85</v>
      </c>
      <c r="D85" s="2">
        <v>2</v>
      </c>
      <c r="E85" s="32"/>
      <c r="F85" s="32">
        <v>0</v>
      </c>
      <c r="G85" s="18">
        <v>0</v>
      </c>
      <c r="I85" s="177">
        <f t="shared" si="4"/>
        <v>2</v>
      </c>
      <c r="J85" s="2"/>
      <c r="K85" t="e">
        <f>VLOOKUP(B85,#REF!,2,FALSE)</f>
        <v>#REF!</v>
      </c>
      <c r="N85" s="2">
        <f t="shared" si="5"/>
        <v>0</v>
      </c>
      <c r="O85">
        <f t="shared" si="6"/>
        <v>0</v>
      </c>
      <c r="P85" s="2"/>
      <c r="Q85" s="2">
        <f t="shared" si="7"/>
        <v>0</v>
      </c>
    </row>
    <row r="86" spans="2:17" x14ac:dyDescent="0.25">
      <c r="B86" s="30" t="s">
        <v>553</v>
      </c>
      <c r="C86" s="31" t="s">
        <v>86</v>
      </c>
      <c r="D86" s="2">
        <v>3906.16</v>
      </c>
      <c r="E86" s="32">
        <v>81</v>
      </c>
      <c r="F86" s="32">
        <v>109.33333333333333</v>
      </c>
      <c r="G86" s="18">
        <v>1</v>
      </c>
      <c r="H86" s="18"/>
      <c r="I86" s="177">
        <f t="shared" si="4"/>
        <v>4095.4933333333329</v>
      </c>
      <c r="J86" s="2"/>
      <c r="K86" t="e">
        <f>VLOOKUP(B86,#REF!,2,FALSE)</f>
        <v>#REF!</v>
      </c>
      <c r="N86" s="2">
        <f t="shared" si="5"/>
        <v>0</v>
      </c>
      <c r="O86">
        <f t="shared" si="6"/>
        <v>0</v>
      </c>
      <c r="P86" s="2"/>
      <c r="Q86" s="2">
        <f t="shared" si="7"/>
        <v>0</v>
      </c>
    </row>
    <row r="87" spans="2:17" x14ac:dyDescent="0.25">
      <c r="B87" s="30" t="s">
        <v>554</v>
      </c>
      <c r="C87" s="31" t="s">
        <v>87</v>
      </c>
      <c r="D87" s="2">
        <v>4003</v>
      </c>
      <c r="E87" s="32"/>
      <c r="F87" s="32">
        <v>43</v>
      </c>
      <c r="G87" s="18">
        <v>3</v>
      </c>
      <c r="H87" s="18"/>
      <c r="I87" s="177">
        <f t="shared" si="4"/>
        <v>4043</v>
      </c>
      <c r="J87" s="2"/>
      <c r="K87" t="e">
        <f>VLOOKUP(B87,#REF!,2,FALSE)</f>
        <v>#REF!</v>
      </c>
      <c r="N87" s="2">
        <f t="shared" si="5"/>
        <v>0</v>
      </c>
      <c r="O87">
        <f t="shared" si="6"/>
        <v>0</v>
      </c>
      <c r="P87" s="2"/>
      <c r="Q87" s="2">
        <f t="shared" si="7"/>
        <v>0</v>
      </c>
    </row>
    <row r="88" spans="2:17" x14ac:dyDescent="0.25">
      <c r="B88" s="30" t="s">
        <v>555</v>
      </c>
      <c r="C88" s="31" t="s">
        <v>88</v>
      </c>
      <c r="D88" s="2">
        <v>0</v>
      </c>
      <c r="E88" s="32"/>
      <c r="F88" s="32">
        <v>0</v>
      </c>
      <c r="G88" s="18">
        <v>0</v>
      </c>
      <c r="H88" s="18"/>
      <c r="I88" s="177">
        <f t="shared" si="4"/>
        <v>0</v>
      </c>
      <c r="J88" s="2"/>
      <c r="K88" t="e">
        <f>VLOOKUP(B88,#REF!,2,FALSE)</f>
        <v>#REF!</v>
      </c>
      <c r="N88" s="2">
        <f t="shared" si="5"/>
        <v>0</v>
      </c>
      <c r="O88">
        <f t="shared" si="6"/>
        <v>0</v>
      </c>
      <c r="P88" s="2"/>
      <c r="Q88" s="2">
        <f t="shared" si="7"/>
        <v>0</v>
      </c>
    </row>
    <row r="89" spans="2:17" x14ac:dyDescent="0.25">
      <c r="B89" s="30" t="s">
        <v>556</v>
      </c>
      <c r="C89" s="31" t="s">
        <v>89</v>
      </c>
      <c r="D89" s="2">
        <v>7063.16</v>
      </c>
      <c r="E89" s="32">
        <v>106</v>
      </c>
      <c r="F89" s="32">
        <v>121.83333333333333</v>
      </c>
      <c r="G89" s="18">
        <v>2</v>
      </c>
      <c r="H89" s="18"/>
      <c r="I89" s="177">
        <f t="shared" si="4"/>
        <v>7288.9933333333329</v>
      </c>
      <c r="J89" s="2"/>
      <c r="K89" t="e">
        <f>VLOOKUP(B89,#REF!,2,FALSE)</f>
        <v>#REF!</v>
      </c>
      <c r="N89" s="2">
        <f t="shared" si="5"/>
        <v>0</v>
      </c>
      <c r="O89">
        <f t="shared" si="6"/>
        <v>0</v>
      </c>
      <c r="P89" s="2"/>
      <c r="Q89" s="2">
        <f t="shared" si="7"/>
        <v>0</v>
      </c>
    </row>
    <row r="90" spans="2:17" x14ac:dyDescent="0.25">
      <c r="B90" s="30" t="s">
        <v>557</v>
      </c>
      <c r="C90" s="31" t="s">
        <v>90</v>
      </c>
      <c r="D90" s="2">
        <v>532.5</v>
      </c>
      <c r="E90" s="32"/>
      <c r="F90" s="32">
        <v>8.6666666666666661</v>
      </c>
      <c r="G90" s="18">
        <v>0</v>
      </c>
      <c r="H90" s="18"/>
      <c r="I90" s="177">
        <f t="shared" si="4"/>
        <v>541.16666666666663</v>
      </c>
      <c r="J90" s="2"/>
      <c r="K90" t="e">
        <f>VLOOKUP(B90,#REF!,2,FALSE)</f>
        <v>#REF!</v>
      </c>
      <c r="N90" s="2">
        <f t="shared" si="5"/>
        <v>0</v>
      </c>
      <c r="O90">
        <f t="shared" si="6"/>
        <v>0</v>
      </c>
      <c r="P90" s="2"/>
      <c r="Q90" s="2">
        <f t="shared" si="7"/>
        <v>0</v>
      </c>
    </row>
    <row r="91" spans="2:17" x14ac:dyDescent="0.25">
      <c r="B91" s="30" t="s">
        <v>558</v>
      </c>
      <c r="C91" s="31" t="s">
        <v>91</v>
      </c>
      <c r="D91" s="2">
        <v>802.33</v>
      </c>
      <c r="E91" s="32"/>
      <c r="F91" s="32">
        <v>3.6666666666666665</v>
      </c>
      <c r="G91" s="18">
        <v>0</v>
      </c>
      <c r="H91" s="18"/>
      <c r="I91" s="177">
        <f t="shared" si="4"/>
        <v>805.99666666666667</v>
      </c>
      <c r="J91" s="2"/>
      <c r="K91" t="e">
        <f>VLOOKUP(B91,#REF!,2,FALSE)</f>
        <v>#REF!</v>
      </c>
      <c r="N91" s="2">
        <f t="shared" si="5"/>
        <v>0</v>
      </c>
      <c r="O91">
        <f t="shared" si="6"/>
        <v>0</v>
      </c>
      <c r="P91" s="2"/>
      <c r="Q91" s="2">
        <f t="shared" si="7"/>
        <v>0</v>
      </c>
    </row>
    <row r="92" spans="2:17" x14ac:dyDescent="0.25">
      <c r="B92" s="30" t="s">
        <v>559</v>
      </c>
      <c r="C92" s="31" t="s">
        <v>92</v>
      </c>
      <c r="D92" s="2">
        <v>185.5</v>
      </c>
      <c r="E92" s="32"/>
      <c r="F92" s="32">
        <v>5.833333333333333</v>
      </c>
      <c r="G92" s="18">
        <v>0</v>
      </c>
      <c r="H92" s="18"/>
      <c r="I92" s="177">
        <f t="shared" si="4"/>
        <v>191.33333333333334</v>
      </c>
      <c r="J92" s="2"/>
      <c r="K92" t="e">
        <f>VLOOKUP(B92,#REF!,2,FALSE)</f>
        <v>#REF!</v>
      </c>
      <c r="N92" s="2">
        <f t="shared" si="5"/>
        <v>0</v>
      </c>
      <c r="O92">
        <f t="shared" si="6"/>
        <v>0</v>
      </c>
      <c r="P92" s="2"/>
      <c r="Q92" s="2">
        <f t="shared" si="7"/>
        <v>0</v>
      </c>
    </row>
    <row r="93" spans="2:17" x14ac:dyDescent="0.25">
      <c r="B93" s="30" t="s">
        <v>560</v>
      </c>
      <c r="C93" s="31" t="s">
        <v>93</v>
      </c>
      <c r="D93" s="2">
        <v>1241.17</v>
      </c>
      <c r="E93" s="32"/>
      <c r="F93" s="32">
        <v>5</v>
      </c>
      <c r="G93" s="18">
        <v>0</v>
      </c>
      <c r="H93" s="18"/>
      <c r="I93" s="177">
        <f t="shared" si="4"/>
        <v>1246.17</v>
      </c>
      <c r="J93" s="2"/>
      <c r="K93" t="e">
        <f>VLOOKUP(B93,#REF!,2,FALSE)</f>
        <v>#REF!</v>
      </c>
      <c r="N93" s="2">
        <f t="shared" si="5"/>
        <v>0</v>
      </c>
      <c r="O93">
        <f t="shared" si="6"/>
        <v>0</v>
      </c>
      <c r="P93" s="2"/>
      <c r="Q93" s="2">
        <f t="shared" si="7"/>
        <v>0</v>
      </c>
    </row>
    <row r="94" spans="2:17" x14ac:dyDescent="0.25">
      <c r="B94" s="30" t="s">
        <v>561</v>
      </c>
      <c r="C94" s="31" t="s">
        <v>94</v>
      </c>
      <c r="D94" s="2">
        <v>4</v>
      </c>
      <c r="E94" s="32"/>
      <c r="F94" s="32">
        <v>0</v>
      </c>
      <c r="G94" s="18">
        <v>0</v>
      </c>
      <c r="H94" s="18"/>
      <c r="I94" s="177">
        <f t="shared" si="4"/>
        <v>4</v>
      </c>
      <c r="J94" s="2"/>
      <c r="K94" t="e">
        <f>VLOOKUP(B94,#REF!,2,FALSE)</f>
        <v>#REF!</v>
      </c>
      <c r="N94" s="2">
        <f t="shared" si="5"/>
        <v>0</v>
      </c>
      <c r="O94">
        <f t="shared" si="6"/>
        <v>0</v>
      </c>
      <c r="P94" s="2"/>
      <c r="Q94" s="2">
        <f t="shared" si="7"/>
        <v>0</v>
      </c>
    </row>
    <row r="95" spans="2:17" x14ac:dyDescent="0.25">
      <c r="B95" s="30" t="s">
        <v>562</v>
      </c>
      <c r="C95" s="31" t="s">
        <v>95</v>
      </c>
      <c r="D95" s="2">
        <v>0</v>
      </c>
      <c r="E95" s="32"/>
      <c r="F95" s="32">
        <v>0</v>
      </c>
      <c r="G95" s="18">
        <v>0</v>
      </c>
      <c r="I95" s="177">
        <f t="shared" si="4"/>
        <v>0</v>
      </c>
      <c r="J95" s="2"/>
      <c r="K95" t="e">
        <f>VLOOKUP(B95,#REF!,2,FALSE)</f>
        <v>#REF!</v>
      </c>
      <c r="N95" s="2">
        <f t="shared" si="5"/>
        <v>0</v>
      </c>
      <c r="O95">
        <f t="shared" si="6"/>
        <v>0</v>
      </c>
      <c r="P95" s="2"/>
      <c r="Q95" s="2">
        <f t="shared" si="7"/>
        <v>0</v>
      </c>
    </row>
    <row r="96" spans="2:17" x14ac:dyDescent="0.25">
      <c r="B96" s="30" t="s">
        <v>563</v>
      </c>
      <c r="C96" s="31" t="s">
        <v>96</v>
      </c>
      <c r="D96" s="2">
        <v>0</v>
      </c>
      <c r="E96" s="32"/>
      <c r="F96" s="32">
        <v>0</v>
      </c>
      <c r="G96" s="18">
        <v>0</v>
      </c>
      <c r="I96" s="177">
        <f t="shared" si="4"/>
        <v>0</v>
      </c>
      <c r="J96" s="2"/>
      <c r="K96" t="e">
        <f>VLOOKUP(B96,#REF!,2,FALSE)</f>
        <v>#REF!</v>
      </c>
      <c r="N96" s="2">
        <f t="shared" si="5"/>
        <v>0</v>
      </c>
      <c r="O96">
        <f t="shared" si="6"/>
        <v>0</v>
      </c>
      <c r="P96" s="2"/>
      <c r="Q96" s="2">
        <f t="shared" si="7"/>
        <v>0</v>
      </c>
    </row>
    <row r="97" spans="2:17" x14ac:dyDescent="0.25">
      <c r="B97" s="30" t="s">
        <v>564</v>
      </c>
      <c r="C97" s="31" t="s">
        <v>97</v>
      </c>
      <c r="D97" s="2">
        <v>132.67000000000002</v>
      </c>
      <c r="E97" s="32"/>
      <c r="F97" s="32">
        <v>1</v>
      </c>
      <c r="G97" s="18">
        <v>2</v>
      </c>
      <c r="I97" s="177">
        <f t="shared" si="4"/>
        <v>131.67000000000002</v>
      </c>
      <c r="J97" s="2"/>
      <c r="K97" t="e">
        <f>VLOOKUP(B97,#REF!,2,FALSE)</f>
        <v>#REF!</v>
      </c>
      <c r="N97" s="2">
        <f t="shared" si="5"/>
        <v>0</v>
      </c>
      <c r="O97">
        <f t="shared" si="6"/>
        <v>0</v>
      </c>
      <c r="P97" s="2"/>
      <c r="Q97" s="2">
        <f t="shared" si="7"/>
        <v>0</v>
      </c>
    </row>
    <row r="98" spans="2:17" x14ac:dyDescent="0.25">
      <c r="B98" s="30" t="s">
        <v>565</v>
      </c>
      <c r="C98" s="31" t="s">
        <v>98</v>
      </c>
      <c r="D98" s="2">
        <v>0</v>
      </c>
      <c r="E98" s="32"/>
      <c r="F98" s="32">
        <v>153.5</v>
      </c>
      <c r="G98" s="18">
        <v>0</v>
      </c>
      <c r="I98" s="177">
        <f t="shared" si="4"/>
        <v>153.5</v>
      </c>
      <c r="J98" s="2"/>
      <c r="K98" t="e">
        <f>VLOOKUP(B98,#REF!,2,FALSE)</f>
        <v>#REF!</v>
      </c>
      <c r="N98" s="2">
        <f t="shared" si="5"/>
        <v>0</v>
      </c>
      <c r="O98">
        <f t="shared" si="6"/>
        <v>0</v>
      </c>
      <c r="P98" s="2"/>
      <c r="Q98" s="2">
        <f t="shared" si="7"/>
        <v>0</v>
      </c>
    </row>
    <row r="99" spans="2:17" x14ac:dyDescent="0.25">
      <c r="B99" s="30" t="s">
        <v>566</v>
      </c>
      <c r="C99" s="31" t="s">
        <v>99</v>
      </c>
      <c r="D99" s="2">
        <v>1114.1600000000001</v>
      </c>
      <c r="E99" s="32"/>
      <c r="F99" s="32">
        <v>1</v>
      </c>
      <c r="G99" s="18">
        <v>0</v>
      </c>
      <c r="H99" s="18"/>
      <c r="I99" s="177">
        <f t="shared" si="4"/>
        <v>1115.1600000000001</v>
      </c>
      <c r="J99" s="2"/>
      <c r="K99" t="e">
        <f>VLOOKUP(B99,#REF!,2,FALSE)</f>
        <v>#REF!</v>
      </c>
      <c r="N99" s="2">
        <f t="shared" si="5"/>
        <v>0</v>
      </c>
      <c r="O99">
        <f t="shared" si="6"/>
        <v>0</v>
      </c>
      <c r="P99" s="2"/>
      <c r="Q99" s="2">
        <f t="shared" si="7"/>
        <v>0</v>
      </c>
    </row>
    <row r="100" spans="2:17" x14ac:dyDescent="0.25">
      <c r="B100" s="30" t="s">
        <v>567</v>
      </c>
      <c r="C100" s="31" t="s">
        <v>100</v>
      </c>
      <c r="D100" s="2">
        <v>666.67000000000007</v>
      </c>
      <c r="E100" s="32"/>
      <c r="F100" s="32">
        <v>23.5</v>
      </c>
      <c r="G100" s="18">
        <v>0</v>
      </c>
      <c r="I100" s="177">
        <f t="shared" si="4"/>
        <v>690.17000000000007</v>
      </c>
      <c r="J100" s="2"/>
      <c r="K100" t="e">
        <f>VLOOKUP(B100,#REF!,2,FALSE)</f>
        <v>#REF!</v>
      </c>
      <c r="N100" s="2">
        <f t="shared" si="5"/>
        <v>0</v>
      </c>
      <c r="O100">
        <f t="shared" si="6"/>
        <v>0</v>
      </c>
      <c r="P100" s="2"/>
      <c r="Q100" s="2">
        <f t="shared" si="7"/>
        <v>0</v>
      </c>
    </row>
    <row r="101" spans="2:17" x14ac:dyDescent="0.25">
      <c r="B101" s="30" t="s">
        <v>568</v>
      </c>
      <c r="C101" s="31" t="s">
        <v>101</v>
      </c>
      <c r="D101" s="2">
        <v>102.16</v>
      </c>
      <c r="E101" s="32"/>
      <c r="F101" s="32">
        <v>0</v>
      </c>
      <c r="G101" s="18">
        <v>0</v>
      </c>
      <c r="H101" s="18"/>
      <c r="I101" s="177">
        <f t="shared" si="4"/>
        <v>102.16</v>
      </c>
      <c r="J101" s="2"/>
      <c r="K101" t="e">
        <f>VLOOKUP(B101,#REF!,2,FALSE)</f>
        <v>#REF!</v>
      </c>
      <c r="N101" s="2">
        <f t="shared" si="5"/>
        <v>0</v>
      </c>
      <c r="O101">
        <f t="shared" si="6"/>
        <v>0</v>
      </c>
      <c r="P101" s="2"/>
      <c r="Q101" s="2">
        <f t="shared" si="7"/>
        <v>0</v>
      </c>
    </row>
    <row r="102" spans="2:17" x14ac:dyDescent="0.25">
      <c r="B102" s="30" t="s">
        <v>569</v>
      </c>
      <c r="C102" s="31" t="s">
        <v>102</v>
      </c>
      <c r="D102" s="2">
        <v>0</v>
      </c>
      <c r="E102" s="32"/>
      <c r="F102" s="32">
        <v>0</v>
      </c>
      <c r="G102" s="18">
        <v>0</v>
      </c>
      <c r="H102" s="18"/>
      <c r="I102" s="177">
        <f t="shared" si="4"/>
        <v>0</v>
      </c>
      <c r="J102" s="2"/>
      <c r="K102" t="e">
        <f>VLOOKUP(B102,#REF!,2,FALSE)</f>
        <v>#REF!</v>
      </c>
      <c r="N102" s="2">
        <f t="shared" si="5"/>
        <v>0</v>
      </c>
      <c r="O102">
        <f t="shared" si="6"/>
        <v>0</v>
      </c>
      <c r="P102" s="2"/>
      <c r="Q102" s="2">
        <f t="shared" si="7"/>
        <v>0</v>
      </c>
    </row>
    <row r="103" spans="2:17" x14ac:dyDescent="0.25">
      <c r="B103" s="30" t="s">
        <v>570</v>
      </c>
      <c r="C103" s="31" t="s">
        <v>103</v>
      </c>
      <c r="D103" s="2">
        <v>4.33</v>
      </c>
      <c r="E103" s="32"/>
      <c r="F103" s="32">
        <v>0</v>
      </c>
      <c r="G103" s="18">
        <v>0</v>
      </c>
      <c r="H103" s="18"/>
      <c r="I103" s="177">
        <f t="shared" si="4"/>
        <v>4.33</v>
      </c>
      <c r="J103" s="2"/>
      <c r="K103" t="e">
        <f>VLOOKUP(B103,#REF!,2,FALSE)</f>
        <v>#REF!</v>
      </c>
      <c r="N103" s="2">
        <f t="shared" si="5"/>
        <v>0</v>
      </c>
      <c r="O103">
        <f t="shared" si="6"/>
        <v>0</v>
      </c>
      <c r="P103" s="2"/>
      <c r="Q103" s="2">
        <f t="shared" si="7"/>
        <v>0</v>
      </c>
    </row>
    <row r="104" spans="2:17" x14ac:dyDescent="0.25">
      <c r="B104" s="33" t="s">
        <v>571</v>
      </c>
      <c r="C104" s="31" t="s">
        <v>104</v>
      </c>
      <c r="D104" s="2">
        <v>2</v>
      </c>
      <c r="E104" s="32"/>
      <c r="F104" s="32">
        <v>0</v>
      </c>
      <c r="G104" s="18">
        <v>0</v>
      </c>
      <c r="I104" s="177">
        <f t="shared" si="4"/>
        <v>2</v>
      </c>
      <c r="J104" s="2"/>
      <c r="K104" t="e">
        <f>VLOOKUP(B104,#REF!,2,FALSE)</f>
        <v>#REF!</v>
      </c>
      <c r="N104" s="2">
        <f t="shared" si="5"/>
        <v>0</v>
      </c>
      <c r="O104">
        <f t="shared" si="6"/>
        <v>0</v>
      </c>
      <c r="P104" s="2"/>
      <c r="Q104" s="2">
        <f t="shared" si="7"/>
        <v>0</v>
      </c>
    </row>
    <row r="105" spans="2:17" x14ac:dyDescent="0.25">
      <c r="B105" s="30" t="s">
        <v>572</v>
      </c>
      <c r="C105" s="31" t="s">
        <v>105</v>
      </c>
      <c r="D105" s="2">
        <v>0</v>
      </c>
      <c r="E105" s="32"/>
      <c r="F105" s="32">
        <v>0</v>
      </c>
      <c r="G105" s="18">
        <v>0</v>
      </c>
      <c r="I105" s="177">
        <f t="shared" si="4"/>
        <v>0</v>
      </c>
      <c r="J105" s="2"/>
      <c r="K105" t="e">
        <f>VLOOKUP(B105,#REF!,2,FALSE)</f>
        <v>#REF!</v>
      </c>
      <c r="N105" s="2">
        <f t="shared" si="5"/>
        <v>0</v>
      </c>
      <c r="O105">
        <f t="shared" si="6"/>
        <v>0</v>
      </c>
      <c r="P105" s="2"/>
      <c r="Q105" s="2">
        <f t="shared" si="7"/>
        <v>0</v>
      </c>
    </row>
    <row r="106" spans="2:17" x14ac:dyDescent="0.25">
      <c r="B106" s="30" t="s">
        <v>573</v>
      </c>
      <c r="C106" s="31" t="s">
        <v>106</v>
      </c>
      <c r="D106" s="2">
        <v>0</v>
      </c>
      <c r="E106" s="32"/>
      <c r="F106" s="32">
        <v>0</v>
      </c>
      <c r="G106" s="18">
        <v>0</v>
      </c>
      <c r="I106" s="177">
        <f t="shared" si="4"/>
        <v>0</v>
      </c>
      <c r="J106" s="2"/>
      <c r="K106" t="e">
        <f>VLOOKUP(B106,#REF!,2,FALSE)</f>
        <v>#REF!</v>
      </c>
      <c r="N106" s="2">
        <f t="shared" si="5"/>
        <v>0</v>
      </c>
      <c r="O106">
        <f t="shared" si="6"/>
        <v>0</v>
      </c>
      <c r="P106" s="2"/>
      <c r="Q106" s="2">
        <f t="shared" si="7"/>
        <v>0</v>
      </c>
    </row>
    <row r="107" spans="2:17" x14ac:dyDescent="0.25">
      <c r="B107" s="30" t="s">
        <v>574</v>
      </c>
      <c r="C107" s="31" t="s">
        <v>107</v>
      </c>
      <c r="D107" s="2">
        <v>310.33999999999997</v>
      </c>
      <c r="E107" s="32"/>
      <c r="F107" s="32">
        <v>1.6666666666666667</v>
      </c>
      <c r="G107" s="18">
        <v>0</v>
      </c>
      <c r="H107" s="18"/>
      <c r="I107" s="177">
        <f t="shared" si="4"/>
        <v>312.00666666666666</v>
      </c>
      <c r="J107" s="2"/>
      <c r="K107" t="e">
        <f>VLOOKUP(B107,#REF!,2,FALSE)</f>
        <v>#REF!</v>
      </c>
      <c r="N107" s="2">
        <f t="shared" si="5"/>
        <v>0</v>
      </c>
      <c r="O107">
        <f t="shared" si="6"/>
        <v>0</v>
      </c>
      <c r="P107" s="2"/>
      <c r="Q107" s="2">
        <f t="shared" si="7"/>
        <v>0</v>
      </c>
    </row>
    <row r="108" spans="2:17" x14ac:dyDescent="0.25">
      <c r="B108" s="30" t="s">
        <v>575</v>
      </c>
      <c r="C108" s="31" t="s">
        <v>108</v>
      </c>
      <c r="D108" s="2">
        <v>6852.17</v>
      </c>
      <c r="E108" s="32">
        <v>121</v>
      </c>
      <c r="F108" s="32">
        <v>194.5</v>
      </c>
      <c r="G108" s="18">
        <v>3</v>
      </c>
      <c r="H108" s="18"/>
      <c r="I108" s="177">
        <f t="shared" si="4"/>
        <v>7164.67</v>
      </c>
      <c r="J108" s="2"/>
      <c r="K108" t="e">
        <f>VLOOKUP(B108,#REF!,2,FALSE)</f>
        <v>#REF!</v>
      </c>
      <c r="N108" s="2">
        <f t="shared" si="5"/>
        <v>0</v>
      </c>
      <c r="O108">
        <f t="shared" si="6"/>
        <v>0</v>
      </c>
      <c r="P108" s="2"/>
      <c r="Q108" s="2">
        <f t="shared" si="7"/>
        <v>0</v>
      </c>
    </row>
    <row r="109" spans="2:17" x14ac:dyDescent="0.25">
      <c r="B109" s="30" t="s">
        <v>445</v>
      </c>
      <c r="C109" s="31" t="s">
        <v>109</v>
      </c>
      <c r="D109" s="2">
        <v>96.67</v>
      </c>
      <c r="E109" s="32"/>
      <c r="F109" s="32">
        <v>0</v>
      </c>
      <c r="G109" s="18">
        <v>0</v>
      </c>
      <c r="I109" s="177">
        <f t="shared" si="4"/>
        <v>96.67</v>
      </c>
      <c r="J109" s="2"/>
      <c r="K109" t="e">
        <f>VLOOKUP(B109,#REF!,2,FALSE)</f>
        <v>#REF!</v>
      </c>
      <c r="N109" s="2">
        <f t="shared" si="5"/>
        <v>0</v>
      </c>
      <c r="O109">
        <f t="shared" si="6"/>
        <v>0</v>
      </c>
      <c r="P109" s="2"/>
      <c r="Q109" s="2">
        <f t="shared" si="7"/>
        <v>0</v>
      </c>
    </row>
    <row r="110" spans="2:17" x14ac:dyDescent="0.25">
      <c r="B110" s="30" t="s">
        <v>576</v>
      </c>
      <c r="C110" s="31" t="s">
        <v>110</v>
      </c>
      <c r="D110" s="2">
        <v>19.670000000000002</v>
      </c>
      <c r="E110" s="32"/>
      <c r="F110" s="32">
        <v>0</v>
      </c>
      <c r="G110" s="18">
        <v>0</v>
      </c>
      <c r="H110" s="18"/>
      <c r="I110" s="177">
        <f t="shared" si="4"/>
        <v>19.670000000000002</v>
      </c>
      <c r="J110" s="2"/>
      <c r="K110" t="e">
        <f>VLOOKUP(B110,#REF!,2,FALSE)</f>
        <v>#REF!</v>
      </c>
      <c r="N110" s="2">
        <f t="shared" si="5"/>
        <v>0</v>
      </c>
      <c r="O110">
        <f t="shared" si="6"/>
        <v>0</v>
      </c>
      <c r="P110" s="2"/>
      <c r="Q110" s="2">
        <f t="shared" si="7"/>
        <v>0</v>
      </c>
    </row>
    <row r="111" spans="2:17" x14ac:dyDescent="0.25">
      <c r="B111" s="30" t="s">
        <v>577</v>
      </c>
      <c r="C111" s="31" t="s">
        <v>111</v>
      </c>
      <c r="D111" s="2">
        <v>132</v>
      </c>
      <c r="E111" s="32"/>
      <c r="F111" s="32">
        <v>3</v>
      </c>
      <c r="G111" s="18">
        <v>0</v>
      </c>
      <c r="I111" s="177">
        <f t="shared" si="4"/>
        <v>135</v>
      </c>
      <c r="J111" s="2"/>
      <c r="K111" t="e">
        <f>VLOOKUP(B111,#REF!,2,FALSE)</f>
        <v>#REF!</v>
      </c>
      <c r="N111" s="2">
        <f t="shared" si="5"/>
        <v>0</v>
      </c>
      <c r="O111">
        <f t="shared" si="6"/>
        <v>0</v>
      </c>
      <c r="P111" s="2"/>
      <c r="Q111" s="2">
        <f t="shared" si="7"/>
        <v>0</v>
      </c>
    </row>
    <row r="112" spans="2:17" x14ac:dyDescent="0.25">
      <c r="B112" s="30" t="s">
        <v>801</v>
      </c>
      <c r="C112" s="31" t="s">
        <v>817</v>
      </c>
      <c r="D112" s="2">
        <v>52.17</v>
      </c>
      <c r="E112" s="32"/>
      <c r="F112" s="32">
        <v>0</v>
      </c>
      <c r="G112" s="18">
        <v>0</v>
      </c>
      <c r="I112" s="177">
        <f t="shared" si="4"/>
        <v>66.553317757009353</v>
      </c>
      <c r="J112" s="2"/>
      <c r="K112" t="e">
        <f>VLOOKUP(B112,#REF!,2,FALSE)</f>
        <v>#REF!</v>
      </c>
      <c r="L112">
        <v>214</v>
      </c>
      <c r="M112">
        <v>273</v>
      </c>
      <c r="N112" s="2">
        <f t="shared" si="5"/>
        <v>0.24378504672897197</v>
      </c>
      <c r="O112">
        <f t="shared" si="6"/>
        <v>59</v>
      </c>
      <c r="P112" s="2"/>
      <c r="Q112" s="2">
        <f t="shared" si="7"/>
        <v>14.383317757009346</v>
      </c>
    </row>
    <row r="113" spans="2:17" x14ac:dyDescent="0.25">
      <c r="B113" s="33" t="s">
        <v>578</v>
      </c>
      <c r="C113" s="34" t="s">
        <v>112</v>
      </c>
      <c r="D113" s="2">
        <v>161.66999999999999</v>
      </c>
      <c r="E113" s="32"/>
      <c r="F113" s="32">
        <v>0</v>
      </c>
      <c r="G113" s="18">
        <v>0</v>
      </c>
      <c r="I113" s="177">
        <f t="shared" si="4"/>
        <v>161.66999999999999</v>
      </c>
      <c r="J113" s="2"/>
      <c r="K113" t="e">
        <f>VLOOKUP(B113,#REF!,2,FALSE)</f>
        <v>#REF!</v>
      </c>
      <c r="N113" s="2">
        <f t="shared" si="5"/>
        <v>0</v>
      </c>
      <c r="O113">
        <f t="shared" si="6"/>
        <v>0</v>
      </c>
      <c r="P113" s="2"/>
      <c r="Q113" s="2">
        <f t="shared" si="7"/>
        <v>0</v>
      </c>
    </row>
    <row r="114" spans="2:17" x14ac:dyDescent="0.25">
      <c r="B114" s="36" t="s">
        <v>483</v>
      </c>
      <c r="C114" s="34" t="s">
        <v>818</v>
      </c>
      <c r="D114" s="2">
        <v>21.67</v>
      </c>
      <c r="E114" s="32"/>
      <c r="F114" s="32">
        <v>0</v>
      </c>
      <c r="G114" s="18">
        <v>0</v>
      </c>
      <c r="H114" s="18"/>
      <c r="I114" s="177">
        <f t="shared" si="4"/>
        <v>24.241016949152545</v>
      </c>
      <c r="J114" s="2"/>
      <c r="K114" t="e">
        <f>VLOOKUP(B114,#REF!,2,FALSE)</f>
        <v>#REF!</v>
      </c>
      <c r="L114">
        <v>236</v>
      </c>
      <c r="M114">
        <v>264</v>
      </c>
      <c r="N114" s="2">
        <f t="shared" si="5"/>
        <v>9.1822033898305094E-2</v>
      </c>
      <c r="O114">
        <f t="shared" si="6"/>
        <v>28</v>
      </c>
      <c r="P114" s="2"/>
      <c r="Q114" s="2">
        <f t="shared" si="7"/>
        <v>2.5710169491525425</v>
      </c>
    </row>
    <row r="115" spans="2:17" x14ac:dyDescent="0.25">
      <c r="B115" s="33" t="s">
        <v>464</v>
      </c>
      <c r="C115" s="34" t="s">
        <v>113</v>
      </c>
      <c r="D115" s="2">
        <v>101.83</v>
      </c>
      <c r="E115" s="32"/>
      <c r="F115" s="32">
        <v>0</v>
      </c>
      <c r="G115" s="18">
        <v>0</v>
      </c>
      <c r="I115" s="177">
        <f t="shared" si="4"/>
        <v>101.83</v>
      </c>
      <c r="J115" s="2"/>
      <c r="K115" t="e">
        <f>VLOOKUP(B115,#REF!,2,FALSE)</f>
        <v>#REF!</v>
      </c>
      <c r="L115" s="82"/>
      <c r="N115" s="2">
        <f t="shared" si="5"/>
        <v>0</v>
      </c>
      <c r="O115">
        <f t="shared" si="6"/>
        <v>0</v>
      </c>
      <c r="P115" s="2"/>
      <c r="Q115" s="2">
        <f t="shared" si="7"/>
        <v>0</v>
      </c>
    </row>
    <row r="116" spans="2:17" x14ac:dyDescent="0.25">
      <c r="B116" s="30" t="s">
        <v>580</v>
      </c>
      <c r="C116" s="31" t="s">
        <v>114</v>
      </c>
      <c r="D116" s="2">
        <v>0</v>
      </c>
      <c r="E116" s="32"/>
      <c r="F116" s="32">
        <v>41</v>
      </c>
      <c r="G116" s="18">
        <v>0</v>
      </c>
      <c r="H116" s="18"/>
      <c r="I116" s="177">
        <f t="shared" si="4"/>
        <v>41</v>
      </c>
      <c r="J116" s="2"/>
      <c r="K116" t="e">
        <f>VLOOKUP(B116,#REF!,2,FALSE)</f>
        <v>#REF!</v>
      </c>
      <c r="N116" s="2">
        <f t="shared" si="5"/>
        <v>0</v>
      </c>
      <c r="O116">
        <f t="shared" si="6"/>
        <v>0</v>
      </c>
      <c r="P116" s="2"/>
      <c r="Q116" s="2">
        <f t="shared" si="7"/>
        <v>0</v>
      </c>
    </row>
    <row r="117" spans="2:17" x14ac:dyDescent="0.25">
      <c r="B117" s="30" t="s">
        <v>581</v>
      </c>
      <c r="C117" s="31" t="s">
        <v>115</v>
      </c>
      <c r="D117" s="2">
        <v>0</v>
      </c>
      <c r="E117" s="32"/>
      <c r="F117" s="32">
        <v>0</v>
      </c>
      <c r="G117" s="18">
        <v>0</v>
      </c>
      <c r="I117" s="177">
        <f t="shared" si="4"/>
        <v>0</v>
      </c>
      <c r="J117" s="2"/>
      <c r="K117" t="e">
        <f>VLOOKUP(B117,#REF!,2,FALSE)</f>
        <v>#REF!</v>
      </c>
      <c r="N117" s="2">
        <f t="shared" si="5"/>
        <v>0</v>
      </c>
      <c r="O117">
        <f t="shared" si="6"/>
        <v>0</v>
      </c>
      <c r="P117" s="2"/>
      <c r="Q117" s="2">
        <f t="shared" si="7"/>
        <v>0</v>
      </c>
    </row>
    <row r="118" spans="2:17" x14ac:dyDescent="0.25">
      <c r="B118" s="30" t="s">
        <v>667</v>
      </c>
      <c r="C118" s="31" t="s">
        <v>819</v>
      </c>
      <c r="D118" s="2">
        <v>0</v>
      </c>
      <c r="E118" s="32"/>
      <c r="F118" s="32">
        <v>0</v>
      </c>
      <c r="G118" s="18">
        <v>0</v>
      </c>
      <c r="H118" s="18"/>
      <c r="I118" s="177">
        <f t="shared" si="4"/>
        <v>0</v>
      </c>
      <c r="J118" s="2"/>
      <c r="K118" t="e">
        <f>VLOOKUP(B118,#REF!,2,FALSE)</f>
        <v>#REF!</v>
      </c>
      <c r="N118" s="2">
        <f t="shared" si="5"/>
        <v>0</v>
      </c>
      <c r="O118">
        <f t="shared" si="6"/>
        <v>0</v>
      </c>
      <c r="P118" s="2"/>
      <c r="Q118" s="2">
        <f t="shared" si="7"/>
        <v>0</v>
      </c>
    </row>
    <row r="119" spans="2:17" x14ac:dyDescent="0.25">
      <c r="B119" s="30" t="s">
        <v>582</v>
      </c>
      <c r="C119" s="31" t="s">
        <v>116</v>
      </c>
      <c r="D119" s="2">
        <v>1340.66</v>
      </c>
      <c r="E119" s="32"/>
      <c r="F119" s="32">
        <v>32.166666666666664</v>
      </c>
      <c r="G119" s="18">
        <v>0</v>
      </c>
      <c r="H119" s="18"/>
      <c r="I119" s="177">
        <f t="shared" si="4"/>
        <v>1372.8266666666668</v>
      </c>
      <c r="J119" s="2"/>
      <c r="K119" t="e">
        <f>VLOOKUP(B119,#REF!,2,FALSE)</f>
        <v>#REF!</v>
      </c>
      <c r="N119" s="2">
        <f t="shared" si="5"/>
        <v>0</v>
      </c>
      <c r="O119">
        <f t="shared" si="6"/>
        <v>0</v>
      </c>
      <c r="P119" s="2"/>
      <c r="Q119" s="2">
        <f t="shared" si="7"/>
        <v>0</v>
      </c>
    </row>
    <row r="120" spans="2:17" x14ac:dyDescent="0.25">
      <c r="B120" s="30" t="s">
        <v>583</v>
      </c>
      <c r="C120" s="31" t="s">
        <v>117</v>
      </c>
      <c r="D120" s="2">
        <v>0</v>
      </c>
      <c r="E120" s="32"/>
      <c r="F120" s="32">
        <v>0</v>
      </c>
      <c r="G120" s="18">
        <v>0</v>
      </c>
      <c r="H120" s="18"/>
      <c r="I120" s="177">
        <f t="shared" si="4"/>
        <v>0</v>
      </c>
      <c r="J120" s="2"/>
      <c r="K120" t="e">
        <f>VLOOKUP(B120,#REF!,2,FALSE)</f>
        <v>#REF!</v>
      </c>
      <c r="N120" s="2">
        <f t="shared" si="5"/>
        <v>0</v>
      </c>
      <c r="O120">
        <f t="shared" si="6"/>
        <v>0</v>
      </c>
      <c r="P120" s="2"/>
      <c r="Q120" s="2">
        <f t="shared" si="7"/>
        <v>0</v>
      </c>
    </row>
    <row r="121" spans="2:17" x14ac:dyDescent="0.25">
      <c r="B121" s="30" t="s">
        <v>584</v>
      </c>
      <c r="C121" s="31" t="s">
        <v>118</v>
      </c>
      <c r="D121" s="2">
        <v>35.159999999999997</v>
      </c>
      <c r="E121" s="32"/>
      <c r="F121" s="32">
        <v>0</v>
      </c>
      <c r="G121" s="18">
        <v>0</v>
      </c>
      <c r="I121" s="177">
        <f t="shared" si="4"/>
        <v>35.159999999999997</v>
      </c>
      <c r="J121" s="2"/>
      <c r="K121" t="e">
        <f>VLOOKUP(B121,#REF!,2,FALSE)</f>
        <v>#REF!</v>
      </c>
      <c r="N121" s="2">
        <f t="shared" si="5"/>
        <v>0</v>
      </c>
      <c r="O121">
        <f t="shared" si="6"/>
        <v>0</v>
      </c>
      <c r="P121" s="2"/>
      <c r="Q121" s="2">
        <f t="shared" si="7"/>
        <v>0</v>
      </c>
    </row>
    <row r="122" spans="2:17" x14ac:dyDescent="0.25">
      <c r="B122" s="30" t="s">
        <v>585</v>
      </c>
      <c r="C122" s="31" t="s">
        <v>119</v>
      </c>
      <c r="D122" s="2">
        <v>0</v>
      </c>
      <c r="E122" s="32"/>
      <c r="F122" s="32">
        <v>0</v>
      </c>
      <c r="G122" s="18">
        <v>0</v>
      </c>
      <c r="H122" s="18"/>
      <c r="I122" s="177">
        <f t="shared" si="4"/>
        <v>0</v>
      </c>
      <c r="J122" s="2"/>
      <c r="K122" t="e">
        <f>VLOOKUP(B122,#REF!,2,FALSE)</f>
        <v>#REF!</v>
      </c>
      <c r="N122" s="2">
        <f t="shared" si="5"/>
        <v>0</v>
      </c>
      <c r="O122">
        <f t="shared" si="6"/>
        <v>0</v>
      </c>
      <c r="P122" s="2"/>
      <c r="Q122" s="2">
        <f t="shared" si="7"/>
        <v>0</v>
      </c>
    </row>
    <row r="123" spans="2:17" x14ac:dyDescent="0.25">
      <c r="B123" s="30" t="s">
        <v>586</v>
      </c>
      <c r="C123" s="31" t="s">
        <v>120</v>
      </c>
      <c r="D123" s="2">
        <v>338.33000000000004</v>
      </c>
      <c r="E123" s="32"/>
      <c r="F123" s="32">
        <v>11.166666666666666</v>
      </c>
      <c r="G123" s="18">
        <v>0</v>
      </c>
      <c r="H123" s="18"/>
      <c r="I123" s="177">
        <f t="shared" si="4"/>
        <v>349.49666666666673</v>
      </c>
      <c r="J123" s="2"/>
      <c r="K123" t="e">
        <f>VLOOKUP(B123,#REF!,2,FALSE)</f>
        <v>#REF!</v>
      </c>
      <c r="N123" s="2">
        <f t="shared" si="5"/>
        <v>0</v>
      </c>
      <c r="O123">
        <f t="shared" si="6"/>
        <v>0</v>
      </c>
      <c r="P123" s="2"/>
      <c r="Q123" s="2">
        <f t="shared" si="7"/>
        <v>0</v>
      </c>
    </row>
    <row r="124" spans="2:17" x14ac:dyDescent="0.25">
      <c r="B124" s="30" t="s">
        <v>587</v>
      </c>
      <c r="C124" s="31" t="s">
        <v>121</v>
      </c>
      <c r="D124" s="2">
        <v>3576.17</v>
      </c>
      <c r="E124" s="32">
        <v>5</v>
      </c>
      <c r="F124" s="32">
        <v>0</v>
      </c>
      <c r="G124" s="18">
        <v>3</v>
      </c>
      <c r="H124" s="18"/>
      <c r="I124" s="177">
        <f t="shared" si="4"/>
        <v>3578.17</v>
      </c>
      <c r="J124" s="2"/>
      <c r="K124" t="e">
        <f>VLOOKUP(B124,#REF!,2,FALSE)</f>
        <v>#REF!</v>
      </c>
      <c r="N124" s="2">
        <f t="shared" si="5"/>
        <v>0</v>
      </c>
      <c r="O124">
        <f t="shared" si="6"/>
        <v>0</v>
      </c>
      <c r="P124" s="2"/>
      <c r="Q124" s="2">
        <f t="shared" si="7"/>
        <v>0</v>
      </c>
    </row>
    <row r="125" spans="2:17" x14ac:dyDescent="0.25">
      <c r="B125" s="30" t="s">
        <v>588</v>
      </c>
      <c r="C125" s="31" t="s">
        <v>122</v>
      </c>
      <c r="D125" s="2">
        <v>7849.67</v>
      </c>
      <c r="E125" s="32"/>
      <c r="F125" s="32">
        <v>9</v>
      </c>
      <c r="G125" s="18">
        <v>1</v>
      </c>
      <c r="I125" s="177">
        <f t="shared" si="4"/>
        <v>7857.67</v>
      </c>
      <c r="J125" s="2"/>
      <c r="K125" t="e">
        <f>VLOOKUP(B125,#REF!,2,FALSE)</f>
        <v>#REF!</v>
      </c>
      <c r="N125" s="2">
        <f t="shared" si="5"/>
        <v>0</v>
      </c>
      <c r="O125">
        <f t="shared" si="6"/>
        <v>0</v>
      </c>
      <c r="P125" s="2"/>
      <c r="Q125" s="2">
        <f t="shared" si="7"/>
        <v>0</v>
      </c>
    </row>
    <row r="126" spans="2:17" x14ac:dyDescent="0.25">
      <c r="B126" s="30" t="s">
        <v>589</v>
      </c>
      <c r="C126" s="31" t="s">
        <v>123</v>
      </c>
      <c r="D126" s="2">
        <v>0</v>
      </c>
      <c r="E126" s="32"/>
      <c r="F126" s="32">
        <v>0</v>
      </c>
      <c r="G126" s="18">
        <v>0</v>
      </c>
      <c r="H126" s="18"/>
      <c r="I126" s="177">
        <f t="shared" si="4"/>
        <v>0</v>
      </c>
      <c r="J126" s="2"/>
      <c r="K126" t="e">
        <f>VLOOKUP(B126,#REF!,2,FALSE)</f>
        <v>#REF!</v>
      </c>
      <c r="N126" s="2">
        <f t="shared" si="5"/>
        <v>0</v>
      </c>
      <c r="O126">
        <f t="shared" si="6"/>
        <v>0</v>
      </c>
      <c r="P126" s="2"/>
      <c r="Q126" s="2">
        <f t="shared" si="7"/>
        <v>0</v>
      </c>
    </row>
    <row r="127" spans="2:17" x14ac:dyDescent="0.25">
      <c r="B127" s="30" t="s">
        <v>590</v>
      </c>
      <c r="C127" s="31" t="s">
        <v>124</v>
      </c>
      <c r="D127" s="2">
        <v>346.33000000000004</v>
      </c>
      <c r="E127" s="32"/>
      <c r="F127" s="32">
        <v>1</v>
      </c>
      <c r="G127" s="18">
        <v>0</v>
      </c>
      <c r="H127" s="18"/>
      <c r="I127" s="177">
        <f t="shared" si="4"/>
        <v>347.33000000000004</v>
      </c>
      <c r="J127" s="2"/>
      <c r="K127" t="e">
        <f>VLOOKUP(B127,#REF!,2,FALSE)</f>
        <v>#REF!</v>
      </c>
      <c r="N127" s="2">
        <f t="shared" si="5"/>
        <v>0</v>
      </c>
      <c r="O127">
        <f t="shared" si="6"/>
        <v>0</v>
      </c>
      <c r="P127" s="2"/>
      <c r="Q127" s="2">
        <f t="shared" si="7"/>
        <v>0</v>
      </c>
    </row>
    <row r="128" spans="2:17" x14ac:dyDescent="0.25">
      <c r="B128" s="30" t="s">
        <v>591</v>
      </c>
      <c r="C128" s="31" t="s">
        <v>125</v>
      </c>
      <c r="D128" s="2">
        <v>45</v>
      </c>
      <c r="E128" s="32"/>
      <c r="F128" s="32">
        <v>0</v>
      </c>
      <c r="G128" s="18">
        <v>0</v>
      </c>
      <c r="H128" s="18"/>
      <c r="I128" s="177">
        <f t="shared" si="4"/>
        <v>45</v>
      </c>
      <c r="J128" s="2"/>
      <c r="K128" t="e">
        <f>VLOOKUP(B128,#REF!,2,FALSE)</f>
        <v>#REF!</v>
      </c>
      <c r="N128" s="2">
        <f t="shared" si="5"/>
        <v>0</v>
      </c>
      <c r="O128">
        <f t="shared" si="6"/>
        <v>0</v>
      </c>
      <c r="P128" s="2"/>
      <c r="Q128" s="2">
        <f t="shared" si="7"/>
        <v>0</v>
      </c>
    </row>
    <row r="129" spans="2:17" x14ac:dyDescent="0.25">
      <c r="B129" s="30" t="s">
        <v>592</v>
      </c>
      <c r="C129" s="31" t="s">
        <v>126</v>
      </c>
      <c r="D129" s="2">
        <v>0</v>
      </c>
      <c r="E129" s="32"/>
      <c r="F129" s="32">
        <v>0</v>
      </c>
      <c r="G129" s="18">
        <v>0</v>
      </c>
      <c r="H129" s="18"/>
      <c r="I129" s="177">
        <f t="shared" si="4"/>
        <v>0</v>
      </c>
      <c r="J129" s="2"/>
      <c r="K129" t="e">
        <f>VLOOKUP(B129,#REF!,2,FALSE)</f>
        <v>#REF!</v>
      </c>
      <c r="N129" s="2">
        <f t="shared" si="5"/>
        <v>0</v>
      </c>
      <c r="O129">
        <f t="shared" si="6"/>
        <v>0</v>
      </c>
      <c r="P129" s="2"/>
      <c r="Q129" s="2">
        <f t="shared" si="7"/>
        <v>0</v>
      </c>
    </row>
    <row r="130" spans="2:17" x14ac:dyDescent="0.25">
      <c r="B130" s="30" t="s">
        <v>593</v>
      </c>
      <c r="C130" s="31" t="s">
        <v>127</v>
      </c>
      <c r="D130" s="2">
        <v>15.5</v>
      </c>
      <c r="E130" s="32"/>
      <c r="F130" s="32">
        <v>124.16666666666667</v>
      </c>
      <c r="G130" s="18">
        <v>0</v>
      </c>
      <c r="H130" s="18"/>
      <c r="I130" s="177">
        <f t="shared" si="4"/>
        <v>139.66666666666669</v>
      </c>
      <c r="J130" s="2"/>
      <c r="K130" t="e">
        <f>VLOOKUP(B130,#REF!,2,FALSE)</f>
        <v>#REF!</v>
      </c>
      <c r="N130" s="2">
        <f t="shared" si="5"/>
        <v>0</v>
      </c>
      <c r="O130">
        <f t="shared" si="6"/>
        <v>0</v>
      </c>
      <c r="P130" s="2"/>
      <c r="Q130" s="2">
        <f t="shared" si="7"/>
        <v>0</v>
      </c>
    </row>
    <row r="131" spans="2:17" x14ac:dyDescent="0.25">
      <c r="B131" s="30" t="s">
        <v>594</v>
      </c>
      <c r="C131" s="31" t="s">
        <v>128</v>
      </c>
      <c r="D131" s="2">
        <v>52.67</v>
      </c>
      <c r="E131" s="32"/>
      <c r="F131" s="32">
        <v>0</v>
      </c>
      <c r="G131" s="18">
        <v>2</v>
      </c>
      <c r="H131" s="18"/>
      <c r="I131" s="177">
        <f t="shared" si="4"/>
        <v>50.67</v>
      </c>
      <c r="J131" s="2"/>
      <c r="K131" t="e">
        <f>VLOOKUP(B131,#REF!,2,FALSE)</f>
        <v>#REF!</v>
      </c>
      <c r="N131" s="2">
        <f t="shared" si="5"/>
        <v>0</v>
      </c>
      <c r="O131">
        <f t="shared" si="6"/>
        <v>0</v>
      </c>
      <c r="P131" s="2"/>
      <c r="Q131" s="2">
        <f t="shared" si="7"/>
        <v>0</v>
      </c>
    </row>
    <row r="132" spans="2:17" x14ac:dyDescent="0.25">
      <c r="B132" s="30" t="s">
        <v>595</v>
      </c>
      <c r="C132" s="31" t="s">
        <v>129</v>
      </c>
      <c r="D132" s="2">
        <v>0</v>
      </c>
      <c r="E132" s="32"/>
      <c r="F132" s="32">
        <v>0</v>
      </c>
      <c r="G132" s="18">
        <v>0</v>
      </c>
      <c r="H132" s="18"/>
      <c r="I132" s="177">
        <f t="shared" si="4"/>
        <v>0</v>
      </c>
      <c r="J132" s="2"/>
      <c r="K132" t="e">
        <f>VLOOKUP(B132,#REF!,2,FALSE)</f>
        <v>#REF!</v>
      </c>
      <c r="N132" s="2">
        <f t="shared" si="5"/>
        <v>0</v>
      </c>
      <c r="O132">
        <f t="shared" si="6"/>
        <v>0</v>
      </c>
      <c r="P132" s="2"/>
      <c r="Q132" s="2">
        <f t="shared" si="7"/>
        <v>0</v>
      </c>
    </row>
    <row r="133" spans="2:17" x14ac:dyDescent="0.25">
      <c r="B133" s="30" t="s">
        <v>596</v>
      </c>
      <c r="C133" s="31" t="s">
        <v>130</v>
      </c>
      <c r="D133" s="2">
        <v>369</v>
      </c>
      <c r="E133" s="32"/>
      <c r="F133" s="32">
        <v>0</v>
      </c>
      <c r="G133" s="18">
        <v>0</v>
      </c>
      <c r="I133" s="177">
        <f t="shared" si="4"/>
        <v>369</v>
      </c>
      <c r="J133" s="2"/>
      <c r="K133" t="e">
        <f>VLOOKUP(B133,#REF!,2,FALSE)</f>
        <v>#REF!</v>
      </c>
      <c r="N133" s="2">
        <f t="shared" si="5"/>
        <v>0</v>
      </c>
      <c r="O133">
        <f t="shared" si="6"/>
        <v>0</v>
      </c>
      <c r="P133" s="2"/>
      <c r="Q133" s="2">
        <f t="shared" si="7"/>
        <v>0</v>
      </c>
    </row>
    <row r="134" spans="2:17" x14ac:dyDescent="0.25">
      <c r="B134" s="30" t="s">
        <v>597</v>
      </c>
      <c r="C134" s="31" t="s">
        <v>131</v>
      </c>
      <c r="D134" s="2">
        <v>743</v>
      </c>
      <c r="E134" s="32"/>
      <c r="F134" s="32">
        <v>9</v>
      </c>
      <c r="G134" s="18">
        <v>0</v>
      </c>
      <c r="H134" s="18"/>
      <c r="I134" s="177">
        <f t="shared" si="4"/>
        <v>752</v>
      </c>
      <c r="J134" s="2"/>
      <c r="K134" t="e">
        <f>VLOOKUP(B134,#REF!,2,FALSE)</f>
        <v>#REF!</v>
      </c>
      <c r="N134" s="2">
        <f t="shared" si="5"/>
        <v>0</v>
      </c>
      <c r="O134">
        <f t="shared" si="6"/>
        <v>0</v>
      </c>
      <c r="P134" s="2"/>
      <c r="Q134" s="2">
        <f t="shared" si="7"/>
        <v>0</v>
      </c>
    </row>
    <row r="135" spans="2:17" x14ac:dyDescent="0.25">
      <c r="B135" s="30" t="s">
        <v>782</v>
      </c>
      <c r="C135" s="31" t="s">
        <v>132</v>
      </c>
      <c r="D135" s="2">
        <v>0</v>
      </c>
      <c r="E135" s="32"/>
      <c r="F135" s="32">
        <v>0</v>
      </c>
      <c r="G135" s="18">
        <v>0</v>
      </c>
      <c r="H135" s="18"/>
      <c r="I135" s="177">
        <f t="shared" si="4"/>
        <v>0</v>
      </c>
      <c r="J135" s="2"/>
      <c r="K135" t="e">
        <f>VLOOKUP(B135,#REF!,2,FALSE)</f>
        <v>#REF!</v>
      </c>
      <c r="N135" s="2">
        <f t="shared" si="5"/>
        <v>0</v>
      </c>
      <c r="O135">
        <f t="shared" si="6"/>
        <v>0</v>
      </c>
      <c r="P135" s="2"/>
      <c r="Q135" s="2">
        <f t="shared" si="7"/>
        <v>0</v>
      </c>
    </row>
    <row r="136" spans="2:17" x14ac:dyDescent="0.25">
      <c r="B136" s="30" t="s">
        <v>598</v>
      </c>
      <c r="C136" s="31" t="s">
        <v>133</v>
      </c>
      <c r="D136" s="2">
        <v>3642.5</v>
      </c>
      <c r="E136" s="32"/>
      <c r="F136" s="32">
        <v>48</v>
      </c>
      <c r="G136" s="18">
        <v>0</v>
      </c>
      <c r="I136" s="177">
        <f t="shared" si="4"/>
        <v>3690.5</v>
      </c>
      <c r="J136" s="2"/>
      <c r="K136" t="e">
        <f>VLOOKUP(B136,#REF!,2,FALSE)</f>
        <v>#REF!</v>
      </c>
      <c r="N136" s="2">
        <f t="shared" si="5"/>
        <v>0</v>
      </c>
      <c r="O136">
        <f t="shared" si="6"/>
        <v>0</v>
      </c>
      <c r="P136" s="2"/>
      <c r="Q136" s="2">
        <f t="shared" si="7"/>
        <v>0</v>
      </c>
    </row>
    <row r="137" spans="2:17" x14ac:dyDescent="0.25">
      <c r="B137" s="30" t="s">
        <v>599</v>
      </c>
      <c r="C137" s="31" t="s">
        <v>134</v>
      </c>
      <c r="D137" s="2">
        <v>314.66000000000003</v>
      </c>
      <c r="E137" s="32"/>
      <c r="F137" s="32">
        <v>4</v>
      </c>
      <c r="G137" s="18">
        <v>0</v>
      </c>
      <c r="H137" s="18"/>
      <c r="I137" s="177">
        <f t="shared" ref="I137:I200" si="8">IF(D137+E137+F137-G137+Q137&lt;0,0,D137+E137+F137+Q137-G137)</f>
        <v>318.66000000000003</v>
      </c>
      <c r="J137" s="2"/>
      <c r="K137" t="e">
        <f>VLOOKUP(B137,#REF!,2,FALSE)</f>
        <v>#REF!</v>
      </c>
      <c r="N137" s="2">
        <f t="shared" ref="N137:N200" si="9">IFERROR(D137/L137,0)</f>
        <v>0</v>
      </c>
      <c r="O137">
        <f t="shared" ref="O137:O200" si="10">M137-L137</f>
        <v>0</v>
      </c>
      <c r="P137" s="2"/>
      <c r="Q137" s="2">
        <f t="shared" ref="Q137:Q200" si="11">O137*N137</f>
        <v>0</v>
      </c>
    </row>
    <row r="138" spans="2:17" x14ac:dyDescent="0.25">
      <c r="B138" s="30" t="s">
        <v>600</v>
      </c>
      <c r="C138" s="31" t="s">
        <v>135</v>
      </c>
      <c r="D138" s="2">
        <v>0</v>
      </c>
      <c r="E138" s="32"/>
      <c r="F138" s="32">
        <v>0</v>
      </c>
      <c r="G138" s="18">
        <v>0</v>
      </c>
      <c r="H138" s="18"/>
      <c r="I138" s="177">
        <f t="shared" si="8"/>
        <v>0</v>
      </c>
      <c r="J138" s="2"/>
      <c r="K138" t="e">
        <f>VLOOKUP(B138,#REF!,2,FALSE)</f>
        <v>#REF!</v>
      </c>
      <c r="N138" s="2">
        <f t="shared" si="9"/>
        <v>0</v>
      </c>
      <c r="O138">
        <f t="shared" si="10"/>
        <v>0</v>
      </c>
      <c r="P138" s="2"/>
      <c r="Q138" s="2">
        <f t="shared" si="11"/>
        <v>0</v>
      </c>
    </row>
    <row r="139" spans="2:17" x14ac:dyDescent="0.25">
      <c r="B139" s="30" t="s">
        <v>601</v>
      </c>
      <c r="C139" s="31" t="s">
        <v>136</v>
      </c>
      <c r="D139" s="2">
        <v>5</v>
      </c>
      <c r="E139" s="32"/>
      <c r="F139" s="32">
        <v>0</v>
      </c>
      <c r="G139" s="18">
        <v>0</v>
      </c>
      <c r="I139" s="177">
        <f t="shared" si="8"/>
        <v>5</v>
      </c>
      <c r="J139" s="2"/>
      <c r="K139" t="e">
        <f>VLOOKUP(B139,#REF!,2,FALSE)</f>
        <v>#REF!</v>
      </c>
      <c r="N139" s="2">
        <f t="shared" si="9"/>
        <v>0</v>
      </c>
      <c r="O139">
        <f t="shared" si="10"/>
        <v>0</v>
      </c>
      <c r="P139" s="2"/>
      <c r="Q139" s="2">
        <f t="shared" si="11"/>
        <v>0</v>
      </c>
    </row>
    <row r="140" spans="2:17" x14ac:dyDescent="0.25">
      <c r="B140" s="30" t="s">
        <v>440</v>
      </c>
      <c r="C140" s="31" t="s">
        <v>137</v>
      </c>
      <c r="D140" s="2">
        <v>23</v>
      </c>
      <c r="E140" s="32"/>
      <c r="F140" s="32">
        <v>0</v>
      </c>
      <c r="G140" s="18">
        <v>0</v>
      </c>
      <c r="I140" s="177">
        <f t="shared" si="8"/>
        <v>23</v>
      </c>
      <c r="J140" s="2"/>
      <c r="K140" t="e">
        <f>VLOOKUP(B140,#REF!,2,FALSE)</f>
        <v>#REF!</v>
      </c>
      <c r="N140" s="2">
        <f t="shared" si="9"/>
        <v>0</v>
      </c>
      <c r="O140">
        <f t="shared" si="10"/>
        <v>0</v>
      </c>
      <c r="P140" s="2"/>
      <c r="Q140" s="2">
        <f t="shared" si="11"/>
        <v>0</v>
      </c>
    </row>
    <row r="141" spans="2:17" x14ac:dyDescent="0.25">
      <c r="B141" s="30" t="s">
        <v>602</v>
      </c>
      <c r="C141" s="31" t="s">
        <v>138</v>
      </c>
      <c r="D141" s="2">
        <v>551.17000000000007</v>
      </c>
      <c r="E141" s="32"/>
      <c r="F141" s="32">
        <v>15.166666666666666</v>
      </c>
      <c r="G141" s="18">
        <v>0</v>
      </c>
      <c r="I141" s="177">
        <f t="shared" si="8"/>
        <v>566.3366666666667</v>
      </c>
      <c r="J141" s="2"/>
      <c r="K141" t="e">
        <f>VLOOKUP(B141,#REF!,2,FALSE)</f>
        <v>#REF!</v>
      </c>
      <c r="N141" s="2">
        <f t="shared" si="9"/>
        <v>0</v>
      </c>
      <c r="O141">
        <f t="shared" si="10"/>
        <v>0</v>
      </c>
      <c r="P141" s="2"/>
      <c r="Q141" s="2">
        <f t="shared" si="11"/>
        <v>0</v>
      </c>
    </row>
    <row r="142" spans="2:17" x14ac:dyDescent="0.25">
      <c r="B142" s="30" t="s">
        <v>603</v>
      </c>
      <c r="C142" s="31" t="s">
        <v>139</v>
      </c>
      <c r="D142" s="2">
        <v>0</v>
      </c>
      <c r="E142" s="32"/>
      <c r="F142" s="32">
        <v>0</v>
      </c>
      <c r="G142" s="18">
        <v>0</v>
      </c>
      <c r="I142" s="177">
        <f t="shared" si="8"/>
        <v>0</v>
      </c>
      <c r="J142" s="2"/>
      <c r="K142" t="e">
        <f>VLOOKUP(B142,#REF!,2,FALSE)</f>
        <v>#REF!</v>
      </c>
      <c r="N142" s="2">
        <f t="shared" si="9"/>
        <v>0</v>
      </c>
      <c r="O142">
        <f t="shared" si="10"/>
        <v>0</v>
      </c>
      <c r="P142" s="2"/>
      <c r="Q142" s="2">
        <f t="shared" si="11"/>
        <v>0</v>
      </c>
    </row>
    <row r="143" spans="2:17" x14ac:dyDescent="0.25">
      <c r="B143" s="33" t="s">
        <v>488</v>
      </c>
      <c r="C143" s="34" t="s">
        <v>140</v>
      </c>
      <c r="D143" s="2">
        <v>22.84</v>
      </c>
      <c r="E143" s="32"/>
      <c r="F143" s="32">
        <v>0</v>
      </c>
      <c r="G143" s="18">
        <v>0</v>
      </c>
      <c r="H143" s="18"/>
      <c r="I143" s="177">
        <f t="shared" si="8"/>
        <v>22.84</v>
      </c>
      <c r="J143" s="2"/>
      <c r="K143" t="e">
        <f>VLOOKUP(B143,#REF!,2,FALSE)</f>
        <v>#REF!</v>
      </c>
      <c r="N143" s="2">
        <f t="shared" si="9"/>
        <v>0</v>
      </c>
      <c r="O143">
        <f t="shared" si="10"/>
        <v>0</v>
      </c>
      <c r="P143" s="2"/>
      <c r="Q143" s="2">
        <f t="shared" si="11"/>
        <v>0</v>
      </c>
    </row>
    <row r="144" spans="2:17" x14ac:dyDescent="0.25">
      <c r="B144" s="34" t="s">
        <v>604</v>
      </c>
      <c r="C144" s="31" t="s">
        <v>141</v>
      </c>
      <c r="D144" s="2">
        <v>2.67</v>
      </c>
      <c r="E144" s="32"/>
      <c r="F144" s="32">
        <v>0</v>
      </c>
      <c r="G144" s="18">
        <v>0</v>
      </c>
      <c r="I144" s="177">
        <f t="shared" si="8"/>
        <v>2.67</v>
      </c>
      <c r="J144" s="2"/>
      <c r="K144" t="e">
        <f>VLOOKUP(B144,#REF!,2,FALSE)</f>
        <v>#REF!</v>
      </c>
      <c r="N144" s="2">
        <f t="shared" si="9"/>
        <v>0</v>
      </c>
      <c r="O144">
        <f t="shared" si="10"/>
        <v>0</v>
      </c>
      <c r="P144" s="2"/>
      <c r="Q144" s="2">
        <f t="shared" si="11"/>
        <v>0</v>
      </c>
    </row>
    <row r="145" spans="2:17" x14ac:dyDescent="0.25">
      <c r="B145" s="30" t="s">
        <v>783</v>
      </c>
      <c r="C145" s="31" t="s">
        <v>142</v>
      </c>
      <c r="D145" s="2">
        <v>0</v>
      </c>
      <c r="E145" s="32"/>
      <c r="F145" s="32">
        <v>0</v>
      </c>
      <c r="G145" s="18">
        <v>0</v>
      </c>
      <c r="I145" s="177">
        <f t="shared" si="8"/>
        <v>0</v>
      </c>
      <c r="J145" s="2"/>
      <c r="K145" t="e">
        <f>VLOOKUP(B145,#REF!,2,FALSE)</f>
        <v>#REF!</v>
      </c>
      <c r="N145" s="2">
        <f t="shared" si="9"/>
        <v>0</v>
      </c>
      <c r="O145">
        <f t="shared" si="10"/>
        <v>0</v>
      </c>
      <c r="P145" s="2"/>
      <c r="Q145" s="2">
        <f t="shared" si="11"/>
        <v>0</v>
      </c>
    </row>
    <row r="146" spans="2:17" x14ac:dyDescent="0.25">
      <c r="B146" s="30" t="s">
        <v>605</v>
      </c>
      <c r="C146" s="31" t="s">
        <v>143</v>
      </c>
      <c r="D146" s="2">
        <v>10.17</v>
      </c>
      <c r="E146" s="32"/>
      <c r="F146" s="32">
        <v>0</v>
      </c>
      <c r="G146" s="18">
        <v>0</v>
      </c>
      <c r="I146" s="177">
        <f t="shared" si="8"/>
        <v>10.17</v>
      </c>
      <c r="J146" s="2"/>
      <c r="K146" t="e">
        <f>VLOOKUP(B146,#REF!,2,FALSE)</f>
        <v>#REF!</v>
      </c>
      <c r="N146" s="2">
        <f t="shared" si="9"/>
        <v>0</v>
      </c>
      <c r="O146">
        <f t="shared" si="10"/>
        <v>0</v>
      </c>
      <c r="P146" s="2"/>
      <c r="Q146" s="2">
        <f t="shared" si="11"/>
        <v>0</v>
      </c>
    </row>
    <row r="147" spans="2:17" x14ac:dyDescent="0.25">
      <c r="B147" s="30" t="s">
        <v>606</v>
      </c>
      <c r="C147" s="31" t="s">
        <v>144</v>
      </c>
      <c r="D147" s="2">
        <v>459.5</v>
      </c>
      <c r="E147" s="32"/>
      <c r="F147" s="32">
        <v>0</v>
      </c>
      <c r="G147" s="18">
        <v>1</v>
      </c>
      <c r="I147" s="177">
        <f t="shared" si="8"/>
        <v>458.5</v>
      </c>
      <c r="J147" s="2"/>
      <c r="K147" t="e">
        <f>VLOOKUP(B147,#REF!,2,FALSE)</f>
        <v>#REF!</v>
      </c>
      <c r="N147" s="2">
        <f t="shared" si="9"/>
        <v>0</v>
      </c>
      <c r="O147">
        <f t="shared" si="10"/>
        <v>0</v>
      </c>
      <c r="P147" s="2"/>
      <c r="Q147" s="2">
        <f t="shared" si="11"/>
        <v>0</v>
      </c>
    </row>
    <row r="148" spans="2:17" x14ac:dyDescent="0.25">
      <c r="B148" s="30" t="s">
        <v>607</v>
      </c>
      <c r="C148" s="31" t="s">
        <v>145</v>
      </c>
      <c r="D148" s="2">
        <v>295.83999999999997</v>
      </c>
      <c r="E148" s="32"/>
      <c r="F148" s="32">
        <v>0</v>
      </c>
      <c r="G148" s="18">
        <v>0</v>
      </c>
      <c r="H148" s="18"/>
      <c r="I148" s="177">
        <f t="shared" si="8"/>
        <v>295.83999999999997</v>
      </c>
      <c r="J148" s="2"/>
      <c r="K148" t="e">
        <f>VLOOKUP(B148,#REF!,2,FALSE)</f>
        <v>#REF!</v>
      </c>
      <c r="N148" s="2">
        <f t="shared" si="9"/>
        <v>0</v>
      </c>
      <c r="O148">
        <f t="shared" si="10"/>
        <v>0</v>
      </c>
      <c r="P148" s="2"/>
      <c r="Q148" s="2">
        <f t="shared" si="11"/>
        <v>0</v>
      </c>
    </row>
    <row r="149" spans="2:17" x14ac:dyDescent="0.25">
      <c r="B149" s="30" t="s">
        <v>608</v>
      </c>
      <c r="C149" s="31" t="s">
        <v>146</v>
      </c>
      <c r="D149" s="2">
        <v>3</v>
      </c>
      <c r="E149" s="32"/>
      <c r="F149" s="32">
        <v>0</v>
      </c>
      <c r="G149" s="18">
        <v>0</v>
      </c>
      <c r="H149" s="18"/>
      <c r="I149" s="177">
        <f t="shared" si="8"/>
        <v>3</v>
      </c>
      <c r="J149" s="2"/>
      <c r="K149" t="e">
        <f>VLOOKUP(B149,#REF!,2,FALSE)</f>
        <v>#REF!</v>
      </c>
      <c r="N149" s="2">
        <f t="shared" si="9"/>
        <v>0</v>
      </c>
      <c r="O149">
        <f t="shared" si="10"/>
        <v>0</v>
      </c>
      <c r="P149" s="2"/>
      <c r="Q149" s="2">
        <f t="shared" si="11"/>
        <v>0</v>
      </c>
    </row>
    <row r="150" spans="2:17" x14ac:dyDescent="0.25">
      <c r="B150" s="30" t="s">
        <v>609</v>
      </c>
      <c r="C150" s="31" t="s">
        <v>147</v>
      </c>
      <c r="D150" s="2">
        <v>232.17</v>
      </c>
      <c r="E150" s="32"/>
      <c r="F150" s="32">
        <v>0</v>
      </c>
      <c r="G150" s="18">
        <v>0</v>
      </c>
      <c r="H150" s="18"/>
      <c r="I150" s="177">
        <f t="shared" si="8"/>
        <v>232.17</v>
      </c>
      <c r="J150" s="2"/>
      <c r="K150" t="e">
        <f>VLOOKUP(B150,#REF!,2,FALSE)</f>
        <v>#REF!</v>
      </c>
      <c r="N150" s="2">
        <f t="shared" si="9"/>
        <v>0</v>
      </c>
      <c r="O150">
        <f t="shared" si="10"/>
        <v>0</v>
      </c>
      <c r="P150" s="2"/>
      <c r="Q150" s="2">
        <f t="shared" si="11"/>
        <v>0</v>
      </c>
    </row>
    <row r="151" spans="2:17" x14ac:dyDescent="0.25">
      <c r="B151" s="30" t="s">
        <v>610</v>
      </c>
      <c r="C151" s="31" t="s">
        <v>148</v>
      </c>
      <c r="D151" s="2">
        <v>13.17</v>
      </c>
      <c r="E151" s="32"/>
      <c r="F151" s="32">
        <v>1</v>
      </c>
      <c r="G151" s="18">
        <v>0</v>
      </c>
      <c r="I151" s="177">
        <f t="shared" si="8"/>
        <v>14.17</v>
      </c>
      <c r="J151" s="2"/>
      <c r="K151" t="e">
        <f>VLOOKUP(B151,#REF!,2,FALSE)</f>
        <v>#REF!</v>
      </c>
      <c r="N151" s="2">
        <f t="shared" si="9"/>
        <v>0</v>
      </c>
      <c r="O151">
        <f t="shared" si="10"/>
        <v>0</v>
      </c>
      <c r="P151" s="2"/>
      <c r="Q151" s="2">
        <f t="shared" si="11"/>
        <v>0</v>
      </c>
    </row>
    <row r="152" spans="2:17" x14ac:dyDescent="0.25">
      <c r="B152" s="30" t="s">
        <v>611</v>
      </c>
      <c r="C152" s="31" t="s">
        <v>149</v>
      </c>
      <c r="D152" s="2">
        <v>0</v>
      </c>
      <c r="E152" s="32"/>
      <c r="F152" s="32">
        <v>0</v>
      </c>
      <c r="G152" s="18">
        <v>0</v>
      </c>
      <c r="I152" s="177">
        <f t="shared" si="8"/>
        <v>0</v>
      </c>
      <c r="J152" s="2"/>
      <c r="K152" t="e">
        <f>VLOOKUP(B152,#REF!,2,FALSE)</f>
        <v>#REF!</v>
      </c>
      <c r="N152" s="2">
        <f t="shared" si="9"/>
        <v>0</v>
      </c>
      <c r="O152">
        <f t="shared" si="10"/>
        <v>0</v>
      </c>
      <c r="P152" s="2"/>
      <c r="Q152" s="2">
        <f t="shared" si="11"/>
        <v>0</v>
      </c>
    </row>
    <row r="153" spans="2:17" x14ac:dyDescent="0.25">
      <c r="B153" s="30" t="s">
        <v>612</v>
      </c>
      <c r="C153" s="31" t="s">
        <v>150</v>
      </c>
      <c r="D153" s="2">
        <v>1193.8399999999999</v>
      </c>
      <c r="E153" s="32"/>
      <c r="F153" s="32">
        <v>107.16666666666667</v>
      </c>
      <c r="G153" s="18">
        <v>1</v>
      </c>
      <c r="I153" s="177">
        <f t="shared" si="8"/>
        <v>1300.0066666666667</v>
      </c>
      <c r="J153" s="2"/>
      <c r="K153" t="e">
        <f>VLOOKUP(B153,#REF!,2,FALSE)</f>
        <v>#REF!</v>
      </c>
      <c r="N153" s="2">
        <f t="shared" si="9"/>
        <v>0</v>
      </c>
      <c r="O153">
        <f t="shared" si="10"/>
        <v>0</v>
      </c>
      <c r="P153" s="2"/>
      <c r="Q153" s="2">
        <f t="shared" si="11"/>
        <v>0</v>
      </c>
    </row>
    <row r="154" spans="2:17" x14ac:dyDescent="0.25">
      <c r="B154" s="30" t="s">
        <v>613</v>
      </c>
      <c r="C154" s="31" t="s">
        <v>151</v>
      </c>
      <c r="D154" s="2">
        <v>1</v>
      </c>
      <c r="E154" s="32"/>
      <c r="F154" s="32">
        <v>0</v>
      </c>
      <c r="G154" s="18">
        <v>0</v>
      </c>
      <c r="I154" s="177">
        <f t="shared" si="8"/>
        <v>1</v>
      </c>
      <c r="J154" s="2"/>
      <c r="K154" t="e">
        <f>VLOOKUP(B154,#REF!,2,FALSE)</f>
        <v>#REF!</v>
      </c>
      <c r="N154" s="2">
        <f t="shared" si="9"/>
        <v>0</v>
      </c>
      <c r="O154">
        <f t="shared" si="10"/>
        <v>0</v>
      </c>
      <c r="P154" s="2"/>
      <c r="Q154" s="2">
        <f t="shared" si="11"/>
        <v>0</v>
      </c>
    </row>
    <row r="155" spans="2:17" x14ac:dyDescent="0.25">
      <c r="B155" s="30" t="s">
        <v>614</v>
      </c>
      <c r="C155" s="31" t="s">
        <v>152</v>
      </c>
      <c r="D155" s="2">
        <v>439.67</v>
      </c>
      <c r="E155" s="32"/>
      <c r="F155" s="32">
        <v>32.333333333333336</v>
      </c>
      <c r="G155" s="18">
        <v>0</v>
      </c>
      <c r="H155" s="18"/>
      <c r="I155" s="177">
        <f t="shared" si="8"/>
        <v>472.00333333333333</v>
      </c>
      <c r="J155" s="2"/>
      <c r="K155" t="e">
        <f>VLOOKUP(B155,#REF!,2,FALSE)</f>
        <v>#REF!</v>
      </c>
      <c r="N155" s="2">
        <f t="shared" si="9"/>
        <v>0</v>
      </c>
      <c r="O155">
        <f t="shared" si="10"/>
        <v>0</v>
      </c>
      <c r="P155" s="2"/>
      <c r="Q155" s="2">
        <f t="shared" si="11"/>
        <v>0</v>
      </c>
    </row>
    <row r="156" spans="2:17" x14ac:dyDescent="0.25">
      <c r="B156" s="30" t="s">
        <v>615</v>
      </c>
      <c r="C156" s="31" t="s">
        <v>153</v>
      </c>
      <c r="D156" s="2">
        <v>25.83</v>
      </c>
      <c r="E156" s="32"/>
      <c r="F156" s="32">
        <v>0</v>
      </c>
      <c r="G156" s="18">
        <v>0</v>
      </c>
      <c r="H156" s="18"/>
      <c r="I156" s="177">
        <f t="shared" si="8"/>
        <v>25.83</v>
      </c>
      <c r="J156" s="2"/>
      <c r="K156" t="e">
        <f>VLOOKUP(B156,#REF!,2,FALSE)</f>
        <v>#REF!</v>
      </c>
      <c r="N156" s="2">
        <f t="shared" si="9"/>
        <v>0</v>
      </c>
      <c r="O156">
        <f t="shared" si="10"/>
        <v>0</v>
      </c>
      <c r="P156" s="2"/>
      <c r="Q156" s="2">
        <f t="shared" si="11"/>
        <v>0</v>
      </c>
    </row>
    <row r="157" spans="2:17" x14ac:dyDescent="0.25">
      <c r="B157" s="30" t="s">
        <v>616</v>
      </c>
      <c r="C157" s="31" t="s">
        <v>154</v>
      </c>
      <c r="D157" s="2">
        <v>142.82999999999998</v>
      </c>
      <c r="E157" s="32"/>
      <c r="F157" s="32">
        <v>0</v>
      </c>
      <c r="G157" s="18">
        <v>0</v>
      </c>
      <c r="H157" s="18"/>
      <c r="I157" s="177">
        <f t="shared" si="8"/>
        <v>142.82999999999998</v>
      </c>
      <c r="J157" s="2"/>
      <c r="K157" t="e">
        <f>VLOOKUP(B157,#REF!,2,FALSE)</f>
        <v>#REF!</v>
      </c>
      <c r="N157" s="2">
        <f t="shared" si="9"/>
        <v>0</v>
      </c>
      <c r="O157">
        <f t="shared" si="10"/>
        <v>0</v>
      </c>
      <c r="P157" s="2"/>
      <c r="Q157" s="2">
        <f t="shared" si="11"/>
        <v>0</v>
      </c>
    </row>
    <row r="158" spans="2:17" x14ac:dyDescent="0.25">
      <c r="B158" s="30" t="s">
        <v>617</v>
      </c>
      <c r="C158" s="31" t="s">
        <v>155</v>
      </c>
      <c r="D158" s="2">
        <v>271.33</v>
      </c>
      <c r="E158" s="32"/>
      <c r="F158" s="32">
        <v>12.5</v>
      </c>
      <c r="G158" s="18">
        <v>1</v>
      </c>
      <c r="H158" s="18"/>
      <c r="I158" s="177">
        <f t="shared" si="8"/>
        <v>282.83</v>
      </c>
      <c r="J158" s="2"/>
      <c r="K158" t="e">
        <f>VLOOKUP(B158,#REF!,2,FALSE)</f>
        <v>#REF!</v>
      </c>
      <c r="N158" s="2">
        <f t="shared" si="9"/>
        <v>0</v>
      </c>
      <c r="O158">
        <f t="shared" si="10"/>
        <v>0</v>
      </c>
      <c r="P158" s="2"/>
      <c r="Q158" s="2">
        <f t="shared" si="11"/>
        <v>0</v>
      </c>
    </row>
    <row r="159" spans="2:17" x14ac:dyDescent="0.25">
      <c r="B159" s="30" t="s">
        <v>618</v>
      </c>
      <c r="C159" s="31" t="s">
        <v>156</v>
      </c>
      <c r="D159" s="2">
        <v>28.67</v>
      </c>
      <c r="E159" s="32"/>
      <c r="F159" s="32">
        <v>0</v>
      </c>
      <c r="G159" s="18">
        <v>0</v>
      </c>
      <c r="H159" s="18"/>
      <c r="I159" s="177">
        <f t="shared" si="8"/>
        <v>28.67</v>
      </c>
      <c r="J159" s="2"/>
      <c r="K159" t="e">
        <f>VLOOKUP(B159,#REF!,2,FALSE)</f>
        <v>#REF!</v>
      </c>
      <c r="N159" s="2">
        <f t="shared" si="9"/>
        <v>0</v>
      </c>
      <c r="O159">
        <f t="shared" si="10"/>
        <v>0</v>
      </c>
      <c r="P159" s="2"/>
      <c r="Q159" s="2">
        <f t="shared" si="11"/>
        <v>0</v>
      </c>
    </row>
    <row r="160" spans="2:17" x14ac:dyDescent="0.25">
      <c r="B160" s="30" t="s">
        <v>619</v>
      </c>
      <c r="C160" s="31" t="s">
        <v>157</v>
      </c>
      <c r="D160" s="2">
        <v>0</v>
      </c>
      <c r="E160" s="32"/>
      <c r="F160" s="32">
        <v>0</v>
      </c>
      <c r="G160" s="18">
        <v>0</v>
      </c>
      <c r="I160" s="177">
        <f t="shared" si="8"/>
        <v>0</v>
      </c>
      <c r="J160" s="2"/>
      <c r="K160" t="e">
        <f>VLOOKUP(B160,#REF!,2,FALSE)</f>
        <v>#REF!</v>
      </c>
      <c r="N160" s="2">
        <f t="shared" si="9"/>
        <v>0</v>
      </c>
      <c r="O160">
        <f t="shared" si="10"/>
        <v>0</v>
      </c>
      <c r="P160" s="2"/>
      <c r="Q160" s="2">
        <f t="shared" si="11"/>
        <v>0</v>
      </c>
    </row>
    <row r="161" spans="2:17" x14ac:dyDescent="0.25">
      <c r="B161" s="30" t="s">
        <v>620</v>
      </c>
      <c r="C161" s="31" t="s">
        <v>158</v>
      </c>
      <c r="D161" s="2">
        <v>828.16</v>
      </c>
      <c r="E161" s="32"/>
      <c r="F161" s="32">
        <v>10</v>
      </c>
      <c r="G161" s="18">
        <v>0</v>
      </c>
      <c r="H161" s="18"/>
      <c r="I161" s="177">
        <f t="shared" si="8"/>
        <v>838.16</v>
      </c>
      <c r="J161" s="2"/>
      <c r="K161" t="e">
        <f>VLOOKUP(B161,#REF!,2,FALSE)</f>
        <v>#REF!</v>
      </c>
      <c r="N161" s="2">
        <f t="shared" si="9"/>
        <v>0</v>
      </c>
      <c r="O161">
        <f t="shared" si="10"/>
        <v>0</v>
      </c>
      <c r="P161" s="2"/>
      <c r="Q161" s="2">
        <f t="shared" si="11"/>
        <v>0</v>
      </c>
    </row>
    <row r="162" spans="2:17" x14ac:dyDescent="0.25">
      <c r="B162" s="30" t="s">
        <v>621</v>
      </c>
      <c r="C162" s="31" t="s">
        <v>159</v>
      </c>
      <c r="D162" s="2">
        <v>37.67</v>
      </c>
      <c r="E162" s="32"/>
      <c r="F162" s="32">
        <v>0</v>
      </c>
      <c r="G162" s="18">
        <v>0</v>
      </c>
      <c r="H162" s="18"/>
      <c r="I162" s="177">
        <f t="shared" si="8"/>
        <v>37.67</v>
      </c>
      <c r="J162" s="2"/>
      <c r="K162" t="e">
        <f>VLOOKUP(B162,#REF!,2,FALSE)</f>
        <v>#REF!</v>
      </c>
      <c r="N162" s="2">
        <f t="shared" si="9"/>
        <v>0</v>
      </c>
      <c r="O162">
        <f t="shared" si="10"/>
        <v>0</v>
      </c>
      <c r="P162" s="2"/>
      <c r="Q162" s="2">
        <f t="shared" si="11"/>
        <v>0</v>
      </c>
    </row>
    <row r="163" spans="2:17" x14ac:dyDescent="0.25">
      <c r="B163" s="30" t="s">
        <v>622</v>
      </c>
      <c r="C163" s="31" t="s">
        <v>160</v>
      </c>
      <c r="D163" s="2">
        <v>0</v>
      </c>
      <c r="E163" s="32"/>
      <c r="F163" s="32">
        <v>0</v>
      </c>
      <c r="G163" s="18">
        <v>0</v>
      </c>
      <c r="H163" s="18"/>
      <c r="I163" s="177">
        <f t="shared" si="8"/>
        <v>0</v>
      </c>
      <c r="J163" s="2"/>
      <c r="K163" t="e">
        <f>VLOOKUP(B163,#REF!,2,FALSE)</f>
        <v>#REF!</v>
      </c>
      <c r="N163" s="2">
        <f t="shared" si="9"/>
        <v>0</v>
      </c>
      <c r="O163">
        <f t="shared" si="10"/>
        <v>0</v>
      </c>
      <c r="P163" s="2"/>
      <c r="Q163" s="2">
        <f t="shared" si="11"/>
        <v>0</v>
      </c>
    </row>
    <row r="164" spans="2:17" x14ac:dyDescent="0.25">
      <c r="B164" s="30" t="s">
        <v>623</v>
      </c>
      <c r="C164" s="31" t="s">
        <v>161</v>
      </c>
      <c r="D164" s="2">
        <v>1256.5</v>
      </c>
      <c r="E164" s="32"/>
      <c r="F164" s="32">
        <v>5</v>
      </c>
      <c r="G164" s="18">
        <v>0</v>
      </c>
      <c r="H164" s="18"/>
      <c r="I164" s="177">
        <f t="shared" si="8"/>
        <v>1261.5</v>
      </c>
      <c r="J164" s="2"/>
      <c r="K164" t="e">
        <f>VLOOKUP(B164,#REF!,2,FALSE)</f>
        <v>#REF!</v>
      </c>
      <c r="N164" s="2">
        <f t="shared" si="9"/>
        <v>0</v>
      </c>
      <c r="O164">
        <f t="shared" si="10"/>
        <v>0</v>
      </c>
      <c r="P164" s="2"/>
      <c r="Q164" s="2">
        <f t="shared" si="11"/>
        <v>0</v>
      </c>
    </row>
    <row r="165" spans="2:17" x14ac:dyDescent="0.25">
      <c r="B165" s="30" t="s">
        <v>468</v>
      </c>
      <c r="C165" s="31" t="s">
        <v>162</v>
      </c>
      <c r="D165" s="2">
        <v>68.17</v>
      </c>
      <c r="E165" s="32"/>
      <c r="F165" s="32">
        <v>0</v>
      </c>
      <c r="G165" s="18">
        <v>0</v>
      </c>
      <c r="I165" s="177">
        <f t="shared" si="8"/>
        <v>68.17</v>
      </c>
      <c r="J165" s="2"/>
      <c r="K165" t="e">
        <f>VLOOKUP(B165,#REF!,2,FALSE)</f>
        <v>#REF!</v>
      </c>
      <c r="N165" s="2">
        <f t="shared" si="9"/>
        <v>0</v>
      </c>
      <c r="O165">
        <f t="shared" si="10"/>
        <v>0</v>
      </c>
      <c r="P165" s="2"/>
      <c r="Q165" s="2">
        <f t="shared" si="11"/>
        <v>0</v>
      </c>
    </row>
    <row r="166" spans="2:17" x14ac:dyDescent="0.25">
      <c r="B166" s="30" t="s">
        <v>624</v>
      </c>
      <c r="C166" s="31" t="s">
        <v>163</v>
      </c>
      <c r="D166" s="2">
        <v>136.16</v>
      </c>
      <c r="E166" s="32"/>
      <c r="F166" s="32">
        <v>263.16666666666669</v>
      </c>
      <c r="G166" s="18">
        <v>0</v>
      </c>
      <c r="I166" s="177">
        <f t="shared" si="8"/>
        <v>399.32666666666671</v>
      </c>
      <c r="J166" s="2"/>
      <c r="K166" t="e">
        <f>VLOOKUP(B166,#REF!,2,FALSE)</f>
        <v>#REF!</v>
      </c>
      <c r="N166" s="2">
        <f t="shared" si="9"/>
        <v>0</v>
      </c>
      <c r="O166">
        <f t="shared" si="10"/>
        <v>0</v>
      </c>
      <c r="P166" s="2"/>
      <c r="Q166" s="2">
        <f t="shared" si="11"/>
        <v>0</v>
      </c>
    </row>
    <row r="167" spans="2:17" x14ac:dyDescent="0.25">
      <c r="B167" s="30" t="s">
        <v>625</v>
      </c>
      <c r="C167" s="31" t="s">
        <v>164</v>
      </c>
      <c r="D167" s="2">
        <v>100</v>
      </c>
      <c r="E167" s="32"/>
      <c r="F167" s="32">
        <v>38</v>
      </c>
      <c r="G167" s="18">
        <v>0</v>
      </c>
      <c r="I167" s="177">
        <f t="shared" si="8"/>
        <v>138</v>
      </c>
      <c r="J167" s="2"/>
      <c r="K167" t="e">
        <f>VLOOKUP(B167,#REF!,2,FALSE)</f>
        <v>#REF!</v>
      </c>
      <c r="N167" s="2">
        <f t="shared" si="9"/>
        <v>0</v>
      </c>
      <c r="O167">
        <f t="shared" si="10"/>
        <v>0</v>
      </c>
      <c r="P167" s="2"/>
      <c r="Q167" s="2">
        <f t="shared" si="11"/>
        <v>0</v>
      </c>
    </row>
    <row r="168" spans="2:17" x14ac:dyDescent="0.25">
      <c r="B168" s="30" t="s">
        <v>626</v>
      </c>
      <c r="C168" s="31" t="s">
        <v>165</v>
      </c>
      <c r="D168" s="2">
        <v>0</v>
      </c>
      <c r="E168" s="32"/>
      <c r="F168" s="32">
        <v>0</v>
      </c>
      <c r="G168" s="18">
        <v>0</v>
      </c>
      <c r="I168" s="177">
        <f t="shared" si="8"/>
        <v>0</v>
      </c>
      <c r="J168" s="2"/>
      <c r="K168" t="e">
        <f>VLOOKUP(B168,#REF!,2,FALSE)</f>
        <v>#REF!</v>
      </c>
      <c r="N168" s="2">
        <f t="shared" si="9"/>
        <v>0</v>
      </c>
      <c r="O168">
        <f t="shared" si="10"/>
        <v>0</v>
      </c>
      <c r="P168" s="2"/>
      <c r="Q168" s="2">
        <f t="shared" si="11"/>
        <v>0</v>
      </c>
    </row>
    <row r="169" spans="2:17" x14ac:dyDescent="0.25">
      <c r="B169" s="34" t="s">
        <v>627</v>
      </c>
      <c r="C169" s="31" t="s">
        <v>166</v>
      </c>
      <c r="D169" s="2">
        <v>1857.17</v>
      </c>
      <c r="E169" s="32">
        <v>2</v>
      </c>
      <c r="F169" s="32">
        <v>10.333333333333334</v>
      </c>
      <c r="G169" s="18">
        <v>0</v>
      </c>
      <c r="H169" s="18"/>
      <c r="I169" s="177">
        <f t="shared" si="8"/>
        <v>1869.5033333333333</v>
      </c>
      <c r="J169" s="2"/>
      <c r="K169" t="e">
        <f>VLOOKUP(B169,#REF!,2,FALSE)</f>
        <v>#REF!</v>
      </c>
      <c r="N169" s="2">
        <f t="shared" si="9"/>
        <v>0</v>
      </c>
      <c r="O169">
        <f t="shared" si="10"/>
        <v>0</v>
      </c>
      <c r="P169" s="2"/>
      <c r="Q169" s="2">
        <f t="shared" si="11"/>
        <v>0</v>
      </c>
    </row>
    <row r="170" spans="2:17" x14ac:dyDescent="0.25">
      <c r="B170" s="30" t="s">
        <v>784</v>
      </c>
      <c r="C170" s="31" t="s">
        <v>167</v>
      </c>
      <c r="D170" s="2">
        <v>0</v>
      </c>
      <c r="E170" s="32"/>
      <c r="F170" s="32">
        <v>0</v>
      </c>
      <c r="G170" s="18">
        <v>0</v>
      </c>
      <c r="H170" s="18"/>
      <c r="I170" s="177">
        <f t="shared" si="8"/>
        <v>0</v>
      </c>
      <c r="J170" s="2"/>
      <c r="K170" t="e">
        <f>VLOOKUP(B170,#REF!,2,FALSE)</f>
        <v>#REF!</v>
      </c>
      <c r="N170" s="2">
        <f t="shared" si="9"/>
        <v>0</v>
      </c>
      <c r="O170">
        <f t="shared" si="10"/>
        <v>0</v>
      </c>
      <c r="P170" s="2"/>
      <c r="Q170" s="2">
        <f t="shared" si="11"/>
        <v>0</v>
      </c>
    </row>
    <row r="171" spans="2:17" x14ac:dyDescent="0.25">
      <c r="B171" s="30" t="s">
        <v>628</v>
      </c>
      <c r="C171" s="31" t="s">
        <v>168</v>
      </c>
      <c r="D171" s="2">
        <v>4263.67</v>
      </c>
      <c r="E171" s="32"/>
      <c r="F171" s="32">
        <v>8.6666666666666661</v>
      </c>
      <c r="G171" s="18">
        <v>0</v>
      </c>
      <c r="H171" s="18"/>
      <c r="I171" s="177">
        <f t="shared" si="8"/>
        <v>4272.336666666667</v>
      </c>
      <c r="J171" s="2"/>
      <c r="K171" t="e">
        <f>VLOOKUP(B171,#REF!,2,FALSE)</f>
        <v>#REF!</v>
      </c>
      <c r="N171" s="2">
        <f t="shared" si="9"/>
        <v>0</v>
      </c>
      <c r="O171">
        <f t="shared" si="10"/>
        <v>0</v>
      </c>
      <c r="P171" s="2"/>
      <c r="Q171" s="2">
        <f t="shared" si="11"/>
        <v>0</v>
      </c>
    </row>
    <row r="172" spans="2:17" x14ac:dyDescent="0.25">
      <c r="B172" s="30" t="s">
        <v>629</v>
      </c>
      <c r="C172" s="31" t="s">
        <v>169</v>
      </c>
      <c r="D172" s="2">
        <v>74</v>
      </c>
      <c r="E172" s="32"/>
      <c r="F172" s="32">
        <v>7.666666666666667</v>
      </c>
      <c r="G172" s="18">
        <v>0</v>
      </c>
      <c r="I172" s="177">
        <f t="shared" si="8"/>
        <v>81.666666666666671</v>
      </c>
      <c r="J172" s="2"/>
      <c r="K172" t="e">
        <f>VLOOKUP(B172,#REF!,2,FALSE)</f>
        <v>#REF!</v>
      </c>
      <c r="N172" s="2">
        <f t="shared" si="9"/>
        <v>0</v>
      </c>
      <c r="O172">
        <f t="shared" si="10"/>
        <v>0</v>
      </c>
      <c r="P172" s="2"/>
      <c r="Q172" s="2">
        <f t="shared" si="11"/>
        <v>0</v>
      </c>
    </row>
    <row r="173" spans="2:17" x14ac:dyDescent="0.25">
      <c r="B173" s="30" t="s">
        <v>630</v>
      </c>
      <c r="C173" s="31" t="s">
        <v>170</v>
      </c>
      <c r="D173" s="2">
        <v>21.33</v>
      </c>
      <c r="E173" s="32"/>
      <c r="F173" s="32">
        <v>0</v>
      </c>
      <c r="G173" s="18">
        <v>0</v>
      </c>
      <c r="H173" s="18"/>
      <c r="I173" s="177">
        <f t="shared" si="8"/>
        <v>21.33</v>
      </c>
      <c r="J173" s="2"/>
      <c r="K173" t="e">
        <f>VLOOKUP(B173,#REF!,2,FALSE)</f>
        <v>#REF!</v>
      </c>
      <c r="N173" s="2">
        <f t="shared" si="9"/>
        <v>0</v>
      </c>
      <c r="O173">
        <f t="shared" si="10"/>
        <v>0</v>
      </c>
      <c r="P173" s="2"/>
      <c r="Q173" s="2">
        <f t="shared" si="11"/>
        <v>0</v>
      </c>
    </row>
    <row r="174" spans="2:17" x14ac:dyDescent="0.25">
      <c r="B174" s="30" t="s">
        <v>477</v>
      </c>
      <c r="C174" s="31" t="s">
        <v>171</v>
      </c>
      <c r="D174" s="2">
        <v>10.67</v>
      </c>
      <c r="E174" s="32"/>
      <c r="F174" s="32">
        <v>0</v>
      </c>
      <c r="G174" s="18">
        <v>0</v>
      </c>
      <c r="I174" s="177">
        <f t="shared" si="8"/>
        <v>10.67</v>
      </c>
      <c r="J174" s="2"/>
      <c r="K174" t="e">
        <f>VLOOKUP(B174,#REF!,2,FALSE)</f>
        <v>#REF!</v>
      </c>
      <c r="N174" s="2">
        <f t="shared" si="9"/>
        <v>0</v>
      </c>
      <c r="O174">
        <f t="shared" si="10"/>
        <v>0</v>
      </c>
      <c r="P174" s="2"/>
      <c r="Q174" s="2">
        <f t="shared" si="11"/>
        <v>0</v>
      </c>
    </row>
    <row r="175" spans="2:17" x14ac:dyDescent="0.25">
      <c r="B175" s="30" t="s">
        <v>631</v>
      </c>
      <c r="C175" s="31" t="s">
        <v>172</v>
      </c>
      <c r="D175" s="2">
        <v>0</v>
      </c>
      <c r="E175" s="32"/>
      <c r="F175" s="32">
        <v>27.5</v>
      </c>
      <c r="G175" s="18">
        <v>0</v>
      </c>
      <c r="I175" s="177">
        <f t="shared" si="8"/>
        <v>27.5</v>
      </c>
      <c r="J175" s="2"/>
      <c r="K175" t="e">
        <f>VLOOKUP(B175,#REF!,2,FALSE)</f>
        <v>#REF!</v>
      </c>
      <c r="N175" s="2">
        <f t="shared" si="9"/>
        <v>0</v>
      </c>
      <c r="O175">
        <f t="shared" si="10"/>
        <v>0</v>
      </c>
      <c r="P175" s="2"/>
      <c r="Q175" s="2">
        <f t="shared" si="11"/>
        <v>0</v>
      </c>
    </row>
    <row r="176" spans="2:17" x14ac:dyDescent="0.25">
      <c r="B176" s="30" t="s">
        <v>632</v>
      </c>
      <c r="C176" s="31" t="s">
        <v>173</v>
      </c>
      <c r="D176" s="2">
        <v>0</v>
      </c>
      <c r="E176" s="32"/>
      <c r="F176" s="32">
        <v>0</v>
      </c>
      <c r="G176" s="18">
        <v>0</v>
      </c>
      <c r="H176" s="18"/>
      <c r="I176" s="177">
        <f t="shared" si="8"/>
        <v>0</v>
      </c>
      <c r="J176" s="2"/>
      <c r="K176" t="e">
        <f>VLOOKUP(B176,#REF!,2,FALSE)</f>
        <v>#REF!</v>
      </c>
      <c r="N176" s="2">
        <f t="shared" si="9"/>
        <v>0</v>
      </c>
      <c r="O176">
        <f t="shared" si="10"/>
        <v>0</v>
      </c>
      <c r="P176" s="2"/>
      <c r="Q176" s="2">
        <f t="shared" si="11"/>
        <v>0</v>
      </c>
    </row>
    <row r="177" spans="2:17" x14ac:dyDescent="0.25">
      <c r="B177" s="30" t="s">
        <v>633</v>
      </c>
      <c r="C177" s="31" t="s">
        <v>174</v>
      </c>
      <c r="D177" s="2">
        <v>13.17</v>
      </c>
      <c r="E177" s="32"/>
      <c r="F177" s="32">
        <v>0</v>
      </c>
      <c r="G177" s="18">
        <v>0</v>
      </c>
      <c r="H177" s="18"/>
      <c r="I177" s="177">
        <f t="shared" si="8"/>
        <v>13.17</v>
      </c>
      <c r="J177" s="2"/>
      <c r="K177" t="e">
        <f>VLOOKUP(B177,#REF!,2,FALSE)</f>
        <v>#REF!</v>
      </c>
      <c r="N177" s="2">
        <f t="shared" si="9"/>
        <v>0</v>
      </c>
      <c r="O177">
        <f t="shared" si="10"/>
        <v>0</v>
      </c>
      <c r="P177" s="2"/>
      <c r="Q177" s="2">
        <f t="shared" si="11"/>
        <v>0</v>
      </c>
    </row>
    <row r="178" spans="2:17" x14ac:dyDescent="0.25">
      <c r="B178" s="30" t="s">
        <v>634</v>
      </c>
      <c r="C178" s="31" t="s">
        <v>175</v>
      </c>
      <c r="D178" s="2">
        <v>318.33</v>
      </c>
      <c r="E178" s="32"/>
      <c r="F178" s="32">
        <v>25</v>
      </c>
      <c r="G178" s="18">
        <v>0</v>
      </c>
      <c r="I178" s="177">
        <f t="shared" si="8"/>
        <v>343.33</v>
      </c>
      <c r="J178" s="2"/>
      <c r="K178" t="e">
        <f>VLOOKUP(B178,#REF!,2,FALSE)</f>
        <v>#REF!</v>
      </c>
      <c r="N178" s="2">
        <f t="shared" si="9"/>
        <v>0</v>
      </c>
      <c r="O178">
        <f t="shared" si="10"/>
        <v>0</v>
      </c>
      <c r="P178" s="2"/>
      <c r="Q178" s="2">
        <f t="shared" si="11"/>
        <v>0</v>
      </c>
    </row>
    <row r="179" spans="2:17" x14ac:dyDescent="0.25">
      <c r="B179" s="30" t="s">
        <v>635</v>
      </c>
      <c r="C179" s="31" t="s">
        <v>176</v>
      </c>
      <c r="D179" s="2">
        <v>8.17</v>
      </c>
      <c r="E179" s="32"/>
      <c r="F179" s="32">
        <v>4</v>
      </c>
      <c r="G179" s="18">
        <v>0</v>
      </c>
      <c r="H179" s="18"/>
      <c r="I179" s="177">
        <f t="shared" si="8"/>
        <v>12.17</v>
      </c>
      <c r="J179" s="2"/>
      <c r="K179" t="e">
        <f>VLOOKUP(B179,#REF!,2,FALSE)</f>
        <v>#REF!</v>
      </c>
      <c r="N179" s="2">
        <f t="shared" si="9"/>
        <v>0</v>
      </c>
      <c r="O179">
        <f t="shared" si="10"/>
        <v>0</v>
      </c>
      <c r="P179" s="2"/>
      <c r="Q179" s="2">
        <f t="shared" si="11"/>
        <v>0</v>
      </c>
    </row>
    <row r="180" spans="2:17" x14ac:dyDescent="0.25">
      <c r="B180" s="30" t="s">
        <v>636</v>
      </c>
      <c r="C180" s="31" t="s">
        <v>177</v>
      </c>
      <c r="D180" s="2">
        <v>745.82999999999993</v>
      </c>
      <c r="E180" s="32"/>
      <c r="F180" s="32">
        <v>1</v>
      </c>
      <c r="G180" s="18">
        <v>0</v>
      </c>
      <c r="H180" s="18"/>
      <c r="I180" s="177">
        <f t="shared" si="8"/>
        <v>746.82999999999993</v>
      </c>
      <c r="J180" s="2"/>
      <c r="K180" t="e">
        <f>VLOOKUP(B180,#REF!,2,FALSE)</f>
        <v>#REF!</v>
      </c>
      <c r="N180" s="2">
        <f t="shared" si="9"/>
        <v>0</v>
      </c>
      <c r="O180">
        <f t="shared" si="10"/>
        <v>0</v>
      </c>
      <c r="P180" s="2"/>
      <c r="Q180" s="2">
        <f t="shared" si="11"/>
        <v>0</v>
      </c>
    </row>
    <row r="181" spans="2:17" x14ac:dyDescent="0.25">
      <c r="B181" s="30" t="s">
        <v>637</v>
      </c>
      <c r="C181" s="31" t="s">
        <v>178</v>
      </c>
      <c r="D181" s="2">
        <v>298.83000000000004</v>
      </c>
      <c r="E181" s="32"/>
      <c r="F181" s="32">
        <v>35.166666666666664</v>
      </c>
      <c r="G181" s="18">
        <v>0</v>
      </c>
      <c r="H181" s="18"/>
      <c r="I181" s="177">
        <f t="shared" si="8"/>
        <v>333.99666666666673</v>
      </c>
      <c r="J181" s="2"/>
      <c r="K181" t="e">
        <f>VLOOKUP(B181,#REF!,2,FALSE)</f>
        <v>#REF!</v>
      </c>
      <c r="N181" s="2">
        <f t="shared" si="9"/>
        <v>0</v>
      </c>
      <c r="O181">
        <f t="shared" si="10"/>
        <v>0</v>
      </c>
      <c r="P181" s="2"/>
      <c r="Q181" s="2">
        <f t="shared" si="11"/>
        <v>0</v>
      </c>
    </row>
    <row r="182" spans="2:17" x14ac:dyDescent="0.25">
      <c r="B182" s="30" t="s">
        <v>638</v>
      </c>
      <c r="C182" s="31" t="s">
        <v>179</v>
      </c>
      <c r="D182" s="2">
        <v>402.33000000000004</v>
      </c>
      <c r="E182" s="32"/>
      <c r="F182" s="32">
        <v>24.666666666666668</v>
      </c>
      <c r="G182" s="18">
        <v>0</v>
      </c>
      <c r="I182" s="177">
        <f t="shared" si="8"/>
        <v>426.99666666666673</v>
      </c>
      <c r="J182" s="2"/>
      <c r="K182" t="e">
        <f>VLOOKUP(B182,#REF!,2,FALSE)</f>
        <v>#REF!</v>
      </c>
      <c r="N182" s="2">
        <f t="shared" si="9"/>
        <v>0</v>
      </c>
      <c r="O182">
        <f t="shared" si="10"/>
        <v>0</v>
      </c>
      <c r="P182" s="2"/>
      <c r="Q182" s="2">
        <f t="shared" si="11"/>
        <v>0</v>
      </c>
    </row>
    <row r="183" spans="2:17" x14ac:dyDescent="0.25">
      <c r="B183" s="30" t="s">
        <v>639</v>
      </c>
      <c r="C183" s="31" t="s">
        <v>180</v>
      </c>
      <c r="D183" s="2">
        <v>0</v>
      </c>
      <c r="E183" s="32"/>
      <c r="F183" s="32">
        <v>0</v>
      </c>
      <c r="G183" s="18">
        <v>0</v>
      </c>
      <c r="H183" s="18"/>
      <c r="I183" s="177">
        <f t="shared" si="8"/>
        <v>0</v>
      </c>
      <c r="J183" s="2"/>
      <c r="K183" t="e">
        <f>VLOOKUP(B183,#REF!,2,FALSE)</f>
        <v>#REF!</v>
      </c>
      <c r="N183" s="2">
        <f t="shared" si="9"/>
        <v>0</v>
      </c>
      <c r="O183">
        <f t="shared" si="10"/>
        <v>0</v>
      </c>
      <c r="P183" s="2"/>
      <c r="Q183" s="2">
        <f t="shared" si="11"/>
        <v>0</v>
      </c>
    </row>
    <row r="184" spans="2:17" x14ac:dyDescent="0.25">
      <c r="B184" s="30" t="s">
        <v>640</v>
      </c>
      <c r="C184" s="31" t="s">
        <v>181</v>
      </c>
      <c r="D184" s="2">
        <v>1071.5</v>
      </c>
      <c r="E184" s="32"/>
      <c r="F184" s="32">
        <v>35.333333333333336</v>
      </c>
      <c r="G184" s="18">
        <v>0</v>
      </c>
      <c r="H184" s="18"/>
      <c r="I184" s="177">
        <f t="shared" si="8"/>
        <v>1106.8333333333333</v>
      </c>
      <c r="J184" s="2"/>
      <c r="K184" t="e">
        <f>VLOOKUP(B184,#REF!,2,FALSE)</f>
        <v>#REF!</v>
      </c>
      <c r="N184" s="2">
        <f t="shared" si="9"/>
        <v>0</v>
      </c>
      <c r="O184">
        <f t="shared" si="10"/>
        <v>0</v>
      </c>
      <c r="P184" s="2"/>
      <c r="Q184" s="2">
        <f t="shared" si="11"/>
        <v>0</v>
      </c>
    </row>
    <row r="185" spans="2:17" x14ac:dyDescent="0.25">
      <c r="B185" s="30" t="s">
        <v>641</v>
      </c>
      <c r="C185" s="31" t="s">
        <v>182</v>
      </c>
      <c r="D185" s="2">
        <v>0</v>
      </c>
      <c r="E185" s="32"/>
      <c r="F185" s="32">
        <v>0</v>
      </c>
      <c r="G185" s="18">
        <v>0</v>
      </c>
      <c r="I185" s="177">
        <f t="shared" si="8"/>
        <v>0</v>
      </c>
      <c r="J185" s="2"/>
      <c r="K185" t="e">
        <f>VLOOKUP(B185,#REF!,2,FALSE)</f>
        <v>#REF!</v>
      </c>
      <c r="N185" s="2">
        <f t="shared" si="9"/>
        <v>0</v>
      </c>
      <c r="O185">
        <f t="shared" si="10"/>
        <v>0</v>
      </c>
      <c r="P185" s="2"/>
      <c r="Q185" s="2">
        <f t="shared" si="11"/>
        <v>0</v>
      </c>
    </row>
    <row r="186" spans="2:17" x14ac:dyDescent="0.25">
      <c r="B186" s="30" t="s">
        <v>642</v>
      </c>
      <c r="C186" s="31" t="s">
        <v>183</v>
      </c>
      <c r="D186" s="2">
        <v>2444.17</v>
      </c>
      <c r="E186" s="32"/>
      <c r="F186" s="32">
        <v>10.5</v>
      </c>
      <c r="G186" s="18">
        <v>1</v>
      </c>
      <c r="I186" s="177">
        <f t="shared" si="8"/>
        <v>2453.67</v>
      </c>
      <c r="J186" s="2"/>
      <c r="K186" t="e">
        <f>VLOOKUP(B186,#REF!,2,FALSE)</f>
        <v>#REF!</v>
      </c>
      <c r="N186" s="2">
        <f t="shared" si="9"/>
        <v>0</v>
      </c>
      <c r="O186">
        <f t="shared" si="10"/>
        <v>0</v>
      </c>
      <c r="P186" s="2"/>
      <c r="Q186" s="2">
        <f t="shared" si="11"/>
        <v>0</v>
      </c>
    </row>
    <row r="187" spans="2:17" x14ac:dyDescent="0.25">
      <c r="B187" s="30" t="s">
        <v>643</v>
      </c>
      <c r="C187" s="31" t="s">
        <v>184</v>
      </c>
      <c r="D187" s="2">
        <v>256.33</v>
      </c>
      <c r="E187" s="32"/>
      <c r="F187" s="32">
        <v>34.166666666666664</v>
      </c>
      <c r="G187" s="18">
        <v>0</v>
      </c>
      <c r="H187" s="18"/>
      <c r="I187" s="177">
        <f t="shared" si="8"/>
        <v>290.49666666666667</v>
      </c>
      <c r="J187" s="2"/>
      <c r="K187" t="e">
        <f>VLOOKUP(B187,#REF!,2,FALSE)</f>
        <v>#REF!</v>
      </c>
      <c r="N187" s="2">
        <f t="shared" si="9"/>
        <v>0</v>
      </c>
      <c r="O187">
        <f t="shared" si="10"/>
        <v>0</v>
      </c>
      <c r="P187" s="2"/>
      <c r="Q187" s="2">
        <f t="shared" si="11"/>
        <v>0</v>
      </c>
    </row>
    <row r="188" spans="2:17" x14ac:dyDescent="0.25">
      <c r="B188" s="30" t="s">
        <v>644</v>
      </c>
      <c r="C188" s="31" t="s">
        <v>185</v>
      </c>
      <c r="D188" s="2">
        <v>0</v>
      </c>
      <c r="E188" s="32"/>
      <c r="F188" s="32">
        <v>0</v>
      </c>
      <c r="G188" s="18">
        <v>0</v>
      </c>
      <c r="H188" s="18"/>
      <c r="I188" s="177">
        <f t="shared" si="8"/>
        <v>0</v>
      </c>
      <c r="J188" s="2"/>
      <c r="K188" t="e">
        <f>VLOOKUP(B188,#REF!,2,FALSE)</f>
        <v>#REF!</v>
      </c>
      <c r="N188" s="2">
        <f t="shared" si="9"/>
        <v>0</v>
      </c>
      <c r="O188">
        <f t="shared" si="10"/>
        <v>0</v>
      </c>
      <c r="P188" s="2"/>
      <c r="Q188" s="2">
        <f t="shared" si="11"/>
        <v>0</v>
      </c>
    </row>
    <row r="189" spans="2:17" x14ac:dyDescent="0.25">
      <c r="B189" s="30" t="s">
        <v>458</v>
      </c>
      <c r="C189" s="31" t="s">
        <v>186</v>
      </c>
      <c r="D189" s="2">
        <v>0</v>
      </c>
      <c r="E189" s="32"/>
      <c r="F189" s="32">
        <v>18</v>
      </c>
      <c r="G189" s="18">
        <v>0</v>
      </c>
      <c r="H189" s="18"/>
      <c r="I189" s="177">
        <f t="shared" si="8"/>
        <v>18</v>
      </c>
      <c r="J189" s="2"/>
      <c r="K189" t="e">
        <f>VLOOKUP(B189,#REF!,2,FALSE)</f>
        <v>#REF!</v>
      </c>
      <c r="N189" s="2">
        <f t="shared" si="9"/>
        <v>0</v>
      </c>
      <c r="O189">
        <f t="shared" si="10"/>
        <v>0</v>
      </c>
      <c r="P189" s="2"/>
      <c r="Q189" s="2">
        <f t="shared" si="11"/>
        <v>0</v>
      </c>
    </row>
    <row r="190" spans="2:17" x14ac:dyDescent="0.25">
      <c r="B190" s="30" t="s">
        <v>473</v>
      </c>
      <c r="C190" s="31" t="s">
        <v>187</v>
      </c>
      <c r="D190" s="2">
        <v>58.33</v>
      </c>
      <c r="E190" s="32"/>
      <c r="F190" s="32">
        <v>1</v>
      </c>
      <c r="G190" s="18">
        <v>0</v>
      </c>
      <c r="H190" s="18"/>
      <c r="I190" s="177">
        <f t="shared" si="8"/>
        <v>59.33</v>
      </c>
      <c r="J190" s="2"/>
      <c r="K190" t="e">
        <f>VLOOKUP(B190,#REF!,2,FALSE)</f>
        <v>#REF!</v>
      </c>
      <c r="N190" s="2">
        <f t="shared" si="9"/>
        <v>0</v>
      </c>
      <c r="O190">
        <f t="shared" si="10"/>
        <v>0</v>
      </c>
      <c r="P190" s="2"/>
      <c r="Q190" s="2">
        <f t="shared" si="11"/>
        <v>0</v>
      </c>
    </row>
    <row r="191" spans="2:17" x14ac:dyDescent="0.25">
      <c r="B191" s="30" t="s">
        <v>456</v>
      </c>
      <c r="C191" s="31" t="s">
        <v>188</v>
      </c>
      <c r="D191" s="2">
        <v>78.17</v>
      </c>
      <c r="E191" s="32"/>
      <c r="F191" s="32">
        <v>0</v>
      </c>
      <c r="G191" s="18">
        <v>0</v>
      </c>
      <c r="H191" s="18"/>
      <c r="I191" s="177">
        <f t="shared" si="8"/>
        <v>78.17</v>
      </c>
      <c r="J191" s="2"/>
      <c r="K191" t="e">
        <f>VLOOKUP(B191,#REF!,2,FALSE)</f>
        <v>#REF!</v>
      </c>
      <c r="N191" s="2">
        <f t="shared" si="9"/>
        <v>0</v>
      </c>
      <c r="O191">
        <f t="shared" si="10"/>
        <v>0</v>
      </c>
      <c r="P191" s="2"/>
      <c r="Q191" s="2">
        <f t="shared" si="11"/>
        <v>0</v>
      </c>
    </row>
    <row r="192" spans="2:17" x14ac:dyDescent="0.25">
      <c r="B192" s="30" t="s">
        <v>645</v>
      </c>
      <c r="C192" s="31" t="s">
        <v>189</v>
      </c>
      <c r="D192" s="2">
        <v>0</v>
      </c>
      <c r="E192" s="32"/>
      <c r="F192" s="32">
        <v>0</v>
      </c>
      <c r="G192" s="18">
        <v>0</v>
      </c>
      <c r="I192" s="177">
        <f t="shared" si="8"/>
        <v>0</v>
      </c>
      <c r="J192" s="2"/>
      <c r="K192" t="e">
        <f>VLOOKUP(B192,#REF!,2,FALSE)</f>
        <v>#REF!</v>
      </c>
      <c r="N192" s="2">
        <f t="shared" si="9"/>
        <v>0</v>
      </c>
      <c r="O192">
        <f t="shared" si="10"/>
        <v>0</v>
      </c>
      <c r="P192" s="2"/>
      <c r="Q192" s="2">
        <f t="shared" si="11"/>
        <v>0</v>
      </c>
    </row>
    <row r="193" spans="2:17" x14ac:dyDescent="0.25">
      <c r="B193" s="30" t="s">
        <v>646</v>
      </c>
      <c r="C193" s="31" t="s">
        <v>190</v>
      </c>
      <c r="D193" s="2">
        <v>95.5</v>
      </c>
      <c r="E193" s="32"/>
      <c r="F193" s="32">
        <v>4</v>
      </c>
      <c r="G193" s="18">
        <v>0</v>
      </c>
      <c r="I193" s="177">
        <f t="shared" si="8"/>
        <v>99.5</v>
      </c>
      <c r="J193" s="2"/>
      <c r="K193" t="e">
        <f>VLOOKUP(B193,#REF!,2,FALSE)</f>
        <v>#REF!</v>
      </c>
      <c r="N193" s="2">
        <f t="shared" si="9"/>
        <v>0</v>
      </c>
      <c r="O193">
        <f t="shared" si="10"/>
        <v>0</v>
      </c>
      <c r="P193" s="2"/>
      <c r="Q193" s="2">
        <f t="shared" si="11"/>
        <v>0</v>
      </c>
    </row>
    <row r="194" spans="2:17" x14ac:dyDescent="0.25">
      <c r="B194" s="30" t="s">
        <v>647</v>
      </c>
      <c r="C194" s="31" t="s">
        <v>191</v>
      </c>
      <c r="D194" s="2">
        <v>403.66999999999996</v>
      </c>
      <c r="E194" s="32"/>
      <c r="F194" s="32">
        <v>13.333333333333334</v>
      </c>
      <c r="G194" s="18">
        <v>0</v>
      </c>
      <c r="H194" s="18"/>
      <c r="I194" s="177">
        <f t="shared" si="8"/>
        <v>417.00333333333327</v>
      </c>
      <c r="J194" s="2"/>
      <c r="K194" t="e">
        <f>VLOOKUP(B194,#REF!,2,FALSE)</f>
        <v>#REF!</v>
      </c>
      <c r="N194" s="2">
        <f t="shared" si="9"/>
        <v>0</v>
      </c>
      <c r="O194">
        <f t="shared" si="10"/>
        <v>0</v>
      </c>
      <c r="P194" s="2"/>
      <c r="Q194" s="2">
        <f t="shared" si="11"/>
        <v>0</v>
      </c>
    </row>
    <row r="195" spans="2:17" x14ac:dyDescent="0.25">
      <c r="B195" s="30" t="s">
        <v>648</v>
      </c>
      <c r="C195" s="31" t="s">
        <v>192</v>
      </c>
      <c r="D195" s="2">
        <v>329</v>
      </c>
      <c r="E195" s="32"/>
      <c r="F195" s="32">
        <v>23.666666666666668</v>
      </c>
      <c r="G195" s="18">
        <v>0</v>
      </c>
      <c r="H195" s="18"/>
      <c r="I195" s="177">
        <f t="shared" si="8"/>
        <v>352.66666666666669</v>
      </c>
      <c r="J195" s="2"/>
      <c r="K195" t="e">
        <f>VLOOKUP(B195,#REF!,2,FALSE)</f>
        <v>#REF!</v>
      </c>
      <c r="N195" s="2">
        <f t="shared" si="9"/>
        <v>0</v>
      </c>
      <c r="O195">
        <f t="shared" si="10"/>
        <v>0</v>
      </c>
      <c r="P195" s="2"/>
      <c r="Q195" s="2">
        <f t="shared" si="11"/>
        <v>0</v>
      </c>
    </row>
    <row r="196" spans="2:17" x14ac:dyDescent="0.25">
      <c r="B196" s="30" t="s">
        <v>649</v>
      </c>
      <c r="C196" s="31" t="s">
        <v>193</v>
      </c>
      <c r="D196" s="2">
        <v>28.17</v>
      </c>
      <c r="E196" s="32"/>
      <c r="F196" s="32">
        <v>0</v>
      </c>
      <c r="G196" s="18">
        <v>0</v>
      </c>
      <c r="H196" s="18"/>
      <c r="I196" s="177">
        <f t="shared" si="8"/>
        <v>28.17</v>
      </c>
      <c r="J196" s="2"/>
      <c r="K196" t="e">
        <f>VLOOKUP(B196,#REF!,2,FALSE)</f>
        <v>#REF!</v>
      </c>
      <c r="N196" s="2">
        <f t="shared" si="9"/>
        <v>0</v>
      </c>
      <c r="O196">
        <f t="shared" si="10"/>
        <v>0</v>
      </c>
      <c r="P196" s="2"/>
      <c r="Q196" s="2">
        <f t="shared" si="11"/>
        <v>0</v>
      </c>
    </row>
    <row r="197" spans="2:17" x14ac:dyDescent="0.25">
      <c r="B197" s="30" t="s">
        <v>650</v>
      </c>
      <c r="C197" s="31" t="s">
        <v>194</v>
      </c>
      <c r="D197" s="2">
        <v>0</v>
      </c>
      <c r="E197" s="32"/>
      <c r="F197" s="32">
        <v>0</v>
      </c>
      <c r="G197" s="18">
        <v>0</v>
      </c>
      <c r="H197" s="18"/>
      <c r="I197" s="177">
        <f t="shared" si="8"/>
        <v>0</v>
      </c>
      <c r="J197" s="2"/>
      <c r="K197" t="e">
        <f>VLOOKUP(B197,#REF!,2,FALSE)</f>
        <v>#REF!</v>
      </c>
      <c r="N197" s="2">
        <f t="shared" si="9"/>
        <v>0</v>
      </c>
      <c r="O197">
        <f t="shared" si="10"/>
        <v>0</v>
      </c>
      <c r="P197" s="2"/>
      <c r="Q197" s="2">
        <f t="shared" si="11"/>
        <v>0</v>
      </c>
    </row>
    <row r="198" spans="2:17" x14ac:dyDescent="0.25">
      <c r="B198" s="30" t="s">
        <v>486</v>
      </c>
      <c r="C198" s="31" t="s">
        <v>195</v>
      </c>
      <c r="D198" s="2">
        <v>55.17</v>
      </c>
      <c r="E198" s="32"/>
      <c r="F198" s="32">
        <v>0</v>
      </c>
      <c r="G198" s="18">
        <v>0</v>
      </c>
      <c r="H198" s="18"/>
      <c r="I198" s="177">
        <f t="shared" si="8"/>
        <v>55.17</v>
      </c>
      <c r="J198" s="2"/>
      <c r="K198" t="e">
        <f>VLOOKUP(B198,#REF!,2,FALSE)</f>
        <v>#REF!</v>
      </c>
      <c r="N198" s="2">
        <f t="shared" si="9"/>
        <v>0</v>
      </c>
      <c r="O198">
        <f t="shared" si="10"/>
        <v>0</v>
      </c>
      <c r="P198" s="2"/>
      <c r="Q198" s="2">
        <f t="shared" si="11"/>
        <v>0</v>
      </c>
    </row>
    <row r="199" spans="2:17" x14ac:dyDescent="0.25">
      <c r="B199" s="30" t="s">
        <v>651</v>
      </c>
      <c r="C199" s="31" t="s">
        <v>196</v>
      </c>
      <c r="D199" s="2">
        <v>0</v>
      </c>
      <c r="E199" s="32"/>
      <c r="F199" s="32">
        <v>1</v>
      </c>
      <c r="G199" s="18">
        <v>0</v>
      </c>
      <c r="H199" s="18"/>
      <c r="I199" s="177">
        <f t="shared" si="8"/>
        <v>1</v>
      </c>
      <c r="J199" s="2"/>
      <c r="K199" t="e">
        <f>VLOOKUP(B199,#REF!,2,FALSE)</f>
        <v>#REF!</v>
      </c>
      <c r="N199" s="2">
        <f t="shared" si="9"/>
        <v>0</v>
      </c>
      <c r="O199">
        <f t="shared" si="10"/>
        <v>0</v>
      </c>
      <c r="P199" s="2"/>
      <c r="Q199" s="2">
        <f t="shared" si="11"/>
        <v>0</v>
      </c>
    </row>
    <row r="200" spans="2:17" x14ac:dyDescent="0.25">
      <c r="B200" s="30" t="s">
        <v>652</v>
      </c>
      <c r="C200" s="31" t="s">
        <v>197</v>
      </c>
      <c r="D200" s="2">
        <v>0</v>
      </c>
      <c r="E200" s="32"/>
      <c r="F200" s="32">
        <v>0</v>
      </c>
      <c r="G200" s="18">
        <v>0</v>
      </c>
      <c r="H200" s="18"/>
      <c r="I200" s="177">
        <f t="shared" si="8"/>
        <v>0</v>
      </c>
      <c r="J200" s="2"/>
      <c r="K200" t="e">
        <f>VLOOKUP(B200,#REF!,2,FALSE)</f>
        <v>#REF!</v>
      </c>
      <c r="N200" s="2">
        <f t="shared" si="9"/>
        <v>0</v>
      </c>
      <c r="O200">
        <f t="shared" si="10"/>
        <v>0</v>
      </c>
      <c r="P200" s="2"/>
      <c r="Q200" s="2">
        <f t="shared" si="11"/>
        <v>0</v>
      </c>
    </row>
    <row r="201" spans="2:17" x14ac:dyDescent="0.25">
      <c r="B201" s="30" t="s">
        <v>448</v>
      </c>
      <c r="C201" s="31" t="s">
        <v>198</v>
      </c>
      <c r="D201" s="2">
        <v>61.33</v>
      </c>
      <c r="E201" s="32"/>
      <c r="F201" s="32">
        <v>0</v>
      </c>
      <c r="G201" s="18">
        <v>0</v>
      </c>
      <c r="H201" s="18"/>
      <c r="I201" s="177">
        <f t="shared" ref="I201:I264" si="12">IF(D201+E201+F201-G201+Q201&lt;0,0,D201+E201+F201+Q201-G201)</f>
        <v>61.33</v>
      </c>
      <c r="J201" s="2"/>
      <c r="K201" t="e">
        <f>VLOOKUP(B201,#REF!,2,FALSE)</f>
        <v>#REF!</v>
      </c>
      <c r="N201" s="2">
        <f t="shared" ref="N201:N264" si="13">IFERROR(D201/L201,0)</f>
        <v>0</v>
      </c>
      <c r="O201">
        <f t="shared" ref="O201:O264" si="14">M201-L201</f>
        <v>0</v>
      </c>
      <c r="P201" s="2"/>
      <c r="Q201" s="2">
        <f t="shared" ref="Q201:Q264" si="15">O201*N201</f>
        <v>0</v>
      </c>
    </row>
    <row r="202" spans="2:17" x14ac:dyDescent="0.25">
      <c r="B202" s="30" t="s">
        <v>653</v>
      </c>
      <c r="C202" s="31" t="s">
        <v>199</v>
      </c>
      <c r="D202" s="2">
        <v>65.17</v>
      </c>
      <c r="E202" s="32"/>
      <c r="F202" s="32">
        <v>0</v>
      </c>
      <c r="G202" s="18">
        <v>0</v>
      </c>
      <c r="H202" s="18"/>
      <c r="I202" s="177">
        <f t="shared" si="12"/>
        <v>65.17</v>
      </c>
      <c r="J202" s="2"/>
      <c r="K202" t="e">
        <f>VLOOKUP(B202,#REF!,2,FALSE)</f>
        <v>#REF!</v>
      </c>
      <c r="N202" s="2">
        <f t="shared" si="13"/>
        <v>0</v>
      </c>
      <c r="O202">
        <f t="shared" si="14"/>
        <v>0</v>
      </c>
      <c r="P202" s="2"/>
      <c r="Q202" s="2">
        <f t="shared" si="15"/>
        <v>0</v>
      </c>
    </row>
    <row r="203" spans="2:17" x14ac:dyDescent="0.25">
      <c r="B203" s="30" t="s">
        <v>654</v>
      </c>
      <c r="C203" s="31" t="s">
        <v>200</v>
      </c>
      <c r="D203" s="2">
        <v>210.5</v>
      </c>
      <c r="E203" s="32"/>
      <c r="F203" s="32">
        <v>1</v>
      </c>
      <c r="G203" s="18">
        <v>0</v>
      </c>
      <c r="I203" s="177">
        <f t="shared" si="12"/>
        <v>211.5</v>
      </c>
      <c r="J203" s="2"/>
      <c r="K203" t="e">
        <f>VLOOKUP(B203,#REF!,2,FALSE)</f>
        <v>#REF!</v>
      </c>
      <c r="N203" s="2">
        <f t="shared" si="13"/>
        <v>0</v>
      </c>
      <c r="O203">
        <f t="shared" si="14"/>
        <v>0</v>
      </c>
      <c r="P203" s="2"/>
      <c r="Q203" s="2">
        <f t="shared" si="15"/>
        <v>0</v>
      </c>
    </row>
    <row r="204" spans="2:17" x14ac:dyDescent="0.25">
      <c r="B204" s="30" t="s">
        <v>655</v>
      </c>
      <c r="C204" s="31" t="s">
        <v>201</v>
      </c>
      <c r="D204" s="2">
        <v>1994.17</v>
      </c>
      <c r="E204" s="32"/>
      <c r="F204" s="32">
        <v>0</v>
      </c>
      <c r="G204" s="18">
        <v>0</v>
      </c>
      <c r="I204" s="177">
        <f t="shared" si="12"/>
        <v>1994.17</v>
      </c>
      <c r="J204" s="2"/>
      <c r="K204" t="e">
        <f>VLOOKUP(B204,#REF!,2,FALSE)</f>
        <v>#REF!</v>
      </c>
      <c r="N204" s="2">
        <f t="shared" si="13"/>
        <v>0</v>
      </c>
      <c r="O204">
        <f t="shared" si="14"/>
        <v>0</v>
      </c>
      <c r="P204" s="2"/>
      <c r="Q204" s="2">
        <f t="shared" si="15"/>
        <v>0</v>
      </c>
    </row>
    <row r="205" spans="2:17" x14ac:dyDescent="0.25">
      <c r="B205" s="30" t="s">
        <v>656</v>
      </c>
      <c r="C205" s="31" t="s">
        <v>202</v>
      </c>
      <c r="D205" s="2">
        <v>9</v>
      </c>
      <c r="E205" s="32"/>
      <c r="F205" s="32">
        <v>0</v>
      </c>
      <c r="G205" s="18">
        <v>0</v>
      </c>
      <c r="I205" s="177">
        <f t="shared" si="12"/>
        <v>9</v>
      </c>
      <c r="J205" s="2"/>
      <c r="K205" t="e">
        <f>VLOOKUP(B205,#REF!,2,FALSE)</f>
        <v>#REF!</v>
      </c>
      <c r="N205" s="2">
        <f t="shared" si="13"/>
        <v>0</v>
      </c>
      <c r="O205">
        <f t="shared" si="14"/>
        <v>0</v>
      </c>
      <c r="P205" s="2"/>
      <c r="Q205" s="2">
        <f t="shared" si="15"/>
        <v>0</v>
      </c>
    </row>
    <row r="206" spans="2:17" x14ac:dyDescent="0.25">
      <c r="B206" s="30" t="s">
        <v>657</v>
      </c>
      <c r="C206" s="31" t="s">
        <v>203</v>
      </c>
      <c r="D206" s="2">
        <v>0</v>
      </c>
      <c r="E206" s="32"/>
      <c r="F206" s="32">
        <v>0</v>
      </c>
      <c r="G206" s="18">
        <v>0</v>
      </c>
      <c r="I206" s="177">
        <f t="shared" si="12"/>
        <v>0</v>
      </c>
      <c r="J206" s="2"/>
      <c r="K206" t="e">
        <f>VLOOKUP(B206,#REF!,2,FALSE)</f>
        <v>#REF!</v>
      </c>
      <c r="N206" s="2">
        <f t="shared" si="13"/>
        <v>0</v>
      </c>
      <c r="O206">
        <f t="shared" si="14"/>
        <v>0</v>
      </c>
      <c r="P206" s="2"/>
      <c r="Q206" s="2">
        <f t="shared" si="15"/>
        <v>0</v>
      </c>
    </row>
    <row r="207" spans="2:17" x14ac:dyDescent="0.25">
      <c r="B207" s="30" t="s">
        <v>823</v>
      </c>
      <c r="C207" s="31" t="s">
        <v>820</v>
      </c>
      <c r="D207" s="2">
        <v>0</v>
      </c>
      <c r="E207" s="32"/>
      <c r="F207" s="32">
        <v>0</v>
      </c>
      <c r="G207" s="18">
        <v>0</v>
      </c>
      <c r="H207" s="18"/>
      <c r="I207" s="177">
        <f t="shared" si="12"/>
        <v>0</v>
      </c>
      <c r="J207" s="2"/>
      <c r="K207" t="e">
        <f>VLOOKUP(B207,#REF!,2,FALSE)</f>
        <v>#REF!</v>
      </c>
      <c r="N207" s="2">
        <f t="shared" si="13"/>
        <v>0</v>
      </c>
      <c r="O207">
        <f t="shared" si="14"/>
        <v>0</v>
      </c>
      <c r="P207" s="2"/>
      <c r="Q207" s="2">
        <f t="shared" si="15"/>
        <v>0</v>
      </c>
    </row>
    <row r="208" spans="2:17" x14ac:dyDescent="0.25">
      <c r="B208" s="30" t="s">
        <v>658</v>
      </c>
      <c r="C208" s="31" t="s">
        <v>204</v>
      </c>
      <c r="D208" s="2">
        <v>6978.33</v>
      </c>
      <c r="E208" s="32">
        <v>32</v>
      </c>
      <c r="F208" s="32">
        <v>0</v>
      </c>
      <c r="G208" s="18">
        <v>5</v>
      </c>
      <c r="H208" s="18"/>
      <c r="I208" s="177">
        <f t="shared" si="12"/>
        <v>7005.33</v>
      </c>
      <c r="J208" s="2"/>
      <c r="K208" t="e">
        <f>VLOOKUP(B208,#REF!,2,FALSE)</f>
        <v>#REF!</v>
      </c>
      <c r="N208" s="2">
        <f t="shared" si="13"/>
        <v>0</v>
      </c>
      <c r="O208">
        <f t="shared" si="14"/>
        <v>0</v>
      </c>
      <c r="P208" s="2"/>
      <c r="Q208" s="2">
        <f t="shared" si="15"/>
        <v>0</v>
      </c>
    </row>
    <row r="209" spans="2:17" x14ac:dyDescent="0.25">
      <c r="B209" s="30" t="s">
        <v>659</v>
      </c>
      <c r="C209" s="31" t="s">
        <v>205</v>
      </c>
      <c r="D209" s="2">
        <v>42.16</v>
      </c>
      <c r="E209" s="32"/>
      <c r="F209" s="32">
        <v>0</v>
      </c>
      <c r="G209" s="18">
        <v>0</v>
      </c>
      <c r="I209" s="177">
        <f t="shared" si="12"/>
        <v>42.16</v>
      </c>
      <c r="J209" s="2"/>
      <c r="K209" t="e">
        <f>VLOOKUP(B209,#REF!,2,FALSE)</f>
        <v>#REF!</v>
      </c>
      <c r="N209" s="2">
        <f t="shared" si="13"/>
        <v>0</v>
      </c>
      <c r="O209">
        <f t="shared" si="14"/>
        <v>0</v>
      </c>
      <c r="P209" s="2"/>
      <c r="Q209" s="2">
        <f t="shared" si="15"/>
        <v>0</v>
      </c>
    </row>
    <row r="210" spans="2:17" x14ac:dyDescent="0.25">
      <c r="B210" s="30" t="s">
        <v>442</v>
      </c>
      <c r="C210" s="31" t="s">
        <v>206</v>
      </c>
      <c r="D210" s="2">
        <v>25</v>
      </c>
      <c r="E210" s="32"/>
      <c r="F210" s="32">
        <v>0</v>
      </c>
      <c r="G210" s="18">
        <v>0</v>
      </c>
      <c r="H210" s="18"/>
      <c r="I210" s="177">
        <f t="shared" si="12"/>
        <v>25</v>
      </c>
      <c r="J210" s="2"/>
      <c r="K210" t="e">
        <f>VLOOKUP(B210,#REF!,2,FALSE)</f>
        <v>#REF!</v>
      </c>
      <c r="N210" s="2">
        <f t="shared" si="13"/>
        <v>0</v>
      </c>
      <c r="O210">
        <f t="shared" si="14"/>
        <v>0</v>
      </c>
      <c r="P210" s="2"/>
      <c r="Q210" s="2">
        <f t="shared" si="15"/>
        <v>0</v>
      </c>
    </row>
    <row r="211" spans="2:17" x14ac:dyDescent="0.25">
      <c r="B211" s="33" t="s">
        <v>660</v>
      </c>
      <c r="C211" s="34" t="s">
        <v>207</v>
      </c>
      <c r="D211" s="2">
        <v>0</v>
      </c>
      <c r="E211" s="32"/>
      <c r="F211" s="32">
        <v>0</v>
      </c>
      <c r="G211" s="18">
        <v>0</v>
      </c>
      <c r="H211" s="18"/>
      <c r="I211" s="177">
        <f t="shared" si="12"/>
        <v>0</v>
      </c>
      <c r="J211" s="2"/>
      <c r="K211" t="e">
        <f>VLOOKUP(B211,#REF!,2,FALSE)</f>
        <v>#REF!</v>
      </c>
      <c r="N211" s="2">
        <f t="shared" si="13"/>
        <v>0</v>
      </c>
      <c r="O211">
        <f t="shared" si="14"/>
        <v>0</v>
      </c>
      <c r="P211" s="2"/>
      <c r="Q211" s="2">
        <f t="shared" si="15"/>
        <v>0</v>
      </c>
    </row>
    <row r="212" spans="2:17" x14ac:dyDescent="0.25">
      <c r="B212" s="30" t="s">
        <v>661</v>
      </c>
      <c r="C212" s="31" t="s">
        <v>208</v>
      </c>
      <c r="D212" s="2">
        <v>306.66999999999996</v>
      </c>
      <c r="E212" s="32"/>
      <c r="F212" s="32">
        <v>1</v>
      </c>
      <c r="G212" s="18">
        <v>0</v>
      </c>
      <c r="H212" s="18"/>
      <c r="I212" s="177">
        <f t="shared" si="12"/>
        <v>307.66999999999996</v>
      </c>
      <c r="J212" s="2"/>
      <c r="K212" t="e">
        <f>VLOOKUP(B212,#REF!,2,FALSE)</f>
        <v>#REF!</v>
      </c>
      <c r="N212" s="2">
        <f t="shared" si="13"/>
        <v>0</v>
      </c>
      <c r="O212">
        <f t="shared" si="14"/>
        <v>0</v>
      </c>
      <c r="P212" s="2"/>
      <c r="Q212" s="2">
        <f t="shared" si="15"/>
        <v>0</v>
      </c>
    </row>
    <row r="213" spans="2:17" x14ac:dyDescent="0.25">
      <c r="B213" s="30" t="s">
        <v>662</v>
      </c>
      <c r="C213" s="31" t="s">
        <v>209</v>
      </c>
      <c r="D213" s="2">
        <v>33.17</v>
      </c>
      <c r="E213" s="32"/>
      <c r="F213" s="32">
        <v>0</v>
      </c>
      <c r="G213" s="18">
        <v>0</v>
      </c>
      <c r="I213" s="177">
        <f t="shared" si="12"/>
        <v>33.17</v>
      </c>
      <c r="J213" s="2"/>
      <c r="K213" t="e">
        <f>VLOOKUP(B213,#REF!,2,FALSE)</f>
        <v>#REF!</v>
      </c>
      <c r="N213" s="2">
        <f t="shared" si="13"/>
        <v>0</v>
      </c>
      <c r="O213">
        <f t="shared" si="14"/>
        <v>0</v>
      </c>
      <c r="P213" s="2"/>
      <c r="Q213" s="2">
        <f t="shared" si="15"/>
        <v>0</v>
      </c>
    </row>
    <row r="214" spans="2:17" x14ac:dyDescent="0.25">
      <c r="B214" s="30" t="s">
        <v>663</v>
      </c>
      <c r="C214" s="31" t="s">
        <v>210</v>
      </c>
      <c r="D214" s="2">
        <v>59.66</v>
      </c>
      <c r="E214" s="32"/>
      <c r="F214" s="32">
        <v>0</v>
      </c>
      <c r="G214" s="18">
        <v>0</v>
      </c>
      <c r="I214" s="177">
        <f t="shared" si="12"/>
        <v>59.66</v>
      </c>
      <c r="J214" s="2"/>
      <c r="K214" t="e">
        <f>VLOOKUP(B214,#REF!,2,FALSE)</f>
        <v>#REF!</v>
      </c>
      <c r="N214" s="2">
        <f t="shared" si="13"/>
        <v>0</v>
      </c>
      <c r="O214">
        <f t="shared" si="14"/>
        <v>0</v>
      </c>
      <c r="P214" s="2"/>
      <c r="Q214" s="2">
        <f t="shared" si="15"/>
        <v>0</v>
      </c>
    </row>
    <row r="215" spans="2:17" x14ac:dyDescent="0.25">
      <c r="B215" s="30" t="s">
        <v>450</v>
      </c>
      <c r="C215" s="31" t="s">
        <v>211</v>
      </c>
      <c r="D215" s="2">
        <v>4</v>
      </c>
      <c r="E215" s="32"/>
      <c r="F215" s="32">
        <v>0</v>
      </c>
      <c r="G215" s="18">
        <v>0</v>
      </c>
      <c r="I215" s="177">
        <f t="shared" si="12"/>
        <v>4</v>
      </c>
      <c r="J215" s="2"/>
      <c r="K215" t="e">
        <f>VLOOKUP(B215,#REF!,2,FALSE)</f>
        <v>#REF!</v>
      </c>
      <c r="N215" s="2">
        <f t="shared" si="13"/>
        <v>0</v>
      </c>
      <c r="O215">
        <f t="shared" si="14"/>
        <v>0</v>
      </c>
      <c r="P215" s="2"/>
      <c r="Q215" s="2">
        <f t="shared" si="15"/>
        <v>0</v>
      </c>
    </row>
    <row r="216" spans="2:17" x14ac:dyDescent="0.25">
      <c r="B216" s="30" t="s">
        <v>664</v>
      </c>
      <c r="C216" s="31" t="s">
        <v>212</v>
      </c>
      <c r="D216" s="2">
        <v>42.67</v>
      </c>
      <c r="E216" s="32"/>
      <c r="F216" s="32">
        <v>0</v>
      </c>
      <c r="G216" s="18">
        <v>0</v>
      </c>
      <c r="H216" s="18"/>
      <c r="I216" s="177">
        <f t="shared" si="12"/>
        <v>42.67</v>
      </c>
      <c r="J216" s="2"/>
      <c r="K216" t="e">
        <f>VLOOKUP(B216,#REF!,2,FALSE)</f>
        <v>#REF!</v>
      </c>
      <c r="N216" s="2">
        <f t="shared" si="13"/>
        <v>0</v>
      </c>
      <c r="O216">
        <f t="shared" si="14"/>
        <v>0</v>
      </c>
      <c r="P216" s="2"/>
      <c r="Q216" s="2">
        <f t="shared" si="15"/>
        <v>0</v>
      </c>
    </row>
    <row r="217" spans="2:17" x14ac:dyDescent="0.25">
      <c r="B217" s="34" t="s">
        <v>665</v>
      </c>
      <c r="C217" s="31" t="s">
        <v>213</v>
      </c>
      <c r="D217" s="2">
        <v>39.33</v>
      </c>
      <c r="E217" s="32"/>
      <c r="F217" s="32">
        <v>0</v>
      </c>
      <c r="G217" s="18">
        <v>0</v>
      </c>
      <c r="H217" s="18"/>
      <c r="I217" s="177">
        <f t="shared" si="12"/>
        <v>39.33</v>
      </c>
      <c r="J217" s="2"/>
      <c r="K217" t="e">
        <f>VLOOKUP(B217,#REF!,2,FALSE)</f>
        <v>#REF!</v>
      </c>
      <c r="N217" s="2">
        <f t="shared" si="13"/>
        <v>0</v>
      </c>
      <c r="O217">
        <f t="shared" si="14"/>
        <v>0</v>
      </c>
      <c r="P217" s="2"/>
      <c r="Q217" s="2">
        <f t="shared" si="15"/>
        <v>0</v>
      </c>
    </row>
    <row r="218" spans="2:17" x14ac:dyDescent="0.25">
      <c r="B218" s="30" t="s">
        <v>666</v>
      </c>
      <c r="C218" s="31" t="s">
        <v>214</v>
      </c>
      <c r="D218" s="2">
        <v>105</v>
      </c>
      <c r="E218" s="32"/>
      <c r="F218" s="32">
        <v>0</v>
      </c>
      <c r="G218" s="18">
        <v>0</v>
      </c>
      <c r="H218" s="18"/>
      <c r="I218" s="177">
        <f t="shared" si="12"/>
        <v>105</v>
      </c>
      <c r="J218" s="2"/>
      <c r="K218" t="e">
        <f>VLOOKUP(B218,#REF!,2,FALSE)</f>
        <v>#REF!</v>
      </c>
      <c r="N218" s="2">
        <f t="shared" si="13"/>
        <v>0</v>
      </c>
      <c r="O218">
        <f t="shared" si="14"/>
        <v>0</v>
      </c>
      <c r="P218" s="2"/>
      <c r="Q218" s="2">
        <f t="shared" si="15"/>
        <v>0</v>
      </c>
    </row>
    <row r="219" spans="2:17" x14ac:dyDescent="0.25">
      <c r="B219" s="30" t="s">
        <v>668</v>
      </c>
      <c r="C219" s="31" t="s">
        <v>216</v>
      </c>
      <c r="D219" s="2">
        <v>703</v>
      </c>
      <c r="E219" s="32"/>
      <c r="F219" s="32">
        <v>0</v>
      </c>
      <c r="G219" s="18">
        <v>0</v>
      </c>
      <c r="I219" s="177">
        <f t="shared" si="12"/>
        <v>703</v>
      </c>
      <c r="J219" s="2"/>
      <c r="K219" t="e">
        <f>VLOOKUP(B219,#REF!,2,FALSE)</f>
        <v>#REF!</v>
      </c>
      <c r="N219" s="2">
        <f t="shared" si="13"/>
        <v>0</v>
      </c>
      <c r="O219">
        <f t="shared" si="14"/>
        <v>0</v>
      </c>
      <c r="P219" s="2"/>
      <c r="Q219" s="2">
        <f t="shared" si="15"/>
        <v>0</v>
      </c>
    </row>
    <row r="220" spans="2:17" x14ac:dyDescent="0.25">
      <c r="B220" s="33" t="s">
        <v>669</v>
      </c>
      <c r="C220" s="34" t="s">
        <v>217</v>
      </c>
      <c r="D220" s="2">
        <v>157.16</v>
      </c>
      <c r="E220" s="32"/>
      <c r="F220" s="32">
        <v>8.3333333333333339</v>
      </c>
      <c r="G220" s="18">
        <v>1</v>
      </c>
      <c r="H220" s="18"/>
      <c r="I220" s="177">
        <f t="shared" si="12"/>
        <v>164.49333333333334</v>
      </c>
      <c r="J220" s="2"/>
      <c r="K220" t="e">
        <f>VLOOKUP(B220,#REF!,2,FALSE)</f>
        <v>#REF!</v>
      </c>
      <c r="N220" s="2">
        <f t="shared" si="13"/>
        <v>0</v>
      </c>
      <c r="O220">
        <f t="shared" si="14"/>
        <v>0</v>
      </c>
      <c r="P220" s="2"/>
      <c r="Q220" s="2">
        <f t="shared" si="15"/>
        <v>0</v>
      </c>
    </row>
    <row r="221" spans="2:17" x14ac:dyDescent="0.25">
      <c r="B221" s="30" t="s">
        <v>672</v>
      </c>
      <c r="C221" s="31" t="s">
        <v>218</v>
      </c>
      <c r="D221" s="2">
        <v>2226.83</v>
      </c>
      <c r="E221" s="32">
        <v>33</v>
      </c>
      <c r="F221" s="32">
        <v>173.83333333333334</v>
      </c>
      <c r="G221" s="18">
        <v>2</v>
      </c>
      <c r="H221" s="18"/>
      <c r="I221" s="177">
        <f t="shared" si="12"/>
        <v>2431.6633333333334</v>
      </c>
      <c r="J221" s="2"/>
      <c r="K221" t="e">
        <f>VLOOKUP(B221,#REF!,2,FALSE)</f>
        <v>#REF!</v>
      </c>
      <c r="N221" s="2">
        <f t="shared" si="13"/>
        <v>0</v>
      </c>
      <c r="O221">
        <f t="shared" si="14"/>
        <v>0</v>
      </c>
      <c r="P221" s="2"/>
      <c r="Q221" s="2">
        <f t="shared" si="15"/>
        <v>0</v>
      </c>
    </row>
    <row r="222" spans="2:17" x14ac:dyDescent="0.25">
      <c r="B222" s="30" t="s">
        <v>673</v>
      </c>
      <c r="C222" s="31" t="s">
        <v>219</v>
      </c>
      <c r="D222" s="2">
        <v>0</v>
      </c>
      <c r="E222" s="32"/>
      <c r="F222" s="32">
        <v>0</v>
      </c>
      <c r="G222" s="18">
        <v>0</v>
      </c>
      <c r="H222" s="18"/>
      <c r="I222" s="177">
        <f t="shared" si="12"/>
        <v>0</v>
      </c>
      <c r="J222" s="2"/>
      <c r="K222" t="e">
        <f>VLOOKUP(B222,#REF!,2,FALSE)</f>
        <v>#REF!</v>
      </c>
      <c r="N222" s="2">
        <f t="shared" si="13"/>
        <v>0</v>
      </c>
      <c r="O222">
        <f t="shared" si="14"/>
        <v>0</v>
      </c>
      <c r="P222" s="2"/>
      <c r="Q222" s="2">
        <f t="shared" si="15"/>
        <v>0</v>
      </c>
    </row>
    <row r="223" spans="2:17" x14ac:dyDescent="0.25">
      <c r="B223" s="30" t="s">
        <v>674</v>
      </c>
      <c r="C223" s="31" t="s">
        <v>220</v>
      </c>
      <c r="D223" s="2">
        <v>0</v>
      </c>
      <c r="E223" s="32"/>
      <c r="F223" s="32">
        <v>0</v>
      </c>
      <c r="G223" s="18">
        <v>0</v>
      </c>
      <c r="H223" s="18"/>
      <c r="I223" s="177">
        <f t="shared" si="12"/>
        <v>0</v>
      </c>
      <c r="J223" s="2"/>
      <c r="K223" t="e">
        <f>VLOOKUP(B223,#REF!,2,FALSE)</f>
        <v>#REF!</v>
      </c>
      <c r="N223" s="2">
        <f t="shared" si="13"/>
        <v>0</v>
      </c>
      <c r="O223">
        <f t="shared" si="14"/>
        <v>0</v>
      </c>
      <c r="P223" s="2"/>
      <c r="Q223" s="2">
        <f t="shared" si="15"/>
        <v>0</v>
      </c>
    </row>
    <row r="224" spans="2:17" x14ac:dyDescent="0.25">
      <c r="B224" s="36" t="s">
        <v>785</v>
      </c>
      <c r="C224" s="31" t="s">
        <v>221</v>
      </c>
      <c r="D224" s="2">
        <v>0</v>
      </c>
      <c r="E224" s="32"/>
      <c r="F224" s="32">
        <v>0</v>
      </c>
      <c r="G224" s="18">
        <v>0</v>
      </c>
      <c r="I224" s="177">
        <f t="shared" si="12"/>
        <v>0</v>
      </c>
      <c r="J224" s="2"/>
      <c r="K224" t="e">
        <f>VLOOKUP(B224,#REF!,2,FALSE)</f>
        <v>#REF!</v>
      </c>
      <c r="N224" s="2">
        <f t="shared" si="13"/>
        <v>0</v>
      </c>
      <c r="O224">
        <f t="shared" si="14"/>
        <v>0</v>
      </c>
      <c r="P224" s="2"/>
      <c r="Q224" s="2">
        <f t="shared" si="15"/>
        <v>0</v>
      </c>
    </row>
    <row r="225" spans="2:17" x14ac:dyDescent="0.25">
      <c r="B225" s="30" t="s">
        <v>675</v>
      </c>
      <c r="C225" s="31" t="s">
        <v>222</v>
      </c>
      <c r="D225" s="2">
        <v>393.5</v>
      </c>
      <c r="E225" s="32"/>
      <c r="F225" s="32">
        <v>43.666666666666664</v>
      </c>
      <c r="G225" s="18">
        <v>0</v>
      </c>
      <c r="H225" s="18"/>
      <c r="I225" s="177">
        <f t="shared" si="12"/>
        <v>437.16666666666669</v>
      </c>
      <c r="J225" s="2"/>
      <c r="K225" t="e">
        <f>VLOOKUP(B225,#REF!,2,FALSE)</f>
        <v>#REF!</v>
      </c>
      <c r="N225" s="2">
        <f t="shared" si="13"/>
        <v>0</v>
      </c>
      <c r="O225">
        <f t="shared" si="14"/>
        <v>0</v>
      </c>
      <c r="P225" s="2"/>
      <c r="Q225" s="2">
        <f t="shared" si="15"/>
        <v>0</v>
      </c>
    </row>
    <row r="226" spans="2:17" x14ac:dyDescent="0.25">
      <c r="B226" s="30" t="s">
        <v>453</v>
      </c>
      <c r="C226" s="31" t="s">
        <v>223</v>
      </c>
      <c r="D226" s="2">
        <v>46.5</v>
      </c>
      <c r="E226" s="32"/>
      <c r="F226" s="32">
        <v>16</v>
      </c>
      <c r="G226" s="18">
        <v>0</v>
      </c>
      <c r="H226" s="18"/>
      <c r="I226" s="177">
        <f t="shared" si="12"/>
        <v>62.5</v>
      </c>
      <c r="J226" s="2"/>
      <c r="K226" t="e">
        <f>VLOOKUP(B226,#REF!,2,FALSE)</f>
        <v>#REF!</v>
      </c>
      <c r="N226" s="2">
        <f t="shared" si="13"/>
        <v>0</v>
      </c>
      <c r="O226">
        <f t="shared" si="14"/>
        <v>0</v>
      </c>
      <c r="P226" s="2"/>
      <c r="Q226" s="2">
        <f t="shared" si="15"/>
        <v>0</v>
      </c>
    </row>
    <row r="227" spans="2:17" x14ac:dyDescent="0.25">
      <c r="B227" s="30" t="s">
        <v>676</v>
      </c>
      <c r="C227" s="31" t="s">
        <v>224</v>
      </c>
      <c r="D227" s="2">
        <v>1316</v>
      </c>
      <c r="E227" s="32"/>
      <c r="F227" s="32">
        <v>0</v>
      </c>
      <c r="G227" s="18">
        <v>0</v>
      </c>
      <c r="I227" s="177">
        <f t="shared" si="12"/>
        <v>1316</v>
      </c>
      <c r="J227" s="2"/>
      <c r="K227" t="e">
        <f>VLOOKUP(B227,#REF!,2,FALSE)</f>
        <v>#REF!</v>
      </c>
      <c r="N227" s="2">
        <f t="shared" si="13"/>
        <v>0</v>
      </c>
      <c r="O227">
        <f t="shared" si="14"/>
        <v>0</v>
      </c>
      <c r="P227" s="2"/>
      <c r="Q227" s="2">
        <f t="shared" si="15"/>
        <v>0</v>
      </c>
    </row>
    <row r="228" spans="2:17" x14ac:dyDescent="0.25">
      <c r="B228" s="30" t="s">
        <v>677</v>
      </c>
      <c r="C228" s="31" t="s">
        <v>225</v>
      </c>
      <c r="D228" s="2">
        <v>0</v>
      </c>
      <c r="E228" s="32"/>
      <c r="F228" s="32">
        <v>0</v>
      </c>
      <c r="G228" s="18">
        <v>0</v>
      </c>
      <c r="H228" s="18"/>
      <c r="I228" s="177">
        <f t="shared" si="12"/>
        <v>0</v>
      </c>
      <c r="J228" s="2"/>
      <c r="K228" t="e">
        <f>VLOOKUP(B228,#REF!,2,FALSE)</f>
        <v>#REF!</v>
      </c>
      <c r="N228" s="2">
        <f t="shared" si="13"/>
        <v>0</v>
      </c>
      <c r="O228">
        <f t="shared" si="14"/>
        <v>0</v>
      </c>
      <c r="P228" s="2"/>
      <c r="Q228" s="2">
        <f t="shared" si="15"/>
        <v>0</v>
      </c>
    </row>
    <row r="229" spans="2:17" x14ac:dyDescent="0.25">
      <c r="B229" s="34" t="s">
        <v>678</v>
      </c>
      <c r="C229" s="31" t="s">
        <v>226</v>
      </c>
      <c r="D229" s="2">
        <v>129.17000000000002</v>
      </c>
      <c r="E229" s="32"/>
      <c r="F229" s="32">
        <v>0</v>
      </c>
      <c r="G229" s="18">
        <v>0</v>
      </c>
      <c r="H229" s="18"/>
      <c r="I229" s="177">
        <f t="shared" si="12"/>
        <v>129.17000000000002</v>
      </c>
      <c r="J229" s="2"/>
      <c r="K229" t="e">
        <f>VLOOKUP(B229,#REF!,2,FALSE)</f>
        <v>#REF!</v>
      </c>
      <c r="N229" s="2">
        <f t="shared" si="13"/>
        <v>0</v>
      </c>
      <c r="O229">
        <f t="shared" si="14"/>
        <v>0</v>
      </c>
      <c r="P229" s="2"/>
      <c r="Q229" s="2">
        <f t="shared" si="15"/>
        <v>0</v>
      </c>
    </row>
    <row r="230" spans="2:17" x14ac:dyDescent="0.25">
      <c r="B230" s="30" t="s">
        <v>461</v>
      </c>
      <c r="C230" s="31" t="s">
        <v>821</v>
      </c>
      <c r="D230" s="2">
        <v>17.170000000000002</v>
      </c>
      <c r="E230" s="32"/>
      <c r="F230" s="32">
        <v>0</v>
      </c>
      <c r="G230" s="18">
        <v>0</v>
      </c>
      <c r="I230" s="177">
        <f t="shared" si="12"/>
        <v>17.170000000000002</v>
      </c>
      <c r="J230" s="2"/>
      <c r="K230" t="e">
        <f>VLOOKUP(B230,#REF!,2,FALSE)</f>
        <v>#REF!</v>
      </c>
      <c r="N230" s="2">
        <f t="shared" si="13"/>
        <v>0</v>
      </c>
      <c r="O230">
        <f t="shared" si="14"/>
        <v>0</v>
      </c>
      <c r="P230" s="2"/>
      <c r="Q230" s="2">
        <f t="shared" si="15"/>
        <v>0</v>
      </c>
    </row>
    <row r="231" spans="2:17" x14ac:dyDescent="0.25">
      <c r="B231" s="30" t="s">
        <v>475</v>
      </c>
      <c r="C231" s="31" t="s">
        <v>227</v>
      </c>
      <c r="D231" s="2">
        <v>61.66</v>
      </c>
      <c r="E231" s="32"/>
      <c r="F231" s="32">
        <v>0</v>
      </c>
      <c r="G231" s="18">
        <v>0</v>
      </c>
      <c r="I231" s="177">
        <f t="shared" si="12"/>
        <v>61.66</v>
      </c>
      <c r="J231" s="2"/>
      <c r="K231" t="e">
        <f>VLOOKUP(B231,#REF!,2,FALSE)</f>
        <v>#REF!</v>
      </c>
      <c r="N231" s="2">
        <f t="shared" si="13"/>
        <v>0</v>
      </c>
      <c r="O231">
        <f t="shared" si="14"/>
        <v>0</v>
      </c>
      <c r="P231" s="2"/>
      <c r="Q231" s="2">
        <f t="shared" si="15"/>
        <v>0</v>
      </c>
    </row>
    <row r="232" spans="2:17" x14ac:dyDescent="0.25">
      <c r="B232" s="30" t="s">
        <v>679</v>
      </c>
      <c r="C232" s="31" t="s">
        <v>228</v>
      </c>
      <c r="D232" s="2">
        <v>5.34</v>
      </c>
      <c r="E232" s="32"/>
      <c r="F232" s="32">
        <v>1</v>
      </c>
      <c r="G232" s="18">
        <v>0</v>
      </c>
      <c r="H232" s="18"/>
      <c r="I232" s="177">
        <f t="shared" si="12"/>
        <v>6.34</v>
      </c>
      <c r="J232" s="2"/>
      <c r="K232" t="e">
        <f>VLOOKUP(B232,#REF!,2,FALSE)</f>
        <v>#REF!</v>
      </c>
      <c r="N232" s="2">
        <f t="shared" si="13"/>
        <v>0</v>
      </c>
      <c r="O232">
        <f t="shared" si="14"/>
        <v>0</v>
      </c>
      <c r="P232" s="2"/>
      <c r="Q232" s="2">
        <f t="shared" si="15"/>
        <v>0</v>
      </c>
    </row>
    <row r="233" spans="2:17" x14ac:dyDescent="0.25">
      <c r="B233" s="33" t="s">
        <v>680</v>
      </c>
      <c r="C233" s="31" t="s">
        <v>229</v>
      </c>
      <c r="D233" s="2">
        <v>3656.84</v>
      </c>
      <c r="E233" s="32"/>
      <c r="F233" s="32">
        <v>42.666666666666664</v>
      </c>
      <c r="G233" s="18">
        <v>0</v>
      </c>
      <c r="H233" s="18"/>
      <c r="I233" s="177">
        <f t="shared" si="12"/>
        <v>3699.5066666666667</v>
      </c>
      <c r="J233" s="2"/>
      <c r="K233" t="e">
        <f>VLOOKUP(B233,#REF!,2,FALSE)</f>
        <v>#REF!</v>
      </c>
      <c r="N233" s="2">
        <f t="shared" si="13"/>
        <v>0</v>
      </c>
      <c r="O233">
        <f t="shared" si="14"/>
        <v>0</v>
      </c>
      <c r="P233" s="2"/>
      <c r="Q233" s="2">
        <f t="shared" si="15"/>
        <v>0</v>
      </c>
    </row>
    <row r="234" spans="2:17" x14ac:dyDescent="0.25">
      <c r="B234" s="30" t="s">
        <v>786</v>
      </c>
      <c r="C234" s="31" t="s">
        <v>230</v>
      </c>
      <c r="D234" s="2">
        <v>0</v>
      </c>
      <c r="E234" s="32"/>
      <c r="F234" s="32">
        <v>0</v>
      </c>
      <c r="G234" s="18">
        <v>0</v>
      </c>
      <c r="H234" s="18"/>
      <c r="I234" s="177">
        <f t="shared" si="12"/>
        <v>0</v>
      </c>
      <c r="J234" s="2"/>
      <c r="K234" t="e">
        <f>VLOOKUP(B234,#REF!,2,FALSE)</f>
        <v>#REF!</v>
      </c>
      <c r="N234" s="2">
        <f t="shared" si="13"/>
        <v>0</v>
      </c>
      <c r="O234">
        <f t="shared" si="14"/>
        <v>0</v>
      </c>
      <c r="P234" s="2"/>
      <c r="Q234" s="2">
        <f t="shared" si="15"/>
        <v>0</v>
      </c>
    </row>
    <row r="235" spans="2:17" x14ac:dyDescent="0.25">
      <c r="B235" s="30" t="s">
        <v>681</v>
      </c>
      <c r="C235" s="31" t="s">
        <v>231</v>
      </c>
      <c r="D235" s="2">
        <v>0</v>
      </c>
      <c r="E235" s="32"/>
      <c r="F235" s="32">
        <v>0</v>
      </c>
      <c r="G235" s="18">
        <v>0</v>
      </c>
      <c r="I235" s="177">
        <f t="shared" si="12"/>
        <v>0</v>
      </c>
      <c r="J235" s="2"/>
      <c r="K235" t="e">
        <f>VLOOKUP(B235,#REF!,2,FALSE)</f>
        <v>#REF!</v>
      </c>
      <c r="N235" s="2">
        <f t="shared" si="13"/>
        <v>0</v>
      </c>
      <c r="O235">
        <f t="shared" si="14"/>
        <v>0</v>
      </c>
      <c r="P235" s="2"/>
      <c r="Q235" s="2">
        <f t="shared" si="15"/>
        <v>0</v>
      </c>
    </row>
    <row r="236" spans="2:17" x14ac:dyDescent="0.25">
      <c r="B236" s="30" t="s">
        <v>682</v>
      </c>
      <c r="C236" s="31" t="s">
        <v>232</v>
      </c>
      <c r="D236" s="2">
        <v>889.5</v>
      </c>
      <c r="E236" s="32"/>
      <c r="F236" s="32">
        <v>54.666666666666664</v>
      </c>
      <c r="G236" s="18">
        <v>3</v>
      </c>
      <c r="H236" s="18"/>
      <c r="I236" s="177">
        <f t="shared" si="12"/>
        <v>941.16666666666663</v>
      </c>
      <c r="J236" s="2"/>
      <c r="K236" t="e">
        <f>VLOOKUP(B236,#REF!,2,FALSE)</f>
        <v>#REF!</v>
      </c>
      <c r="N236" s="2">
        <f t="shared" si="13"/>
        <v>0</v>
      </c>
      <c r="O236">
        <f t="shared" si="14"/>
        <v>0</v>
      </c>
      <c r="P236" s="2"/>
      <c r="Q236" s="2">
        <f t="shared" si="15"/>
        <v>0</v>
      </c>
    </row>
    <row r="237" spans="2:17" x14ac:dyDescent="0.25">
      <c r="B237" s="30" t="s">
        <v>683</v>
      </c>
      <c r="C237" s="31" t="s">
        <v>233</v>
      </c>
      <c r="D237" s="2">
        <v>215.5</v>
      </c>
      <c r="E237" s="32"/>
      <c r="F237" s="32">
        <v>16</v>
      </c>
      <c r="G237" s="18">
        <v>0</v>
      </c>
      <c r="H237" s="18"/>
      <c r="I237" s="177">
        <f t="shared" si="12"/>
        <v>231.5</v>
      </c>
      <c r="J237" s="2"/>
      <c r="K237" t="e">
        <f>VLOOKUP(B237,#REF!,2,FALSE)</f>
        <v>#REF!</v>
      </c>
      <c r="N237" s="2">
        <f t="shared" si="13"/>
        <v>0</v>
      </c>
      <c r="O237">
        <f t="shared" si="14"/>
        <v>0</v>
      </c>
      <c r="P237" s="2"/>
      <c r="Q237" s="2">
        <f t="shared" si="15"/>
        <v>0</v>
      </c>
    </row>
    <row r="238" spans="2:17" x14ac:dyDescent="0.25">
      <c r="B238" s="30" t="s">
        <v>684</v>
      </c>
      <c r="C238" s="31" t="s">
        <v>234</v>
      </c>
      <c r="D238" s="2">
        <v>2.17</v>
      </c>
      <c r="E238" s="32"/>
      <c r="F238" s="32">
        <v>0</v>
      </c>
      <c r="G238" s="18">
        <v>0</v>
      </c>
      <c r="H238" s="18"/>
      <c r="I238" s="177">
        <f t="shared" si="12"/>
        <v>2.17</v>
      </c>
      <c r="J238" s="2"/>
      <c r="K238" t="e">
        <f>VLOOKUP(B238,#REF!,2,FALSE)</f>
        <v>#REF!</v>
      </c>
      <c r="N238" s="2">
        <f t="shared" si="13"/>
        <v>0</v>
      </c>
      <c r="O238">
        <f t="shared" si="14"/>
        <v>0</v>
      </c>
      <c r="P238" s="2"/>
      <c r="Q238" s="2">
        <f t="shared" si="15"/>
        <v>0</v>
      </c>
    </row>
    <row r="239" spans="2:17" x14ac:dyDescent="0.25">
      <c r="B239" s="30" t="s">
        <v>685</v>
      </c>
      <c r="C239" s="31" t="s">
        <v>235</v>
      </c>
      <c r="D239" s="2">
        <v>13.5</v>
      </c>
      <c r="E239" s="32"/>
      <c r="F239" s="32">
        <v>0</v>
      </c>
      <c r="G239" s="18">
        <v>0</v>
      </c>
      <c r="I239" s="177">
        <f t="shared" si="12"/>
        <v>13.5</v>
      </c>
      <c r="J239" s="2"/>
      <c r="K239" t="e">
        <f>VLOOKUP(B239,#REF!,2,FALSE)</f>
        <v>#REF!</v>
      </c>
      <c r="N239" s="2">
        <f t="shared" si="13"/>
        <v>0</v>
      </c>
      <c r="O239">
        <f t="shared" si="14"/>
        <v>0</v>
      </c>
      <c r="P239" s="2"/>
      <c r="Q239" s="2">
        <f t="shared" si="15"/>
        <v>0</v>
      </c>
    </row>
    <row r="240" spans="2:17" x14ac:dyDescent="0.25">
      <c r="B240" s="30" t="s">
        <v>686</v>
      </c>
      <c r="C240" s="31" t="s">
        <v>236</v>
      </c>
      <c r="D240" s="2">
        <v>214</v>
      </c>
      <c r="E240" s="32"/>
      <c r="F240" s="32">
        <v>1</v>
      </c>
      <c r="G240" s="18">
        <v>0</v>
      </c>
      <c r="H240" s="18"/>
      <c r="I240" s="177">
        <f t="shared" si="12"/>
        <v>215</v>
      </c>
      <c r="J240" s="2"/>
      <c r="K240" t="e">
        <f>VLOOKUP(B240,#REF!,2,FALSE)</f>
        <v>#REF!</v>
      </c>
      <c r="N240" s="2">
        <f t="shared" si="13"/>
        <v>0</v>
      </c>
      <c r="O240">
        <f t="shared" si="14"/>
        <v>0</v>
      </c>
      <c r="P240" s="2"/>
      <c r="Q240" s="2">
        <f t="shared" si="15"/>
        <v>0</v>
      </c>
    </row>
    <row r="241" spans="2:17" x14ac:dyDescent="0.25">
      <c r="B241" s="30" t="s">
        <v>687</v>
      </c>
      <c r="C241" s="31" t="s">
        <v>237</v>
      </c>
      <c r="D241" s="2">
        <v>233.5</v>
      </c>
      <c r="E241" s="32"/>
      <c r="F241" s="32">
        <v>42.833333333333336</v>
      </c>
      <c r="G241" s="18">
        <v>0</v>
      </c>
      <c r="H241" s="18"/>
      <c r="I241" s="177">
        <f t="shared" si="12"/>
        <v>276.33333333333331</v>
      </c>
      <c r="J241" s="2"/>
      <c r="K241" t="e">
        <f>VLOOKUP(B241,#REF!,2,FALSE)</f>
        <v>#REF!</v>
      </c>
      <c r="N241" s="2">
        <f t="shared" si="13"/>
        <v>0</v>
      </c>
      <c r="O241">
        <f t="shared" si="14"/>
        <v>0</v>
      </c>
      <c r="P241" s="2"/>
      <c r="Q241" s="2">
        <f t="shared" si="15"/>
        <v>0</v>
      </c>
    </row>
    <row r="242" spans="2:17" x14ac:dyDescent="0.25">
      <c r="B242" s="30" t="s">
        <v>688</v>
      </c>
      <c r="C242" s="31" t="s">
        <v>238</v>
      </c>
      <c r="D242" s="2">
        <v>16</v>
      </c>
      <c r="E242" s="32"/>
      <c r="F242" s="32">
        <v>0</v>
      </c>
      <c r="G242" s="18">
        <v>0</v>
      </c>
      <c r="H242" s="18"/>
      <c r="I242" s="177">
        <f t="shared" si="12"/>
        <v>16</v>
      </c>
      <c r="J242" s="2"/>
      <c r="K242" t="e">
        <f>VLOOKUP(B242,#REF!,2,FALSE)</f>
        <v>#REF!</v>
      </c>
      <c r="N242" s="2">
        <f t="shared" si="13"/>
        <v>0</v>
      </c>
      <c r="O242">
        <f t="shared" si="14"/>
        <v>0</v>
      </c>
      <c r="P242" s="2"/>
      <c r="Q242" s="2">
        <f t="shared" si="15"/>
        <v>0</v>
      </c>
    </row>
    <row r="243" spans="2:17" x14ac:dyDescent="0.25">
      <c r="B243" s="30" t="s">
        <v>810</v>
      </c>
      <c r="C243" s="31" t="s">
        <v>822</v>
      </c>
      <c r="D243" s="2">
        <v>2.17</v>
      </c>
      <c r="E243" s="32"/>
      <c r="F243" s="32">
        <v>0</v>
      </c>
      <c r="G243" s="18">
        <v>0</v>
      </c>
      <c r="H243" s="18"/>
      <c r="I243" s="177">
        <f>IF(D243+E243+F243-G243+Q243&lt;0,0,D243+E243+F243+Q243-G243)</f>
        <v>2.4274576271186441</v>
      </c>
      <c r="J243" s="2"/>
      <c r="K243" t="e">
        <f>VLOOKUP(B243,#REF!,2,FALSE)</f>
        <v>#REF!</v>
      </c>
      <c r="L243">
        <v>59</v>
      </c>
      <c r="M243">
        <v>66</v>
      </c>
      <c r="N243" s="2">
        <f t="shared" si="13"/>
        <v>3.6779661016949149E-2</v>
      </c>
      <c r="O243">
        <f t="shared" si="14"/>
        <v>7</v>
      </c>
      <c r="P243" s="2"/>
      <c r="Q243" s="2">
        <f t="shared" si="15"/>
        <v>0.25745762711864406</v>
      </c>
    </row>
    <row r="244" spans="2:17" x14ac:dyDescent="0.25">
      <c r="B244" s="30" t="s">
        <v>689</v>
      </c>
      <c r="C244" s="31" t="s">
        <v>239</v>
      </c>
      <c r="D244" s="2">
        <v>0</v>
      </c>
      <c r="E244" s="32"/>
      <c r="F244" s="32">
        <v>0</v>
      </c>
      <c r="G244" s="18">
        <v>0</v>
      </c>
      <c r="I244" s="177">
        <f t="shared" si="12"/>
        <v>0</v>
      </c>
      <c r="J244" s="2"/>
      <c r="K244" t="e">
        <f>VLOOKUP(B244,#REF!,2,FALSE)</f>
        <v>#REF!</v>
      </c>
      <c r="N244" s="2">
        <f t="shared" si="13"/>
        <v>0</v>
      </c>
      <c r="O244">
        <f t="shared" si="14"/>
        <v>0</v>
      </c>
      <c r="P244" s="2"/>
      <c r="Q244" s="2">
        <f t="shared" si="15"/>
        <v>0</v>
      </c>
    </row>
    <row r="245" spans="2:17" x14ac:dyDescent="0.25">
      <c r="B245" s="30" t="s">
        <v>690</v>
      </c>
      <c r="C245" s="31" t="s">
        <v>240</v>
      </c>
      <c r="D245" s="2">
        <v>762.17000000000007</v>
      </c>
      <c r="E245" s="32"/>
      <c r="F245" s="32">
        <v>0</v>
      </c>
      <c r="G245" s="18">
        <v>0</v>
      </c>
      <c r="H245" s="18"/>
      <c r="I245" s="177">
        <f t="shared" si="12"/>
        <v>762.17000000000007</v>
      </c>
      <c r="J245" s="2"/>
      <c r="K245" t="e">
        <f>VLOOKUP(B245,#REF!,2,FALSE)</f>
        <v>#REF!</v>
      </c>
      <c r="N245" s="2">
        <f t="shared" si="13"/>
        <v>0</v>
      </c>
      <c r="O245">
        <f t="shared" si="14"/>
        <v>0</v>
      </c>
      <c r="P245" s="2"/>
      <c r="Q245" s="2">
        <f t="shared" si="15"/>
        <v>0</v>
      </c>
    </row>
    <row r="246" spans="2:17" x14ac:dyDescent="0.25">
      <c r="B246" s="30" t="s">
        <v>490</v>
      </c>
      <c r="C246" s="31" t="s">
        <v>241</v>
      </c>
      <c r="D246" s="2">
        <v>71.17</v>
      </c>
      <c r="E246" s="32"/>
      <c r="F246" s="32">
        <v>0</v>
      </c>
      <c r="G246" s="18">
        <v>0</v>
      </c>
      <c r="H246" s="18"/>
      <c r="I246" s="177">
        <f t="shared" si="12"/>
        <v>71.17</v>
      </c>
      <c r="J246" s="2"/>
      <c r="K246" t="e">
        <f>VLOOKUP(B246,#REF!,2,FALSE)</f>
        <v>#REF!</v>
      </c>
      <c r="N246" s="2">
        <f t="shared" si="13"/>
        <v>0</v>
      </c>
      <c r="O246">
        <f t="shared" si="14"/>
        <v>0</v>
      </c>
      <c r="P246" s="2"/>
      <c r="Q246" s="2">
        <f t="shared" si="15"/>
        <v>0</v>
      </c>
    </row>
    <row r="247" spans="2:17" x14ac:dyDescent="0.25">
      <c r="B247" s="30" t="s">
        <v>691</v>
      </c>
      <c r="C247" s="31" t="s">
        <v>242</v>
      </c>
      <c r="D247" s="2">
        <v>0</v>
      </c>
      <c r="E247" s="32"/>
      <c r="F247" s="32">
        <v>0</v>
      </c>
      <c r="G247" s="18">
        <v>0</v>
      </c>
      <c r="I247" s="177">
        <f t="shared" si="12"/>
        <v>0</v>
      </c>
      <c r="J247" s="2"/>
      <c r="K247" t="e">
        <f>VLOOKUP(B247,#REF!,2,FALSE)</f>
        <v>#REF!</v>
      </c>
      <c r="N247" s="2">
        <f t="shared" si="13"/>
        <v>0</v>
      </c>
      <c r="O247">
        <f t="shared" si="14"/>
        <v>0</v>
      </c>
      <c r="P247" s="2"/>
      <c r="Q247" s="2">
        <f t="shared" si="15"/>
        <v>0</v>
      </c>
    </row>
    <row r="248" spans="2:17" x14ac:dyDescent="0.25">
      <c r="B248" s="30" t="s">
        <v>696</v>
      </c>
      <c r="C248" s="31" t="s">
        <v>243</v>
      </c>
      <c r="D248" s="2">
        <v>7429.84</v>
      </c>
      <c r="E248" s="32">
        <v>7</v>
      </c>
      <c r="F248" s="32">
        <v>131.33333333333334</v>
      </c>
      <c r="G248" s="18">
        <v>3</v>
      </c>
      <c r="H248" s="18"/>
      <c r="I248" s="177">
        <f t="shared" si="12"/>
        <v>7565.1733333333332</v>
      </c>
      <c r="J248" s="2"/>
      <c r="K248" t="e">
        <f>VLOOKUP(B248,#REF!,2,FALSE)</f>
        <v>#REF!</v>
      </c>
      <c r="N248" s="2">
        <f t="shared" si="13"/>
        <v>0</v>
      </c>
      <c r="O248">
        <f t="shared" si="14"/>
        <v>0</v>
      </c>
      <c r="P248" s="2"/>
      <c r="Q248" s="2">
        <f t="shared" si="15"/>
        <v>0</v>
      </c>
    </row>
    <row r="249" spans="2:17" x14ac:dyDescent="0.25">
      <c r="B249" s="30" t="s">
        <v>697</v>
      </c>
      <c r="C249" s="31" t="s">
        <v>244</v>
      </c>
      <c r="D249" s="2">
        <v>418.84</v>
      </c>
      <c r="E249" s="32"/>
      <c r="F249" s="32">
        <v>27.333333333333332</v>
      </c>
      <c r="G249" s="18">
        <v>0</v>
      </c>
      <c r="H249" s="18"/>
      <c r="I249" s="177">
        <f t="shared" si="12"/>
        <v>446.17333333333329</v>
      </c>
      <c r="J249" s="2"/>
      <c r="K249" t="e">
        <f>VLOOKUP(B249,#REF!,2,FALSE)</f>
        <v>#REF!</v>
      </c>
      <c r="N249" s="2">
        <f t="shared" si="13"/>
        <v>0</v>
      </c>
      <c r="O249">
        <f t="shared" si="14"/>
        <v>0</v>
      </c>
      <c r="P249" s="2"/>
      <c r="Q249" s="2">
        <f t="shared" si="15"/>
        <v>0</v>
      </c>
    </row>
    <row r="250" spans="2:17" x14ac:dyDescent="0.25">
      <c r="B250" s="30" t="s">
        <v>698</v>
      </c>
      <c r="C250" s="31" t="s">
        <v>245</v>
      </c>
      <c r="D250" s="2">
        <v>447</v>
      </c>
      <c r="E250" s="32"/>
      <c r="F250" s="32">
        <v>11.333333333333334</v>
      </c>
      <c r="G250" s="18">
        <v>0</v>
      </c>
      <c r="H250" s="18"/>
      <c r="I250" s="177">
        <f t="shared" si="12"/>
        <v>458.33333333333331</v>
      </c>
      <c r="J250" s="2"/>
      <c r="K250" t="e">
        <f>VLOOKUP(B250,#REF!,2,FALSE)</f>
        <v>#REF!</v>
      </c>
      <c r="N250" s="2">
        <f t="shared" si="13"/>
        <v>0</v>
      </c>
      <c r="O250">
        <f t="shared" si="14"/>
        <v>0</v>
      </c>
      <c r="P250" s="2"/>
      <c r="Q250" s="2">
        <f t="shared" si="15"/>
        <v>0</v>
      </c>
    </row>
    <row r="251" spans="2:17" x14ac:dyDescent="0.25">
      <c r="B251" s="30" t="s">
        <v>699</v>
      </c>
      <c r="C251" s="31" t="s">
        <v>246</v>
      </c>
      <c r="D251" s="2">
        <v>0</v>
      </c>
      <c r="E251" s="32"/>
      <c r="F251" s="32">
        <v>0</v>
      </c>
      <c r="G251" s="18">
        <v>0</v>
      </c>
      <c r="H251" s="18"/>
      <c r="I251" s="177">
        <f t="shared" si="12"/>
        <v>0</v>
      </c>
      <c r="J251" s="2"/>
      <c r="K251" t="e">
        <f>VLOOKUP(B251,#REF!,2,FALSE)</f>
        <v>#REF!</v>
      </c>
      <c r="N251" s="2">
        <f t="shared" si="13"/>
        <v>0</v>
      </c>
      <c r="O251">
        <f t="shared" si="14"/>
        <v>0</v>
      </c>
      <c r="P251" s="2"/>
      <c r="Q251" s="2">
        <f t="shared" si="15"/>
        <v>0</v>
      </c>
    </row>
    <row r="252" spans="2:17" x14ac:dyDescent="0.25">
      <c r="B252" s="30" t="s">
        <v>700</v>
      </c>
      <c r="C252" s="31" t="s">
        <v>247</v>
      </c>
      <c r="D252" s="2">
        <v>41</v>
      </c>
      <c r="E252" s="32"/>
      <c r="F252" s="32">
        <v>0</v>
      </c>
      <c r="G252" s="18">
        <v>0</v>
      </c>
      <c r="H252" s="18"/>
      <c r="I252" s="177">
        <f t="shared" si="12"/>
        <v>41</v>
      </c>
      <c r="J252" s="2"/>
      <c r="K252" t="e">
        <f>VLOOKUP(B252,#REF!,2,FALSE)</f>
        <v>#REF!</v>
      </c>
      <c r="N252" s="2">
        <f t="shared" si="13"/>
        <v>0</v>
      </c>
      <c r="O252">
        <f t="shared" si="14"/>
        <v>0</v>
      </c>
      <c r="P252" s="2"/>
      <c r="Q252" s="2">
        <f t="shared" si="15"/>
        <v>0</v>
      </c>
    </row>
    <row r="253" spans="2:17" x14ac:dyDescent="0.25">
      <c r="B253" s="30" t="s">
        <v>701</v>
      </c>
      <c r="C253" s="31" t="s">
        <v>248</v>
      </c>
      <c r="D253" s="2">
        <v>0</v>
      </c>
      <c r="E253" s="32"/>
      <c r="F253" s="32">
        <v>0</v>
      </c>
      <c r="G253" s="18">
        <v>0</v>
      </c>
      <c r="I253" s="177">
        <f t="shared" si="12"/>
        <v>0</v>
      </c>
      <c r="J253" s="2"/>
      <c r="K253" t="e">
        <f>VLOOKUP(B253,#REF!,2,FALSE)</f>
        <v>#REF!</v>
      </c>
      <c r="N253" s="2">
        <f t="shared" si="13"/>
        <v>0</v>
      </c>
      <c r="O253">
        <f t="shared" si="14"/>
        <v>0</v>
      </c>
      <c r="P253" s="2"/>
      <c r="Q253" s="2">
        <f t="shared" si="15"/>
        <v>0</v>
      </c>
    </row>
    <row r="254" spans="2:17" x14ac:dyDescent="0.25">
      <c r="B254" s="30" t="s">
        <v>702</v>
      </c>
      <c r="C254" s="31" t="s">
        <v>249</v>
      </c>
      <c r="D254" s="2">
        <v>1147.67</v>
      </c>
      <c r="E254" s="32"/>
      <c r="F254" s="32">
        <v>15.166666666666666</v>
      </c>
      <c r="G254" s="18">
        <v>0</v>
      </c>
      <c r="H254" s="18"/>
      <c r="I254" s="177">
        <f t="shared" si="12"/>
        <v>1162.8366666666668</v>
      </c>
      <c r="J254" s="2"/>
      <c r="K254" t="e">
        <f>VLOOKUP(B254,#REF!,2,FALSE)</f>
        <v>#REF!</v>
      </c>
      <c r="N254" s="2">
        <f t="shared" si="13"/>
        <v>0</v>
      </c>
      <c r="O254">
        <f t="shared" si="14"/>
        <v>0</v>
      </c>
      <c r="P254" s="2"/>
      <c r="Q254" s="2">
        <f t="shared" si="15"/>
        <v>0</v>
      </c>
    </row>
    <row r="255" spans="2:17" x14ac:dyDescent="0.25">
      <c r="B255" s="30" t="s">
        <v>703</v>
      </c>
      <c r="C255" s="31" t="s">
        <v>250</v>
      </c>
      <c r="D255" s="2">
        <v>1091.6600000000001</v>
      </c>
      <c r="E255" s="32">
        <v>21</v>
      </c>
      <c r="F255" s="32">
        <v>45.166666666666664</v>
      </c>
      <c r="G255" s="18">
        <v>2</v>
      </c>
      <c r="I255" s="177">
        <f t="shared" si="12"/>
        <v>1155.8266666666668</v>
      </c>
      <c r="J255" s="2"/>
      <c r="K255" t="e">
        <f>VLOOKUP(B255,#REF!,2,FALSE)</f>
        <v>#REF!</v>
      </c>
      <c r="N255" s="2">
        <f t="shared" si="13"/>
        <v>0</v>
      </c>
      <c r="O255">
        <f t="shared" si="14"/>
        <v>0</v>
      </c>
      <c r="P255" s="2"/>
      <c r="Q255" s="2">
        <f t="shared" si="15"/>
        <v>0</v>
      </c>
    </row>
    <row r="256" spans="2:17" x14ac:dyDescent="0.25">
      <c r="B256" s="30" t="s">
        <v>704</v>
      </c>
      <c r="C256" s="31" t="s">
        <v>251</v>
      </c>
      <c r="D256" s="2">
        <v>0</v>
      </c>
      <c r="E256" s="32"/>
      <c r="F256" s="32">
        <v>0</v>
      </c>
      <c r="G256" s="18">
        <v>0</v>
      </c>
      <c r="H256" s="18"/>
      <c r="I256" s="177">
        <f t="shared" si="12"/>
        <v>0</v>
      </c>
      <c r="J256" s="2"/>
      <c r="K256" t="e">
        <f>VLOOKUP(B256,#REF!,2,FALSE)</f>
        <v>#REF!</v>
      </c>
      <c r="N256" s="2">
        <f t="shared" si="13"/>
        <v>0</v>
      </c>
      <c r="O256">
        <f t="shared" si="14"/>
        <v>0</v>
      </c>
      <c r="P256" s="2"/>
      <c r="Q256" s="2">
        <f t="shared" si="15"/>
        <v>0</v>
      </c>
    </row>
    <row r="257" spans="2:17" x14ac:dyDescent="0.25">
      <c r="B257" s="30" t="s">
        <v>705</v>
      </c>
      <c r="C257" s="31" t="s">
        <v>252</v>
      </c>
      <c r="D257" s="2">
        <v>0</v>
      </c>
      <c r="E257" s="32"/>
      <c r="F257" s="32">
        <v>0</v>
      </c>
      <c r="G257" s="18">
        <v>0</v>
      </c>
      <c r="H257" s="18"/>
      <c r="I257" s="177">
        <f t="shared" si="12"/>
        <v>0</v>
      </c>
      <c r="J257" s="2"/>
      <c r="K257" t="e">
        <f>VLOOKUP(B257,#REF!,2,FALSE)</f>
        <v>#REF!</v>
      </c>
      <c r="N257" s="2">
        <f t="shared" si="13"/>
        <v>0</v>
      </c>
      <c r="O257">
        <f t="shared" si="14"/>
        <v>0</v>
      </c>
      <c r="P257" s="2"/>
      <c r="Q257" s="2">
        <f t="shared" si="15"/>
        <v>0</v>
      </c>
    </row>
    <row r="258" spans="2:17" x14ac:dyDescent="0.25">
      <c r="B258" s="30" t="s">
        <v>706</v>
      </c>
      <c r="C258" s="31" t="s">
        <v>253</v>
      </c>
      <c r="D258" s="2">
        <v>605.17000000000007</v>
      </c>
      <c r="E258" s="32">
        <v>8</v>
      </c>
      <c r="F258" s="32">
        <v>2</v>
      </c>
      <c r="G258" s="18">
        <v>0</v>
      </c>
      <c r="H258" s="18"/>
      <c r="I258" s="177">
        <f t="shared" si="12"/>
        <v>615.17000000000007</v>
      </c>
      <c r="J258" s="2"/>
      <c r="K258" t="e">
        <f>VLOOKUP(B258,#REF!,2,FALSE)</f>
        <v>#REF!</v>
      </c>
      <c r="N258" s="2">
        <f t="shared" si="13"/>
        <v>0</v>
      </c>
      <c r="O258">
        <f t="shared" si="14"/>
        <v>0</v>
      </c>
      <c r="P258" s="2"/>
      <c r="Q258" s="2">
        <f t="shared" si="15"/>
        <v>0</v>
      </c>
    </row>
    <row r="259" spans="2:17" x14ac:dyDescent="0.25">
      <c r="B259" s="30" t="s">
        <v>707</v>
      </c>
      <c r="C259" s="31" t="s">
        <v>254</v>
      </c>
      <c r="D259" s="2">
        <v>286.33</v>
      </c>
      <c r="E259" s="32"/>
      <c r="F259" s="32">
        <v>2</v>
      </c>
      <c r="G259" s="18">
        <v>0</v>
      </c>
      <c r="H259" s="18"/>
      <c r="I259" s="177">
        <f t="shared" si="12"/>
        <v>288.33</v>
      </c>
      <c r="J259" s="2"/>
      <c r="K259" t="e">
        <f>VLOOKUP(B259,#REF!,2,FALSE)</f>
        <v>#REF!</v>
      </c>
      <c r="N259" s="2">
        <f t="shared" si="13"/>
        <v>0</v>
      </c>
      <c r="O259">
        <f t="shared" si="14"/>
        <v>0</v>
      </c>
      <c r="P259" s="2"/>
      <c r="Q259" s="2">
        <f t="shared" si="15"/>
        <v>0</v>
      </c>
    </row>
    <row r="260" spans="2:17" x14ac:dyDescent="0.25">
      <c r="B260" s="30" t="s">
        <v>708</v>
      </c>
      <c r="C260" s="31" t="s">
        <v>255</v>
      </c>
      <c r="D260" s="2">
        <v>150.82999999999998</v>
      </c>
      <c r="E260" s="32"/>
      <c r="F260" s="32">
        <v>1</v>
      </c>
      <c r="G260" s="18">
        <v>0</v>
      </c>
      <c r="H260" s="18"/>
      <c r="I260" s="177">
        <f t="shared" si="12"/>
        <v>151.82999999999998</v>
      </c>
      <c r="J260" s="2"/>
      <c r="K260" t="e">
        <f>VLOOKUP(B260,#REF!,2,FALSE)</f>
        <v>#REF!</v>
      </c>
      <c r="N260" s="2">
        <f t="shared" si="13"/>
        <v>0</v>
      </c>
      <c r="O260">
        <f t="shared" si="14"/>
        <v>0</v>
      </c>
      <c r="P260" s="2"/>
      <c r="Q260" s="2">
        <f t="shared" si="15"/>
        <v>0</v>
      </c>
    </row>
    <row r="261" spans="2:17" x14ac:dyDescent="0.25">
      <c r="B261" s="30" t="s">
        <v>709</v>
      </c>
      <c r="C261" s="31" t="s">
        <v>256</v>
      </c>
      <c r="D261" s="2">
        <v>115.34</v>
      </c>
      <c r="E261" s="32"/>
      <c r="F261" s="32">
        <v>0</v>
      </c>
      <c r="G261" s="18">
        <v>0</v>
      </c>
      <c r="I261" s="177">
        <f t="shared" si="12"/>
        <v>115.34</v>
      </c>
      <c r="J261" s="2"/>
      <c r="K261" t="e">
        <f>VLOOKUP(B261,#REF!,2,FALSE)</f>
        <v>#REF!</v>
      </c>
      <c r="N261" s="2">
        <f t="shared" si="13"/>
        <v>0</v>
      </c>
      <c r="O261">
        <f t="shared" si="14"/>
        <v>0</v>
      </c>
      <c r="P261" s="2"/>
      <c r="Q261" s="2">
        <f t="shared" si="15"/>
        <v>0</v>
      </c>
    </row>
    <row r="262" spans="2:17" x14ac:dyDescent="0.25">
      <c r="B262" s="30" t="s">
        <v>710</v>
      </c>
      <c r="C262" s="31" t="s">
        <v>257</v>
      </c>
      <c r="D262" s="2">
        <v>257.83999999999997</v>
      </c>
      <c r="E262" s="32"/>
      <c r="F262" s="32">
        <v>29</v>
      </c>
      <c r="G262" s="18">
        <v>0</v>
      </c>
      <c r="I262" s="177">
        <f t="shared" si="12"/>
        <v>286.83999999999997</v>
      </c>
      <c r="J262" s="2"/>
      <c r="K262" t="e">
        <f>VLOOKUP(B262,#REF!,2,FALSE)</f>
        <v>#REF!</v>
      </c>
      <c r="N262" s="2">
        <f t="shared" si="13"/>
        <v>0</v>
      </c>
      <c r="O262">
        <f t="shared" si="14"/>
        <v>0</v>
      </c>
      <c r="P262" s="2"/>
      <c r="Q262" s="2">
        <f t="shared" si="15"/>
        <v>0</v>
      </c>
    </row>
    <row r="263" spans="2:17" x14ac:dyDescent="0.25">
      <c r="B263" s="30" t="s">
        <v>711</v>
      </c>
      <c r="C263" s="31" t="s">
        <v>258</v>
      </c>
      <c r="D263" s="2">
        <v>11.83</v>
      </c>
      <c r="E263" s="32"/>
      <c r="F263" s="32">
        <v>0</v>
      </c>
      <c r="G263" s="18">
        <v>4</v>
      </c>
      <c r="I263" s="177">
        <f t="shared" si="12"/>
        <v>7.83</v>
      </c>
      <c r="J263" s="2"/>
      <c r="K263" t="e">
        <f>VLOOKUP(B263,#REF!,2,FALSE)</f>
        <v>#REF!</v>
      </c>
      <c r="N263" s="2">
        <f t="shared" si="13"/>
        <v>0</v>
      </c>
      <c r="O263">
        <f t="shared" si="14"/>
        <v>0</v>
      </c>
      <c r="P263" s="2"/>
      <c r="Q263" s="2">
        <f t="shared" si="15"/>
        <v>0</v>
      </c>
    </row>
    <row r="264" spans="2:17" x14ac:dyDescent="0.25">
      <c r="B264" s="34" t="s">
        <v>712</v>
      </c>
      <c r="C264" s="31" t="s">
        <v>259</v>
      </c>
      <c r="D264" s="2">
        <v>21.5</v>
      </c>
      <c r="E264" s="32"/>
      <c r="F264" s="32">
        <v>0</v>
      </c>
      <c r="G264" s="18">
        <v>0</v>
      </c>
      <c r="H264" s="18"/>
      <c r="I264" s="177">
        <f t="shared" si="12"/>
        <v>21.5</v>
      </c>
      <c r="J264" s="2"/>
      <c r="K264" t="e">
        <f>VLOOKUP(B264,#REF!,2,FALSE)</f>
        <v>#REF!</v>
      </c>
      <c r="N264" s="2">
        <f t="shared" si="13"/>
        <v>0</v>
      </c>
      <c r="O264">
        <f t="shared" si="14"/>
        <v>0</v>
      </c>
      <c r="P264" s="2"/>
      <c r="Q264" s="2">
        <f t="shared" si="15"/>
        <v>0</v>
      </c>
    </row>
    <row r="265" spans="2:17" x14ac:dyDescent="0.25">
      <c r="B265" s="30" t="s">
        <v>713</v>
      </c>
      <c r="C265" s="31" t="s">
        <v>260</v>
      </c>
      <c r="D265" s="2">
        <v>2709.17</v>
      </c>
      <c r="E265" s="32"/>
      <c r="F265" s="32">
        <v>243.83333333333334</v>
      </c>
      <c r="G265" s="18">
        <v>2</v>
      </c>
      <c r="H265" s="18"/>
      <c r="I265" s="177">
        <f t="shared" ref="I265:I328" si="16">IF(D265+E265+F265-G265+Q265&lt;0,0,D265+E265+F265+Q265-G265)</f>
        <v>2951.0033333333336</v>
      </c>
      <c r="J265" s="2"/>
      <c r="K265" t="e">
        <f>VLOOKUP(B265,#REF!,2,FALSE)</f>
        <v>#REF!</v>
      </c>
      <c r="N265" s="2">
        <f t="shared" ref="N265:N328" si="17">IFERROR(D265/L265,0)</f>
        <v>0</v>
      </c>
      <c r="O265">
        <f t="shared" ref="O265:O328" si="18">M265-L265</f>
        <v>0</v>
      </c>
      <c r="P265" s="2"/>
      <c r="Q265" s="2">
        <f t="shared" ref="Q265:Q328" si="19">O265*N265</f>
        <v>0</v>
      </c>
    </row>
    <row r="266" spans="2:17" x14ac:dyDescent="0.25">
      <c r="B266" s="30" t="s">
        <v>714</v>
      </c>
      <c r="C266" s="31" t="s">
        <v>261</v>
      </c>
      <c r="D266" s="2">
        <v>60</v>
      </c>
      <c r="E266" s="32"/>
      <c r="F266" s="32">
        <v>0</v>
      </c>
      <c r="G266" s="18">
        <v>0</v>
      </c>
      <c r="H266" s="18"/>
      <c r="I266" s="177">
        <f t="shared" si="16"/>
        <v>60</v>
      </c>
      <c r="J266" s="2"/>
      <c r="K266" t="e">
        <f>VLOOKUP(B266,#REF!,2,FALSE)</f>
        <v>#REF!</v>
      </c>
      <c r="N266" s="2">
        <f t="shared" si="17"/>
        <v>0</v>
      </c>
      <c r="O266">
        <f t="shared" si="18"/>
        <v>0</v>
      </c>
      <c r="P266" s="2"/>
      <c r="Q266" s="2">
        <f t="shared" si="19"/>
        <v>0</v>
      </c>
    </row>
    <row r="267" spans="2:17" x14ac:dyDescent="0.25">
      <c r="B267" s="30" t="s">
        <v>715</v>
      </c>
      <c r="C267" s="31" t="s">
        <v>262</v>
      </c>
      <c r="D267" s="2">
        <v>0</v>
      </c>
      <c r="E267" s="32"/>
      <c r="F267" s="32">
        <v>0</v>
      </c>
      <c r="G267" s="18">
        <v>0</v>
      </c>
      <c r="H267" s="18"/>
      <c r="I267" s="177">
        <f t="shared" si="16"/>
        <v>0</v>
      </c>
      <c r="J267" s="2"/>
      <c r="K267" t="e">
        <f>VLOOKUP(B267,#REF!,2,FALSE)</f>
        <v>#REF!</v>
      </c>
      <c r="N267" s="2">
        <f t="shared" si="17"/>
        <v>0</v>
      </c>
      <c r="O267">
        <f t="shared" si="18"/>
        <v>0</v>
      </c>
      <c r="P267" s="2"/>
      <c r="Q267" s="2">
        <f t="shared" si="19"/>
        <v>0</v>
      </c>
    </row>
    <row r="268" spans="2:17" x14ac:dyDescent="0.25">
      <c r="B268" s="30" t="s">
        <v>716</v>
      </c>
      <c r="C268" s="31" t="s">
        <v>263</v>
      </c>
      <c r="D268" s="2">
        <v>0</v>
      </c>
      <c r="E268" s="32"/>
      <c r="F268" s="32">
        <v>0</v>
      </c>
      <c r="G268" s="18">
        <v>0</v>
      </c>
      <c r="H268" s="18"/>
      <c r="I268" s="177">
        <f t="shared" si="16"/>
        <v>0</v>
      </c>
      <c r="J268" s="2"/>
      <c r="K268" t="e">
        <f>VLOOKUP(B268,#REF!,2,FALSE)</f>
        <v>#REF!</v>
      </c>
      <c r="N268" s="2">
        <f t="shared" si="17"/>
        <v>0</v>
      </c>
      <c r="O268">
        <f t="shared" si="18"/>
        <v>0</v>
      </c>
      <c r="P268" s="2"/>
      <c r="Q268" s="2">
        <f t="shared" si="19"/>
        <v>0</v>
      </c>
    </row>
    <row r="269" spans="2:17" x14ac:dyDescent="0.25">
      <c r="B269" s="30" t="s">
        <v>717</v>
      </c>
      <c r="C269" s="31" t="s">
        <v>264</v>
      </c>
      <c r="D269" s="2">
        <v>166</v>
      </c>
      <c r="E269" s="32"/>
      <c r="F269" s="32">
        <v>18.5</v>
      </c>
      <c r="G269" s="18">
        <v>0</v>
      </c>
      <c r="I269" s="177">
        <f t="shared" si="16"/>
        <v>184.5</v>
      </c>
      <c r="J269" s="2"/>
      <c r="K269" t="e">
        <f>VLOOKUP(B269,#REF!,2,FALSE)</f>
        <v>#REF!</v>
      </c>
      <c r="N269" s="2">
        <f t="shared" si="17"/>
        <v>0</v>
      </c>
      <c r="O269">
        <f t="shared" si="18"/>
        <v>0</v>
      </c>
      <c r="P269" s="2"/>
      <c r="Q269" s="2">
        <f t="shared" si="19"/>
        <v>0</v>
      </c>
    </row>
    <row r="270" spans="2:17" x14ac:dyDescent="0.25">
      <c r="B270" s="30" t="s">
        <v>718</v>
      </c>
      <c r="C270" s="31" t="s">
        <v>265</v>
      </c>
      <c r="D270" s="2">
        <v>0</v>
      </c>
      <c r="E270" s="32"/>
      <c r="F270" s="32">
        <v>0</v>
      </c>
      <c r="G270" s="18">
        <v>0</v>
      </c>
      <c r="H270" s="18"/>
      <c r="I270" s="177">
        <f t="shared" si="16"/>
        <v>0</v>
      </c>
      <c r="J270" s="2"/>
      <c r="K270" t="e">
        <f>VLOOKUP(B270,#REF!,2,FALSE)</f>
        <v>#REF!</v>
      </c>
      <c r="N270" s="2">
        <f t="shared" si="17"/>
        <v>0</v>
      </c>
      <c r="O270">
        <f t="shared" si="18"/>
        <v>0</v>
      </c>
      <c r="P270" s="2"/>
      <c r="Q270" s="2">
        <f t="shared" si="19"/>
        <v>0</v>
      </c>
    </row>
    <row r="271" spans="2:17" x14ac:dyDescent="0.25">
      <c r="B271" s="30" t="s">
        <v>719</v>
      </c>
      <c r="C271" s="31" t="s">
        <v>266</v>
      </c>
      <c r="D271" s="2">
        <v>0</v>
      </c>
      <c r="E271" s="32"/>
      <c r="F271" s="32">
        <v>0</v>
      </c>
      <c r="G271" s="18">
        <v>0</v>
      </c>
      <c r="H271" s="18"/>
      <c r="I271" s="177">
        <f t="shared" si="16"/>
        <v>0</v>
      </c>
      <c r="J271" s="2"/>
      <c r="K271" t="e">
        <f>VLOOKUP(B271,#REF!,2,FALSE)</f>
        <v>#REF!</v>
      </c>
      <c r="N271" s="2">
        <f t="shared" si="17"/>
        <v>0</v>
      </c>
      <c r="O271">
        <f t="shared" si="18"/>
        <v>0</v>
      </c>
      <c r="P271" s="2"/>
      <c r="Q271" s="2">
        <f t="shared" si="19"/>
        <v>0</v>
      </c>
    </row>
    <row r="272" spans="2:17" x14ac:dyDescent="0.25">
      <c r="B272" s="30" t="s">
        <v>720</v>
      </c>
      <c r="C272" s="31" t="s">
        <v>267</v>
      </c>
      <c r="D272" s="2">
        <v>0</v>
      </c>
      <c r="E272" s="32"/>
      <c r="F272" s="32">
        <v>0</v>
      </c>
      <c r="G272" s="18">
        <v>0</v>
      </c>
      <c r="I272" s="177">
        <f t="shared" si="16"/>
        <v>0</v>
      </c>
      <c r="J272" s="2"/>
      <c r="K272" t="e">
        <f>VLOOKUP(B272,#REF!,2,FALSE)</f>
        <v>#REF!</v>
      </c>
      <c r="N272" s="2">
        <f t="shared" si="17"/>
        <v>0</v>
      </c>
      <c r="O272">
        <f t="shared" si="18"/>
        <v>0</v>
      </c>
      <c r="P272" s="2"/>
      <c r="Q272" s="2">
        <f t="shared" si="19"/>
        <v>0</v>
      </c>
    </row>
    <row r="273" spans="2:17" x14ac:dyDescent="0.25">
      <c r="B273" s="30" t="s">
        <v>721</v>
      </c>
      <c r="C273" s="31" t="s">
        <v>268</v>
      </c>
      <c r="D273" s="2">
        <v>111.33</v>
      </c>
      <c r="E273" s="32"/>
      <c r="F273" s="32">
        <v>0</v>
      </c>
      <c r="G273" s="18">
        <v>0</v>
      </c>
      <c r="I273" s="177">
        <f t="shared" si="16"/>
        <v>111.33</v>
      </c>
      <c r="J273" s="2"/>
      <c r="K273" t="e">
        <f>VLOOKUP(B273,#REF!,2,FALSE)</f>
        <v>#REF!</v>
      </c>
      <c r="N273" s="2">
        <f t="shared" si="17"/>
        <v>0</v>
      </c>
      <c r="O273">
        <f t="shared" si="18"/>
        <v>0</v>
      </c>
      <c r="P273" s="2"/>
      <c r="Q273" s="2">
        <f t="shared" si="19"/>
        <v>0</v>
      </c>
    </row>
    <row r="274" spans="2:17" x14ac:dyDescent="0.25">
      <c r="B274" s="30" t="s">
        <v>722</v>
      </c>
      <c r="C274" s="31" t="s">
        <v>269</v>
      </c>
      <c r="D274" s="2">
        <v>0</v>
      </c>
      <c r="E274" s="32"/>
      <c r="F274" s="32">
        <v>0</v>
      </c>
      <c r="G274" s="18">
        <v>0</v>
      </c>
      <c r="H274" s="18"/>
      <c r="I274" s="177">
        <f t="shared" si="16"/>
        <v>0</v>
      </c>
      <c r="J274" s="2"/>
      <c r="K274" t="e">
        <f>VLOOKUP(B274,#REF!,2,FALSE)</f>
        <v>#REF!</v>
      </c>
      <c r="N274" s="2">
        <f t="shared" si="17"/>
        <v>0</v>
      </c>
      <c r="O274">
        <f t="shared" si="18"/>
        <v>0</v>
      </c>
      <c r="P274" s="2"/>
      <c r="Q274" s="2">
        <f t="shared" si="19"/>
        <v>0</v>
      </c>
    </row>
    <row r="275" spans="2:17" x14ac:dyDescent="0.25">
      <c r="B275" s="33" t="s">
        <v>723</v>
      </c>
      <c r="C275" s="31" t="s">
        <v>270</v>
      </c>
      <c r="D275" s="2">
        <v>19</v>
      </c>
      <c r="E275" s="32"/>
      <c r="F275" s="32">
        <v>0</v>
      </c>
      <c r="G275" s="18">
        <v>0</v>
      </c>
      <c r="I275" s="177">
        <f t="shared" si="16"/>
        <v>19</v>
      </c>
      <c r="J275" s="2"/>
      <c r="K275" t="e">
        <f>VLOOKUP(B275,#REF!,2,FALSE)</f>
        <v>#REF!</v>
      </c>
      <c r="N275" s="2">
        <f t="shared" si="17"/>
        <v>0</v>
      </c>
      <c r="O275">
        <f t="shared" si="18"/>
        <v>0</v>
      </c>
      <c r="P275" s="2"/>
      <c r="Q275" s="2">
        <f t="shared" si="19"/>
        <v>0</v>
      </c>
    </row>
    <row r="276" spans="2:17" x14ac:dyDescent="0.25">
      <c r="B276" s="34" t="s">
        <v>724</v>
      </c>
      <c r="C276" s="31" t="s">
        <v>271</v>
      </c>
      <c r="D276" s="2">
        <v>294.17</v>
      </c>
      <c r="E276" s="32"/>
      <c r="F276" s="32">
        <v>7</v>
      </c>
      <c r="G276" s="18">
        <v>0</v>
      </c>
      <c r="I276" s="177">
        <f t="shared" si="16"/>
        <v>301.17</v>
      </c>
      <c r="J276" s="2"/>
      <c r="K276" t="e">
        <f>VLOOKUP(B276,#REF!,2,FALSE)</f>
        <v>#REF!</v>
      </c>
      <c r="N276" s="2">
        <f t="shared" si="17"/>
        <v>0</v>
      </c>
      <c r="O276">
        <f t="shared" si="18"/>
        <v>0</v>
      </c>
      <c r="P276" s="2"/>
      <c r="Q276" s="2">
        <f t="shared" si="19"/>
        <v>0</v>
      </c>
    </row>
    <row r="277" spans="2:17" x14ac:dyDescent="0.25">
      <c r="B277" s="36" t="s">
        <v>725</v>
      </c>
      <c r="C277" s="31" t="s">
        <v>272</v>
      </c>
      <c r="D277" s="2">
        <v>100.33</v>
      </c>
      <c r="E277" s="32"/>
      <c r="F277" s="32">
        <v>0</v>
      </c>
      <c r="G277" s="18">
        <v>0</v>
      </c>
      <c r="H277" s="18"/>
      <c r="I277" s="177">
        <f t="shared" si="16"/>
        <v>100.33</v>
      </c>
      <c r="J277" s="2"/>
      <c r="K277" t="e">
        <f>VLOOKUP(B277,#REF!,2,FALSE)</f>
        <v>#REF!</v>
      </c>
      <c r="N277" s="2">
        <f t="shared" si="17"/>
        <v>0</v>
      </c>
      <c r="O277">
        <f t="shared" si="18"/>
        <v>0</v>
      </c>
      <c r="P277" s="2"/>
      <c r="Q277" s="2">
        <f t="shared" si="19"/>
        <v>0</v>
      </c>
    </row>
    <row r="278" spans="2:17" x14ac:dyDescent="0.25">
      <c r="B278" s="30" t="s">
        <v>726</v>
      </c>
      <c r="C278" s="31" t="s">
        <v>273</v>
      </c>
      <c r="D278" s="2">
        <v>8.33</v>
      </c>
      <c r="E278" s="32"/>
      <c r="F278" s="32">
        <v>0</v>
      </c>
      <c r="G278" s="18">
        <v>0</v>
      </c>
      <c r="H278" s="18"/>
      <c r="I278" s="177">
        <f t="shared" si="16"/>
        <v>8.33</v>
      </c>
      <c r="J278" s="2"/>
      <c r="K278" t="e">
        <f>VLOOKUP(B278,#REF!,2,FALSE)</f>
        <v>#REF!</v>
      </c>
      <c r="N278" s="2">
        <f t="shared" si="17"/>
        <v>0</v>
      </c>
      <c r="O278">
        <f t="shared" si="18"/>
        <v>0</v>
      </c>
      <c r="P278" s="2"/>
      <c r="Q278" s="2">
        <f t="shared" si="19"/>
        <v>0</v>
      </c>
    </row>
    <row r="279" spans="2:17" x14ac:dyDescent="0.25">
      <c r="B279" s="30" t="s">
        <v>727</v>
      </c>
      <c r="C279" s="31" t="s">
        <v>274</v>
      </c>
      <c r="D279" s="2">
        <v>27.17</v>
      </c>
      <c r="E279" s="32"/>
      <c r="F279" s="32">
        <v>0</v>
      </c>
      <c r="G279" s="18">
        <v>0</v>
      </c>
      <c r="I279" s="177">
        <f t="shared" si="16"/>
        <v>27.17</v>
      </c>
      <c r="J279" s="2"/>
      <c r="K279" t="e">
        <f>VLOOKUP(B279,#REF!,2,FALSE)</f>
        <v>#REF!</v>
      </c>
      <c r="N279" s="2">
        <f t="shared" si="17"/>
        <v>0</v>
      </c>
      <c r="O279">
        <f t="shared" si="18"/>
        <v>0</v>
      </c>
      <c r="P279" s="2"/>
      <c r="Q279" s="2">
        <f t="shared" si="19"/>
        <v>0</v>
      </c>
    </row>
    <row r="280" spans="2:17" x14ac:dyDescent="0.25">
      <c r="B280" s="30" t="s">
        <v>728</v>
      </c>
      <c r="C280" s="31" t="s">
        <v>275</v>
      </c>
      <c r="D280" s="2">
        <v>0</v>
      </c>
      <c r="E280" s="32"/>
      <c r="F280" s="32">
        <v>0</v>
      </c>
      <c r="G280" s="18">
        <v>0</v>
      </c>
      <c r="H280" s="18"/>
      <c r="I280" s="177">
        <f t="shared" si="16"/>
        <v>0</v>
      </c>
      <c r="J280" s="2"/>
      <c r="K280" t="e">
        <f>VLOOKUP(B280,#REF!,2,FALSE)</f>
        <v>#REF!</v>
      </c>
      <c r="N280" s="2">
        <f t="shared" si="17"/>
        <v>0</v>
      </c>
      <c r="O280">
        <f t="shared" si="18"/>
        <v>0</v>
      </c>
      <c r="P280" s="2"/>
      <c r="Q280" s="2">
        <f t="shared" si="19"/>
        <v>0</v>
      </c>
    </row>
    <row r="281" spans="2:17" x14ac:dyDescent="0.25">
      <c r="B281" s="34" t="s">
        <v>729</v>
      </c>
      <c r="C281" s="31" t="s">
        <v>276</v>
      </c>
      <c r="D281" s="2">
        <v>666</v>
      </c>
      <c r="E281" s="32"/>
      <c r="F281" s="32">
        <v>8.8333333333333339</v>
      </c>
      <c r="G281" s="18">
        <v>1</v>
      </c>
      <c r="I281" s="177">
        <f t="shared" si="16"/>
        <v>673.83333333333337</v>
      </c>
      <c r="J281" s="2"/>
      <c r="K281" t="e">
        <f>VLOOKUP(B281,#REF!,2,FALSE)</f>
        <v>#REF!</v>
      </c>
      <c r="N281" s="2">
        <f t="shared" si="17"/>
        <v>0</v>
      </c>
      <c r="O281">
        <f t="shared" si="18"/>
        <v>0</v>
      </c>
      <c r="P281" s="2"/>
      <c r="Q281" s="2">
        <f t="shared" si="19"/>
        <v>0</v>
      </c>
    </row>
    <row r="282" spans="2:17" x14ac:dyDescent="0.25">
      <c r="B282" s="30" t="s">
        <v>730</v>
      </c>
      <c r="C282" s="31" t="s">
        <v>277</v>
      </c>
      <c r="D282" s="2">
        <v>2025.17</v>
      </c>
      <c r="E282" s="32"/>
      <c r="F282" s="32">
        <v>6.666666666666667</v>
      </c>
      <c r="G282" s="18">
        <v>0</v>
      </c>
      <c r="H282" s="18"/>
      <c r="I282" s="177">
        <f t="shared" si="16"/>
        <v>2031.8366666666668</v>
      </c>
      <c r="J282" s="2"/>
      <c r="K282" t="e">
        <f>VLOOKUP(B282,#REF!,2,FALSE)</f>
        <v>#REF!</v>
      </c>
      <c r="N282" s="2">
        <f t="shared" si="17"/>
        <v>0</v>
      </c>
      <c r="O282">
        <f t="shared" si="18"/>
        <v>0</v>
      </c>
      <c r="P282" s="2"/>
      <c r="Q282" s="2">
        <f t="shared" si="19"/>
        <v>0</v>
      </c>
    </row>
    <row r="283" spans="2:17" x14ac:dyDescent="0.25">
      <c r="B283" s="30" t="s">
        <v>787</v>
      </c>
      <c r="C283" s="31" t="s">
        <v>278</v>
      </c>
      <c r="D283" s="2">
        <v>0</v>
      </c>
      <c r="E283" s="32"/>
      <c r="F283" s="32">
        <v>0</v>
      </c>
      <c r="G283" s="18">
        <v>0</v>
      </c>
      <c r="I283" s="177">
        <f t="shared" si="16"/>
        <v>0</v>
      </c>
      <c r="J283" s="2"/>
      <c r="K283" t="e">
        <f>VLOOKUP(B283,#REF!,2,FALSE)</f>
        <v>#REF!</v>
      </c>
      <c r="N283" s="2">
        <f t="shared" si="17"/>
        <v>0</v>
      </c>
      <c r="O283">
        <f t="shared" si="18"/>
        <v>0</v>
      </c>
      <c r="P283" s="2"/>
      <c r="Q283" s="2">
        <f t="shared" si="19"/>
        <v>0</v>
      </c>
    </row>
    <row r="284" spans="2:17" x14ac:dyDescent="0.25">
      <c r="B284" s="30" t="s">
        <v>731</v>
      </c>
      <c r="C284" s="31" t="s">
        <v>279</v>
      </c>
      <c r="D284" s="2">
        <v>3742.33</v>
      </c>
      <c r="E284" s="32"/>
      <c r="F284" s="32">
        <v>215.16666666666666</v>
      </c>
      <c r="G284" s="18">
        <v>2</v>
      </c>
      <c r="H284" s="18"/>
      <c r="I284" s="177">
        <f t="shared" si="16"/>
        <v>3955.4966666666664</v>
      </c>
      <c r="J284" s="2"/>
      <c r="K284" t="e">
        <f>VLOOKUP(B284,#REF!,2,FALSE)</f>
        <v>#REF!</v>
      </c>
      <c r="N284" s="2">
        <f t="shared" si="17"/>
        <v>0</v>
      </c>
      <c r="O284">
        <f t="shared" si="18"/>
        <v>0</v>
      </c>
      <c r="P284" s="2"/>
      <c r="Q284" s="2">
        <f t="shared" si="19"/>
        <v>0</v>
      </c>
    </row>
    <row r="285" spans="2:17" x14ac:dyDescent="0.25">
      <c r="B285" s="30" t="s">
        <v>732</v>
      </c>
      <c r="C285" s="31" t="s">
        <v>280</v>
      </c>
      <c r="D285" s="2">
        <v>0</v>
      </c>
      <c r="E285" s="32"/>
      <c r="F285" s="32">
        <v>0</v>
      </c>
      <c r="G285" s="18">
        <v>0</v>
      </c>
      <c r="I285" s="177">
        <f t="shared" si="16"/>
        <v>0</v>
      </c>
      <c r="J285" s="2"/>
      <c r="K285" t="e">
        <f>VLOOKUP(B285,#REF!,2,FALSE)</f>
        <v>#REF!</v>
      </c>
      <c r="N285" s="2">
        <f t="shared" si="17"/>
        <v>0</v>
      </c>
      <c r="O285">
        <f t="shared" si="18"/>
        <v>0</v>
      </c>
      <c r="P285" s="2"/>
      <c r="Q285" s="2">
        <f t="shared" si="19"/>
        <v>0</v>
      </c>
    </row>
    <row r="286" spans="2:17" x14ac:dyDescent="0.25">
      <c r="B286" s="30" t="s">
        <v>733</v>
      </c>
      <c r="C286" s="31" t="s">
        <v>281</v>
      </c>
      <c r="D286" s="2">
        <v>501</v>
      </c>
      <c r="E286" s="32"/>
      <c r="F286" s="32">
        <v>1</v>
      </c>
      <c r="G286" s="18">
        <v>0</v>
      </c>
      <c r="H286" s="18"/>
      <c r="I286" s="177">
        <f t="shared" si="16"/>
        <v>502</v>
      </c>
      <c r="J286" s="2"/>
      <c r="K286" t="e">
        <f>VLOOKUP(B286,#REF!,2,FALSE)</f>
        <v>#REF!</v>
      </c>
      <c r="N286" s="2">
        <f t="shared" si="17"/>
        <v>0</v>
      </c>
      <c r="O286">
        <f t="shared" si="18"/>
        <v>0</v>
      </c>
      <c r="P286" s="2"/>
      <c r="Q286" s="2">
        <f t="shared" si="19"/>
        <v>0</v>
      </c>
    </row>
    <row r="287" spans="2:17" x14ac:dyDescent="0.25">
      <c r="B287" s="30" t="s">
        <v>734</v>
      </c>
      <c r="C287" s="31" t="s">
        <v>282</v>
      </c>
      <c r="D287" s="2">
        <v>1.83</v>
      </c>
      <c r="E287" s="32"/>
      <c r="F287" s="32">
        <v>0</v>
      </c>
      <c r="G287" s="18">
        <v>0</v>
      </c>
      <c r="H287" s="18"/>
      <c r="I287" s="177">
        <f t="shared" si="16"/>
        <v>1.83</v>
      </c>
      <c r="J287" s="2"/>
      <c r="K287" t="e">
        <f>VLOOKUP(B287,#REF!,2,FALSE)</f>
        <v>#REF!</v>
      </c>
      <c r="N287" s="2">
        <f t="shared" si="17"/>
        <v>0</v>
      </c>
      <c r="O287">
        <f t="shared" si="18"/>
        <v>0</v>
      </c>
      <c r="P287" s="2"/>
      <c r="Q287" s="2">
        <f t="shared" si="19"/>
        <v>0</v>
      </c>
    </row>
    <row r="288" spans="2:17" x14ac:dyDescent="0.25">
      <c r="B288" s="30" t="s">
        <v>735</v>
      </c>
      <c r="C288" s="31" t="s">
        <v>283</v>
      </c>
      <c r="D288" s="2">
        <v>21.33</v>
      </c>
      <c r="E288" s="32"/>
      <c r="F288" s="32">
        <v>0</v>
      </c>
      <c r="G288" s="18">
        <v>0</v>
      </c>
      <c r="I288" s="177">
        <f t="shared" si="16"/>
        <v>21.33</v>
      </c>
      <c r="J288" s="2"/>
      <c r="K288" t="e">
        <f>VLOOKUP(B288,#REF!,2,FALSE)</f>
        <v>#REF!</v>
      </c>
      <c r="N288" s="2">
        <f t="shared" si="17"/>
        <v>0</v>
      </c>
      <c r="O288">
        <f t="shared" si="18"/>
        <v>0</v>
      </c>
      <c r="P288" s="2"/>
      <c r="Q288" s="2">
        <f t="shared" si="19"/>
        <v>0</v>
      </c>
    </row>
    <row r="289" spans="2:17" x14ac:dyDescent="0.25">
      <c r="B289" s="30" t="s">
        <v>736</v>
      </c>
      <c r="C289" s="31" t="s">
        <v>284</v>
      </c>
      <c r="D289" s="2">
        <v>4</v>
      </c>
      <c r="E289" s="32"/>
      <c r="F289" s="32">
        <v>0</v>
      </c>
      <c r="G289" s="18">
        <v>0</v>
      </c>
      <c r="I289" s="177">
        <f t="shared" si="16"/>
        <v>4</v>
      </c>
      <c r="J289" s="2"/>
      <c r="K289" t="e">
        <f>VLOOKUP(B289,#REF!,2,FALSE)</f>
        <v>#REF!</v>
      </c>
      <c r="N289" s="2">
        <f t="shared" si="17"/>
        <v>0</v>
      </c>
      <c r="O289">
        <f t="shared" si="18"/>
        <v>0</v>
      </c>
      <c r="P289" s="2"/>
      <c r="Q289" s="2">
        <f t="shared" si="19"/>
        <v>0</v>
      </c>
    </row>
    <row r="290" spans="2:17" x14ac:dyDescent="0.25">
      <c r="B290" s="30" t="s">
        <v>737</v>
      </c>
      <c r="C290" s="31" t="s">
        <v>285</v>
      </c>
      <c r="D290" s="2">
        <v>9.33</v>
      </c>
      <c r="E290" s="32"/>
      <c r="F290" s="32">
        <v>0</v>
      </c>
      <c r="G290" s="18">
        <v>0</v>
      </c>
      <c r="I290" s="177">
        <f t="shared" si="16"/>
        <v>9.33</v>
      </c>
      <c r="J290" s="2"/>
      <c r="K290" t="e">
        <f>VLOOKUP(B290,#REF!,2,FALSE)</f>
        <v>#REF!</v>
      </c>
      <c r="N290" s="2">
        <f t="shared" si="17"/>
        <v>0</v>
      </c>
      <c r="O290">
        <f t="shared" si="18"/>
        <v>0</v>
      </c>
      <c r="P290" s="2"/>
      <c r="Q290" s="2">
        <f t="shared" si="19"/>
        <v>0</v>
      </c>
    </row>
    <row r="291" spans="2:17" x14ac:dyDescent="0.25">
      <c r="B291" s="30" t="s">
        <v>738</v>
      </c>
      <c r="C291" s="31" t="s">
        <v>286</v>
      </c>
      <c r="D291" s="2">
        <v>131.66</v>
      </c>
      <c r="E291" s="32"/>
      <c r="F291" s="32">
        <v>1</v>
      </c>
      <c r="G291" s="18">
        <v>0</v>
      </c>
      <c r="H291" s="18"/>
      <c r="I291" s="177">
        <f t="shared" si="16"/>
        <v>132.66</v>
      </c>
      <c r="J291" s="2"/>
      <c r="K291" t="e">
        <f>VLOOKUP(B291,#REF!,2,FALSE)</f>
        <v>#REF!</v>
      </c>
      <c r="N291" s="2">
        <f t="shared" si="17"/>
        <v>0</v>
      </c>
      <c r="O291">
        <f t="shared" si="18"/>
        <v>0</v>
      </c>
      <c r="P291" s="2"/>
      <c r="Q291" s="2">
        <f t="shared" si="19"/>
        <v>0</v>
      </c>
    </row>
    <row r="292" spans="2:17" x14ac:dyDescent="0.25">
      <c r="B292" s="30" t="s">
        <v>739</v>
      </c>
      <c r="C292" s="31" t="s">
        <v>287</v>
      </c>
      <c r="D292" s="2">
        <v>1211</v>
      </c>
      <c r="E292" s="32"/>
      <c r="F292" s="32">
        <v>120</v>
      </c>
      <c r="G292" s="18">
        <v>0</v>
      </c>
      <c r="H292" s="18"/>
      <c r="I292" s="177">
        <f t="shared" si="16"/>
        <v>1331</v>
      </c>
      <c r="J292" s="2"/>
      <c r="K292" t="e">
        <f>VLOOKUP(B292,#REF!,2,FALSE)</f>
        <v>#REF!</v>
      </c>
      <c r="N292" s="2">
        <f t="shared" si="17"/>
        <v>0</v>
      </c>
      <c r="O292">
        <f t="shared" si="18"/>
        <v>0</v>
      </c>
      <c r="P292" s="2"/>
      <c r="Q292" s="2">
        <f t="shared" si="19"/>
        <v>0</v>
      </c>
    </row>
    <row r="293" spans="2:17" x14ac:dyDescent="0.25">
      <c r="B293" s="30" t="s">
        <v>494</v>
      </c>
      <c r="C293" s="31" t="s">
        <v>288</v>
      </c>
      <c r="D293" s="2">
        <v>33.67</v>
      </c>
      <c r="E293" s="32"/>
      <c r="F293" s="32">
        <v>0</v>
      </c>
      <c r="G293" s="18">
        <v>0</v>
      </c>
      <c r="H293" s="18"/>
      <c r="I293" s="177">
        <f t="shared" si="16"/>
        <v>33.67</v>
      </c>
      <c r="J293" s="2"/>
      <c r="K293" t="e">
        <f>VLOOKUP(B293,#REF!,2,FALSE)</f>
        <v>#REF!</v>
      </c>
      <c r="N293" s="2">
        <f t="shared" si="17"/>
        <v>0</v>
      </c>
      <c r="O293">
        <f t="shared" si="18"/>
        <v>0</v>
      </c>
      <c r="P293" s="2"/>
      <c r="Q293" s="2">
        <f t="shared" si="19"/>
        <v>0</v>
      </c>
    </row>
    <row r="294" spans="2:17" x14ac:dyDescent="0.25">
      <c r="B294" s="30" t="s">
        <v>740</v>
      </c>
      <c r="C294" s="31" t="s">
        <v>289</v>
      </c>
      <c r="D294" s="2">
        <v>0</v>
      </c>
      <c r="E294" s="32"/>
      <c r="F294" s="32">
        <v>0</v>
      </c>
      <c r="G294" s="18">
        <v>0</v>
      </c>
      <c r="I294" s="177">
        <f t="shared" si="16"/>
        <v>0</v>
      </c>
      <c r="J294" s="2"/>
      <c r="K294" t="e">
        <f>VLOOKUP(B294,#REF!,2,FALSE)</f>
        <v>#REF!</v>
      </c>
      <c r="N294" s="2">
        <f t="shared" si="17"/>
        <v>0</v>
      </c>
      <c r="O294">
        <f t="shared" si="18"/>
        <v>0</v>
      </c>
      <c r="P294" s="2"/>
      <c r="Q294" s="2">
        <f t="shared" si="19"/>
        <v>0</v>
      </c>
    </row>
    <row r="295" spans="2:17" x14ac:dyDescent="0.25">
      <c r="B295" s="30" t="s">
        <v>741</v>
      </c>
      <c r="C295" s="31" t="s">
        <v>290</v>
      </c>
      <c r="D295" s="2">
        <v>11.5</v>
      </c>
      <c r="E295" s="32"/>
      <c r="F295" s="32">
        <v>0</v>
      </c>
      <c r="G295" s="18">
        <v>0</v>
      </c>
      <c r="H295" s="18"/>
      <c r="I295" s="177">
        <f t="shared" si="16"/>
        <v>11.5</v>
      </c>
      <c r="J295" s="2"/>
      <c r="K295" t="e">
        <f>VLOOKUP(B295,#REF!,2,FALSE)</f>
        <v>#REF!</v>
      </c>
      <c r="N295" s="2">
        <f t="shared" si="17"/>
        <v>0</v>
      </c>
      <c r="O295">
        <f t="shared" si="18"/>
        <v>0</v>
      </c>
      <c r="P295" s="2"/>
      <c r="Q295" s="2">
        <f t="shared" si="19"/>
        <v>0</v>
      </c>
    </row>
    <row r="296" spans="2:17" x14ac:dyDescent="0.25">
      <c r="B296" s="30" t="s">
        <v>742</v>
      </c>
      <c r="C296" s="31" t="s">
        <v>291</v>
      </c>
      <c r="D296" s="2">
        <v>1352.34</v>
      </c>
      <c r="E296" s="32">
        <v>144</v>
      </c>
      <c r="F296" s="32">
        <v>2</v>
      </c>
      <c r="G296" s="18">
        <v>0</v>
      </c>
      <c r="I296" s="177">
        <f t="shared" si="16"/>
        <v>1498.34</v>
      </c>
      <c r="J296" s="2"/>
      <c r="K296" t="e">
        <f>VLOOKUP(B296,#REF!,2,FALSE)</f>
        <v>#REF!</v>
      </c>
      <c r="N296" s="2">
        <f t="shared" si="17"/>
        <v>0</v>
      </c>
      <c r="O296">
        <f t="shared" si="18"/>
        <v>0</v>
      </c>
      <c r="P296" s="2"/>
      <c r="Q296" s="2">
        <f t="shared" si="19"/>
        <v>0</v>
      </c>
    </row>
    <row r="297" spans="2:17" x14ac:dyDescent="0.25">
      <c r="B297" s="30" t="s">
        <v>743</v>
      </c>
      <c r="C297" s="31" t="s">
        <v>292</v>
      </c>
      <c r="D297" s="2">
        <v>170.34</v>
      </c>
      <c r="E297" s="32"/>
      <c r="F297" s="32">
        <v>0</v>
      </c>
      <c r="G297" s="18">
        <v>0</v>
      </c>
      <c r="H297" s="18"/>
      <c r="I297" s="177">
        <f t="shared" si="16"/>
        <v>170.34</v>
      </c>
      <c r="J297" s="2"/>
      <c r="K297" t="e">
        <f>VLOOKUP(B297,#REF!,2,FALSE)</f>
        <v>#REF!</v>
      </c>
      <c r="N297" s="2">
        <f t="shared" si="17"/>
        <v>0</v>
      </c>
      <c r="O297">
        <f t="shared" si="18"/>
        <v>0</v>
      </c>
      <c r="P297" s="2"/>
      <c r="Q297" s="2">
        <f t="shared" si="19"/>
        <v>0</v>
      </c>
    </row>
    <row r="298" spans="2:17" x14ac:dyDescent="0.25">
      <c r="B298" s="30" t="s">
        <v>744</v>
      </c>
      <c r="C298" s="31" t="s">
        <v>293</v>
      </c>
      <c r="D298" s="2">
        <v>97.66</v>
      </c>
      <c r="E298" s="32"/>
      <c r="F298" s="32">
        <v>3</v>
      </c>
      <c r="G298" s="18">
        <v>0</v>
      </c>
      <c r="I298" s="177">
        <f t="shared" si="16"/>
        <v>100.66</v>
      </c>
      <c r="J298" s="2"/>
      <c r="K298" t="e">
        <f>VLOOKUP(B298,#REF!,2,FALSE)</f>
        <v>#REF!</v>
      </c>
      <c r="N298" s="2">
        <f t="shared" si="17"/>
        <v>0</v>
      </c>
      <c r="O298">
        <f t="shared" si="18"/>
        <v>0</v>
      </c>
      <c r="P298" s="2"/>
      <c r="Q298" s="2">
        <f t="shared" si="19"/>
        <v>0</v>
      </c>
    </row>
    <row r="299" spans="2:17" x14ac:dyDescent="0.25">
      <c r="B299" s="30" t="s">
        <v>745</v>
      </c>
      <c r="C299" s="31" t="s">
        <v>294</v>
      </c>
      <c r="D299" s="2">
        <v>378.67</v>
      </c>
      <c r="E299" s="32"/>
      <c r="F299" s="32">
        <v>4.833333333333333</v>
      </c>
      <c r="G299" s="18">
        <v>0</v>
      </c>
      <c r="H299" s="18"/>
      <c r="I299" s="177">
        <f t="shared" si="16"/>
        <v>383.50333333333333</v>
      </c>
      <c r="J299" s="2"/>
      <c r="K299" t="e">
        <f>VLOOKUP(B299,#REF!,2,FALSE)</f>
        <v>#REF!</v>
      </c>
      <c r="N299" s="2">
        <f t="shared" si="17"/>
        <v>0</v>
      </c>
      <c r="O299">
        <f t="shared" si="18"/>
        <v>0</v>
      </c>
      <c r="P299" s="2"/>
      <c r="Q299" s="2">
        <f t="shared" si="19"/>
        <v>0</v>
      </c>
    </row>
    <row r="300" spans="2:17" x14ac:dyDescent="0.25">
      <c r="B300" s="30" t="s">
        <v>746</v>
      </c>
      <c r="C300" s="31" t="s">
        <v>295</v>
      </c>
      <c r="D300" s="2">
        <v>50.16</v>
      </c>
      <c r="E300" s="32"/>
      <c r="F300" s="32">
        <v>1.1666666666666667</v>
      </c>
      <c r="G300" s="18">
        <v>0</v>
      </c>
      <c r="H300" s="18"/>
      <c r="I300" s="177">
        <f t="shared" si="16"/>
        <v>51.326666666666661</v>
      </c>
      <c r="J300" s="2"/>
      <c r="K300" t="e">
        <f>VLOOKUP(B300,#REF!,2,FALSE)</f>
        <v>#REF!</v>
      </c>
      <c r="N300" s="2">
        <f t="shared" si="17"/>
        <v>0</v>
      </c>
      <c r="O300">
        <f t="shared" si="18"/>
        <v>0</v>
      </c>
      <c r="P300" s="2"/>
      <c r="Q300" s="2">
        <f t="shared" si="19"/>
        <v>0</v>
      </c>
    </row>
    <row r="301" spans="2:17" x14ac:dyDescent="0.25">
      <c r="B301" s="33" t="s">
        <v>747</v>
      </c>
      <c r="C301" s="31" t="s">
        <v>296</v>
      </c>
      <c r="D301" s="2">
        <v>3842.34</v>
      </c>
      <c r="E301" s="32"/>
      <c r="F301" s="32">
        <v>47</v>
      </c>
      <c r="G301" s="18">
        <v>10</v>
      </c>
      <c r="I301" s="177">
        <f t="shared" si="16"/>
        <v>3879.34</v>
      </c>
      <c r="J301" s="2"/>
      <c r="K301" t="e">
        <f>VLOOKUP(B301,#REF!,2,FALSE)</f>
        <v>#REF!</v>
      </c>
      <c r="N301" s="2">
        <f t="shared" si="17"/>
        <v>0</v>
      </c>
      <c r="O301">
        <f t="shared" si="18"/>
        <v>0</v>
      </c>
      <c r="P301" s="2"/>
      <c r="Q301" s="2">
        <f t="shared" si="19"/>
        <v>0</v>
      </c>
    </row>
    <row r="302" spans="2:17" x14ac:dyDescent="0.25">
      <c r="B302" s="30" t="s">
        <v>748</v>
      </c>
      <c r="C302" s="31" t="s">
        <v>297</v>
      </c>
      <c r="D302" s="2">
        <v>102.83</v>
      </c>
      <c r="E302" s="32"/>
      <c r="F302" s="32">
        <v>0</v>
      </c>
      <c r="G302" s="18">
        <v>0</v>
      </c>
      <c r="H302" s="18"/>
      <c r="I302" s="177">
        <f t="shared" si="16"/>
        <v>102.83</v>
      </c>
      <c r="J302" s="2"/>
      <c r="K302" t="e">
        <f>VLOOKUP(B302,#REF!,2,FALSE)</f>
        <v>#REF!</v>
      </c>
      <c r="N302" s="2">
        <f t="shared" si="17"/>
        <v>0</v>
      </c>
      <c r="O302">
        <f t="shared" si="18"/>
        <v>0</v>
      </c>
      <c r="P302" s="2"/>
      <c r="Q302" s="2">
        <f t="shared" si="19"/>
        <v>0</v>
      </c>
    </row>
    <row r="303" spans="2:17" x14ac:dyDescent="0.25">
      <c r="B303" s="30" t="s">
        <v>788</v>
      </c>
      <c r="C303" s="31" t="s">
        <v>298</v>
      </c>
      <c r="D303" s="2">
        <v>0</v>
      </c>
      <c r="E303" s="32"/>
      <c r="F303" s="32">
        <v>0</v>
      </c>
      <c r="G303" s="18">
        <v>0</v>
      </c>
      <c r="I303" s="177">
        <f t="shared" si="16"/>
        <v>0</v>
      </c>
      <c r="J303" s="2"/>
      <c r="K303" t="e">
        <f>VLOOKUP(B303,#REF!,2,FALSE)</f>
        <v>#REF!</v>
      </c>
      <c r="N303" s="2">
        <f t="shared" si="17"/>
        <v>0</v>
      </c>
      <c r="O303">
        <f t="shared" si="18"/>
        <v>0</v>
      </c>
      <c r="P303" s="2"/>
      <c r="Q303" s="2">
        <f t="shared" si="19"/>
        <v>0</v>
      </c>
    </row>
    <row r="304" spans="2:17" x14ac:dyDescent="0.25">
      <c r="B304" s="30" t="s">
        <v>749</v>
      </c>
      <c r="C304" s="31" t="s">
        <v>299</v>
      </c>
      <c r="D304" s="2">
        <v>12.67</v>
      </c>
      <c r="E304" s="32"/>
      <c r="F304" s="32">
        <v>0</v>
      </c>
      <c r="G304" s="18">
        <v>0</v>
      </c>
      <c r="H304" s="18"/>
      <c r="I304" s="177">
        <f t="shared" si="16"/>
        <v>12.67</v>
      </c>
      <c r="J304" s="2"/>
      <c r="K304" t="e">
        <f>VLOOKUP(B304,#REF!,2,FALSE)</f>
        <v>#REF!</v>
      </c>
      <c r="N304" s="2">
        <f t="shared" si="17"/>
        <v>0</v>
      </c>
      <c r="O304">
        <f t="shared" si="18"/>
        <v>0</v>
      </c>
      <c r="P304" s="2"/>
      <c r="Q304" s="2">
        <f t="shared" si="19"/>
        <v>0</v>
      </c>
    </row>
    <row r="305" spans="2:17" x14ac:dyDescent="0.25">
      <c r="B305" s="30" t="s">
        <v>750</v>
      </c>
      <c r="C305" s="31" t="s">
        <v>300</v>
      </c>
      <c r="D305" s="2">
        <v>1359.17</v>
      </c>
      <c r="E305" s="32"/>
      <c r="F305" s="32">
        <v>0</v>
      </c>
      <c r="G305" s="18">
        <v>0</v>
      </c>
      <c r="I305" s="177">
        <f t="shared" si="16"/>
        <v>1359.17</v>
      </c>
      <c r="J305" s="2"/>
      <c r="K305" t="e">
        <f>VLOOKUP(B305,#REF!,2,FALSE)</f>
        <v>#REF!</v>
      </c>
      <c r="N305" s="2">
        <f t="shared" si="17"/>
        <v>0</v>
      </c>
      <c r="O305">
        <f t="shared" si="18"/>
        <v>0</v>
      </c>
      <c r="P305" s="2"/>
      <c r="Q305" s="2">
        <f t="shared" si="19"/>
        <v>0</v>
      </c>
    </row>
    <row r="306" spans="2:17" x14ac:dyDescent="0.25">
      <c r="B306" s="30" t="s">
        <v>751</v>
      </c>
      <c r="C306" s="31" t="s">
        <v>301</v>
      </c>
      <c r="D306" s="2">
        <v>0</v>
      </c>
      <c r="E306" s="32"/>
      <c r="F306" s="32">
        <v>0</v>
      </c>
      <c r="G306" s="18">
        <v>0</v>
      </c>
      <c r="I306" s="177">
        <f t="shared" si="16"/>
        <v>0</v>
      </c>
      <c r="J306" s="2"/>
      <c r="K306" t="e">
        <f>VLOOKUP(B306,#REF!,2,FALSE)</f>
        <v>#REF!</v>
      </c>
      <c r="N306" s="2">
        <f t="shared" si="17"/>
        <v>0</v>
      </c>
      <c r="O306">
        <f t="shared" si="18"/>
        <v>0</v>
      </c>
      <c r="P306" s="2"/>
      <c r="Q306" s="2">
        <f t="shared" si="19"/>
        <v>0</v>
      </c>
    </row>
    <row r="307" spans="2:17" x14ac:dyDescent="0.25">
      <c r="B307" s="30" t="s">
        <v>752</v>
      </c>
      <c r="C307" s="31" t="s">
        <v>302</v>
      </c>
      <c r="D307" s="2">
        <v>824</v>
      </c>
      <c r="E307" s="32"/>
      <c r="F307" s="32">
        <v>1</v>
      </c>
      <c r="G307" s="18">
        <v>1</v>
      </c>
      <c r="H307" s="18"/>
      <c r="I307" s="177">
        <f t="shared" si="16"/>
        <v>824</v>
      </c>
      <c r="J307" s="2"/>
      <c r="K307" t="e">
        <f>VLOOKUP(B307,#REF!,2,FALSE)</f>
        <v>#REF!</v>
      </c>
      <c r="N307" s="2">
        <f t="shared" si="17"/>
        <v>0</v>
      </c>
      <c r="O307">
        <f t="shared" si="18"/>
        <v>0</v>
      </c>
      <c r="P307" s="2"/>
      <c r="Q307" s="2">
        <f t="shared" si="19"/>
        <v>0</v>
      </c>
    </row>
    <row r="308" spans="2:17" x14ac:dyDescent="0.25">
      <c r="B308" s="30" t="s">
        <v>753</v>
      </c>
      <c r="C308" s="31" t="s">
        <v>303</v>
      </c>
      <c r="D308" s="2">
        <v>1130.3399999999999</v>
      </c>
      <c r="E308" s="32"/>
      <c r="F308" s="32">
        <v>341.83333333333331</v>
      </c>
      <c r="G308" s="18">
        <v>0</v>
      </c>
      <c r="H308" s="18"/>
      <c r="I308" s="177">
        <f t="shared" si="16"/>
        <v>1472.1733333333332</v>
      </c>
      <c r="J308" s="2"/>
      <c r="K308" t="e">
        <f>VLOOKUP(B308,#REF!,2,FALSE)</f>
        <v>#REF!</v>
      </c>
      <c r="N308" s="2">
        <f t="shared" si="17"/>
        <v>0</v>
      </c>
      <c r="O308">
        <f t="shared" si="18"/>
        <v>0</v>
      </c>
      <c r="P308" s="2"/>
      <c r="Q308" s="2">
        <f t="shared" si="19"/>
        <v>0</v>
      </c>
    </row>
    <row r="309" spans="2:17" x14ac:dyDescent="0.25">
      <c r="B309" s="30" t="s">
        <v>754</v>
      </c>
      <c r="C309" s="31" t="s">
        <v>304</v>
      </c>
      <c r="D309" s="2">
        <v>286.5</v>
      </c>
      <c r="E309" s="32"/>
      <c r="F309" s="32">
        <v>1</v>
      </c>
      <c r="G309" s="18">
        <v>0</v>
      </c>
      <c r="I309" s="177">
        <f t="shared" si="16"/>
        <v>287.5</v>
      </c>
      <c r="J309" s="2"/>
      <c r="K309" t="e">
        <f>VLOOKUP(B309,#REF!,2,FALSE)</f>
        <v>#REF!</v>
      </c>
      <c r="N309" s="2">
        <f t="shared" si="17"/>
        <v>0</v>
      </c>
      <c r="O309">
        <f t="shared" si="18"/>
        <v>0</v>
      </c>
      <c r="P309" s="2"/>
      <c r="Q309" s="2">
        <f t="shared" si="19"/>
        <v>0</v>
      </c>
    </row>
    <row r="310" spans="2:17" x14ac:dyDescent="0.25">
      <c r="B310" s="30" t="s">
        <v>755</v>
      </c>
      <c r="C310" s="31" t="s">
        <v>305</v>
      </c>
      <c r="D310" s="2">
        <v>98.5</v>
      </c>
      <c r="E310" s="32"/>
      <c r="F310" s="32">
        <v>0</v>
      </c>
      <c r="G310" s="18">
        <v>2</v>
      </c>
      <c r="H310" s="18"/>
      <c r="I310" s="177">
        <f t="shared" si="16"/>
        <v>96.5</v>
      </c>
      <c r="J310" s="2"/>
      <c r="K310" t="e">
        <f>VLOOKUP(B310,#REF!,2,FALSE)</f>
        <v>#REF!</v>
      </c>
      <c r="N310" s="2">
        <f t="shared" si="17"/>
        <v>0</v>
      </c>
      <c r="O310">
        <f t="shared" si="18"/>
        <v>0</v>
      </c>
      <c r="P310" s="2"/>
      <c r="Q310" s="2">
        <f t="shared" si="19"/>
        <v>0</v>
      </c>
    </row>
    <row r="311" spans="2:17" x14ac:dyDescent="0.25">
      <c r="B311" s="30" t="s">
        <v>756</v>
      </c>
      <c r="C311" s="31" t="s">
        <v>306</v>
      </c>
      <c r="D311" s="2">
        <v>0</v>
      </c>
      <c r="E311" s="32"/>
      <c r="F311" s="32">
        <v>0</v>
      </c>
      <c r="G311" s="18">
        <v>0</v>
      </c>
      <c r="H311" s="18"/>
      <c r="I311" s="177">
        <f t="shared" si="16"/>
        <v>0</v>
      </c>
      <c r="J311" s="2"/>
      <c r="K311" t="e">
        <f>VLOOKUP(B311,#REF!,2,FALSE)</f>
        <v>#REF!</v>
      </c>
      <c r="N311" s="2">
        <f t="shared" si="17"/>
        <v>0</v>
      </c>
      <c r="O311">
        <f t="shared" si="18"/>
        <v>0</v>
      </c>
      <c r="P311" s="2"/>
      <c r="Q311" s="2">
        <f t="shared" si="19"/>
        <v>0</v>
      </c>
    </row>
    <row r="312" spans="2:17" x14ac:dyDescent="0.25">
      <c r="B312" s="30" t="s">
        <v>757</v>
      </c>
      <c r="C312" s="31" t="s">
        <v>307</v>
      </c>
      <c r="D312" s="2">
        <v>24.17</v>
      </c>
      <c r="E312" s="32"/>
      <c r="F312" s="32">
        <v>0</v>
      </c>
      <c r="G312" s="18">
        <v>0</v>
      </c>
      <c r="I312" s="177">
        <f t="shared" si="16"/>
        <v>24.17</v>
      </c>
      <c r="J312" s="2"/>
      <c r="K312" t="e">
        <f>VLOOKUP(B312,#REF!,2,FALSE)</f>
        <v>#REF!</v>
      </c>
      <c r="N312" s="2">
        <f t="shared" si="17"/>
        <v>0</v>
      </c>
      <c r="O312">
        <f t="shared" si="18"/>
        <v>0</v>
      </c>
      <c r="P312" s="2"/>
      <c r="Q312" s="2">
        <f t="shared" si="19"/>
        <v>0</v>
      </c>
    </row>
    <row r="313" spans="2:17" x14ac:dyDescent="0.25">
      <c r="B313" s="30" t="s">
        <v>758</v>
      </c>
      <c r="C313" s="31" t="s">
        <v>308</v>
      </c>
      <c r="D313" s="2">
        <v>0</v>
      </c>
      <c r="E313" s="32"/>
      <c r="F313" s="32">
        <v>94.833333333333329</v>
      </c>
      <c r="G313" s="18">
        <v>0</v>
      </c>
      <c r="I313" s="177">
        <f t="shared" si="16"/>
        <v>94.833333333333329</v>
      </c>
      <c r="J313" s="2"/>
      <c r="K313" t="e">
        <f>VLOOKUP(B313,#REF!,2,FALSE)</f>
        <v>#REF!</v>
      </c>
      <c r="N313" s="2">
        <f t="shared" si="17"/>
        <v>0</v>
      </c>
      <c r="O313">
        <f t="shared" si="18"/>
        <v>0</v>
      </c>
      <c r="P313" s="2"/>
      <c r="Q313" s="2">
        <f t="shared" si="19"/>
        <v>0</v>
      </c>
    </row>
    <row r="314" spans="2:17" x14ac:dyDescent="0.25">
      <c r="B314" s="30" t="s">
        <v>759</v>
      </c>
      <c r="C314" s="31" t="s">
        <v>309</v>
      </c>
      <c r="D314" s="2">
        <v>1694.83</v>
      </c>
      <c r="E314" s="32">
        <v>18</v>
      </c>
      <c r="F314" s="32">
        <v>10</v>
      </c>
      <c r="G314" s="18">
        <v>0</v>
      </c>
      <c r="I314" s="177">
        <f t="shared" si="16"/>
        <v>1722.83</v>
      </c>
      <c r="J314" s="2"/>
      <c r="K314" t="e">
        <f>VLOOKUP(B314,#REF!,2,FALSE)</f>
        <v>#REF!</v>
      </c>
      <c r="N314" s="2">
        <f t="shared" si="17"/>
        <v>0</v>
      </c>
      <c r="O314">
        <f t="shared" si="18"/>
        <v>0</v>
      </c>
      <c r="P314" s="2"/>
      <c r="Q314" s="2">
        <f t="shared" si="19"/>
        <v>0</v>
      </c>
    </row>
    <row r="315" spans="2:17" x14ac:dyDescent="0.25">
      <c r="B315" s="33" t="s">
        <v>760</v>
      </c>
      <c r="C315" s="34" t="s">
        <v>310</v>
      </c>
      <c r="D315" s="2">
        <v>172.5</v>
      </c>
      <c r="E315" s="32"/>
      <c r="F315" s="32">
        <v>4.666666666666667</v>
      </c>
      <c r="G315" s="18">
        <v>0</v>
      </c>
      <c r="I315" s="177">
        <f t="shared" si="16"/>
        <v>177.16666666666666</v>
      </c>
      <c r="J315" s="2"/>
      <c r="K315" t="e">
        <f>VLOOKUP(B315,#REF!,2,FALSE)</f>
        <v>#REF!</v>
      </c>
      <c r="N315" s="2">
        <f t="shared" si="17"/>
        <v>0</v>
      </c>
      <c r="O315">
        <f t="shared" si="18"/>
        <v>0</v>
      </c>
      <c r="P315" s="2"/>
      <c r="Q315" s="2">
        <f t="shared" si="19"/>
        <v>0</v>
      </c>
    </row>
    <row r="316" spans="2:17" x14ac:dyDescent="0.25">
      <c r="B316" s="30" t="s">
        <v>761</v>
      </c>
      <c r="C316" s="31" t="s">
        <v>311</v>
      </c>
      <c r="D316" s="2">
        <v>528.16999999999996</v>
      </c>
      <c r="E316" s="32"/>
      <c r="F316" s="32">
        <v>14.666666666666666</v>
      </c>
      <c r="G316" s="18">
        <v>0</v>
      </c>
      <c r="I316" s="177">
        <f t="shared" si="16"/>
        <v>542.83666666666659</v>
      </c>
      <c r="J316" s="2"/>
      <c r="K316" t="e">
        <f>VLOOKUP(B316,#REF!,2,FALSE)</f>
        <v>#REF!</v>
      </c>
      <c r="N316" s="2">
        <f t="shared" si="17"/>
        <v>0</v>
      </c>
      <c r="O316">
        <f t="shared" si="18"/>
        <v>0</v>
      </c>
      <c r="P316" s="2"/>
      <c r="Q316" s="2">
        <f t="shared" si="19"/>
        <v>0</v>
      </c>
    </row>
    <row r="317" spans="2:17" x14ac:dyDescent="0.25">
      <c r="B317" s="30" t="s">
        <v>762</v>
      </c>
      <c r="C317" s="31" t="s">
        <v>312</v>
      </c>
      <c r="D317" s="2">
        <v>0</v>
      </c>
      <c r="E317" s="32"/>
      <c r="F317" s="32">
        <v>0</v>
      </c>
      <c r="G317" s="18">
        <v>0</v>
      </c>
      <c r="I317" s="177">
        <f t="shared" si="16"/>
        <v>0</v>
      </c>
      <c r="J317" s="2"/>
      <c r="K317" t="e">
        <f>VLOOKUP(B317,#REF!,2,FALSE)</f>
        <v>#REF!</v>
      </c>
      <c r="N317" s="2">
        <f t="shared" si="17"/>
        <v>0</v>
      </c>
      <c r="O317">
        <f t="shared" si="18"/>
        <v>0</v>
      </c>
      <c r="P317" s="2"/>
      <c r="Q317" s="2">
        <f t="shared" si="19"/>
        <v>0</v>
      </c>
    </row>
    <row r="318" spans="2:17" x14ac:dyDescent="0.25">
      <c r="B318" s="30" t="s">
        <v>764</v>
      </c>
      <c r="C318" s="31" t="s">
        <v>313</v>
      </c>
      <c r="D318" s="2">
        <v>0</v>
      </c>
      <c r="E318" s="32"/>
      <c r="F318" s="32">
        <v>0</v>
      </c>
      <c r="G318" s="18">
        <v>0</v>
      </c>
      <c r="H318" s="18"/>
      <c r="I318" s="177">
        <f t="shared" si="16"/>
        <v>0</v>
      </c>
      <c r="J318" s="2"/>
      <c r="K318" t="e">
        <f>VLOOKUP(B318,#REF!,2,FALSE)</f>
        <v>#REF!</v>
      </c>
      <c r="N318" s="2">
        <f t="shared" si="17"/>
        <v>0</v>
      </c>
      <c r="O318">
        <f t="shared" si="18"/>
        <v>0</v>
      </c>
      <c r="P318" s="2"/>
      <c r="Q318" s="2">
        <f t="shared" si="19"/>
        <v>0</v>
      </c>
    </row>
    <row r="319" spans="2:17" x14ac:dyDescent="0.25">
      <c r="B319" s="33" t="s">
        <v>765</v>
      </c>
      <c r="C319" s="34" t="s">
        <v>314</v>
      </c>
      <c r="D319" s="2">
        <v>218</v>
      </c>
      <c r="E319" s="32"/>
      <c r="F319" s="32">
        <v>1</v>
      </c>
      <c r="G319" s="18">
        <v>0</v>
      </c>
      <c r="I319" s="177">
        <f t="shared" si="16"/>
        <v>219</v>
      </c>
      <c r="J319" s="2"/>
      <c r="K319" t="e">
        <f>VLOOKUP(B319,#REF!,2,FALSE)</f>
        <v>#REF!</v>
      </c>
      <c r="N319" s="2">
        <f t="shared" si="17"/>
        <v>0</v>
      </c>
      <c r="O319">
        <f t="shared" si="18"/>
        <v>0</v>
      </c>
      <c r="P319" s="2"/>
      <c r="Q319" s="2">
        <f t="shared" si="19"/>
        <v>0</v>
      </c>
    </row>
    <row r="320" spans="2:17" x14ac:dyDescent="0.25">
      <c r="B320" s="30" t="s">
        <v>766</v>
      </c>
      <c r="C320" s="31" t="s">
        <v>315</v>
      </c>
      <c r="D320" s="2">
        <v>173</v>
      </c>
      <c r="E320" s="32"/>
      <c r="F320" s="32">
        <v>4</v>
      </c>
      <c r="G320" s="18">
        <v>0</v>
      </c>
      <c r="I320" s="177">
        <f t="shared" si="16"/>
        <v>177</v>
      </c>
      <c r="J320" s="2"/>
      <c r="K320" t="e">
        <f>VLOOKUP(B320,#REF!,2,FALSE)</f>
        <v>#REF!</v>
      </c>
      <c r="N320" s="2">
        <f t="shared" si="17"/>
        <v>0</v>
      </c>
      <c r="O320">
        <f t="shared" si="18"/>
        <v>0</v>
      </c>
      <c r="P320" s="2"/>
      <c r="Q320" s="2">
        <f t="shared" si="19"/>
        <v>0</v>
      </c>
    </row>
    <row r="321" spans="2:17" x14ac:dyDescent="0.25">
      <c r="B321" s="30" t="s">
        <v>498</v>
      </c>
      <c r="C321" s="31" t="s">
        <v>316</v>
      </c>
      <c r="D321" s="2">
        <v>9.83</v>
      </c>
      <c r="E321" s="32"/>
      <c r="F321" s="32">
        <v>0</v>
      </c>
      <c r="G321" s="18">
        <v>0</v>
      </c>
      <c r="I321" s="177">
        <f t="shared" si="16"/>
        <v>9.83</v>
      </c>
      <c r="J321" s="2"/>
      <c r="K321" t="e">
        <f>VLOOKUP(B321,#REF!,2,FALSE)</f>
        <v>#REF!</v>
      </c>
      <c r="N321" s="2">
        <f t="shared" si="17"/>
        <v>0</v>
      </c>
      <c r="O321">
        <f t="shared" si="18"/>
        <v>0</v>
      </c>
      <c r="P321" s="2"/>
      <c r="Q321" s="2">
        <f t="shared" si="19"/>
        <v>0</v>
      </c>
    </row>
    <row r="322" spans="2:17" x14ac:dyDescent="0.25">
      <c r="B322" s="30" t="s">
        <v>767</v>
      </c>
      <c r="C322" s="31" t="s">
        <v>317</v>
      </c>
      <c r="D322" s="2">
        <v>0</v>
      </c>
      <c r="E322" s="32"/>
      <c r="F322" s="32">
        <v>0</v>
      </c>
      <c r="G322" s="18">
        <v>0</v>
      </c>
      <c r="I322" s="177">
        <f t="shared" si="16"/>
        <v>0</v>
      </c>
      <c r="J322" s="2"/>
      <c r="K322" t="e">
        <f>VLOOKUP(B322,#REF!,2,FALSE)</f>
        <v>#REF!</v>
      </c>
      <c r="N322" s="2">
        <f t="shared" si="17"/>
        <v>0</v>
      </c>
      <c r="O322">
        <f t="shared" si="18"/>
        <v>0</v>
      </c>
      <c r="P322" s="2"/>
      <c r="Q322" s="2">
        <f t="shared" si="19"/>
        <v>0</v>
      </c>
    </row>
    <row r="323" spans="2:17" x14ac:dyDescent="0.25">
      <c r="B323" s="30" t="s">
        <v>768</v>
      </c>
      <c r="C323" s="31" t="s">
        <v>318</v>
      </c>
      <c r="D323" s="2">
        <v>6</v>
      </c>
      <c r="E323" s="32"/>
      <c r="F323" s="32">
        <v>0</v>
      </c>
      <c r="G323" s="18">
        <v>0</v>
      </c>
      <c r="I323" s="177">
        <f t="shared" si="16"/>
        <v>6</v>
      </c>
      <c r="J323" s="2"/>
      <c r="K323" t="e">
        <f>VLOOKUP(B323,#REF!,2,FALSE)</f>
        <v>#REF!</v>
      </c>
      <c r="N323" s="2">
        <f t="shared" si="17"/>
        <v>0</v>
      </c>
      <c r="O323">
        <f t="shared" si="18"/>
        <v>0</v>
      </c>
      <c r="P323" s="2"/>
      <c r="Q323" s="2">
        <f t="shared" si="19"/>
        <v>0</v>
      </c>
    </row>
    <row r="324" spans="2:17" x14ac:dyDescent="0.25">
      <c r="B324" s="30" t="s">
        <v>771</v>
      </c>
      <c r="C324" s="31" t="s">
        <v>319</v>
      </c>
      <c r="D324" s="2">
        <v>2.33</v>
      </c>
      <c r="E324" s="32"/>
      <c r="F324" s="32">
        <v>0</v>
      </c>
      <c r="G324" s="18">
        <v>0</v>
      </c>
      <c r="I324" s="177">
        <f t="shared" si="16"/>
        <v>2.33</v>
      </c>
      <c r="J324" s="2"/>
      <c r="K324" t="e">
        <f>VLOOKUP(B324,#REF!,2,FALSE)</f>
        <v>#REF!</v>
      </c>
      <c r="N324" s="2">
        <f t="shared" si="17"/>
        <v>0</v>
      </c>
      <c r="O324">
        <f t="shared" si="18"/>
        <v>0</v>
      </c>
      <c r="P324" s="2"/>
      <c r="Q324" s="2">
        <f t="shared" si="19"/>
        <v>0</v>
      </c>
    </row>
    <row r="325" spans="2:17" x14ac:dyDescent="0.25">
      <c r="B325" s="30" t="s">
        <v>470</v>
      </c>
      <c r="C325" s="31" t="s">
        <v>320</v>
      </c>
      <c r="D325" s="2">
        <v>39.33</v>
      </c>
      <c r="E325" s="32"/>
      <c r="F325" s="32">
        <v>1.8333333333333333</v>
      </c>
      <c r="G325" s="18">
        <v>0</v>
      </c>
      <c r="I325" s="177">
        <f t="shared" si="16"/>
        <v>41.163333333333334</v>
      </c>
      <c r="J325" s="2"/>
      <c r="K325" t="e">
        <f>VLOOKUP(B325,#REF!,2,FALSE)</f>
        <v>#REF!</v>
      </c>
      <c r="N325" s="2">
        <f t="shared" si="17"/>
        <v>0</v>
      </c>
      <c r="O325">
        <f t="shared" si="18"/>
        <v>0</v>
      </c>
      <c r="P325" s="2"/>
      <c r="Q325" s="2">
        <f t="shared" si="19"/>
        <v>0</v>
      </c>
    </row>
    <row r="326" spans="2:17" x14ac:dyDescent="0.25">
      <c r="B326" s="30" t="s">
        <v>772</v>
      </c>
      <c r="C326" s="31" t="s">
        <v>321</v>
      </c>
      <c r="D326" s="2">
        <v>2</v>
      </c>
      <c r="E326" s="32"/>
      <c r="F326" s="32">
        <v>0</v>
      </c>
      <c r="G326" s="18">
        <v>0</v>
      </c>
      <c r="I326" s="177">
        <f t="shared" si="16"/>
        <v>2</v>
      </c>
      <c r="J326" s="2"/>
      <c r="K326" t="e">
        <f>VLOOKUP(B326,#REF!,2,FALSE)</f>
        <v>#REF!</v>
      </c>
      <c r="N326" s="2">
        <f t="shared" si="17"/>
        <v>0</v>
      </c>
      <c r="O326">
        <f t="shared" si="18"/>
        <v>0</v>
      </c>
      <c r="P326" s="2"/>
      <c r="Q326" s="2">
        <f t="shared" si="19"/>
        <v>0</v>
      </c>
    </row>
    <row r="327" spans="2:17" x14ac:dyDescent="0.25">
      <c r="B327" s="33" t="s">
        <v>773</v>
      </c>
      <c r="C327" s="31" t="s">
        <v>322</v>
      </c>
      <c r="D327" s="2">
        <v>0</v>
      </c>
      <c r="E327" s="32"/>
      <c r="F327" s="32">
        <v>0</v>
      </c>
      <c r="G327" s="18">
        <v>0</v>
      </c>
      <c r="I327" s="177">
        <f t="shared" si="16"/>
        <v>0</v>
      </c>
      <c r="J327" s="2"/>
      <c r="K327" t="e">
        <f>VLOOKUP(B327,#REF!,2,FALSE)</f>
        <v>#REF!</v>
      </c>
      <c r="N327" s="2">
        <f t="shared" si="17"/>
        <v>0</v>
      </c>
      <c r="O327">
        <f t="shared" si="18"/>
        <v>0</v>
      </c>
      <c r="P327" s="2"/>
      <c r="Q327" s="2">
        <f t="shared" si="19"/>
        <v>0</v>
      </c>
    </row>
    <row r="328" spans="2:17" x14ac:dyDescent="0.25">
      <c r="B328" s="30" t="s">
        <v>774</v>
      </c>
      <c r="C328" s="31" t="s">
        <v>323</v>
      </c>
      <c r="D328" s="2">
        <v>207.17000000000002</v>
      </c>
      <c r="E328" s="32"/>
      <c r="F328" s="32">
        <v>2</v>
      </c>
      <c r="G328" s="18">
        <v>0</v>
      </c>
      <c r="I328" s="177">
        <f t="shared" si="16"/>
        <v>209.17000000000002</v>
      </c>
      <c r="J328" s="2"/>
      <c r="K328" t="e">
        <f>VLOOKUP(B328,#REF!,2,FALSE)</f>
        <v>#REF!</v>
      </c>
      <c r="N328" s="2">
        <f t="shared" si="17"/>
        <v>0</v>
      </c>
      <c r="O328">
        <f t="shared" si="18"/>
        <v>0</v>
      </c>
      <c r="P328" s="2"/>
      <c r="Q328" s="2">
        <f t="shared" si="19"/>
        <v>0</v>
      </c>
    </row>
    <row r="329" spans="2:17" x14ac:dyDescent="0.25">
      <c r="B329" s="30" t="s">
        <v>789</v>
      </c>
      <c r="C329" s="31" t="s">
        <v>324</v>
      </c>
      <c r="D329" s="2">
        <v>0</v>
      </c>
      <c r="E329" s="32"/>
      <c r="F329" s="32">
        <v>0</v>
      </c>
      <c r="G329" s="18">
        <v>0</v>
      </c>
      <c r="I329" s="177">
        <f t="shared" ref="I329:I332" si="20">IF(D329+E329+F329-G329+Q329&lt;0,0,D329+E329+F329+Q329-G329)</f>
        <v>0</v>
      </c>
      <c r="J329" s="2"/>
      <c r="K329" t="e">
        <f>VLOOKUP(B329,#REF!,2,FALSE)</f>
        <v>#REF!</v>
      </c>
      <c r="N329" s="2">
        <f t="shared" ref="N329:N331" si="21">IFERROR(D329/L329,0)</f>
        <v>0</v>
      </c>
      <c r="O329">
        <f t="shared" ref="O329:O331" si="22">M329-L329</f>
        <v>0</v>
      </c>
      <c r="P329" s="2"/>
      <c r="Q329" s="2">
        <f t="shared" ref="Q329:Q331" si="23">O329*N329</f>
        <v>0</v>
      </c>
    </row>
    <row r="330" spans="2:17" x14ac:dyDescent="0.25">
      <c r="B330" s="30" t="s">
        <v>775</v>
      </c>
      <c r="C330" s="31" t="s">
        <v>325</v>
      </c>
      <c r="D330" s="2">
        <v>5172</v>
      </c>
      <c r="E330" s="32"/>
      <c r="F330" s="32">
        <v>56.166666666666664</v>
      </c>
      <c r="G330" s="18">
        <v>0</v>
      </c>
      <c r="I330" s="177">
        <f t="shared" si="20"/>
        <v>5228.166666666667</v>
      </c>
      <c r="J330" s="2"/>
      <c r="K330" t="e">
        <f>VLOOKUP(B330,#REF!,2,FALSE)</f>
        <v>#REF!</v>
      </c>
      <c r="N330" s="2">
        <f t="shared" si="21"/>
        <v>0</v>
      </c>
      <c r="O330">
        <f t="shared" si="22"/>
        <v>0</v>
      </c>
      <c r="P330" s="2"/>
      <c r="Q330" s="2">
        <f t="shared" si="23"/>
        <v>0</v>
      </c>
    </row>
    <row r="331" spans="2:17" x14ac:dyDescent="0.25">
      <c r="B331" s="142" t="s">
        <v>776</v>
      </c>
      <c r="C331" t="s">
        <v>326</v>
      </c>
      <c r="D331" s="7">
        <v>234.17000000000002</v>
      </c>
      <c r="F331" s="37">
        <v>2</v>
      </c>
      <c r="G331" s="18">
        <v>0</v>
      </c>
      <c r="I331" s="177">
        <f t="shared" si="20"/>
        <v>236.17000000000002</v>
      </c>
      <c r="J331" s="2"/>
      <c r="K331" t="e">
        <f>VLOOKUP(B331,#REF!,2,FALSE)</f>
        <v>#REF!</v>
      </c>
      <c r="N331" s="2">
        <f t="shared" si="21"/>
        <v>0</v>
      </c>
      <c r="O331">
        <f t="shared" si="22"/>
        <v>0</v>
      </c>
      <c r="P331" s="2"/>
      <c r="Q331" s="2">
        <f t="shared" si="23"/>
        <v>0</v>
      </c>
    </row>
    <row r="332" spans="2:17" x14ac:dyDescent="0.25">
      <c r="B332" s="142" t="s">
        <v>777</v>
      </c>
      <c r="C332" t="s">
        <v>327</v>
      </c>
      <c r="D332" s="7">
        <v>158.67000000000002</v>
      </c>
      <c r="F332" s="37">
        <v>10.833333333333334</v>
      </c>
      <c r="G332" s="18">
        <v>0</v>
      </c>
      <c r="I332" s="177">
        <f t="shared" si="20"/>
        <v>169.50333333333336</v>
      </c>
      <c r="J332" s="2"/>
      <c r="K332" t="e">
        <f>VLOOKUP(B332,#REF!,2,FALSE)</f>
        <v>#REF!</v>
      </c>
      <c r="N332" s="2"/>
      <c r="P332" s="2"/>
      <c r="Q332" s="2"/>
    </row>
  </sheetData>
  <autoFilter ref="B7:Q332" xr:uid="{9CA48ADF-D2D7-469D-A6E4-66C4BE958902}"/>
  <mergeCells count="1">
    <mergeCell ref="D4:H4"/>
  </mergeCells>
  <conditionalFormatting sqref="B319">
    <cfRule type="duplicateValues" dxfId="10" priority="1"/>
  </conditionalFormatting>
  <conditionalFormatting sqref="B320:B330 B8:B318">
    <cfRule type="duplicateValues" dxfId="9" priority="4"/>
  </conditionalFormatting>
  <conditionalFormatting sqref="C319">
    <cfRule type="duplicateValues" dxfId="8" priority="2"/>
  </conditionalFormatting>
  <conditionalFormatting sqref="C320:C322 C8:C318">
    <cfRule type="duplicateValues" dxfId="7" priority="3"/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5A84C-7309-4808-80D3-2A99AE2FDA4F}">
  <dimension ref="A1:AJ75"/>
  <sheetViews>
    <sheetView workbookViewId="0">
      <selection activeCell="C21" sqref="C21"/>
    </sheetView>
  </sheetViews>
  <sheetFormatPr defaultColWidth="9.140625" defaultRowHeight="15" x14ac:dyDescent="0.25"/>
  <cols>
    <col min="2" max="7" width="34.42578125" customWidth="1"/>
    <col min="8" max="9" width="34.42578125" hidden="1" customWidth="1"/>
    <col min="10" max="10" width="20.85546875" hidden="1" customWidth="1"/>
    <col min="11" max="11" width="18.140625" hidden="1" customWidth="1"/>
    <col min="12" max="12" width="17.140625" hidden="1" customWidth="1"/>
    <col min="13" max="13" width="20.5703125" hidden="1" customWidth="1"/>
    <col min="14" max="14" width="18.42578125" hidden="1" customWidth="1"/>
    <col min="15" max="15" width="20" hidden="1" customWidth="1"/>
    <col min="16" max="16" width="21.42578125" hidden="1" customWidth="1"/>
    <col min="17" max="20" width="15.42578125" hidden="1" customWidth="1"/>
    <col min="21" max="21" width="15.5703125" hidden="1" customWidth="1"/>
    <col min="22" max="22" width="15" hidden="1" customWidth="1"/>
    <col min="23" max="23" width="15.5703125" hidden="1" customWidth="1"/>
    <col min="24" max="24" width="17" hidden="1" customWidth="1"/>
    <col min="25" max="25" width="19.42578125" hidden="1" customWidth="1"/>
    <col min="26" max="29" width="15.5703125" hidden="1" customWidth="1"/>
    <col min="30" max="32" width="0" hidden="1" customWidth="1"/>
  </cols>
  <sheetData>
    <row r="1" spans="1:36" ht="23.25" x14ac:dyDescent="0.35">
      <c r="A1" s="204" t="s">
        <v>328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38"/>
      <c r="Y1" s="38"/>
    </row>
    <row r="2" spans="1:36" x14ac:dyDescent="0.25">
      <c r="A2" s="39"/>
      <c r="B2" s="40" t="s">
        <v>329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1"/>
      <c r="W2" s="41"/>
      <c r="X2" s="41"/>
    </row>
    <row r="3" spans="1:36" x14ac:dyDescent="0.25">
      <c r="A3" s="42"/>
      <c r="L3" s="43"/>
    </row>
    <row r="4" spans="1:36" ht="15.75" x14ac:dyDescent="0.25">
      <c r="A4" s="44" t="s">
        <v>330</v>
      </c>
      <c r="C4" s="18" t="s">
        <v>832</v>
      </c>
      <c r="D4" s="18" t="s">
        <v>827</v>
      </c>
      <c r="E4" s="18" t="s">
        <v>816</v>
      </c>
      <c r="F4" s="18" t="s">
        <v>814</v>
      </c>
      <c r="G4" s="18" t="s">
        <v>809</v>
      </c>
      <c r="H4" s="18" t="s">
        <v>791</v>
      </c>
      <c r="I4" s="18" t="s">
        <v>791</v>
      </c>
      <c r="J4" s="18" t="s">
        <v>331</v>
      </c>
      <c r="K4" s="18" t="s">
        <v>332</v>
      </c>
      <c r="L4" s="18" t="s">
        <v>333</v>
      </c>
      <c r="M4" s="18" t="s">
        <v>334</v>
      </c>
      <c r="N4" s="18" t="s">
        <v>335</v>
      </c>
      <c r="O4" s="18" t="s">
        <v>336</v>
      </c>
      <c r="P4" s="18" t="s">
        <v>337</v>
      </c>
      <c r="Q4" s="18" t="s">
        <v>338</v>
      </c>
      <c r="R4" s="18" t="s">
        <v>339</v>
      </c>
      <c r="S4" s="18" t="s">
        <v>340</v>
      </c>
      <c r="T4" s="18" t="s">
        <v>341</v>
      </c>
      <c r="U4" s="18" t="s">
        <v>342</v>
      </c>
      <c r="V4" s="18" t="s">
        <v>343</v>
      </c>
      <c r="W4" s="18" t="s">
        <v>344</v>
      </c>
      <c r="X4" s="18" t="s">
        <v>345</v>
      </c>
      <c r="Y4" s="18" t="s">
        <v>346</v>
      </c>
      <c r="Z4" s="18" t="s">
        <v>347</v>
      </c>
      <c r="AA4" s="18" t="s">
        <v>348</v>
      </c>
      <c r="AB4" s="18" t="s">
        <v>349</v>
      </c>
      <c r="AC4" s="18" t="s">
        <v>350</v>
      </c>
      <c r="AD4" s="18" t="s">
        <v>351</v>
      </c>
      <c r="AE4" s="18" t="s">
        <v>352</v>
      </c>
      <c r="AF4" s="45" t="s">
        <v>353</v>
      </c>
      <c r="AG4" s="18"/>
      <c r="AH4" s="18"/>
      <c r="AI4" s="46"/>
    </row>
    <row r="5" spans="1:36" x14ac:dyDescent="0.25">
      <c r="A5" s="47"/>
      <c r="B5" s="13" t="s">
        <v>354</v>
      </c>
      <c r="C5" s="48">
        <v>19674113</v>
      </c>
      <c r="D5" s="48">
        <v>20120693</v>
      </c>
      <c r="E5" s="48">
        <v>20608101</v>
      </c>
      <c r="F5" s="48">
        <v>20538781</v>
      </c>
      <c r="G5" s="48">
        <v>20660367</v>
      </c>
      <c r="H5" s="48">
        <v>21218937</v>
      </c>
      <c r="I5" s="48">
        <v>19504669</v>
      </c>
      <c r="J5" s="48">
        <v>18761659</v>
      </c>
      <c r="K5" s="48">
        <v>18761659</v>
      </c>
      <c r="L5" s="48">
        <v>18341433</v>
      </c>
      <c r="M5" s="48">
        <v>18270526</v>
      </c>
      <c r="N5" s="48">
        <v>16921183</v>
      </c>
      <c r="O5" s="48">
        <v>16840685</v>
      </c>
      <c r="P5" s="48">
        <v>16707785</v>
      </c>
      <c r="Q5" s="48">
        <v>16707785</v>
      </c>
      <c r="R5" s="48">
        <v>16568717</v>
      </c>
      <c r="S5" s="48">
        <v>16485080</v>
      </c>
      <c r="T5" s="48">
        <v>16136603</v>
      </c>
      <c r="U5" s="48">
        <v>16136603</v>
      </c>
      <c r="V5" s="48">
        <f>15804270</f>
        <v>15804270</v>
      </c>
      <c r="W5" s="48">
        <v>16665751</v>
      </c>
      <c r="X5" s="48">
        <v>16399053</v>
      </c>
      <c r="Y5" s="48">
        <v>16399053</v>
      </c>
      <c r="Z5" s="48">
        <v>17374274</v>
      </c>
      <c r="AA5" s="48">
        <v>16622335</v>
      </c>
      <c r="AB5" s="48">
        <v>16119531</v>
      </c>
      <c r="AC5" s="48">
        <v>16488896</v>
      </c>
      <c r="AD5" s="48">
        <v>14234059</v>
      </c>
      <c r="AE5" s="48">
        <v>12794542</v>
      </c>
      <c r="AG5" s="48"/>
      <c r="AH5" s="48"/>
      <c r="AI5" s="48"/>
    </row>
    <row r="6" spans="1:36" x14ac:dyDescent="0.25">
      <c r="A6" s="49">
        <v>0.05</v>
      </c>
      <c r="B6" s="13" t="s">
        <v>355</v>
      </c>
      <c r="C6" s="50">
        <f t="shared" ref="C6:D6" si="0">ROUND(-C5*$A$6,0)</f>
        <v>-983706</v>
      </c>
      <c r="D6" s="50">
        <f t="shared" si="0"/>
        <v>-1006035</v>
      </c>
      <c r="E6" s="50">
        <f t="shared" ref="E6:F6" si="1">ROUND(-E5*$A$6,0)</f>
        <v>-1030405</v>
      </c>
      <c r="F6" s="50">
        <f t="shared" si="1"/>
        <v>-1026939</v>
      </c>
      <c r="G6" s="50">
        <f t="shared" ref="G6:L6" si="2">ROUND(-G5*$A$6,0)</f>
        <v>-1033018</v>
      </c>
      <c r="H6" s="50">
        <f t="shared" si="2"/>
        <v>-1060947</v>
      </c>
      <c r="I6" s="50">
        <f t="shared" si="2"/>
        <v>-975233</v>
      </c>
      <c r="J6" s="50">
        <f t="shared" si="2"/>
        <v>-938083</v>
      </c>
      <c r="K6" s="50">
        <f t="shared" si="2"/>
        <v>-938083</v>
      </c>
      <c r="L6" s="50">
        <f t="shared" si="2"/>
        <v>-917072</v>
      </c>
      <c r="M6" s="50">
        <v>-913526</v>
      </c>
      <c r="N6" s="50">
        <f t="shared" ref="N6:AE6" si="3">ROUND(-N5*$A$6,0)</f>
        <v>-846059</v>
      </c>
      <c r="O6" s="50">
        <f t="shared" si="3"/>
        <v>-842034</v>
      </c>
      <c r="P6" s="50">
        <f t="shared" si="3"/>
        <v>-835389</v>
      </c>
      <c r="Q6" s="50">
        <f t="shared" si="3"/>
        <v>-835389</v>
      </c>
      <c r="R6" s="50">
        <f t="shared" si="3"/>
        <v>-828436</v>
      </c>
      <c r="S6" s="50">
        <f t="shared" si="3"/>
        <v>-824254</v>
      </c>
      <c r="T6" s="50">
        <f t="shared" si="3"/>
        <v>-806830</v>
      </c>
      <c r="U6" s="50">
        <f t="shared" si="3"/>
        <v>-806830</v>
      </c>
      <c r="V6" s="50">
        <f t="shared" si="3"/>
        <v>-790214</v>
      </c>
      <c r="W6" s="50">
        <f t="shared" si="3"/>
        <v>-833288</v>
      </c>
      <c r="X6" s="50">
        <f t="shared" si="3"/>
        <v>-819953</v>
      </c>
      <c r="Y6" s="50">
        <f t="shared" si="3"/>
        <v>-819953</v>
      </c>
      <c r="Z6" s="50">
        <f t="shared" si="3"/>
        <v>-868714</v>
      </c>
      <c r="AA6" s="50">
        <f t="shared" si="3"/>
        <v>-831117</v>
      </c>
      <c r="AB6" s="51">
        <f t="shared" si="3"/>
        <v>-805977</v>
      </c>
      <c r="AC6" s="51">
        <f t="shared" si="3"/>
        <v>-824445</v>
      </c>
      <c r="AD6" s="51">
        <f t="shared" si="3"/>
        <v>-711703</v>
      </c>
      <c r="AE6" s="51">
        <f t="shared" si="3"/>
        <v>-639727</v>
      </c>
      <c r="AG6" s="51"/>
      <c r="AH6" s="51"/>
      <c r="AI6" s="51"/>
    </row>
    <row r="7" spans="1:36" x14ac:dyDescent="0.25">
      <c r="B7" s="13" t="s">
        <v>356</v>
      </c>
      <c r="C7" s="52">
        <f t="shared" ref="C7:D7" si="4">ROUND(C6*0.5,0)</f>
        <v>-491853</v>
      </c>
      <c r="D7" s="52">
        <f t="shared" si="4"/>
        <v>-503018</v>
      </c>
      <c r="E7" s="52">
        <f t="shared" ref="E7:F7" si="5">ROUND(E6*0.5,0)</f>
        <v>-515203</v>
      </c>
      <c r="F7" s="52">
        <f t="shared" si="5"/>
        <v>-513470</v>
      </c>
      <c r="G7" s="52">
        <f t="shared" ref="G7:L7" si="6">ROUND(G6*0.5,0)</f>
        <v>-516509</v>
      </c>
      <c r="H7" s="52">
        <f t="shared" si="6"/>
        <v>-530474</v>
      </c>
      <c r="I7" s="52">
        <f t="shared" si="6"/>
        <v>-487617</v>
      </c>
      <c r="J7" s="52">
        <f t="shared" si="6"/>
        <v>-469042</v>
      </c>
      <c r="K7" s="52">
        <f t="shared" si="6"/>
        <v>-469042</v>
      </c>
      <c r="L7" s="52">
        <f t="shared" si="6"/>
        <v>-458536</v>
      </c>
      <c r="M7" s="52">
        <v>-456763</v>
      </c>
      <c r="N7" s="52">
        <f>ROUND(N6*0.5,0)</f>
        <v>-423030</v>
      </c>
      <c r="O7" s="52">
        <f>ROUND(O6*0.5,0)</f>
        <v>-421017</v>
      </c>
      <c r="P7" s="52">
        <f>ROUND(P6*0.5,0)</f>
        <v>-417695</v>
      </c>
      <c r="Q7" s="52">
        <f>ROUND(Q6*0.4,0)</f>
        <v>-334156</v>
      </c>
      <c r="R7" s="52">
        <f>ROUND(R6*0.4,0)</f>
        <v>-331374</v>
      </c>
      <c r="S7" s="52">
        <f>ROUND(S6*0.5,0)</f>
        <v>-412127</v>
      </c>
      <c r="T7" s="52">
        <f t="shared" ref="T7:AA7" si="7">ROUND(T6*0.6,0)</f>
        <v>-484098</v>
      </c>
      <c r="U7" s="52">
        <f t="shared" si="7"/>
        <v>-484098</v>
      </c>
      <c r="V7" s="52">
        <f t="shared" si="7"/>
        <v>-474128</v>
      </c>
      <c r="W7" s="52">
        <f t="shared" si="7"/>
        <v>-499973</v>
      </c>
      <c r="X7" s="52">
        <f t="shared" si="7"/>
        <v>-491972</v>
      </c>
      <c r="Y7" s="52">
        <f t="shared" si="7"/>
        <v>-491972</v>
      </c>
      <c r="Z7" s="52">
        <f t="shared" si="7"/>
        <v>-521228</v>
      </c>
      <c r="AA7" s="52">
        <f t="shared" si="7"/>
        <v>-498670</v>
      </c>
      <c r="AB7" s="51"/>
      <c r="AC7" s="51"/>
      <c r="AD7" s="51"/>
      <c r="AE7" s="51"/>
      <c r="AF7" s="49"/>
      <c r="AG7" s="51"/>
      <c r="AH7" s="51"/>
      <c r="AI7" s="51"/>
    </row>
    <row r="8" spans="1:36" x14ac:dyDescent="0.25">
      <c r="B8" s="13" t="s">
        <v>357</v>
      </c>
      <c r="C8" s="52">
        <f t="shared" ref="C8:D8" si="8">ROUND(C6*0.5,0)</f>
        <v>-491853</v>
      </c>
      <c r="D8" s="52">
        <f t="shared" si="8"/>
        <v>-503018</v>
      </c>
      <c r="E8" s="52">
        <f t="shared" ref="E8:F8" si="9">ROUND(E6*0.5,0)</f>
        <v>-515203</v>
      </c>
      <c r="F8" s="52">
        <f t="shared" si="9"/>
        <v>-513470</v>
      </c>
      <c r="G8" s="52">
        <f t="shared" ref="G8:L8" si="10">ROUND(G6*0.5,0)</f>
        <v>-516509</v>
      </c>
      <c r="H8" s="52">
        <f t="shared" si="10"/>
        <v>-530474</v>
      </c>
      <c r="I8" s="52">
        <f t="shared" si="10"/>
        <v>-487617</v>
      </c>
      <c r="J8" s="52">
        <f t="shared" si="10"/>
        <v>-469042</v>
      </c>
      <c r="K8" s="52">
        <f t="shared" si="10"/>
        <v>-469042</v>
      </c>
      <c r="L8" s="52">
        <f t="shared" si="10"/>
        <v>-458536</v>
      </c>
      <c r="M8" s="52">
        <v>-456763</v>
      </c>
      <c r="N8" s="52">
        <f>ROUND(N6*0.5,0)</f>
        <v>-423030</v>
      </c>
      <c r="O8" s="52">
        <f>ROUND(O6*0.5,0)</f>
        <v>-421017</v>
      </c>
      <c r="P8" s="52">
        <f>ROUND(P6*0.5,0)</f>
        <v>-417695</v>
      </c>
      <c r="Q8" s="52">
        <f>ROUND(Q6*0.6,0)</f>
        <v>-501233</v>
      </c>
      <c r="R8" s="52">
        <f>ROUND(R6*0.6,0)</f>
        <v>-497062</v>
      </c>
      <c r="S8" s="52">
        <f>ROUND(S6*0.5,0)</f>
        <v>-412127</v>
      </c>
      <c r="T8" s="52">
        <f t="shared" ref="T8:AA8" si="11">ROUND(T6*0.4,0)</f>
        <v>-322732</v>
      </c>
      <c r="U8" s="52">
        <f t="shared" si="11"/>
        <v>-322732</v>
      </c>
      <c r="V8" s="52">
        <f t="shared" si="11"/>
        <v>-316086</v>
      </c>
      <c r="W8" s="52">
        <f t="shared" si="11"/>
        <v>-333315</v>
      </c>
      <c r="X8" s="52">
        <f t="shared" si="11"/>
        <v>-327981</v>
      </c>
      <c r="Y8" s="52">
        <f t="shared" si="11"/>
        <v>-327981</v>
      </c>
      <c r="Z8" s="52">
        <f t="shared" si="11"/>
        <v>-347486</v>
      </c>
      <c r="AA8" s="52">
        <f t="shared" si="11"/>
        <v>-332447</v>
      </c>
      <c r="AB8" s="51"/>
      <c r="AC8" s="51"/>
      <c r="AD8" s="51"/>
      <c r="AE8" s="51"/>
      <c r="AF8" s="49"/>
      <c r="AG8" s="51"/>
      <c r="AH8" s="51"/>
      <c r="AI8" s="51"/>
    </row>
    <row r="9" spans="1:36" x14ac:dyDescent="0.25">
      <c r="A9" s="53"/>
      <c r="B9" s="13" t="s">
        <v>358</v>
      </c>
      <c r="C9" s="54">
        <f t="shared" ref="C9:D9" si="12">SUM(C5:C6)</f>
        <v>18690407</v>
      </c>
      <c r="D9" s="54">
        <f t="shared" si="12"/>
        <v>19114658</v>
      </c>
      <c r="E9" s="54">
        <f t="shared" ref="E9:F9" si="13">SUM(E5:E6)</f>
        <v>19577696</v>
      </c>
      <c r="F9" s="54">
        <f t="shared" si="13"/>
        <v>19511842</v>
      </c>
      <c r="G9" s="54">
        <f t="shared" ref="G9:J9" si="14">SUM(G5:G6)</f>
        <v>19627349</v>
      </c>
      <c r="H9" s="54">
        <f t="shared" si="14"/>
        <v>20157990</v>
      </c>
      <c r="I9" s="54">
        <f t="shared" si="14"/>
        <v>18529436</v>
      </c>
      <c r="J9" s="54">
        <f t="shared" si="14"/>
        <v>17823576</v>
      </c>
      <c r="K9" s="54">
        <f t="shared" ref="K9:L9" si="15">SUM(K5:K6)</f>
        <v>17823576</v>
      </c>
      <c r="L9" s="54">
        <f t="shared" si="15"/>
        <v>17424361</v>
      </c>
      <c r="M9" s="54">
        <v>17357000</v>
      </c>
      <c r="N9" s="54">
        <f t="shared" ref="N9:AE9" si="16">SUM(N5:N6)</f>
        <v>16075124</v>
      </c>
      <c r="O9" s="54">
        <f t="shared" si="16"/>
        <v>15998651</v>
      </c>
      <c r="P9" s="54">
        <f t="shared" si="16"/>
        <v>15872396</v>
      </c>
      <c r="Q9" s="54">
        <f t="shared" si="16"/>
        <v>15872396</v>
      </c>
      <c r="R9" s="54">
        <f t="shared" si="16"/>
        <v>15740281</v>
      </c>
      <c r="S9" s="54">
        <f t="shared" si="16"/>
        <v>15660826</v>
      </c>
      <c r="T9" s="54">
        <f t="shared" si="16"/>
        <v>15329773</v>
      </c>
      <c r="U9" s="54">
        <f t="shared" si="16"/>
        <v>15329773</v>
      </c>
      <c r="V9" s="54">
        <f t="shared" si="16"/>
        <v>15014056</v>
      </c>
      <c r="W9" s="54">
        <f t="shared" si="16"/>
        <v>15832463</v>
      </c>
      <c r="X9" s="54">
        <f t="shared" si="16"/>
        <v>15579100</v>
      </c>
      <c r="Y9" s="54">
        <f t="shared" si="16"/>
        <v>15579100</v>
      </c>
      <c r="Z9" s="54">
        <f t="shared" si="16"/>
        <v>16505560</v>
      </c>
      <c r="AA9" s="54">
        <f t="shared" si="16"/>
        <v>15791218</v>
      </c>
      <c r="AB9" s="54">
        <f t="shared" si="16"/>
        <v>15313554</v>
      </c>
      <c r="AC9" s="54">
        <f t="shared" si="16"/>
        <v>15664451</v>
      </c>
      <c r="AD9" s="54">
        <f t="shared" si="16"/>
        <v>13522356</v>
      </c>
      <c r="AE9" s="54">
        <f t="shared" si="16"/>
        <v>12154815</v>
      </c>
      <c r="AF9" s="55"/>
      <c r="AG9" s="54"/>
      <c r="AH9" s="54"/>
      <c r="AI9" s="54"/>
      <c r="AJ9" s="56"/>
    </row>
    <row r="10" spans="1:36" x14ac:dyDescent="0.25">
      <c r="A10" t="s">
        <v>359</v>
      </c>
      <c r="B10" s="13" t="s">
        <v>360</v>
      </c>
      <c r="C10" s="51">
        <f t="shared" ref="C10:D10" si="17">-C5*$A$11</f>
        <v>-2951116.9499999997</v>
      </c>
      <c r="D10" s="51">
        <f t="shared" si="17"/>
        <v>-3018103.9499999997</v>
      </c>
      <c r="E10" s="51">
        <f t="shared" ref="E10:F10" si="18">-E5*$A$11</f>
        <v>-3091215.15</v>
      </c>
      <c r="F10" s="51">
        <f t="shared" si="18"/>
        <v>-3080817.15</v>
      </c>
      <c r="G10" s="51">
        <f t="shared" ref="G10:L10" si="19">-G5*$A$11</f>
        <v>-3099055.05</v>
      </c>
      <c r="H10" s="51">
        <f t="shared" si="19"/>
        <v>-3182840.55</v>
      </c>
      <c r="I10" s="51">
        <f t="shared" si="19"/>
        <v>-2925700.35</v>
      </c>
      <c r="J10" s="51">
        <f t="shared" si="19"/>
        <v>-2814248.85</v>
      </c>
      <c r="K10" s="51">
        <f t="shared" si="19"/>
        <v>-2814248.85</v>
      </c>
      <c r="L10" s="51">
        <f t="shared" si="19"/>
        <v>-2751214.9499999997</v>
      </c>
      <c r="M10" s="51">
        <v>-2740578.9</v>
      </c>
      <c r="N10" s="51">
        <f>-N5*$A$11</f>
        <v>-2538177.4499999997</v>
      </c>
      <c r="O10" s="51">
        <f>-O5*$A$11</f>
        <v>-2526102.75</v>
      </c>
      <c r="P10" s="51">
        <f>-P5*$A$11</f>
        <v>-2506167.75</v>
      </c>
      <c r="Q10" s="51">
        <f>-Q5*$A$11</f>
        <v>-2506167.75</v>
      </c>
      <c r="R10" s="51">
        <f>-S5*A11</f>
        <v>-2472762</v>
      </c>
      <c r="S10" s="51">
        <f>-S5*A11</f>
        <v>-2472762</v>
      </c>
      <c r="T10" s="51">
        <f>-T9*0.15</f>
        <v>-2299465.9499999997</v>
      </c>
      <c r="U10" s="51">
        <f t="shared" ref="U10:AE10" si="20">-U9*0.15</f>
        <v>-2299465.9499999997</v>
      </c>
      <c r="V10" s="51">
        <f t="shared" si="20"/>
        <v>-2252108.4</v>
      </c>
      <c r="W10" s="51">
        <f t="shared" si="20"/>
        <v>-2374869.4499999997</v>
      </c>
      <c r="X10" s="51">
        <f t="shared" si="20"/>
        <v>-2336865</v>
      </c>
      <c r="Y10" s="51">
        <f t="shared" si="20"/>
        <v>-2336865</v>
      </c>
      <c r="Z10" s="51">
        <f t="shared" si="20"/>
        <v>-2475834</v>
      </c>
      <c r="AA10" s="51">
        <f t="shared" si="20"/>
        <v>-2368682.6999999997</v>
      </c>
      <c r="AB10" s="51">
        <f t="shared" si="20"/>
        <v>-2297033.1</v>
      </c>
      <c r="AC10" s="51">
        <f t="shared" si="20"/>
        <v>-2349667.65</v>
      </c>
      <c r="AD10" s="51">
        <f t="shared" si="20"/>
        <v>-2028353.4</v>
      </c>
      <c r="AE10" s="51">
        <f t="shared" si="20"/>
        <v>-1823222.25</v>
      </c>
      <c r="AF10" s="57">
        <v>0.15</v>
      </c>
      <c r="AG10" s="51"/>
      <c r="AH10" s="51"/>
      <c r="AI10" s="51"/>
    </row>
    <row r="11" spans="1:36" x14ac:dyDescent="0.25">
      <c r="A11" s="49">
        <v>0.15</v>
      </c>
      <c r="B11" s="53" t="s">
        <v>361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9"/>
      <c r="AG11" s="58"/>
      <c r="AH11" s="58"/>
      <c r="AI11" s="58"/>
    </row>
    <row r="12" spans="1:36" x14ac:dyDescent="0.25">
      <c r="B12" s="13"/>
      <c r="C12" s="60">
        <f t="shared" ref="C12:D12" si="21">SUM(C9:C10)</f>
        <v>15739290.050000001</v>
      </c>
      <c r="D12" s="60">
        <f t="shared" si="21"/>
        <v>16096554.050000001</v>
      </c>
      <c r="E12" s="60">
        <f t="shared" ref="E12:F12" si="22">SUM(E9:E10)</f>
        <v>16486480.85</v>
      </c>
      <c r="F12" s="60">
        <f t="shared" si="22"/>
        <v>16431024.85</v>
      </c>
      <c r="G12" s="60">
        <f t="shared" ref="G12:L12" si="23">SUM(G9:G10)</f>
        <v>16528293.949999999</v>
      </c>
      <c r="H12" s="60">
        <f t="shared" si="23"/>
        <v>16975149.449999999</v>
      </c>
      <c r="I12" s="60">
        <f t="shared" si="23"/>
        <v>15603735.65</v>
      </c>
      <c r="J12" s="60">
        <f t="shared" si="23"/>
        <v>15009327.15</v>
      </c>
      <c r="K12" s="60">
        <f t="shared" si="23"/>
        <v>15009327.15</v>
      </c>
      <c r="L12" s="60">
        <f t="shared" si="23"/>
        <v>14673146.050000001</v>
      </c>
      <c r="M12" s="60">
        <v>14616421.1</v>
      </c>
      <c r="N12" s="60">
        <f t="shared" ref="N12:AE12" si="24">SUM(N9:N10)</f>
        <v>13536946.550000001</v>
      </c>
      <c r="O12" s="60">
        <f t="shared" si="24"/>
        <v>13472548.25</v>
      </c>
      <c r="P12" s="60">
        <f t="shared" si="24"/>
        <v>13366228.25</v>
      </c>
      <c r="Q12" s="60">
        <f t="shared" si="24"/>
        <v>13366228.25</v>
      </c>
      <c r="R12" s="60">
        <f t="shared" si="24"/>
        <v>13267519</v>
      </c>
      <c r="S12" s="60">
        <f t="shared" si="24"/>
        <v>13188064</v>
      </c>
      <c r="T12" s="60">
        <f t="shared" si="24"/>
        <v>13030307.050000001</v>
      </c>
      <c r="U12" s="60">
        <f t="shared" si="24"/>
        <v>13030307.050000001</v>
      </c>
      <c r="V12" s="60">
        <f t="shared" si="24"/>
        <v>12761947.6</v>
      </c>
      <c r="W12" s="60">
        <f t="shared" si="24"/>
        <v>13457593.550000001</v>
      </c>
      <c r="X12" s="60">
        <f t="shared" si="24"/>
        <v>13242235</v>
      </c>
      <c r="Y12" s="60">
        <f t="shared" si="24"/>
        <v>13242235</v>
      </c>
      <c r="Z12" s="60">
        <f t="shared" si="24"/>
        <v>14029726</v>
      </c>
      <c r="AA12" s="60">
        <f t="shared" si="24"/>
        <v>13422535.300000001</v>
      </c>
      <c r="AB12" s="60">
        <f t="shared" si="24"/>
        <v>13016520.9</v>
      </c>
      <c r="AC12" s="60">
        <f t="shared" si="24"/>
        <v>13314783.35</v>
      </c>
      <c r="AD12" s="60">
        <f t="shared" si="24"/>
        <v>11494002.6</v>
      </c>
      <c r="AE12" s="60">
        <f t="shared" si="24"/>
        <v>10331592.75</v>
      </c>
      <c r="AG12" s="60"/>
      <c r="AH12" s="60"/>
      <c r="AI12" s="61"/>
      <c r="AJ12" s="62"/>
    </row>
    <row r="13" spans="1:36" x14ac:dyDescent="0.25">
      <c r="A13" s="49">
        <v>0.01</v>
      </c>
      <c r="B13" s="13" t="s">
        <v>362</v>
      </c>
      <c r="C13" s="63">
        <v>100000</v>
      </c>
      <c r="D13" s="63">
        <v>100000</v>
      </c>
      <c r="E13" s="63">
        <v>100000</v>
      </c>
      <c r="F13" s="63">
        <v>100001</v>
      </c>
      <c r="G13" s="63">
        <v>100000</v>
      </c>
      <c r="H13" s="63">
        <v>100000</v>
      </c>
      <c r="I13" s="63">
        <v>100000</v>
      </c>
      <c r="J13" s="63">
        <v>100000</v>
      </c>
      <c r="K13" s="63">
        <v>100000</v>
      </c>
      <c r="L13" s="63">
        <v>100000</v>
      </c>
      <c r="M13" s="63">
        <v>100000</v>
      </c>
      <c r="N13" s="63">
        <v>100000</v>
      </c>
      <c r="O13" s="63">
        <v>100000</v>
      </c>
      <c r="P13" s="63">
        <v>100000</v>
      </c>
      <c r="Q13" s="63">
        <v>100000</v>
      </c>
      <c r="R13" s="63">
        <f>100000-11128</f>
        <v>88872</v>
      </c>
      <c r="S13" s="63">
        <f>ROUND(S5*A13,0)</f>
        <v>164851</v>
      </c>
      <c r="T13" s="63">
        <f>100000</f>
        <v>100000</v>
      </c>
      <c r="U13" s="63">
        <f>100000</f>
        <v>100000</v>
      </c>
      <c r="V13" s="63">
        <f>100000-1784</f>
        <v>98216</v>
      </c>
      <c r="W13" s="63">
        <v>100000</v>
      </c>
      <c r="X13" s="63">
        <v>100000</v>
      </c>
      <c r="Y13" s="63">
        <v>100000</v>
      </c>
      <c r="Z13" s="63">
        <v>100000</v>
      </c>
      <c r="AA13" s="63">
        <v>100000</v>
      </c>
      <c r="AB13" s="64">
        <v>344500</v>
      </c>
      <c r="AC13" s="64">
        <v>337000</v>
      </c>
      <c r="AD13" s="64">
        <v>315100</v>
      </c>
      <c r="AE13" s="64">
        <v>520650</v>
      </c>
      <c r="AG13" s="65"/>
      <c r="AH13" s="65"/>
      <c r="AI13" s="65"/>
      <c r="AJ13" s="62"/>
    </row>
    <row r="14" spans="1:36" x14ac:dyDescent="0.25">
      <c r="A14" s="47"/>
      <c r="B14" s="13" t="s">
        <v>363</v>
      </c>
      <c r="C14" s="65">
        <f t="shared" ref="C14:D14" si="25">C9-C13</f>
        <v>18590407</v>
      </c>
      <c r="D14" s="65">
        <f t="shared" si="25"/>
        <v>19014658</v>
      </c>
      <c r="E14" s="65">
        <f t="shared" ref="E14:F14" si="26">E9-E13</f>
        <v>19477696</v>
      </c>
      <c r="F14" s="65">
        <f t="shared" si="26"/>
        <v>19411841</v>
      </c>
      <c r="G14" s="65">
        <f t="shared" ref="G14:L14" si="27">G9-G13</f>
        <v>19527349</v>
      </c>
      <c r="H14" s="65">
        <f t="shared" si="27"/>
        <v>20057990</v>
      </c>
      <c r="I14" s="65">
        <f t="shared" si="27"/>
        <v>18429436</v>
      </c>
      <c r="J14" s="65">
        <f t="shared" si="27"/>
        <v>17723576</v>
      </c>
      <c r="K14" s="65">
        <f t="shared" si="27"/>
        <v>17723576</v>
      </c>
      <c r="L14" s="65">
        <f t="shared" si="27"/>
        <v>17324361</v>
      </c>
      <c r="M14" s="65">
        <v>17257000</v>
      </c>
      <c r="N14" s="65">
        <f>N9-N13</f>
        <v>15975124</v>
      </c>
      <c r="O14" s="65">
        <f>O9-O13</f>
        <v>15898651</v>
      </c>
      <c r="P14" s="65">
        <f>P9-P13</f>
        <v>15772396</v>
      </c>
      <c r="Q14" s="65">
        <f>Q9-Q13</f>
        <v>15772396</v>
      </c>
      <c r="R14" s="65">
        <f>R9-100000</f>
        <v>15640281</v>
      </c>
      <c r="S14" s="65">
        <f>S9-S13</f>
        <v>15495975</v>
      </c>
      <c r="T14" s="65">
        <f>T9-T13</f>
        <v>15229773</v>
      </c>
      <c r="U14" s="65">
        <f>U9-U13</f>
        <v>15229773</v>
      </c>
      <c r="V14" s="65">
        <f>V9-V13</f>
        <v>14915840</v>
      </c>
      <c r="W14" s="65">
        <f t="shared" ref="W14:AE14" si="28">W9-W13</f>
        <v>15732463</v>
      </c>
      <c r="X14" s="65">
        <f t="shared" si="28"/>
        <v>15479100</v>
      </c>
      <c r="Y14" s="65">
        <f t="shared" si="28"/>
        <v>15479100</v>
      </c>
      <c r="Z14" s="65">
        <f t="shared" si="28"/>
        <v>16405560</v>
      </c>
      <c r="AA14" s="65">
        <f t="shared" si="28"/>
        <v>15691218</v>
      </c>
      <c r="AB14" s="65">
        <f t="shared" si="28"/>
        <v>14969054</v>
      </c>
      <c r="AC14" s="65">
        <f t="shared" si="28"/>
        <v>15327451</v>
      </c>
      <c r="AD14" s="65">
        <f t="shared" si="28"/>
        <v>13207256</v>
      </c>
      <c r="AE14" s="65">
        <f t="shared" si="28"/>
        <v>11634165</v>
      </c>
      <c r="AG14" s="65"/>
      <c r="AH14" s="65"/>
      <c r="AI14" s="65"/>
      <c r="AJ14" s="62"/>
    </row>
    <row r="15" spans="1:36" x14ac:dyDescent="0.25">
      <c r="A15" s="47"/>
      <c r="B15" s="13" t="s">
        <v>364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65"/>
      <c r="R15" s="65"/>
      <c r="S15" s="65"/>
      <c r="T15" s="65"/>
      <c r="U15" s="65">
        <v>0</v>
      </c>
      <c r="V15" s="65">
        <v>0</v>
      </c>
      <c r="W15" s="65">
        <v>0</v>
      </c>
      <c r="X15" s="65">
        <v>787874</v>
      </c>
      <c r="Y15" s="65">
        <v>787874</v>
      </c>
      <c r="Z15" s="65"/>
      <c r="AA15" s="65"/>
      <c r="AB15" s="65"/>
      <c r="AC15" s="65"/>
      <c r="AD15" s="65"/>
      <c r="AE15" s="65"/>
      <c r="AG15" s="65"/>
      <c r="AH15" s="65"/>
      <c r="AI15" s="65"/>
      <c r="AJ15" s="62"/>
    </row>
    <row r="16" spans="1:36" x14ac:dyDescent="0.25">
      <c r="A16" s="47"/>
      <c r="B16" s="13" t="s">
        <v>365</v>
      </c>
      <c r="C16" s="13"/>
      <c r="D16" s="13"/>
      <c r="E16" s="13"/>
      <c r="F16" s="13"/>
      <c r="G16" s="13"/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-297000</v>
      </c>
      <c r="S16" s="65">
        <v>0</v>
      </c>
      <c r="T16" s="65">
        <v>0</v>
      </c>
      <c r="U16" s="65">
        <v>0</v>
      </c>
      <c r="V16" s="65">
        <v>400000</v>
      </c>
      <c r="W16" s="65"/>
      <c r="X16" s="65"/>
      <c r="Y16" s="65"/>
      <c r="Z16" s="65"/>
      <c r="AA16" s="65"/>
      <c r="AB16" s="65"/>
      <c r="AC16" s="65"/>
      <c r="AD16" s="65"/>
      <c r="AE16" s="65"/>
      <c r="AG16" s="65"/>
      <c r="AH16" s="65"/>
      <c r="AI16" s="65"/>
      <c r="AJ16" s="62"/>
    </row>
    <row r="17" spans="1:36" x14ac:dyDescent="0.25">
      <c r="A17" s="47"/>
      <c r="B17" s="13" t="s">
        <v>366</v>
      </c>
      <c r="C17" s="13"/>
      <c r="D17" s="13"/>
      <c r="E17" s="13"/>
      <c r="F17" s="13"/>
      <c r="G17" s="13"/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398693</v>
      </c>
      <c r="T17" s="65">
        <v>841704</v>
      </c>
      <c r="U17" s="65">
        <v>841704</v>
      </c>
      <c r="V17" s="65">
        <v>363000</v>
      </c>
      <c r="W17" s="65"/>
      <c r="X17" s="65"/>
      <c r="Y17" s="65"/>
      <c r="Z17" s="65"/>
      <c r="AA17" s="65"/>
      <c r="AB17" s="65"/>
      <c r="AC17" s="65"/>
      <c r="AD17" s="65"/>
      <c r="AE17" s="65"/>
      <c r="AG17" s="65"/>
      <c r="AH17" s="65"/>
      <c r="AI17" s="65"/>
      <c r="AJ17" s="62"/>
    </row>
    <row r="18" spans="1:36" x14ac:dyDescent="0.25">
      <c r="A18" s="47"/>
      <c r="B18" s="13" t="s">
        <v>367</v>
      </c>
      <c r="C18" s="65">
        <f t="shared" ref="C18:D18" si="29">+C14+C15+C16+C17</f>
        <v>18590407</v>
      </c>
      <c r="D18" s="65">
        <f t="shared" si="29"/>
        <v>19014658</v>
      </c>
      <c r="E18" s="65">
        <f t="shared" ref="E18:F18" si="30">+E14+E15+E16+E17</f>
        <v>19477696</v>
      </c>
      <c r="F18" s="65">
        <f t="shared" si="30"/>
        <v>19411841</v>
      </c>
      <c r="G18" s="65">
        <f t="shared" ref="G18:H18" si="31">+G14+G15+G16+G17</f>
        <v>19527349</v>
      </c>
      <c r="H18" s="65">
        <f t="shared" si="31"/>
        <v>20057990</v>
      </c>
      <c r="I18" s="65">
        <f t="shared" ref="I18:L18" si="32">+I14+I15+I16+I17</f>
        <v>18429436</v>
      </c>
      <c r="J18" s="65">
        <f t="shared" si="32"/>
        <v>17723576</v>
      </c>
      <c r="K18" s="65">
        <f t="shared" si="32"/>
        <v>17723576</v>
      </c>
      <c r="L18" s="65">
        <f t="shared" si="32"/>
        <v>17324361</v>
      </c>
      <c r="M18" s="65">
        <v>17257000</v>
      </c>
      <c r="N18" s="65">
        <f t="shared" ref="N18:V18" si="33">+N14+N15+N16+N17</f>
        <v>15975124</v>
      </c>
      <c r="O18" s="65">
        <f t="shared" si="33"/>
        <v>15898651</v>
      </c>
      <c r="P18" s="65">
        <f t="shared" si="33"/>
        <v>15772396</v>
      </c>
      <c r="Q18" s="65">
        <f t="shared" si="33"/>
        <v>15772396</v>
      </c>
      <c r="R18" s="65">
        <f t="shared" si="33"/>
        <v>15343281</v>
      </c>
      <c r="S18" s="65">
        <f t="shared" si="33"/>
        <v>15894668</v>
      </c>
      <c r="T18" s="65">
        <f t="shared" si="33"/>
        <v>16071477</v>
      </c>
      <c r="U18" s="65">
        <f t="shared" si="33"/>
        <v>16071477</v>
      </c>
      <c r="V18" s="65">
        <f t="shared" si="33"/>
        <v>15678840</v>
      </c>
      <c r="W18" s="65">
        <f>+W14+W15</f>
        <v>15732463</v>
      </c>
      <c r="X18" s="65">
        <f>+X14+X15</f>
        <v>16266974</v>
      </c>
      <c r="Y18" s="65">
        <f>+Y14+Y15</f>
        <v>16266974</v>
      </c>
      <c r="Z18" s="65"/>
      <c r="AA18" s="65"/>
      <c r="AB18" s="65"/>
      <c r="AC18" s="65"/>
      <c r="AD18" s="65"/>
      <c r="AE18" s="65"/>
      <c r="AG18" s="65"/>
      <c r="AH18" s="65"/>
      <c r="AI18" s="65"/>
      <c r="AJ18" s="62"/>
    </row>
    <row r="19" spans="1:36" x14ac:dyDescent="0.25">
      <c r="A19" s="47"/>
      <c r="B19" s="13" t="s">
        <v>368</v>
      </c>
      <c r="C19" s="66">
        <f>'Allocations 2026-27'!O8</f>
        <v>18590412</v>
      </c>
      <c r="D19" s="66">
        <f>'Allocations 2025-26'!O8</f>
        <v>19014657</v>
      </c>
      <c r="E19" s="66" t="e">
        <f>#REF!</f>
        <v>#REF!</v>
      </c>
      <c r="F19" s="66"/>
      <c r="G19" s="66"/>
      <c r="H19" s="66">
        <v>20057988</v>
      </c>
      <c r="I19" s="66" t="e">
        <f>#REF!</f>
        <v>#REF!</v>
      </c>
      <c r="J19" s="66">
        <v>260511</v>
      </c>
      <c r="K19" s="66">
        <v>17723576</v>
      </c>
      <c r="L19" s="66">
        <v>17324363</v>
      </c>
      <c r="M19" s="66">
        <v>17256998</v>
      </c>
      <c r="N19" s="66">
        <v>15975121</v>
      </c>
      <c r="O19" s="66">
        <v>15975121</v>
      </c>
      <c r="P19" s="66">
        <v>15772396</v>
      </c>
      <c r="Q19" s="66">
        <v>15772396</v>
      </c>
      <c r="R19" s="66">
        <v>15343280</v>
      </c>
      <c r="S19" s="66">
        <v>15343280</v>
      </c>
      <c r="T19" s="66">
        <v>16071477</v>
      </c>
      <c r="U19" s="66">
        <v>15678834</v>
      </c>
      <c r="V19" s="66">
        <v>15678834</v>
      </c>
      <c r="W19" s="66">
        <v>15732463</v>
      </c>
      <c r="X19" s="66">
        <v>16266974</v>
      </c>
      <c r="Y19" s="66">
        <v>16266974</v>
      </c>
      <c r="Z19" s="66">
        <v>16415142</v>
      </c>
      <c r="AA19" s="66">
        <v>15691218</v>
      </c>
      <c r="AB19" s="66">
        <v>14969054</v>
      </c>
      <c r="AC19" s="66">
        <v>15327451</v>
      </c>
      <c r="AD19" s="66">
        <v>13207256</v>
      </c>
      <c r="AE19" s="66">
        <v>11634165</v>
      </c>
      <c r="AG19" s="66"/>
      <c r="AH19" s="66"/>
    </row>
    <row r="20" spans="1:36" x14ac:dyDescent="0.25">
      <c r="A20" s="47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G20" s="66"/>
      <c r="AH20" s="66"/>
    </row>
    <row r="21" spans="1:36" ht="15.75" thickBot="1" x14ac:dyDescent="0.3">
      <c r="A21" s="47"/>
      <c r="B21" s="13" t="s">
        <v>369</v>
      </c>
      <c r="C21" s="67">
        <f t="shared" ref="C21" si="34">+C19+C20</f>
        <v>18590412</v>
      </c>
      <c r="D21" s="67">
        <f t="shared" ref="D21:I21" si="35">+D19+D20</f>
        <v>19014657</v>
      </c>
      <c r="E21" s="67" t="e">
        <f t="shared" si="35"/>
        <v>#REF!</v>
      </c>
      <c r="F21" s="67">
        <f t="shared" si="35"/>
        <v>0</v>
      </c>
      <c r="G21" s="67">
        <f t="shared" si="35"/>
        <v>0</v>
      </c>
      <c r="H21" s="67">
        <f t="shared" si="35"/>
        <v>20057988</v>
      </c>
      <c r="I21" s="67" t="e">
        <f t="shared" si="35"/>
        <v>#REF!</v>
      </c>
      <c r="J21" s="67">
        <f t="shared" ref="J21:L21" si="36">+J19+J20</f>
        <v>260511</v>
      </c>
      <c r="K21" s="67">
        <f t="shared" si="36"/>
        <v>17723576</v>
      </c>
      <c r="L21" s="67">
        <f t="shared" si="36"/>
        <v>17324363</v>
      </c>
      <c r="M21" s="67">
        <v>17256998</v>
      </c>
      <c r="N21" s="67">
        <f>+N19+N20</f>
        <v>15975121</v>
      </c>
      <c r="O21" s="67">
        <f t="shared" ref="O21:AE21" si="37">+O19+O20</f>
        <v>15975121</v>
      </c>
      <c r="P21" s="67">
        <f t="shared" si="37"/>
        <v>15772396</v>
      </c>
      <c r="Q21" s="67">
        <f t="shared" si="37"/>
        <v>15772396</v>
      </c>
      <c r="R21" s="67">
        <f t="shared" si="37"/>
        <v>15343280</v>
      </c>
      <c r="S21" s="67">
        <f t="shared" si="37"/>
        <v>15343280</v>
      </c>
      <c r="T21" s="67">
        <f t="shared" si="37"/>
        <v>16071477</v>
      </c>
      <c r="U21" s="67">
        <f t="shared" si="37"/>
        <v>15678834</v>
      </c>
      <c r="V21" s="67">
        <f t="shared" si="37"/>
        <v>15678834</v>
      </c>
      <c r="W21" s="67">
        <f t="shared" si="37"/>
        <v>15732463</v>
      </c>
      <c r="X21" s="67">
        <f t="shared" si="37"/>
        <v>16266974</v>
      </c>
      <c r="Y21" s="67">
        <f t="shared" si="37"/>
        <v>16266974</v>
      </c>
      <c r="Z21" s="67">
        <f t="shared" si="37"/>
        <v>16415142</v>
      </c>
      <c r="AA21" s="67">
        <f t="shared" si="37"/>
        <v>15691218</v>
      </c>
      <c r="AB21" s="67">
        <f t="shared" si="37"/>
        <v>14969054</v>
      </c>
      <c r="AC21" s="67">
        <f t="shared" si="37"/>
        <v>15327451</v>
      </c>
      <c r="AD21" s="67">
        <f t="shared" si="37"/>
        <v>13207256</v>
      </c>
      <c r="AE21" s="67">
        <f t="shared" si="37"/>
        <v>11634165</v>
      </c>
      <c r="AG21" s="67"/>
      <c r="AH21" s="67"/>
    </row>
    <row r="22" spans="1:36" ht="15.75" thickTop="1" x14ac:dyDescent="0.25">
      <c r="A22" s="47"/>
      <c r="B22" s="13" t="s">
        <v>370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66"/>
      <c r="S22" s="66"/>
      <c r="T22" s="66"/>
      <c r="U22" s="66"/>
      <c r="V22" s="66"/>
      <c r="W22" s="66"/>
      <c r="X22" s="66"/>
      <c r="Y22" s="66">
        <f>AB14-AB19</f>
        <v>0</v>
      </c>
      <c r="Z22" s="66">
        <f>AC14-AC19</f>
        <v>0</v>
      </c>
      <c r="AA22" s="66">
        <f>AD14-AD19</f>
        <v>0</v>
      </c>
      <c r="AB22" s="66">
        <f>AE19-AE14</f>
        <v>0</v>
      </c>
    </row>
    <row r="23" spans="1:36" x14ac:dyDescent="0.25">
      <c r="A23" s="39"/>
      <c r="AA23" s="68"/>
    </row>
    <row r="24" spans="1:36" x14ac:dyDescent="0.25">
      <c r="A24" s="69" t="s">
        <v>371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</row>
    <row r="25" spans="1:36" x14ac:dyDescent="0.25">
      <c r="A25" s="71"/>
      <c r="B25" s="19" t="s">
        <v>372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36" x14ac:dyDescent="0.25">
      <c r="A26" s="39"/>
      <c r="B26" s="72" t="s">
        <v>373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 t="s">
        <v>374</v>
      </c>
      <c r="V26" s="72"/>
      <c r="W26" s="72"/>
      <c r="X26" s="72"/>
      <c r="Y26" s="13" t="s">
        <v>375</v>
      </c>
      <c r="Z26" s="73">
        <v>15804270</v>
      </c>
    </row>
    <row r="27" spans="1:36" x14ac:dyDescent="0.25">
      <c r="A27" s="39"/>
      <c r="B27" t="s">
        <v>376</v>
      </c>
      <c r="Y27" s="13" t="s">
        <v>377</v>
      </c>
      <c r="Z27" s="74">
        <f>ROUND(Z26*0.0662,0)</f>
        <v>1046243</v>
      </c>
    </row>
    <row r="28" spans="1:36" x14ac:dyDescent="0.25">
      <c r="A28" s="39"/>
      <c r="B28" t="s">
        <v>378</v>
      </c>
      <c r="Y28" s="13" t="s">
        <v>379</v>
      </c>
      <c r="Z28" s="74">
        <f>+Z26-Z27</f>
        <v>14758027</v>
      </c>
    </row>
    <row r="29" spans="1:36" x14ac:dyDescent="0.25">
      <c r="A29" s="39"/>
      <c r="B29" t="s">
        <v>380</v>
      </c>
      <c r="Y29" s="13" t="s">
        <v>381</v>
      </c>
      <c r="Z29" s="73">
        <f>ROUND(Z28*-0.05,0)</f>
        <v>-737901</v>
      </c>
    </row>
    <row r="30" spans="1:36" x14ac:dyDescent="0.25">
      <c r="A30" s="39"/>
      <c r="Y30" s="13" t="s">
        <v>358</v>
      </c>
      <c r="Z30" s="75">
        <f>+Z28+Z29</f>
        <v>14020126</v>
      </c>
    </row>
    <row r="31" spans="1:36" x14ac:dyDescent="0.25">
      <c r="A31" s="39"/>
      <c r="B31" t="s">
        <v>382</v>
      </c>
      <c r="Y31" s="13" t="s">
        <v>383</v>
      </c>
      <c r="Z31" s="73">
        <v>-100000</v>
      </c>
    </row>
    <row r="32" spans="1:36" ht="16.5" x14ac:dyDescent="0.35">
      <c r="A32" s="39"/>
      <c r="B32" t="s">
        <v>384</v>
      </c>
      <c r="Y32" s="76" t="s">
        <v>385</v>
      </c>
      <c r="Z32" s="77">
        <f>Z30+Z31</f>
        <v>13920126</v>
      </c>
      <c r="AB32" s="78"/>
    </row>
    <row r="33" spans="1:28" x14ac:dyDescent="0.25">
      <c r="A33" s="39"/>
      <c r="B33" t="s">
        <v>386</v>
      </c>
      <c r="AB33" s="78"/>
    </row>
    <row r="34" spans="1:28" x14ac:dyDescent="0.25">
      <c r="A34" s="39"/>
      <c r="B34" t="s">
        <v>387</v>
      </c>
      <c r="AB34" s="78"/>
    </row>
    <row r="35" spans="1:28" x14ac:dyDescent="0.25">
      <c r="A35" s="39"/>
      <c r="B35" t="s">
        <v>388</v>
      </c>
      <c r="AB35" s="78"/>
    </row>
    <row r="36" spans="1:28" x14ac:dyDescent="0.25">
      <c r="A36" s="39"/>
      <c r="B36" t="s">
        <v>389</v>
      </c>
      <c r="AB36" s="78"/>
    </row>
    <row r="37" spans="1:28" ht="15.75" x14ac:dyDescent="0.25">
      <c r="A37" s="39"/>
      <c r="B37" s="19" t="s">
        <v>390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AB37" s="79"/>
    </row>
    <row r="38" spans="1:28" x14ac:dyDescent="0.25">
      <c r="A38" s="39"/>
      <c r="B38" t="s">
        <v>391</v>
      </c>
      <c r="AB38" s="80"/>
    </row>
    <row r="39" spans="1:28" x14ac:dyDescent="0.25">
      <c r="A39" s="39"/>
      <c r="B39" t="s">
        <v>392</v>
      </c>
      <c r="AB39" s="80"/>
    </row>
    <row r="40" spans="1:28" x14ac:dyDescent="0.25">
      <c r="A40" s="39"/>
      <c r="B40" t="s">
        <v>393</v>
      </c>
    </row>
    <row r="41" spans="1:28" x14ac:dyDescent="0.25">
      <c r="A41" s="39"/>
      <c r="B41" t="s">
        <v>394</v>
      </c>
    </row>
    <row r="42" spans="1:28" x14ac:dyDescent="0.25">
      <c r="A42" s="39"/>
      <c r="AB42" s="78"/>
    </row>
    <row r="43" spans="1:28" x14ac:dyDescent="0.25">
      <c r="A43" s="39"/>
      <c r="Q43" s="18" t="s">
        <v>395</v>
      </c>
      <c r="R43" s="18" t="s">
        <v>395</v>
      </c>
      <c r="S43" s="18" t="s">
        <v>395</v>
      </c>
      <c r="T43" s="18" t="s">
        <v>395</v>
      </c>
      <c r="U43" s="18" t="s">
        <v>396</v>
      </c>
      <c r="AB43" s="78"/>
    </row>
    <row r="44" spans="1:28" x14ac:dyDescent="0.25">
      <c r="A44" s="39"/>
      <c r="B44" s="81" t="s">
        <v>397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2"/>
      <c r="R44" s="82"/>
      <c r="S44" s="82"/>
      <c r="T44" s="82"/>
      <c r="U44" s="82"/>
      <c r="W44" t="s">
        <v>398</v>
      </c>
      <c r="AB44" s="78"/>
    </row>
    <row r="45" spans="1:28" x14ac:dyDescent="0.25">
      <c r="A45" s="39"/>
      <c r="B45" s="81" t="s">
        <v>399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R45" s="82"/>
      <c r="S45" s="82"/>
      <c r="T45" s="82"/>
      <c r="U45" s="82"/>
      <c r="AB45" s="78"/>
    </row>
    <row r="46" spans="1:28" x14ac:dyDescent="0.25">
      <c r="A46" s="39"/>
      <c r="B46" s="81" t="s">
        <v>400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2"/>
      <c r="R46" s="82"/>
      <c r="S46" s="82"/>
      <c r="T46" s="82"/>
      <c r="U46" s="82"/>
      <c r="AB46" s="78"/>
    </row>
    <row r="47" spans="1:28" x14ac:dyDescent="0.25">
      <c r="A47" s="39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2"/>
      <c r="R47" s="82"/>
      <c r="S47" s="82"/>
      <c r="T47" s="82"/>
      <c r="U47" s="82"/>
      <c r="AB47" s="78"/>
    </row>
    <row r="48" spans="1:28" x14ac:dyDescent="0.25">
      <c r="A48" s="39"/>
      <c r="AB48" s="78"/>
    </row>
    <row r="49" spans="1:28" x14ac:dyDescent="0.25">
      <c r="A49" s="69" t="s">
        <v>401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AB49" s="78"/>
    </row>
    <row r="50" spans="1:28" x14ac:dyDescent="0.25">
      <c r="A50" s="39"/>
      <c r="B50" t="s">
        <v>402</v>
      </c>
      <c r="Q50" s="83"/>
      <c r="R50" s="83"/>
      <c r="S50" s="83"/>
      <c r="T50" s="83"/>
      <c r="U50" s="206" t="s">
        <v>403</v>
      </c>
      <c r="V50" s="206"/>
      <c r="AB50" s="78"/>
    </row>
    <row r="51" spans="1:28" x14ac:dyDescent="0.25">
      <c r="A51" s="39"/>
      <c r="B51" t="s">
        <v>404</v>
      </c>
    </row>
    <row r="52" spans="1:28" ht="15.75" x14ac:dyDescent="0.25">
      <c r="A52" s="39"/>
      <c r="AB52" s="79"/>
    </row>
    <row r="53" spans="1:28" x14ac:dyDescent="0.25">
      <c r="A53" s="84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AB53" s="80"/>
    </row>
    <row r="54" spans="1:28" x14ac:dyDescent="0.25">
      <c r="AB54" s="80"/>
    </row>
    <row r="55" spans="1:28" x14ac:dyDescent="0.25">
      <c r="AB55" s="80"/>
    </row>
    <row r="56" spans="1:28" x14ac:dyDescent="0.25">
      <c r="AB56" s="80"/>
    </row>
    <row r="57" spans="1:28" x14ac:dyDescent="0.25">
      <c r="AB57" s="80"/>
    </row>
    <row r="58" spans="1:28" ht="15.75" x14ac:dyDescent="0.25">
      <c r="AB58" s="86"/>
    </row>
    <row r="59" spans="1:28" x14ac:dyDescent="0.25">
      <c r="AB59" s="87"/>
    </row>
    <row r="60" spans="1:28" x14ac:dyDescent="0.25">
      <c r="AB60" s="87"/>
    </row>
    <row r="61" spans="1:28" x14ac:dyDescent="0.25">
      <c r="AB61" s="87"/>
    </row>
    <row r="64" spans="1:28" x14ac:dyDescent="0.25">
      <c r="AB64" s="78"/>
    </row>
    <row r="65" spans="28:29" x14ac:dyDescent="0.25">
      <c r="AB65" s="78"/>
    </row>
    <row r="66" spans="28:29" x14ac:dyDescent="0.25">
      <c r="AB66" s="78"/>
    </row>
    <row r="67" spans="28:29" x14ac:dyDescent="0.25">
      <c r="AB67" s="78"/>
    </row>
    <row r="69" spans="28:29" ht="15.75" x14ac:dyDescent="0.25">
      <c r="AB69" s="79"/>
    </row>
    <row r="70" spans="28:29" x14ac:dyDescent="0.25">
      <c r="AB70" s="80"/>
    </row>
    <row r="71" spans="28:29" ht="15.75" thickBot="1" x14ac:dyDescent="0.3">
      <c r="AB71" s="80"/>
    </row>
    <row r="72" spans="28:29" ht="15.75" thickBot="1" x14ac:dyDescent="0.3">
      <c r="AB72" s="88"/>
      <c r="AC72" s="89"/>
    </row>
    <row r="73" spans="28:29" ht="15.75" thickBot="1" x14ac:dyDescent="0.3">
      <c r="AB73" s="90"/>
      <c r="AC73" s="91"/>
    </row>
    <row r="74" spans="28:29" ht="15.75" thickBot="1" x14ac:dyDescent="0.3">
      <c r="AB74" s="90"/>
      <c r="AC74" s="91"/>
    </row>
    <row r="75" spans="28:29" ht="15.75" thickBot="1" x14ac:dyDescent="0.3">
      <c r="AB75" s="90"/>
      <c r="AC75" s="91"/>
    </row>
  </sheetData>
  <mergeCells count="2">
    <mergeCell ref="A1:W1"/>
    <mergeCell ref="U50:V50"/>
  </mergeCells>
  <dataValidations count="1">
    <dataValidation type="list" allowBlank="1" showInputMessage="1" showErrorMessage="1" sqref="W44" xr:uid="{6E0565FC-95A3-4BE7-BBF1-59809713735D}">
      <formula1>"Preliminary, Final"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B31E-490A-4549-AC7E-4E7C255F8A98}">
  <dimension ref="A1:K321"/>
  <sheetViews>
    <sheetView workbookViewId="0"/>
  </sheetViews>
  <sheetFormatPr defaultRowHeight="15" x14ac:dyDescent="0.25"/>
  <cols>
    <col min="1" max="1" width="12.5703125" customWidth="1"/>
    <col min="3" max="3" width="34.42578125" bestFit="1" customWidth="1"/>
  </cols>
  <sheetData>
    <row r="1" spans="1:10" x14ac:dyDescent="0.25">
      <c r="A1" s="45" t="s">
        <v>411</v>
      </c>
      <c r="B1" s="45" t="s">
        <v>0</v>
      </c>
      <c r="C1" s="45" t="s">
        <v>800</v>
      </c>
    </row>
    <row r="2" spans="1:10" x14ac:dyDescent="0.25">
      <c r="A2" s="142" t="s">
        <v>438</v>
      </c>
      <c r="B2" t="s">
        <v>439</v>
      </c>
      <c r="C2" t="s">
        <v>9</v>
      </c>
      <c r="D2" t="str">
        <f>B2</f>
        <v>14005</v>
      </c>
    </row>
    <row r="3" spans="1:10" x14ac:dyDescent="0.25">
      <c r="A3" s="142" t="s">
        <v>438</v>
      </c>
      <c r="B3" t="s">
        <v>441</v>
      </c>
      <c r="C3" t="s">
        <v>10</v>
      </c>
      <c r="D3" t="str">
        <f t="shared" ref="D3:D67" si="0">B3</f>
        <v>21226</v>
      </c>
      <c r="I3" s="142"/>
    </row>
    <row r="4" spans="1:10" x14ac:dyDescent="0.25">
      <c r="A4" s="142" t="s">
        <v>443</v>
      </c>
      <c r="B4" t="s">
        <v>444</v>
      </c>
      <c r="C4" t="s">
        <v>11</v>
      </c>
      <c r="D4" t="str">
        <f t="shared" si="0"/>
        <v>22017</v>
      </c>
      <c r="I4" s="142"/>
    </row>
    <row r="5" spans="1:10" x14ac:dyDescent="0.25">
      <c r="A5" s="142" t="s">
        <v>446</v>
      </c>
      <c r="B5" t="s">
        <v>447</v>
      </c>
      <c r="C5" t="s">
        <v>12</v>
      </c>
      <c r="D5" t="str">
        <f t="shared" si="0"/>
        <v>29103</v>
      </c>
      <c r="I5" s="142"/>
    </row>
    <row r="6" spans="1:10" x14ac:dyDescent="0.25">
      <c r="A6" s="142" t="s">
        <v>446</v>
      </c>
      <c r="B6" t="s">
        <v>449</v>
      </c>
      <c r="C6" t="s">
        <v>13</v>
      </c>
      <c r="D6" t="str">
        <f t="shared" si="0"/>
        <v>31016</v>
      </c>
      <c r="I6" s="142"/>
      <c r="J6" s="13"/>
    </row>
    <row r="7" spans="1:10" x14ac:dyDescent="0.25">
      <c r="A7" s="142" t="s">
        <v>451</v>
      </c>
      <c r="B7" t="s">
        <v>452</v>
      </c>
      <c r="C7" t="s">
        <v>14</v>
      </c>
      <c r="D7" t="str">
        <f t="shared" si="0"/>
        <v>02420</v>
      </c>
      <c r="I7" s="142"/>
    </row>
    <row r="8" spans="1:10" x14ac:dyDescent="0.25">
      <c r="A8" s="142" t="s">
        <v>454</v>
      </c>
      <c r="B8" t="s">
        <v>455</v>
      </c>
      <c r="C8" t="s">
        <v>15</v>
      </c>
      <c r="D8" t="str">
        <f t="shared" si="0"/>
        <v>17408</v>
      </c>
      <c r="I8" s="142"/>
    </row>
    <row r="9" spans="1:10" x14ac:dyDescent="0.25">
      <c r="A9" s="142" t="s">
        <v>454</v>
      </c>
      <c r="B9" t="s">
        <v>457</v>
      </c>
      <c r="C9" t="s">
        <v>16</v>
      </c>
      <c r="D9" t="str">
        <f t="shared" si="0"/>
        <v>18303</v>
      </c>
      <c r="I9" s="142"/>
    </row>
    <row r="10" spans="1:10" x14ac:dyDescent="0.25">
      <c r="A10" s="142" t="s">
        <v>459</v>
      </c>
      <c r="B10" t="s">
        <v>460</v>
      </c>
      <c r="C10" t="s">
        <v>17</v>
      </c>
      <c r="D10" t="str">
        <f t="shared" si="0"/>
        <v>06119</v>
      </c>
      <c r="I10" s="142"/>
    </row>
    <row r="11" spans="1:10" x14ac:dyDescent="0.25">
      <c r="A11" s="142" t="s">
        <v>454</v>
      </c>
      <c r="B11" t="s">
        <v>463</v>
      </c>
      <c r="C11" t="s">
        <v>18</v>
      </c>
      <c r="D11" t="str">
        <f t="shared" si="0"/>
        <v>17405</v>
      </c>
      <c r="I11" s="142"/>
    </row>
    <row r="12" spans="1:10" x14ac:dyDescent="0.25">
      <c r="A12" s="142" t="s">
        <v>446</v>
      </c>
      <c r="B12" t="s">
        <v>465</v>
      </c>
      <c r="C12" t="s">
        <v>19</v>
      </c>
      <c r="D12" t="str">
        <f t="shared" si="0"/>
        <v>37501</v>
      </c>
      <c r="I12" s="142"/>
    </row>
    <row r="13" spans="1:10" x14ac:dyDescent="0.25">
      <c r="A13" s="142" t="s">
        <v>443</v>
      </c>
      <c r="B13" s="13" t="s">
        <v>467</v>
      </c>
      <c r="C13" t="s">
        <v>20</v>
      </c>
      <c r="D13" t="str">
        <f t="shared" si="0"/>
        <v>01122</v>
      </c>
      <c r="I13" s="142"/>
    </row>
    <row r="14" spans="1:10" x14ac:dyDescent="0.25">
      <c r="A14" s="142" t="s">
        <v>454</v>
      </c>
      <c r="B14" t="s">
        <v>469</v>
      </c>
      <c r="C14" t="s">
        <v>21</v>
      </c>
      <c r="D14" t="str">
        <f t="shared" si="0"/>
        <v>27403</v>
      </c>
      <c r="I14" s="142"/>
    </row>
    <row r="15" spans="1:10" x14ac:dyDescent="0.25">
      <c r="A15" s="142" t="s">
        <v>471</v>
      </c>
      <c r="B15" t="s">
        <v>472</v>
      </c>
      <c r="C15" t="s">
        <v>22</v>
      </c>
      <c r="D15" t="str">
        <f t="shared" si="0"/>
        <v>20203</v>
      </c>
      <c r="I15" s="142"/>
    </row>
    <row r="16" spans="1:10" x14ac:dyDescent="0.25">
      <c r="A16" s="142" t="s">
        <v>446</v>
      </c>
      <c r="B16" t="s">
        <v>474</v>
      </c>
      <c r="C16" t="s">
        <v>23</v>
      </c>
      <c r="D16" t="str">
        <f t="shared" si="0"/>
        <v>37503</v>
      </c>
      <c r="I16" s="142"/>
    </row>
    <row r="17" spans="1:9" x14ac:dyDescent="0.25">
      <c r="A17" s="142" t="s">
        <v>438</v>
      </c>
      <c r="B17" t="s">
        <v>476</v>
      </c>
      <c r="C17" t="s">
        <v>24</v>
      </c>
      <c r="D17" t="str">
        <f t="shared" si="0"/>
        <v>21234</v>
      </c>
      <c r="I17" s="142"/>
    </row>
    <row r="18" spans="1:9" x14ac:dyDescent="0.25">
      <c r="A18" s="142" t="s">
        <v>478</v>
      </c>
      <c r="B18" t="s">
        <v>479</v>
      </c>
      <c r="C18" t="s">
        <v>25</v>
      </c>
      <c r="D18" t="str">
        <f t="shared" si="0"/>
        <v>18100</v>
      </c>
      <c r="I18" s="142"/>
    </row>
    <row r="19" spans="1:9" x14ac:dyDescent="0.25">
      <c r="A19" s="142" t="s">
        <v>481</v>
      </c>
      <c r="B19" t="s">
        <v>482</v>
      </c>
      <c r="C19" t="s">
        <v>26</v>
      </c>
      <c r="D19" t="str">
        <f t="shared" si="0"/>
        <v>24111</v>
      </c>
      <c r="I19" s="142"/>
    </row>
    <row r="20" spans="1:9" x14ac:dyDescent="0.25">
      <c r="A20" s="142" t="s">
        <v>481</v>
      </c>
      <c r="B20" t="s">
        <v>485</v>
      </c>
      <c r="C20" t="s">
        <v>27</v>
      </c>
      <c r="D20" t="str">
        <f t="shared" si="0"/>
        <v>09075</v>
      </c>
      <c r="I20" s="142"/>
    </row>
    <row r="21" spans="1:9" x14ac:dyDescent="0.25">
      <c r="A21" s="142" t="s">
        <v>478</v>
      </c>
      <c r="B21" t="s">
        <v>487</v>
      </c>
      <c r="C21" t="s">
        <v>28</v>
      </c>
      <c r="D21" t="str">
        <f t="shared" si="0"/>
        <v>16046</v>
      </c>
      <c r="I21" s="142"/>
    </row>
    <row r="22" spans="1:9" x14ac:dyDescent="0.25">
      <c r="A22" s="142" t="s">
        <v>446</v>
      </c>
      <c r="B22" t="s">
        <v>489</v>
      </c>
      <c r="C22" t="s">
        <v>29</v>
      </c>
      <c r="D22" t="str">
        <f t="shared" si="0"/>
        <v>29100</v>
      </c>
      <c r="I22" s="142"/>
    </row>
    <row r="23" spans="1:9" x14ac:dyDescent="0.25">
      <c r="A23" s="142" t="s">
        <v>459</v>
      </c>
      <c r="B23" t="s">
        <v>491</v>
      </c>
      <c r="C23" t="s">
        <v>30</v>
      </c>
      <c r="D23" t="str">
        <f t="shared" si="0"/>
        <v>06117</v>
      </c>
      <c r="I23" s="142"/>
    </row>
    <row r="24" spans="1:9" x14ac:dyDescent="0.25">
      <c r="A24" s="142" t="s">
        <v>478</v>
      </c>
      <c r="B24" t="s">
        <v>493</v>
      </c>
      <c r="C24" t="s">
        <v>31</v>
      </c>
      <c r="D24" t="str">
        <f t="shared" si="0"/>
        <v>05401</v>
      </c>
      <c r="I24" s="142"/>
    </row>
    <row r="25" spans="1:9" x14ac:dyDescent="0.25">
      <c r="A25" s="142" t="s">
        <v>454</v>
      </c>
      <c r="B25" t="s">
        <v>495</v>
      </c>
      <c r="C25" t="s">
        <v>32</v>
      </c>
      <c r="D25" t="str">
        <f t="shared" si="0"/>
        <v>27019</v>
      </c>
      <c r="I25" s="142"/>
    </row>
    <row r="26" spans="1:9" x14ac:dyDescent="0.25">
      <c r="A26" s="142" t="s">
        <v>481</v>
      </c>
      <c r="B26" t="s">
        <v>496</v>
      </c>
      <c r="C26" t="s">
        <v>33</v>
      </c>
      <c r="D26" t="str">
        <f t="shared" si="0"/>
        <v>04228</v>
      </c>
      <c r="I26" s="142"/>
    </row>
    <row r="27" spans="1:9" x14ac:dyDescent="0.25">
      <c r="A27" s="142" t="s">
        <v>497</v>
      </c>
      <c r="B27" t="s">
        <v>498</v>
      </c>
      <c r="C27" s="13" t="s">
        <v>499</v>
      </c>
      <c r="D27" t="str">
        <f t="shared" si="0"/>
        <v>17917</v>
      </c>
      <c r="I27" s="142"/>
    </row>
    <row r="28" spans="1:9" x14ac:dyDescent="0.25">
      <c r="A28" s="142" t="s">
        <v>481</v>
      </c>
      <c r="B28" t="s">
        <v>500</v>
      </c>
      <c r="C28" t="s">
        <v>34</v>
      </c>
      <c r="D28" t="str">
        <f t="shared" si="0"/>
        <v>04222</v>
      </c>
      <c r="I28" s="142"/>
    </row>
    <row r="29" spans="1:9" x14ac:dyDescent="0.25">
      <c r="A29" s="142" t="s">
        <v>459</v>
      </c>
      <c r="B29" t="s">
        <v>501</v>
      </c>
      <c r="C29" t="s">
        <v>35</v>
      </c>
      <c r="D29" t="str">
        <f t="shared" si="0"/>
        <v>08401</v>
      </c>
      <c r="I29" s="142"/>
    </row>
    <row r="30" spans="1:9" x14ac:dyDescent="0.25">
      <c r="A30" s="142" t="s">
        <v>497</v>
      </c>
      <c r="B30" t="s">
        <v>502</v>
      </c>
      <c r="C30" s="13" t="s">
        <v>503</v>
      </c>
      <c r="D30" t="str">
        <f t="shared" si="0"/>
        <v>18901</v>
      </c>
      <c r="I30" s="142"/>
    </row>
    <row r="31" spans="1:9" x14ac:dyDescent="0.25">
      <c r="A31" s="142" t="s">
        <v>459</v>
      </c>
      <c r="B31" t="s">
        <v>504</v>
      </c>
      <c r="C31" t="s">
        <v>37</v>
      </c>
      <c r="D31" t="str">
        <f t="shared" si="0"/>
        <v>20215</v>
      </c>
      <c r="I31" s="142"/>
    </row>
    <row r="32" spans="1:9" x14ac:dyDescent="0.25">
      <c r="A32" s="142" t="s">
        <v>478</v>
      </c>
      <c r="B32" t="s">
        <v>505</v>
      </c>
      <c r="C32" t="s">
        <v>38</v>
      </c>
      <c r="D32" t="str">
        <f t="shared" si="0"/>
        <v>18401</v>
      </c>
      <c r="I32" s="142"/>
    </row>
    <row r="33" spans="1:9" x14ac:dyDescent="0.25">
      <c r="A33" s="142" t="s">
        <v>443</v>
      </c>
      <c r="B33" t="s">
        <v>506</v>
      </c>
      <c r="C33" t="s">
        <v>39</v>
      </c>
      <c r="D33" t="str">
        <f t="shared" si="0"/>
        <v>32356</v>
      </c>
      <c r="I33" s="142"/>
    </row>
    <row r="34" spans="1:9" x14ac:dyDescent="0.25">
      <c r="A34" s="142" t="s">
        <v>438</v>
      </c>
      <c r="B34" t="s">
        <v>507</v>
      </c>
      <c r="C34" t="s">
        <v>40</v>
      </c>
      <c r="D34" t="str">
        <f t="shared" si="0"/>
        <v>21401</v>
      </c>
      <c r="I34" s="142"/>
    </row>
    <row r="35" spans="1:9" x14ac:dyDescent="0.25">
      <c r="A35" s="142" t="s">
        <v>438</v>
      </c>
      <c r="B35" t="s">
        <v>508</v>
      </c>
      <c r="C35" t="s">
        <v>41</v>
      </c>
      <c r="D35" t="str">
        <f t="shared" si="0"/>
        <v>21302</v>
      </c>
      <c r="I35" s="142"/>
    </row>
    <row r="36" spans="1:9" x14ac:dyDescent="0.25">
      <c r="A36" s="142"/>
      <c r="B36" s="33" t="s">
        <v>779</v>
      </c>
      <c r="C36" s="34" t="s">
        <v>44</v>
      </c>
      <c r="D36" t="str">
        <f t="shared" si="0"/>
        <v>27901</v>
      </c>
      <c r="I36" s="142"/>
    </row>
    <row r="37" spans="1:9" x14ac:dyDescent="0.25">
      <c r="A37" s="142" t="s">
        <v>443</v>
      </c>
      <c r="B37" t="s">
        <v>509</v>
      </c>
      <c r="C37" t="s">
        <v>42</v>
      </c>
      <c r="D37" t="str">
        <f t="shared" si="0"/>
        <v>32360</v>
      </c>
      <c r="I37" s="142"/>
    </row>
    <row r="38" spans="1:9" x14ac:dyDescent="0.25">
      <c r="A38" s="142" t="s">
        <v>443</v>
      </c>
      <c r="B38" t="s">
        <v>510</v>
      </c>
      <c r="C38" t="s">
        <v>43</v>
      </c>
      <c r="D38" t="str">
        <f t="shared" si="0"/>
        <v>33036</v>
      </c>
      <c r="I38" s="142"/>
    </row>
    <row r="39" spans="1:9" x14ac:dyDescent="0.25">
      <c r="A39" s="142" t="s">
        <v>478</v>
      </c>
      <c r="B39" t="s">
        <v>511</v>
      </c>
      <c r="C39" t="s">
        <v>45</v>
      </c>
      <c r="D39" t="str">
        <f t="shared" si="0"/>
        <v>16049</v>
      </c>
      <c r="I39" s="142"/>
    </row>
    <row r="40" spans="1:9" x14ac:dyDescent="0.25">
      <c r="A40" s="142" t="s">
        <v>451</v>
      </c>
      <c r="B40" t="s">
        <v>512</v>
      </c>
      <c r="C40" t="s">
        <v>46</v>
      </c>
      <c r="D40" t="str">
        <f t="shared" si="0"/>
        <v>02250</v>
      </c>
      <c r="I40" s="142"/>
    </row>
    <row r="41" spans="1:9" x14ac:dyDescent="0.25">
      <c r="A41" s="142" t="s">
        <v>471</v>
      </c>
      <c r="B41" t="s">
        <v>466</v>
      </c>
      <c r="C41" t="s">
        <v>47</v>
      </c>
      <c r="D41" t="str">
        <f t="shared" si="0"/>
        <v>19404</v>
      </c>
      <c r="I41" s="142"/>
    </row>
    <row r="42" spans="1:9" x14ac:dyDescent="0.25">
      <c r="A42" s="142" t="s">
        <v>454</v>
      </c>
      <c r="B42" t="s">
        <v>513</v>
      </c>
      <c r="C42" t="s">
        <v>48</v>
      </c>
      <c r="D42" t="str">
        <f t="shared" si="0"/>
        <v>27400</v>
      </c>
      <c r="I42" s="142"/>
    </row>
    <row r="43" spans="1:9" x14ac:dyDescent="0.25">
      <c r="A43" s="142" t="s">
        <v>443</v>
      </c>
      <c r="B43" t="s">
        <v>514</v>
      </c>
      <c r="C43" t="s">
        <v>50</v>
      </c>
      <c r="D43" t="str">
        <f t="shared" si="0"/>
        <v>38300</v>
      </c>
      <c r="I43" s="142"/>
    </row>
    <row r="44" spans="1:9" x14ac:dyDescent="0.25">
      <c r="A44" s="142" t="s">
        <v>451</v>
      </c>
      <c r="B44" t="s">
        <v>515</v>
      </c>
      <c r="C44" t="s">
        <v>51</v>
      </c>
      <c r="D44" t="str">
        <f t="shared" si="0"/>
        <v>36250</v>
      </c>
      <c r="I44" s="142"/>
    </row>
    <row r="45" spans="1:9" x14ac:dyDescent="0.25">
      <c r="A45" s="142" t="s">
        <v>443</v>
      </c>
      <c r="B45" t="s">
        <v>516</v>
      </c>
      <c r="C45" t="s">
        <v>52</v>
      </c>
      <c r="D45" t="str">
        <f t="shared" si="0"/>
        <v>38306</v>
      </c>
      <c r="I45" s="142"/>
    </row>
    <row r="46" spans="1:9" x14ac:dyDescent="0.25">
      <c r="A46" s="142" t="s">
        <v>443</v>
      </c>
      <c r="B46" t="s">
        <v>517</v>
      </c>
      <c r="C46" t="s">
        <v>53</v>
      </c>
      <c r="D46" t="str">
        <f t="shared" si="0"/>
        <v>33206</v>
      </c>
      <c r="I46" s="142"/>
    </row>
    <row r="47" spans="1:9" x14ac:dyDescent="0.25">
      <c r="A47" s="142" t="s">
        <v>451</v>
      </c>
      <c r="B47" t="s">
        <v>518</v>
      </c>
      <c r="C47" t="s">
        <v>54</v>
      </c>
      <c r="D47" t="str">
        <f t="shared" si="0"/>
        <v>36400</v>
      </c>
      <c r="I47" s="142"/>
    </row>
    <row r="48" spans="1:9" x14ac:dyDescent="0.25">
      <c r="A48" s="142" t="s">
        <v>443</v>
      </c>
      <c r="B48" t="s">
        <v>519</v>
      </c>
      <c r="C48" t="s">
        <v>55</v>
      </c>
      <c r="D48" t="str">
        <f t="shared" si="0"/>
        <v>33115</v>
      </c>
      <c r="I48" s="142"/>
    </row>
    <row r="49" spans="1:9" x14ac:dyDescent="0.25">
      <c r="A49" s="142" t="s">
        <v>446</v>
      </c>
      <c r="B49" t="s">
        <v>520</v>
      </c>
      <c r="C49" t="s">
        <v>56</v>
      </c>
      <c r="D49" t="str">
        <f t="shared" si="0"/>
        <v>29011</v>
      </c>
      <c r="I49" s="142"/>
    </row>
    <row r="50" spans="1:9" x14ac:dyDescent="0.25">
      <c r="A50" s="142" t="s">
        <v>446</v>
      </c>
      <c r="B50" t="s">
        <v>492</v>
      </c>
      <c r="C50" t="s">
        <v>57</v>
      </c>
      <c r="D50" t="str">
        <f t="shared" si="0"/>
        <v>29317</v>
      </c>
      <c r="I50" s="142"/>
    </row>
    <row r="51" spans="1:9" x14ac:dyDescent="0.25">
      <c r="A51" s="142" t="s">
        <v>438</v>
      </c>
      <c r="B51" t="s">
        <v>521</v>
      </c>
      <c r="C51" t="s">
        <v>58</v>
      </c>
      <c r="D51" t="str">
        <f t="shared" si="0"/>
        <v>14099</v>
      </c>
      <c r="I51" s="142"/>
    </row>
    <row r="52" spans="1:9" x14ac:dyDescent="0.25">
      <c r="A52" s="142" t="s">
        <v>481</v>
      </c>
      <c r="B52" t="s">
        <v>522</v>
      </c>
      <c r="C52" t="s">
        <v>59</v>
      </c>
      <c r="D52" t="str">
        <f t="shared" si="0"/>
        <v>13151</v>
      </c>
      <c r="I52" s="142"/>
    </row>
    <row r="53" spans="1:9" x14ac:dyDescent="0.25">
      <c r="A53" s="142" t="s">
        <v>446</v>
      </c>
      <c r="B53" t="s">
        <v>523</v>
      </c>
      <c r="C53" t="s">
        <v>60</v>
      </c>
      <c r="D53" t="str">
        <f t="shared" si="0"/>
        <v>15204</v>
      </c>
      <c r="I53" s="142"/>
    </row>
    <row r="54" spans="1:9" x14ac:dyDescent="0.25">
      <c r="A54" s="142" t="s">
        <v>478</v>
      </c>
      <c r="B54" t="s">
        <v>524</v>
      </c>
      <c r="C54" t="s">
        <v>61</v>
      </c>
      <c r="D54" t="str">
        <f t="shared" si="0"/>
        <v>05313</v>
      </c>
      <c r="I54" s="142"/>
    </row>
    <row r="55" spans="1:9" x14ac:dyDescent="0.25">
      <c r="A55" s="142" t="s">
        <v>443</v>
      </c>
      <c r="B55" t="s">
        <v>525</v>
      </c>
      <c r="C55" t="s">
        <v>62</v>
      </c>
      <c r="D55" t="str">
        <f t="shared" si="0"/>
        <v>22073</v>
      </c>
      <c r="I55" s="142"/>
    </row>
    <row r="56" spans="1:9" x14ac:dyDescent="0.25">
      <c r="A56" s="142" t="s">
        <v>443</v>
      </c>
      <c r="B56" t="s">
        <v>526</v>
      </c>
      <c r="C56" t="s">
        <v>63</v>
      </c>
      <c r="D56" t="str">
        <f t="shared" si="0"/>
        <v>10050</v>
      </c>
      <c r="I56" s="142"/>
    </row>
    <row r="57" spans="1:9" x14ac:dyDescent="0.25">
      <c r="A57" s="142" t="s">
        <v>443</v>
      </c>
      <c r="B57" t="s">
        <v>527</v>
      </c>
      <c r="C57" t="s">
        <v>64</v>
      </c>
      <c r="D57" t="str">
        <f t="shared" si="0"/>
        <v>26059</v>
      </c>
      <c r="I57" s="142"/>
    </row>
    <row r="58" spans="1:9" x14ac:dyDescent="0.25">
      <c r="A58" s="142" t="s">
        <v>471</v>
      </c>
      <c r="B58" t="s">
        <v>528</v>
      </c>
      <c r="C58" t="s">
        <v>65</v>
      </c>
      <c r="D58" t="str">
        <f t="shared" si="0"/>
        <v>19007</v>
      </c>
      <c r="I58" s="142"/>
    </row>
    <row r="59" spans="1:9" x14ac:dyDescent="0.25">
      <c r="A59" s="142" t="s">
        <v>446</v>
      </c>
      <c r="B59" t="s">
        <v>529</v>
      </c>
      <c r="C59" t="s">
        <v>66</v>
      </c>
      <c r="D59" t="str">
        <f t="shared" si="0"/>
        <v>31330</v>
      </c>
      <c r="I59" s="142"/>
    </row>
    <row r="60" spans="1:9" x14ac:dyDescent="0.25">
      <c r="A60" s="142" t="s">
        <v>443</v>
      </c>
      <c r="B60" t="s">
        <v>530</v>
      </c>
      <c r="C60" t="s">
        <v>67</v>
      </c>
      <c r="D60" t="str">
        <f t="shared" si="0"/>
        <v>22207</v>
      </c>
      <c r="I60" s="142"/>
    </row>
    <row r="61" spans="1:9" x14ac:dyDescent="0.25">
      <c r="A61" s="142" t="s">
        <v>451</v>
      </c>
      <c r="B61" t="s">
        <v>531</v>
      </c>
      <c r="C61" t="s">
        <v>68</v>
      </c>
      <c r="D61" t="str">
        <f t="shared" si="0"/>
        <v>07002</v>
      </c>
      <c r="I61" s="142"/>
    </row>
    <row r="62" spans="1:9" x14ac:dyDescent="0.25">
      <c r="A62" s="142" t="s">
        <v>443</v>
      </c>
      <c r="B62" t="s">
        <v>532</v>
      </c>
      <c r="C62" t="s">
        <v>69</v>
      </c>
      <c r="D62" t="str">
        <f t="shared" si="0"/>
        <v>32414</v>
      </c>
      <c r="I62" s="142"/>
    </row>
    <row r="63" spans="1:9" x14ac:dyDescent="0.25">
      <c r="A63" s="142" t="s">
        <v>454</v>
      </c>
      <c r="B63" t="s">
        <v>480</v>
      </c>
      <c r="C63" t="s">
        <v>70</v>
      </c>
      <c r="D63" t="str">
        <f t="shared" si="0"/>
        <v>27343</v>
      </c>
      <c r="I63" s="142"/>
    </row>
    <row r="64" spans="1:9" x14ac:dyDescent="0.25">
      <c r="A64" s="142" t="s">
        <v>451</v>
      </c>
      <c r="B64" t="s">
        <v>533</v>
      </c>
      <c r="C64" t="s">
        <v>71</v>
      </c>
      <c r="D64" t="str">
        <f t="shared" si="0"/>
        <v>36101</v>
      </c>
      <c r="I64" s="142"/>
    </row>
    <row r="65" spans="1:9" x14ac:dyDescent="0.25">
      <c r="A65" s="142" t="s">
        <v>443</v>
      </c>
      <c r="B65" t="s">
        <v>534</v>
      </c>
      <c r="C65" t="s">
        <v>72</v>
      </c>
      <c r="D65" t="str">
        <f t="shared" si="0"/>
        <v>32361</v>
      </c>
      <c r="I65" s="142"/>
    </row>
    <row r="66" spans="1:9" x14ac:dyDescent="0.25">
      <c r="A66" s="142" t="s">
        <v>471</v>
      </c>
      <c r="B66" t="s">
        <v>535</v>
      </c>
      <c r="C66" t="s">
        <v>73</v>
      </c>
      <c r="D66" t="str">
        <f t="shared" si="0"/>
        <v>39090</v>
      </c>
      <c r="I66" s="142"/>
    </row>
    <row r="67" spans="1:9" x14ac:dyDescent="0.25">
      <c r="A67" s="142" t="s">
        <v>481</v>
      </c>
      <c r="B67" t="s">
        <v>536</v>
      </c>
      <c r="C67" t="s">
        <v>74</v>
      </c>
      <c r="D67" t="str">
        <f t="shared" si="0"/>
        <v>09206</v>
      </c>
      <c r="I67" s="142"/>
    </row>
    <row r="68" spans="1:9" x14ac:dyDescent="0.25">
      <c r="A68" s="142" t="s">
        <v>471</v>
      </c>
      <c r="B68" t="s">
        <v>537</v>
      </c>
      <c r="C68" t="s">
        <v>75</v>
      </c>
      <c r="D68" t="str">
        <f t="shared" ref="D68:D131" si="1">B68</f>
        <v>19028</v>
      </c>
      <c r="I68" s="142"/>
    </row>
    <row r="69" spans="1:9" x14ac:dyDescent="0.25">
      <c r="A69" s="142" t="s">
        <v>454</v>
      </c>
      <c r="B69" t="s">
        <v>538</v>
      </c>
      <c r="C69" t="s">
        <v>76</v>
      </c>
      <c r="D69" t="str">
        <f t="shared" si="1"/>
        <v>27404</v>
      </c>
      <c r="I69" s="142"/>
    </row>
    <row r="70" spans="1:9" x14ac:dyDescent="0.25">
      <c r="A70" s="142" t="s">
        <v>446</v>
      </c>
      <c r="B70" t="s">
        <v>539</v>
      </c>
      <c r="C70" t="s">
        <v>77</v>
      </c>
      <c r="D70" t="str">
        <f t="shared" si="1"/>
        <v>31015</v>
      </c>
      <c r="I70" s="142"/>
    </row>
    <row r="71" spans="1:9" x14ac:dyDescent="0.25">
      <c r="A71" s="142" t="s">
        <v>471</v>
      </c>
      <c r="B71" t="s">
        <v>540</v>
      </c>
      <c r="C71" t="s">
        <v>78</v>
      </c>
      <c r="D71" t="str">
        <f t="shared" si="1"/>
        <v>19401</v>
      </c>
      <c r="I71" s="142"/>
    </row>
    <row r="72" spans="1:9" x14ac:dyDescent="0.25">
      <c r="A72" s="142" t="s">
        <v>438</v>
      </c>
      <c r="B72" t="s">
        <v>541</v>
      </c>
      <c r="C72" t="s">
        <v>79</v>
      </c>
      <c r="D72" t="str">
        <f t="shared" si="1"/>
        <v>14068</v>
      </c>
      <c r="I72" s="142"/>
    </row>
    <row r="73" spans="1:9" x14ac:dyDescent="0.25">
      <c r="A73" s="142" t="s">
        <v>443</v>
      </c>
      <c r="B73" t="s">
        <v>542</v>
      </c>
      <c r="C73" t="s">
        <v>80</v>
      </c>
      <c r="D73" t="str">
        <f t="shared" si="1"/>
        <v>38308</v>
      </c>
      <c r="I73" s="142"/>
    </row>
    <row r="74" spans="1:9" x14ac:dyDescent="0.25">
      <c r="A74" s="142" t="s">
        <v>481</v>
      </c>
      <c r="B74" t="s">
        <v>543</v>
      </c>
      <c r="C74" t="s">
        <v>81</v>
      </c>
      <c r="D74" t="str">
        <f t="shared" si="1"/>
        <v>04127</v>
      </c>
      <c r="I74" s="142"/>
    </row>
    <row r="75" spans="1:9" x14ac:dyDescent="0.25">
      <c r="A75" s="142" t="s">
        <v>454</v>
      </c>
      <c r="B75" t="s">
        <v>544</v>
      </c>
      <c r="C75" t="s">
        <v>82</v>
      </c>
      <c r="D75" t="str">
        <f t="shared" si="1"/>
        <v>17216</v>
      </c>
      <c r="I75" s="142"/>
    </row>
    <row r="76" spans="1:9" x14ac:dyDescent="0.25">
      <c r="A76" s="142" t="s">
        <v>481</v>
      </c>
      <c r="B76" t="s">
        <v>545</v>
      </c>
      <c r="C76" t="s">
        <v>83</v>
      </c>
      <c r="D76" t="str">
        <f t="shared" si="1"/>
        <v>13165</v>
      </c>
      <c r="I76" s="142"/>
    </row>
    <row r="77" spans="1:9" x14ac:dyDescent="0.25">
      <c r="A77" s="142" t="s">
        <v>497</v>
      </c>
      <c r="B77" s="142" t="s">
        <v>546</v>
      </c>
      <c r="C77" t="s">
        <v>547</v>
      </c>
      <c r="D77" t="str">
        <f t="shared" si="1"/>
        <v>39801</v>
      </c>
      <c r="I77" s="142"/>
    </row>
    <row r="78" spans="1:9" x14ac:dyDescent="0.25">
      <c r="A78" s="142" t="s">
        <v>497</v>
      </c>
      <c r="B78" t="s">
        <v>548</v>
      </c>
      <c r="C78" t="s">
        <v>549</v>
      </c>
      <c r="D78" t="str">
        <f t="shared" si="1"/>
        <v>06801</v>
      </c>
      <c r="I78" s="142"/>
    </row>
    <row r="79" spans="1:9" x14ac:dyDescent="0.25">
      <c r="A79" s="142" t="s">
        <v>497</v>
      </c>
      <c r="B79" t="s">
        <v>550</v>
      </c>
      <c r="C79" t="s">
        <v>551</v>
      </c>
      <c r="D79" t="str">
        <f t="shared" si="1"/>
        <v>34801</v>
      </c>
      <c r="I79" s="142"/>
    </row>
    <row r="80" spans="1:9" x14ac:dyDescent="0.25">
      <c r="A80" s="142" t="s">
        <v>438</v>
      </c>
      <c r="B80" t="s">
        <v>552</v>
      </c>
      <c r="C80" t="s">
        <v>85</v>
      </c>
      <c r="D80" t="str">
        <f t="shared" si="1"/>
        <v>21036</v>
      </c>
      <c r="I80" s="142"/>
    </row>
    <row r="81" spans="1:9" x14ac:dyDescent="0.25">
      <c r="A81" s="142" t="s">
        <v>446</v>
      </c>
      <c r="B81" t="s">
        <v>553</v>
      </c>
      <c r="C81" t="s">
        <v>86</v>
      </c>
      <c r="D81" t="str">
        <f t="shared" si="1"/>
        <v>31002</v>
      </c>
      <c r="I81" s="142"/>
    </row>
    <row r="82" spans="1:9" x14ac:dyDescent="0.25">
      <c r="A82" s="142" t="s">
        <v>459</v>
      </c>
      <c r="B82" t="s">
        <v>554</v>
      </c>
      <c r="C82" t="s">
        <v>87</v>
      </c>
      <c r="D82" t="str">
        <f t="shared" si="1"/>
        <v>06114</v>
      </c>
      <c r="I82" s="142"/>
    </row>
    <row r="83" spans="1:9" x14ac:dyDescent="0.25">
      <c r="A83" s="142" t="s">
        <v>443</v>
      </c>
      <c r="B83" t="s">
        <v>555</v>
      </c>
      <c r="C83" t="s">
        <v>88</v>
      </c>
      <c r="D83" t="str">
        <f t="shared" si="1"/>
        <v>33205</v>
      </c>
      <c r="I83" s="142"/>
    </row>
    <row r="84" spans="1:9" x14ac:dyDescent="0.25">
      <c r="A84" s="142" t="s">
        <v>454</v>
      </c>
      <c r="B84" s="159" t="s">
        <v>556</v>
      </c>
      <c r="C84" t="s">
        <v>89</v>
      </c>
      <c r="D84" t="str">
        <f t="shared" si="1"/>
        <v>17210</v>
      </c>
      <c r="I84" s="142"/>
    </row>
    <row r="85" spans="1:9" x14ac:dyDescent="0.25">
      <c r="A85" s="142" t="s">
        <v>446</v>
      </c>
      <c r="B85" t="s">
        <v>557</v>
      </c>
      <c r="C85" t="s">
        <v>90</v>
      </c>
      <c r="D85" t="str">
        <f t="shared" si="1"/>
        <v>37502</v>
      </c>
      <c r="I85" s="142"/>
    </row>
    <row r="86" spans="1:9" x14ac:dyDescent="0.25">
      <c r="A86" s="142" t="s">
        <v>454</v>
      </c>
      <c r="B86" t="s">
        <v>558</v>
      </c>
      <c r="C86" t="s">
        <v>91</v>
      </c>
      <c r="D86" t="str">
        <f t="shared" si="1"/>
        <v>27417</v>
      </c>
      <c r="I86" s="142"/>
    </row>
    <row r="87" spans="1:9" x14ac:dyDescent="0.25">
      <c r="A87" s="142" t="s">
        <v>451</v>
      </c>
      <c r="B87" t="s">
        <v>559</v>
      </c>
      <c r="C87" t="s">
        <v>92</v>
      </c>
      <c r="D87" t="str">
        <f t="shared" si="1"/>
        <v>03053</v>
      </c>
      <c r="I87" s="142"/>
    </row>
    <row r="88" spans="1:9" x14ac:dyDescent="0.25">
      <c r="A88" s="142" t="s">
        <v>454</v>
      </c>
      <c r="B88" t="s">
        <v>560</v>
      </c>
      <c r="C88" t="s">
        <v>93</v>
      </c>
      <c r="D88" t="str">
        <f t="shared" si="1"/>
        <v>27402</v>
      </c>
      <c r="I88" s="142"/>
    </row>
    <row r="89" spans="1:9" x14ac:dyDescent="0.25">
      <c r="A89" s="142" t="s">
        <v>443</v>
      </c>
      <c r="B89" t="s">
        <v>561</v>
      </c>
      <c r="C89" t="s">
        <v>94</v>
      </c>
      <c r="D89" t="str">
        <f t="shared" si="1"/>
        <v>32358</v>
      </c>
      <c r="I89" s="142"/>
    </row>
    <row r="90" spans="1:9" x14ac:dyDescent="0.25">
      <c r="A90" s="142" t="s">
        <v>443</v>
      </c>
      <c r="B90" t="s">
        <v>562</v>
      </c>
      <c r="C90" t="s">
        <v>95</v>
      </c>
      <c r="D90" t="str">
        <f t="shared" si="1"/>
        <v>38302</v>
      </c>
      <c r="I90" s="142"/>
    </row>
    <row r="91" spans="1:9" x14ac:dyDescent="0.25">
      <c r="A91" s="142" t="s">
        <v>459</v>
      </c>
      <c r="B91" t="s">
        <v>563</v>
      </c>
      <c r="C91" t="s">
        <v>96</v>
      </c>
      <c r="D91" t="str">
        <f t="shared" si="1"/>
        <v>20401</v>
      </c>
      <c r="I91" s="142"/>
    </row>
    <row r="92" spans="1:9" x14ac:dyDescent="0.25">
      <c r="A92" s="142" t="s">
        <v>471</v>
      </c>
      <c r="B92" t="s">
        <v>564</v>
      </c>
      <c r="C92" t="s">
        <v>97</v>
      </c>
      <c r="D92" t="str">
        <f t="shared" si="1"/>
        <v>20404</v>
      </c>
      <c r="I92" s="142"/>
    </row>
    <row r="93" spans="1:9" x14ac:dyDescent="0.25">
      <c r="A93" s="142" t="s">
        <v>481</v>
      </c>
      <c r="B93" t="s">
        <v>565</v>
      </c>
      <c r="C93" t="s">
        <v>98</v>
      </c>
      <c r="D93" t="str">
        <f t="shared" si="1"/>
        <v>13301</v>
      </c>
      <c r="I93" s="142"/>
    </row>
    <row r="94" spans="1:9" x14ac:dyDescent="0.25">
      <c r="A94" s="142" t="s">
        <v>471</v>
      </c>
      <c r="B94" t="s">
        <v>566</v>
      </c>
      <c r="C94" t="s">
        <v>99</v>
      </c>
      <c r="D94" t="str">
        <f t="shared" si="1"/>
        <v>39200</v>
      </c>
      <c r="I94" s="142"/>
    </row>
    <row r="95" spans="1:9" x14ac:dyDescent="0.25">
      <c r="A95" s="142" t="s">
        <v>471</v>
      </c>
      <c r="B95" t="s">
        <v>567</v>
      </c>
      <c r="C95" t="s">
        <v>100</v>
      </c>
      <c r="D95" t="str">
        <f t="shared" si="1"/>
        <v>39204</v>
      </c>
      <c r="I95" s="142"/>
    </row>
    <row r="96" spans="1:9" x14ac:dyDescent="0.25">
      <c r="A96" s="142" t="s">
        <v>446</v>
      </c>
      <c r="B96" t="s">
        <v>568</v>
      </c>
      <c r="C96" t="s">
        <v>101</v>
      </c>
      <c r="D96" t="str">
        <f t="shared" si="1"/>
        <v>31332</v>
      </c>
      <c r="I96" s="142"/>
    </row>
    <row r="97" spans="1:10" x14ac:dyDescent="0.25">
      <c r="A97" s="142" t="s">
        <v>438</v>
      </c>
      <c r="B97" t="s">
        <v>569</v>
      </c>
      <c r="C97" t="s">
        <v>102</v>
      </c>
      <c r="D97" t="str">
        <f t="shared" si="1"/>
        <v>23054</v>
      </c>
      <c r="I97" s="142"/>
    </row>
    <row r="98" spans="1:10" x14ac:dyDescent="0.25">
      <c r="A98" s="142" t="s">
        <v>443</v>
      </c>
      <c r="B98" t="s">
        <v>570</v>
      </c>
      <c r="C98" t="s">
        <v>103</v>
      </c>
      <c r="D98" t="str">
        <f t="shared" si="1"/>
        <v>32312</v>
      </c>
      <c r="I98" s="142"/>
    </row>
    <row r="99" spans="1:10" x14ac:dyDescent="0.25">
      <c r="A99" s="142" t="s">
        <v>459</v>
      </c>
      <c r="B99" s="159" t="s">
        <v>571</v>
      </c>
      <c r="C99" t="s">
        <v>104</v>
      </c>
      <c r="D99" t="str">
        <f t="shared" si="1"/>
        <v>06103</v>
      </c>
      <c r="I99" s="142"/>
    </row>
    <row r="100" spans="1:10" x14ac:dyDescent="0.25">
      <c r="A100" s="142" t="s">
        <v>438</v>
      </c>
      <c r="B100" t="s">
        <v>572</v>
      </c>
      <c r="C100" t="s">
        <v>105</v>
      </c>
      <c r="D100" t="str">
        <f t="shared" si="1"/>
        <v>34324</v>
      </c>
      <c r="I100" s="142"/>
    </row>
    <row r="101" spans="1:10" x14ac:dyDescent="0.25">
      <c r="A101" s="142" t="s">
        <v>443</v>
      </c>
      <c r="B101" t="s">
        <v>573</v>
      </c>
      <c r="C101" t="s">
        <v>106</v>
      </c>
      <c r="D101" t="str">
        <f t="shared" si="1"/>
        <v>22204</v>
      </c>
      <c r="I101" s="142"/>
    </row>
    <row r="102" spans="1:10" x14ac:dyDescent="0.25">
      <c r="A102" s="142" t="s">
        <v>471</v>
      </c>
      <c r="B102" t="s">
        <v>574</v>
      </c>
      <c r="C102" t="s">
        <v>107</v>
      </c>
      <c r="D102" t="str">
        <f t="shared" si="1"/>
        <v>39203</v>
      </c>
      <c r="I102" s="142"/>
    </row>
    <row r="103" spans="1:10" x14ac:dyDescent="0.25">
      <c r="A103" s="142" t="s">
        <v>454</v>
      </c>
      <c r="B103" t="s">
        <v>575</v>
      </c>
      <c r="C103" t="s">
        <v>108</v>
      </c>
      <c r="D103" t="str">
        <f t="shared" si="1"/>
        <v>17401</v>
      </c>
      <c r="I103" s="142"/>
    </row>
    <row r="104" spans="1:10" x14ac:dyDescent="0.25">
      <c r="A104" s="142" t="s">
        <v>459</v>
      </c>
      <c r="B104" t="s">
        <v>445</v>
      </c>
      <c r="C104" t="s">
        <v>109</v>
      </c>
      <c r="D104" t="str">
        <f t="shared" si="1"/>
        <v>06098</v>
      </c>
      <c r="I104" s="142"/>
    </row>
    <row r="105" spans="1:10" x14ac:dyDescent="0.25">
      <c r="A105" s="142" t="s">
        <v>438</v>
      </c>
      <c r="B105" t="s">
        <v>576</v>
      </c>
      <c r="C105" t="s">
        <v>110</v>
      </c>
      <c r="D105" t="str">
        <f t="shared" si="1"/>
        <v>23404</v>
      </c>
      <c r="I105" s="142"/>
    </row>
    <row r="106" spans="1:10" x14ac:dyDescent="0.25">
      <c r="A106" s="142" t="s">
        <v>438</v>
      </c>
      <c r="B106" t="s">
        <v>577</v>
      </c>
      <c r="C106" t="s">
        <v>111</v>
      </c>
      <c r="D106" t="str">
        <f t="shared" si="1"/>
        <v>14028</v>
      </c>
      <c r="I106" s="142"/>
    </row>
    <row r="107" spans="1:10" x14ac:dyDescent="0.25">
      <c r="A107" s="174" t="s">
        <v>497</v>
      </c>
      <c r="B107" s="33" t="s">
        <v>483</v>
      </c>
      <c r="C107" s="13" t="s">
        <v>484</v>
      </c>
      <c r="D107" t="str">
        <f t="shared" si="1"/>
        <v>27902</v>
      </c>
      <c r="I107" s="142"/>
    </row>
    <row r="108" spans="1:10" x14ac:dyDescent="0.25">
      <c r="A108" s="174" t="s">
        <v>497</v>
      </c>
      <c r="B108" t="s">
        <v>578</v>
      </c>
      <c r="C108" s="175" t="s">
        <v>579</v>
      </c>
      <c r="D108" t="str">
        <f t="shared" si="1"/>
        <v>17911</v>
      </c>
      <c r="I108" s="142"/>
      <c r="J108" s="1"/>
    </row>
    <row r="109" spans="1:10" x14ac:dyDescent="0.25">
      <c r="A109" s="142" t="s">
        <v>497</v>
      </c>
      <c r="B109" s="160" t="s">
        <v>464</v>
      </c>
      <c r="C109" s="13" t="s">
        <v>113</v>
      </c>
      <c r="D109" t="str">
        <f t="shared" si="1"/>
        <v>17916</v>
      </c>
      <c r="I109" s="142"/>
    </row>
    <row r="110" spans="1:10" x14ac:dyDescent="0.25">
      <c r="A110" s="142" t="s">
        <v>443</v>
      </c>
      <c r="B110" t="s">
        <v>580</v>
      </c>
      <c r="C110" t="s">
        <v>114</v>
      </c>
      <c r="D110" t="str">
        <f t="shared" si="1"/>
        <v>10070</v>
      </c>
      <c r="I110" s="142"/>
    </row>
    <row r="111" spans="1:10" x14ac:dyDescent="0.25">
      <c r="A111" s="142" t="s">
        <v>446</v>
      </c>
      <c r="B111" t="s">
        <v>581</v>
      </c>
      <c r="C111" t="s">
        <v>115</v>
      </c>
      <c r="D111" t="str">
        <f t="shared" si="1"/>
        <v>31063</v>
      </c>
      <c r="I111" s="142"/>
    </row>
    <row r="112" spans="1:10" x14ac:dyDescent="0.25">
      <c r="A112" s="142" t="s">
        <v>454</v>
      </c>
      <c r="B112" s="1" t="s">
        <v>582</v>
      </c>
      <c r="C112" t="s">
        <v>116</v>
      </c>
      <c r="D112" t="str">
        <f t="shared" si="1"/>
        <v>17411</v>
      </c>
      <c r="I112" s="142"/>
    </row>
    <row r="113" spans="1:9" x14ac:dyDescent="0.25">
      <c r="A113" s="142" t="s">
        <v>451</v>
      </c>
      <c r="B113" t="s">
        <v>583</v>
      </c>
      <c r="C113" t="s">
        <v>117</v>
      </c>
      <c r="D113" t="str">
        <f t="shared" si="1"/>
        <v>11056</v>
      </c>
      <c r="I113" s="142"/>
    </row>
    <row r="114" spans="1:9" x14ac:dyDescent="0.25">
      <c r="A114" s="142" t="s">
        <v>459</v>
      </c>
      <c r="B114" t="s">
        <v>584</v>
      </c>
      <c r="C114" t="s">
        <v>118</v>
      </c>
      <c r="D114" t="str">
        <f t="shared" si="1"/>
        <v>08402</v>
      </c>
      <c r="I114" s="142"/>
    </row>
    <row r="115" spans="1:9" x14ac:dyDescent="0.25">
      <c r="A115" s="142" t="s">
        <v>443</v>
      </c>
      <c r="B115" t="s">
        <v>585</v>
      </c>
      <c r="C115" t="s">
        <v>119</v>
      </c>
      <c r="D115" t="str">
        <f t="shared" si="1"/>
        <v>10003</v>
      </c>
      <c r="I115" s="142"/>
    </row>
    <row r="116" spans="1:9" x14ac:dyDescent="0.25">
      <c r="A116" s="142" t="s">
        <v>459</v>
      </c>
      <c r="B116" t="s">
        <v>586</v>
      </c>
      <c r="C116" t="s">
        <v>120</v>
      </c>
      <c r="D116" t="str">
        <f t="shared" si="1"/>
        <v>08458</v>
      </c>
      <c r="I116" s="142"/>
    </row>
    <row r="117" spans="1:9" x14ac:dyDescent="0.25">
      <c r="A117" s="142" t="s">
        <v>451</v>
      </c>
      <c r="B117" t="s">
        <v>587</v>
      </c>
      <c r="C117" t="s">
        <v>121</v>
      </c>
      <c r="D117" t="str">
        <f t="shared" si="1"/>
        <v>03017</v>
      </c>
      <c r="I117" s="142"/>
    </row>
    <row r="118" spans="1:9" x14ac:dyDescent="0.25">
      <c r="A118" s="142" t="s">
        <v>454</v>
      </c>
      <c r="B118" t="s">
        <v>588</v>
      </c>
      <c r="C118" t="s">
        <v>122</v>
      </c>
      <c r="D118" t="str">
        <f t="shared" si="1"/>
        <v>17415</v>
      </c>
      <c r="I118" s="142"/>
    </row>
    <row r="119" spans="1:9" x14ac:dyDescent="0.25">
      <c r="A119" s="142" t="s">
        <v>443</v>
      </c>
      <c r="B119" t="s">
        <v>589</v>
      </c>
      <c r="C119" t="s">
        <v>123</v>
      </c>
      <c r="D119" t="str">
        <f t="shared" si="1"/>
        <v>33212</v>
      </c>
      <c r="I119" s="142"/>
    </row>
    <row r="120" spans="1:9" x14ac:dyDescent="0.25">
      <c r="A120" s="142" t="s">
        <v>451</v>
      </c>
      <c r="B120" t="s">
        <v>590</v>
      </c>
      <c r="C120" t="s">
        <v>124</v>
      </c>
      <c r="D120" t="str">
        <f t="shared" si="1"/>
        <v>03052</v>
      </c>
      <c r="I120" s="142"/>
    </row>
    <row r="121" spans="1:9" x14ac:dyDescent="0.25">
      <c r="A121" s="142" t="s">
        <v>471</v>
      </c>
      <c r="B121" t="s">
        <v>591</v>
      </c>
      <c r="C121" t="s">
        <v>125</v>
      </c>
      <c r="D121" t="str">
        <f t="shared" si="1"/>
        <v>19403</v>
      </c>
      <c r="I121" s="142"/>
    </row>
    <row r="122" spans="1:9" x14ac:dyDescent="0.25">
      <c r="A122" s="142" t="s">
        <v>459</v>
      </c>
      <c r="B122" t="s">
        <v>592</v>
      </c>
      <c r="C122" t="s">
        <v>126</v>
      </c>
      <c r="D122" t="str">
        <f t="shared" si="1"/>
        <v>20402</v>
      </c>
      <c r="I122" s="142"/>
    </row>
    <row r="123" spans="1:9" x14ac:dyDescent="0.25">
      <c r="A123" s="142" t="s">
        <v>446</v>
      </c>
      <c r="B123" t="s">
        <v>593</v>
      </c>
      <c r="C123" t="s">
        <v>127</v>
      </c>
      <c r="D123" t="str">
        <f t="shared" si="1"/>
        <v>29311</v>
      </c>
      <c r="I123" s="142"/>
    </row>
    <row r="124" spans="1:9" x14ac:dyDescent="0.25">
      <c r="A124" s="142" t="s">
        <v>459</v>
      </c>
      <c r="B124" t="s">
        <v>594</v>
      </c>
      <c r="C124" t="s">
        <v>128</v>
      </c>
      <c r="D124" t="str">
        <f t="shared" si="1"/>
        <v>06101</v>
      </c>
      <c r="I124" s="142"/>
    </row>
    <row r="125" spans="1:9" x14ac:dyDescent="0.25">
      <c r="A125" s="142" t="s">
        <v>443</v>
      </c>
      <c r="B125" t="s">
        <v>595</v>
      </c>
      <c r="C125" t="s">
        <v>129</v>
      </c>
      <c r="D125" t="str">
        <f t="shared" si="1"/>
        <v>38126</v>
      </c>
      <c r="I125" s="142"/>
    </row>
    <row r="126" spans="1:9" x14ac:dyDescent="0.25">
      <c r="A126" s="142" t="s">
        <v>481</v>
      </c>
      <c r="B126" t="s">
        <v>596</v>
      </c>
      <c r="C126" t="s">
        <v>130</v>
      </c>
      <c r="D126" t="str">
        <f t="shared" si="1"/>
        <v>04129</v>
      </c>
      <c r="I126" s="142"/>
    </row>
    <row r="127" spans="1:9" x14ac:dyDescent="0.25">
      <c r="A127" s="142" t="s">
        <v>446</v>
      </c>
      <c r="B127" t="s">
        <v>597</v>
      </c>
      <c r="C127" t="s">
        <v>131</v>
      </c>
      <c r="D127" t="str">
        <f t="shared" si="1"/>
        <v>31004</v>
      </c>
      <c r="I127" s="142"/>
    </row>
    <row r="128" spans="1:9" x14ac:dyDescent="0.25">
      <c r="A128" s="142" t="s">
        <v>454</v>
      </c>
      <c r="B128" t="s">
        <v>598</v>
      </c>
      <c r="C128" t="s">
        <v>133</v>
      </c>
      <c r="D128" t="str">
        <f t="shared" si="1"/>
        <v>17414</v>
      </c>
      <c r="I128" s="142"/>
    </row>
    <row r="129" spans="1:10" x14ac:dyDescent="0.25">
      <c r="A129" s="142" t="s">
        <v>446</v>
      </c>
      <c r="B129" t="s">
        <v>599</v>
      </c>
      <c r="C129" t="s">
        <v>134</v>
      </c>
      <c r="D129" t="str">
        <f t="shared" si="1"/>
        <v>31306</v>
      </c>
      <c r="I129" s="142"/>
    </row>
    <row r="130" spans="1:10" x14ac:dyDescent="0.25">
      <c r="A130" s="142" t="s">
        <v>443</v>
      </c>
      <c r="B130" t="s">
        <v>600</v>
      </c>
      <c r="C130" t="s">
        <v>135</v>
      </c>
      <c r="D130" t="str">
        <f t="shared" si="1"/>
        <v>38264</v>
      </c>
      <c r="I130" s="142"/>
    </row>
    <row r="131" spans="1:10" x14ac:dyDescent="0.25">
      <c r="A131" s="142" t="s">
        <v>443</v>
      </c>
      <c r="B131" t="s">
        <v>601</v>
      </c>
      <c r="C131" t="s">
        <v>136</v>
      </c>
      <c r="D131" t="str">
        <f t="shared" si="1"/>
        <v>32362</v>
      </c>
      <c r="I131" s="142"/>
    </row>
    <row r="132" spans="1:10" x14ac:dyDescent="0.25">
      <c r="A132" s="142" t="s">
        <v>443</v>
      </c>
      <c r="B132" t="s">
        <v>440</v>
      </c>
      <c r="C132" t="s">
        <v>137</v>
      </c>
      <c r="D132" t="str">
        <f t="shared" ref="D132:D195" si="2">B132</f>
        <v>01158</v>
      </c>
      <c r="I132" s="142"/>
    </row>
    <row r="133" spans="1:10" x14ac:dyDescent="0.25">
      <c r="A133" s="142" t="s">
        <v>459</v>
      </c>
      <c r="B133" s="13" t="s">
        <v>602</v>
      </c>
      <c r="C133" t="s">
        <v>138</v>
      </c>
      <c r="D133" t="str">
        <f t="shared" si="2"/>
        <v>08122</v>
      </c>
      <c r="I133" s="142"/>
    </row>
    <row r="134" spans="1:10" x14ac:dyDescent="0.25">
      <c r="A134" s="142" t="s">
        <v>443</v>
      </c>
      <c r="B134" t="s">
        <v>603</v>
      </c>
      <c r="C134" t="s">
        <v>139</v>
      </c>
      <c r="D134" t="str">
        <f t="shared" si="2"/>
        <v>33183</v>
      </c>
      <c r="I134" s="142"/>
    </row>
    <row r="135" spans="1:10" ht="12.6" customHeight="1" x14ac:dyDescent="0.25">
      <c r="A135" s="142" t="s">
        <v>446</v>
      </c>
      <c r="B135" t="s">
        <v>488</v>
      </c>
      <c r="C135" t="s">
        <v>140</v>
      </c>
      <c r="D135" t="str">
        <f t="shared" si="2"/>
        <v>28144</v>
      </c>
      <c r="I135" s="142"/>
    </row>
    <row r="136" spans="1:10" x14ac:dyDescent="0.25">
      <c r="A136" s="142" t="s">
        <v>497</v>
      </c>
      <c r="B136" t="s">
        <v>604</v>
      </c>
      <c r="C136" s="13" t="s">
        <v>141</v>
      </c>
      <c r="D136" t="str">
        <f t="shared" si="2"/>
        <v>32903</v>
      </c>
      <c r="I136" s="142"/>
      <c r="J136" s="161"/>
    </row>
    <row r="137" spans="1:10" x14ac:dyDescent="0.25">
      <c r="A137" s="142" t="s">
        <v>459</v>
      </c>
      <c r="B137" s="13" t="s">
        <v>605</v>
      </c>
      <c r="C137" t="s">
        <v>143</v>
      </c>
      <c r="D137" t="str">
        <f t="shared" si="2"/>
        <v>20406</v>
      </c>
      <c r="I137" s="142"/>
    </row>
    <row r="138" spans="1:10" x14ac:dyDescent="0.25">
      <c r="A138" s="142" t="s">
        <v>446</v>
      </c>
      <c r="B138" t="s">
        <v>606</v>
      </c>
      <c r="C138" t="s">
        <v>144</v>
      </c>
      <c r="D138" t="str">
        <f t="shared" si="2"/>
        <v>37504</v>
      </c>
      <c r="I138" s="142"/>
    </row>
    <row r="139" spans="1:10" x14ac:dyDescent="0.25">
      <c r="A139" s="142" t="s">
        <v>471</v>
      </c>
      <c r="B139" t="s">
        <v>607</v>
      </c>
      <c r="C139" t="s">
        <v>145</v>
      </c>
      <c r="D139" t="str">
        <f t="shared" si="2"/>
        <v>39120</v>
      </c>
      <c r="I139" s="142"/>
    </row>
    <row r="140" spans="1:10" x14ac:dyDescent="0.25">
      <c r="A140" s="142" t="s">
        <v>481</v>
      </c>
      <c r="B140" t="s">
        <v>608</v>
      </c>
      <c r="C140" t="s">
        <v>146</v>
      </c>
      <c r="D140" t="str">
        <f t="shared" si="2"/>
        <v>09207</v>
      </c>
      <c r="I140" s="142"/>
    </row>
    <row r="141" spans="1:10" x14ac:dyDescent="0.25">
      <c r="A141" s="142" t="s">
        <v>481</v>
      </c>
      <c r="B141" t="s">
        <v>609</v>
      </c>
      <c r="C141" t="s">
        <v>147</v>
      </c>
      <c r="D141" t="str">
        <f t="shared" si="2"/>
        <v>04019</v>
      </c>
      <c r="I141" s="142"/>
    </row>
    <row r="142" spans="1:10" x14ac:dyDescent="0.25">
      <c r="A142" s="142" t="s">
        <v>438</v>
      </c>
      <c r="B142" t="s">
        <v>610</v>
      </c>
      <c r="C142" t="s">
        <v>148</v>
      </c>
      <c r="D142" t="str">
        <f t="shared" si="2"/>
        <v>23311</v>
      </c>
      <c r="I142" s="142"/>
    </row>
    <row r="143" spans="1:10" x14ac:dyDescent="0.25">
      <c r="A143" s="142" t="s">
        <v>443</v>
      </c>
      <c r="B143" t="s">
        <v>611</v>
      </c>
      <c r="C143" t="s">
        <v>149</v>
      </c>
      <c r="D143" t="str">
        <f t="shared" si="2"/>
        <v>33207</v>
      </c>
      <c r="I143" s="142"/>
    </row>
    <row r="144" spans="1:10" x14ac:dyDescent="0.25">
      <c r="A144" s="142" t="s">
        <v>446</v>
      </c>
      <c r="B144" t="s">
        <v>612</v>
      </c>
      <c r="C144" t="s">
        <v>150</v>
      </c>
      <c r="D144" t="str">
        <f t="shared" si="2"/>
        <v>31025</v>
      </c>
      <c r="I144" s="142"/>
    </row>
    <row r="145" spans="1:9" x14ac:dyDescent="0.25">
      <c r="A145" s="142" t="s">
        <v>438</v>
      </c>
      <c r="B145" t="s">
        <v>613</v>
      </c>
      <c r="C145" t="s">
        <v>151</v>
      </c>
      <c r="D145" t="str">
        <f t="shared" si="2"/>
        <v>14065</v>
      </c>
      <c r="I145" s="142"/>
    </row>
    <row r="146" spans="1:9" x14ac:dyDescent="0.25">
      <c r="A146" s="142" t="s">
        <v>443</v>
      </c>
      <c r="B146" t="s">
        <v>614</v>
      </c>
      <c r="C146" t="s">
        <v>152</v>
      </c>
      <c r="D146" t="str">
        <f t="shared" si="2"/>
        <v>32354</v>
      </c>
      <c r="I146" s="142"/>
    </row>
    <row r="147" spans="1:9" x14ac:dyDescent="0.25">
      <c r="A147" s="142" t="s">
        <v>443</v>
      </c>
      <c r="B147" t="s">
        <v>615</v>
      </c>
      <c r="C147" t="s">
        <v>153</v>
      </c>
      <c r="D147" t="str">
        <f t="shared" si="2"/>
        <v>32326</v>
      </c>
      <c r="I147" s="142"/>
    </row>
    <row r="148" spans="1:9" x14ac:dyDescent="0.25">
      <c r="A148" s="142" t="s">
        <v>454</v>
      </c>
      <c r="B148" t="s">
        <v>616</v>
      </c>
      <c r="C148" t="s">
        <v>154</v>
      </c>
      <c r="D148" t="str">
        <f t="shared" si="2"/>
        <v>17400</v>
      </c>
      <c r="I148" s="142"/>
    </row>
    <row r="149" spans="1:9" x14ac:dyDescent="0.25">
      <c r="A149" s="142" t="s">
        <v>446</v>
      </c>
      <c r="B149" t="s">
        <v>617</v>
      </c>
      <c r="C149" t="s">
        <v>155</v>
      </c>
      <c r="D149" t="str">
        <f t="shared" si="2"/>
        <v>37505</v>
      </c>
      <c r="I149" s="142"/>
    </row>
    <row r="150" spans="1:9" x14ac:dyDescent="0.25">
      <c r="A150" s="142" t="s">
        <v>481</v>
      </c>
      <c r="B150" t="s">
        <v>618</v>
      </c>
      <c r="C150" t="s">
        <v>156</v>
      </c>
      <c r="D150" t="str">
        <f t="shared" si="2"/>
        <v>24350</v>
      </c>
      <c r="I150" s="142"/>
    </row>
    <row r="151" spans="1:9" x14ac:dyDescent="0.25">
      <c r="A151" s="142" t="s">
        <v>459</v>
      </c>
      <c r="B151" t="s">
        <v>619</v>
      </c>
      <c r="C151" t="s">
        <v>157</v>
      </c>
      <c r="D151" t="str">
        <f t="shared" si="2"/>
        <v>30031</v>
      </c>
      <c r="I151" s="142"/>
    </row>
    <row r="152" spans="1:9" x14ac:dyDescent="0.25">
      <c r="A152" s="142" t="s">
        <v>446</v>
      </c>
      <c r="B152" t="s">
        <v>620</v>
      </c>
      <c r="C152" t="s">
        <v>158</v>
      </c>
      <c r="D152" t="str">
        <f t="shared" si="2"/>
        <v>31103</v>
      </c>
      <c r="I152" s="142"/>
    </row>
    <row r="153" spans="1:9" x14ac:dyDescent="0.25">
      <c r="A153" s="142" t="s">
        <v>438</v>
      </c>
      <c r="B153" t="s">
        <v>621</v>
      </c>
      <c r="C153" t="s">
        <v>159</v>
      </c>
      <c r="D153" t="str">
        <f t="shared" si="2"/>
        <v>14066</v>
      </c>
      <c r="I153" s="142"/>
    </row>
    <row r="154" spans="1:9" x14ac:dyDescent="0.25">
      <c r="A154" s="142" t="s">
        <v>438</v>
      </c>
      <c r="B154" t="s">
        <v>622</v>
      </c>
      <c r="C154" t="s">
        <v>160</v>
      </c>
      <c r="D154" t="str">
        <f t="shared" si="2"/>
        <v>21214</v>
      </c>
      <c r="I154" s="142"/>
    </row>
    <row r="155" spans="1:9" x14ac:dyDescent="0.25">
      <c r="A155" s="142" t="s">
        <v>481</v>
      </c>
      <c r="B155" t="s">
        <v>623</v>
      </c>
      <c r="C155" t="s">
        <v>161</v>
      </c>
      <c r="D155" t="str">
        <f t="shared" si="2"/>
        <v>13161</v>
      </c>
      <c r="I155" s="142"/>
    </row>
    <row r="156" spans="1:9" x14ac:dyDescent="0.25">
      <c r="A156" s="142" t="s">
        <v>438</v>
      </c>
      <c r="B156" s="153" t="s">
        <v>468</v>
      </c>
      <c r="C156" t="s">
        <v>162</v>
      </c>
      <c r="D156" t="str">
        <f t="shared" si="2"/>
        <v>21206</v>
      </c>
      <c r="I156" s="142"/>
    </row>
    <row r="157" spans="1:9" x14ac:dyDescent="0.25">
      <c r="A157" s="142" t="s">
        <v>471</v>
      </c>
      <c r="B157" t="s">
        <v>624</v>
      </c>
      <c r="C157" t="s">
        <v>163</v>
      </c>
      <c r="D157" t="str">
        <f t="shared" si="2"/>
        <v>39209</v>
      </c>
      <c r="I157" s="142"/>
    </row>
    <row r="158" spans="1:9" x14ac:dyDescent="0.25">
      <c r="A158" s="142" t="s">
        <v>446</v>
      </c>
      <c r="B158" t="s">
        <v>625</v>
      </c>
      <c r="C158" t="s">
        <v>164</v>
      </c>
      <c r="D158" t="str">
        <f t="shared" si="2"/>
        <v>37507</v>
      </c>
      <c r="I158" s="142"/>
    </row>
    <row r="159" spans="1:9" x14ac:dyDescent="0.25">
      <c r="A159" s="142" t="s">
        <v>459</v>
      </c>
      <c r="B159" t="s">
        <v>626</v>
      </c>
      <c r="C159" t="s">
        <v>165</v>
      </c>
      <c r="D159" t="str">
        <f t="shared" si="2"/>
        <v>30029</v>
      </c>
      <c r="I159" s="142"/>
    </row>
    <row r="160" spans="1:9" x14ac:dyDescent="0.25">
      <c r="A160" s="142" t="s">
        <v>446</v>
      </c>
      <c r="B160" t="s">
        <v>627</v>
      </c>
      <c r="C160" t="s">
        <v>166</v>
      </c>
      <c r="D160" t="str">
        <f t="shared" si="2"/>
        <v>29320</v>
      </c>
      <c r="I160" s="142"/>
    </row>
    <row r="161" spans="1:9" x14ac:dyDescent="0.25">
      <c r="A161" s="142" t="s">
        <v>446</v>
      </c>
      <c r="B161" t="s">
        <v>628</v>
      </c>
      <c r="C161" t="s">
        <v>168</v>
      </c>
      <c r="D161" t="str">
        <f t="shared" si="2"/>
        <v>31006</v>
      </c>
      <c r="I161" s="142"/>
    </row>
    <row r="162" spans="1:9" x14ac:dyDescent="0.25">
      <c r="A162" s="142" t="s">
        <v>471</v>
      </c>
      <c r="B162" t="s">
        <v>629</v>
      </c>
      <c r="C162" t="s">
        <v>169</v>
      </c>
      <c r="D162" t="str">
        <f t="shared" si="2"/>
        <v>39003</v>
      </c>
      <c r="I162" s="142"/>
    </row>
    <row r="163" spans="1:9" x14ac:dyDescent="0.25">
      <c r="A163" s="142" t="s">
        <v>438</v>
      </c>
      <c r="B163" t="s">
        <v>630</v>
      </c>
      <c r="C163" t="s">
        <v>170</v>
      </c>
      <c r="D163" t="str">
        <f t="shared" si="2"/>
        <v>21014</v>
      </c>
      <c r="I163" s="142"/>
    </row>
    <row r="164" spans="1:9" x14ac:dyDescent="0.25">
      <c r="A164" s="142" t="s">
        <v>459</v>
      </c>
      <c r="B164" t="s">
        <v>477</v>
      </c>
      <c r="C164" t="s">
        <v>171</v>
      </c>
      <c r="D164" t="str">
        <f t="shared" si="2"/>
        <v>25155</v>
      </c>
      <c r="I164" s="142"/>
    </row>
    <row r="165" spans="1:9" x14ac:dyDescent="0.25">
      <c r="A165" s="142" t="s">
        <v>481</v>
      </c>
      <c r="B165" t="s">
        <v>631</v>
      </c>
      <c r="C165" t="s">
        <v>172</v>
      </c>
      <c r="D165" t="str">
        <f t="shared" si="2"/>
        <v>24014</v>
      </c>
      <c r="I165" s="142"/>
    </row>
    <row r="166" spans="1:9" x14ac:dyDescent="0.25">
      <c r="A166" s="142" t="s">
        <v>443</v>
      </c>
      <c r="B166" t="s">
        <v>632</v>
      </c>
      <c r="C166" t="s">
        <v>173</v>
      </c>
      <c r="D166" t="str">
        <f t="shared" si="2"/>
        <v>26056</v>
      </c>
      <c r="I166" s="142"/>
    </row>
    <row r="167" spans="1:9" x14ac:dyDescent="0.25">
      <c r="A167" s="142" t="s">
        <v>443</v>
      </c>
      <c r="B167" t="s">
        <v>633</v>
      </c>
      <c r="C167" t="s">
        <v>174</v>
      </c>
      <c r="D167" t="str">
        <f t="shared" si="2"/>
        <v>32325</v>
      </c>
      <c r="I167" s="142"/>
    </row>
    <row r="168" spans="1:9" x14ac:dyDescent="0.25">
      <c r="A168" s="142" t="s">
        <v>446</v>
      </c>
      <c r="B168" t="s">
        <v>634</v>
      </c>
      <c r="C168" t="s">
        <v>175</v>
      </c>
      <c r="D168" t="str">
        <f t="shared" si="2"/>
        <v>37506</v>
      </c>
      <c r="I168" s="142"/>
    </row>
    <row r="169" spans="1:9" x14ac:dyDescent="0.25">
      <c r="A169" s="142" t="s">
        <v>438</v>
      </c>
      <c r="B169" t="s">
        <v>635</v>
      </c>
      <c r="C169" t="s">
        <v>176</v>
      </c>
      <c r="D169" t="str">
        <f t="shared" si="2"/>
        <v>14064</v>
      </c>
      <c r="I169" s="142"/>
    </row>
    <row r="170" spans="1:9" x14ac:dyDescent="0.25">
      <c r="A170" s="142" t="s">
        <v>451</v>
      </c>
      <c r="B170" t="s">
        <v>636</v>
      </c>
      <c r="C170" t="s">
        <v>177</v>
      </c>
      <c r="D170" t="str">
        <f t="shared" si="2"/>
        <v>11051</v>
      </c>
      <c r="I170" s="142"/>
    </row>
    <row r="171" spans="1:9" x14ac:dyDescent="0.25">
      <c r="A171" s="142" t="s">
        <v>478</v>
      </c>
      <c r="B171" t="s">
        <v>637</v>
      </c>
      <c r="C171" t="s">
        <v>178</v>
      </c>
      <c r="D171" t="str">
        <f t="shared" si="2"/>
        <v>18400</v>
      </c>
      <c r="I171" s="142"/>
    </row>
    <row r="172" spans="1:9" x14ac:dyDescent="0.25">
      <c r="A172" s="142" t="s">
        <v>478</v>
      </c>
      <c r="B172" t="s">
        <v>638</v>
      </c>
      <c r="C172" t="s">
        <v>179</v>
      </c>
      <c r="D172" t="str">
        <f t="shared" si="2"/>
        <v>23403</v>
      </c>
      <c r="I172" s="142"/>
    </row>
    <row r="173" spans="1:9" x14ac:dyDescent="0.25">
      <c r="A173" s="142" t="s">
        <v>438</v>
      </c>
      <c r="B173" t="s">
        <v>639</v>
      </c>
      <c r="C173" t="s">
        <v>180</v>
      </c>
      <c r="D173" t="str">
        <f t="shared" si="2"/>
        <v>25200</v>
      </c>
      <c r="I173" s="142"/>
    </row>
    <row r="174" spans="1:9" x14ac:dyDescent="0.25">
      <c r="A174" s="142" t="s">
        <v>438</v>
      </c>
      <c r="B174" t="s">
        <v>640</v>
      </c>
      <c r="C174" t="s">
        <v>181</v>
      </c>
      <c r="D174" t="str">
        <f t="shared" si="2"/>
        <v>34003</v>
      </c>
      <c r="I174" s="142"/>
    </row>
    <row r="175" spans="1:9" x14ac:dyDescent="0.25">
      <c r="A175" s="142" t="s">
        <v>443</v>
      </c>
      <c r="B175" t="s">
        <v>641</v>
      </c>
      <c r="C175" t="s">
        <v>182</v>
      </c>
      <c r="D175" t="str">
        <f t="shared" si="2"/>
        <v>33211</v>
      </c>
      <c r="I175" s="142"/>
    </row>
    <row r="176" spans="1:9" x14ac:dyDescent="0.25">
      <c r="A176" s="142" t="s">
        <v>454</v>
      </c>
      <c r="B176" t="s">
        <v>642</v>
      </c>
      <c r="C176" t="s">
        <v>183</v>
      </c>
      <c r="D176" t="str">
        <f t="shared" si="2"/>
        <v>17417</v>
      </c>
      <c r="I176" s="142"/>
    </row>
    <row r="177" spans="1:9" x14ac:dyDescent="0.25">
      <c r="A177" s="142" t="s">
        <v>446</v>
      </c>
      <c r="B177" t="s">
        <v>643</v>
      </c>
      <c r="C177" t="s">
        <v>184</v>
      </c>
      <c r="D177" t="str">
        <f t="shared" si="2"/>
        <v>15201</v>
      </c>
      <c r="I177" s="142"/>
    </row>
    <row r="178" spans="1:9" x14ac:dyDescent="0.25">
      <c r="A178" s="142" t="s">
        <v>443</v>
      </c>
      <c r="B178" t="s">
        <v>644</v>
      </c>
      <c r="C178" t="s">
        <v>185</v>
      </c>
      <c r="D178" t="str">
        <f t="shared" si="2"/>
        <v>38324</v>
      </c>
      <c r="I178" s="142"/>
    </row>
    <row r="179" spans="1:9" x14ac:dyDescent="0.25">
      <c r="A179" s="142" t="s">
        <v>438</v>
      </c>
      <c r="B179" t="s">
        <v>458</v>
      </c>
      <c r="C179" t="s">
        <v>186</v>
      </c>
      <c r="D179" t="str">
        <f t="shared" si="2"/>
        <v>14400</v>
      </c>
      <c r="I179" s="142"/>
    </row>
    <row r="180" spans="1:9" x14ac:dyDescent="0.25">
      <c r="A180" s="142" t="s">
        <v>459</v>
      </c>
      <c r="B180" t="s">
        <v>473</v>
      </c>
      <c r="C180" t="s">
        <v>187</v>
      </c>
      <c r="D180" t="str">
        <f t="shared" si="2"/>
        <v>25101</v>
      </c>
      <c r="I180" s="142"/>
    </row>
    <row r="181" spans="1:9" x14ac:dyDescent="0.25">
      <c r="A181" s="142" t="s">
        <v>438</v>
      </c>
      <c r="B181" t="s">
        <v>456</v>
      </c>
      <c r="C181" t="s">
        <v>188</v>
      </c>
      <c r="D181" t="str">
        <f t="shared" si="2"/>
        <v>14172</v>
      </c>
      <c r="I181" s="142"/>
    </row>
    <row r="182" spans="1:9" x14ac:dyDescent="0.25">
      <c r="A182" s="142" t="s">
        <v>443</v>
      </c>
      <c r="B182" t="s">
        <v>645</v>
      </c>
      <c r="C182" t="s">
        <v>189</v>
      </c>
      <c r="D182" t="str">
        <f t="shared" si="2"/>
        <v>22105</v>
      </c>
      <c r="I182" s="142"/>
    </row>
    <row r="183" spans="1:9" x14ac:dyDescent="0.25">
      <c r="A183" s="142" t="s">
        <v>481</v>
      </c>
      <c r="B183" t="s">
        <v>646</v>
      </c>
      <c r="C183" t="s">
        <v>190</v>
      </c>
      <c r="D183" t="str">
        <f t="shared" si="2"/>
        <v>24105</v>
      </c>
      <c r="I183" s="142"/>
    </row>
    <row r="184" spans="1:9" x14ac:dyDescent="0.25">
      <c r="A184" s="142" t="s">
        <v>438</v>
      </c>
      <c r="B184" t="s">
        <v>647</v>
      </c>
      <c r="C184" t="s">
        <v>191</v>
      </c>
      <c r="D184" t="str">
        <f t="shared" si="2"/>
        <v>34111</v>
      </c>
      <c r="I184" s="142"/>
    </row>
    <row r="185" spans="1:9" x14ac:dyDescent="0.25">
      <c r="A185" s="142" t="s">
        <v>481</v>
      </c>
      <c r="B185" t="s">
        <v>648</v>
      </c>
      <c r="C185" t="s">
        <v>192</v>
      </c>
      <c r="D185" t="str">
        <f t="shared" si="2"/>
        <v>24019</v>
      </c>
      <c r="I185" s="142"/>
    </row>
    <row r="186" spans="1:9" x14ac:dyDescent="0.25">
      <c r="A186" s="142" t="s">
        <v>438</v>
      </c>
      <c r="B186" t="s">
        <v>649</v>
      </c>
      <c r="C186" t="s">
        <v>193</v>
      </c>
      <c r="D186" t="str">
        <f t="shared" si="2"/>
        <v>21300</v>
      </c>
      <c r="I186" s="142"/>
    </row>
    <row r="187" spans="1:9" x14ac:dyDescent="0.25">
      <c r="A187" s="142" t="s">
        <v>443</v>
      </c>
      <c r="B187" t="s">
        <v>650</v>
      </c>
      <c r="C187" t="s">
        <v>194</v>
      </c>
      <c r="D187" t="str">
        <f t="shared" si="2"/>
        <v>33030</v>
      </c>
      <c r="I187" s="142"/>
    </row>
    <row r="188" spans="1:9" x14ac:dyDescent="0.25">
      <c r="A188" s="142" t="s">
        <v>446</v>
      </c>
      <c r="B188" t="s">
        <v>486</v>
      </c>
      <c r="C188" t="s">
        <v>195</v>
      </c>
      <c r="D188" t="str">
        <f t="shared" si="2"/>
        <v>28137</v>
      </c>
      <c r="I188" s="142"/>
    </row>
    <row r="189" spans="1:9" x14ac:dyDescent="0.25">
      <c r="A189" s="142" t="s">
        <v>443</v>
      </c>
      <c r="B189" t="s">
        <v>651</v>
      </c>
      <c r="C189" t="s">
        <v>196</v>
      </c>
      <c r="D189" t="str">
        <f t="shared" si="2"/>
        <v>32123</v>
      </c>
      <c r="I189" s="142"/>
    </row>
    <row r="190" spans="1:9" x14ac:dyDescent="0.25">
      <c r="A190" s="142" t="s">
        <v>443</v>
      </c>
      <c r="B190" t="s">
        <v>652</v>
      </c>
      <c r="C190" t="s">
        <v>197</v>
      </c>
      <c r="D190" t="str">
        <f t="shared" si="2"/>
        <v>10065</v>
      </c>
      <c r="I190" s="142"/>
    </row>
    <row r="191" spans="1:9" x14ac:dyDescent="0.25">
      <c r="A191" s="142" t="s">
        <v>481</v>
      </c>
      <c r="B191" t="s">
        <v>448</v>
      </c>
      <c r="C191" t="s">
        <v>198</v>
      </c>
      <c r="D191" t="str">
        <f t="shared" si="2"/>
        <v>09013</v>
      </c>
      <c r="I191" s="142"/>
    </row>
    <row r="192" spans="1:9" x14ac:dyDescent="0.25">
      <c r="A192" s="142" t="s">
        <v>481</v>
      </c>
      <c r="B192" t="s">
        <v>653</v>
      </c>
      <c r="C192" t="s">
        <v>199</v>
      </c>
      <c r="D192" t="str">
        <f t="shared" si="2"/>
        <v>24410</v>
      </c>
      <c r="I192" s="142"/>
    </row>
    <row r="193" spans="1:9" x14ac:dyDescent="0.25">
      <c r="A193" s="142" t="s">
        <v>454</v>
      </c>
      <c r="B193" t="s">
        <v>654</v>
      </c>
      <c r="C193" t="s">
        <v>200</v>
      </c>
      <c r="D193" t="str">
        <f t="shared" si="2"/>
        <v>27344</v>
      </c>
      <c r="I193" s="142"/>
    </row>
    <row r="194" spans="1:9" x14ac:dyDescent="0.25">
      <c r="A194" s="142" t="s">
        <v>451</v>
      </c>
      <c r="B194" t="s">
        <v>655</v>
      </c>
      <c r="C194" t="s">
        <v>201</v>
      </c>
      <c r="D194" t="str">
        <f t="shared" si="2"/>
        <v>01147</v>
      </c>
      <c r="I194" s="142"/>
    </row>
    <row r="195" spans="1:9" x14ac:dyDescent="0.25">
      <c r="A195" s="142" t="s">
        <v>481</v>
      </c>
      <c r="B195" t="s">
        <v>656</v>
      </c>
      <c r="C195" t="s">
        <v>202</v>
      </c>
      <c r="D195" t="str">
        <f t="shared" si="2"/>
        <v>09102</v>
      </c>
      <c r="I195" s="142"/>
    </row>
    <row r="196" spans="1:9" x14ac:dyDescent="0.25">
      <c r="A196" s="142" t="s">
        <v>443</v>
      </c>
      <c r="B196" t="s">
        <v>657</v>
      </c>
      <c r="C196" t="s">
        <v>203</v>
      </c>
      <c r="D196" t="str">
        <f t="shared" ref="D196:D260" si="3">B196</f>
        <v>38301</v>
      </c>
      <c r="I196" s="142"/>
    </row>
    <row r="197" spans="1:9" x14ac:dyDescent="0.25">
      <c r="A197" s="142" t="s">
        <v>451</v>
      </c>
      <c r="B197" t="s">
        <v>658</v>
      </c>
      <c r="C197" t="s">
        <v>204</v>
      </c>
      <c r="D197" t="str">
        <f t="shared" si="3"/>
        <v>11001</v>
      </c>
      <c r="I197" s="142"/>
    </row>
    <row r="198" spans="1:9" x14ac:dyDescent="0.25">
      <c r="A198" s="142" t="s">
        <v>481</v>
      </c>
      <c r="B198" t="s">
        <v>659</v>
      </c>
      <c r="C198" t="s">
        <v>205</v>
      </c>
      <c r="D198" t="str">
        <f t="shared" si="3"/>
        <v>24122</v>
      </c>
      <c r="I198" s="142"/>
    </row>
    <row r="199" spans="1:9" x14ac:dyDescent="0.25">
      <c r="A199" s="142" t="s">
        <v>451</v>
      </c>
      <c r="B199" t="s">
        <v>442</v>
      </c>
      <c r="C199" t="s">
        <v>206</v>
      </c>
      <c r="D199" t="str">
        <f t="shared" si="3"/>
        <v>03050</v>
      </c>
      <c r="I199" s="142"/>
    </row>
    <row r="200" spans="1:9" x14ac:dyDescent="0.25">
      <c r="A200" s="142" t="s">
        <v>438</v>
      </c>
      <c r="B200" t="s">
        <v>660</v>
      </c>
      <c r="C200" t="s">
        <v>207</v>
      </c>
      <c r="D200" t="str">
        <f t="shared" si="3"/>
        <v>21301</v>
      </c>
      <c r="I200" s="142"/>
    </row>
    <row r="201" spans="1:9" x14ac:dyDescent="0.25">
      <c r="A201" s="142" t="s">
        <v>454</v>
      </c>
      <c r="B201" t="s">
        <v>661</v>
      </c>
      <c r="C201" t="s">
        <v>208</v>
      </c>
      <c r="D201" t="str">
        <f t="shared" si="3"/>
        <v>27401</v>
      </c>
      <c r="I201" s="142"/>
    </row>
    <row r="202" spans="1:9" x14ac:dyDescent="0.25">
      <c r="A202" s="142" t="s">
        <v>497</v>
      </c>
      <c r="B202" s="33" t="s">
        <v>662</v>
      </c>
      <c r="C202" s="13" t="s">
        <v>209</v>
      </c>
      <c r="D202" t="str">
        <f t="shared" si="3"/>
        <v>04901</v>
      </c>
      <c r="I202" s="142"/>
    </row>
    <row r="203" spans="1:9" x14ac:dyDescent="0.25">
      <c r="A203" s="142" t="s">
        <v>438</v>
      </c>
      <c r="B203" t="s">
        <v>663</v>
      </c>
      <c r="C203" t="s">
        <v>210</v>
      </c>
      <c r="D203" t="str">
        <f t="shared" si="3"/>
        <v>23402</v>
      </c>
      <c r="I203" s="142"/>
    </row>
    <row r="204" spans="1:9" x14ac:dyDescent="0.25">
      <c r="A204" s="142" t="s">
        <v>451</v>
      </c>
      <c r="B204" t="s">
        <v>450</v>
      </c>
      <c r="C204" t="s">
        <v>211</v>
      </c>
      <c r="D204" t="str">
        <f t="shared" si="3"/>
        <v>12110</v>
      </c>
      <c r="I204" s="142"/>
    </row>
    <row r="205" spans="1:9" x14ac:dyDescent="0.25">
      <c r="A205" s="142" t="s">
        <v>478</v>
      </c>
      <c r="B205" t="s">
        <v>664</v>
      </c>
      <c r="C205" t="s">
        <v>212</v>
      </c>
      <c r="D205" t="str">
        <f t="shared" si="3"/>
        <v>05121</v>
      </c>
      <c r="I205" s="142"/>
    </row>
    <row r="206" spans="1:9" x14ac:dyDescent="0.25">
      <c r="A206" s="142" t="s">
        <v>478</v>
      </c>
      <c r="B206" t="s">
        <v>665</v>
      </c>
      <c r="C206" t="s">
        <v>213</v>
      </c>
      <c r="D206" t="str">
        <f t="shared" si="3"/>
        <v>16050</v>
      </c>
      <c r="I206" s="142"/>
    </row>
    <row r="207" spans="1:9" x14ac:dyDescent="0.25">
      <c r="A207" s="142" t="s">
        <v>451</v>
      </c>
      <c r="B207" s="153" t="s">
        <v>666</v>
      </c>
      <c r="C207" t="s">
        <v>214</v>
      </c>
      <c r="D207" t="str">
        <f t="shared" si="3"/>
        <v>36402</v>
      </c>
      <c r="I207" s="142"/>
    </row>
    <row r="208" spans="1:9" x14ac:dyDescent="0.25">
      <c r="A208" s="174" t="s">
        <v>497</v>
      </c>
      <c r="B208" t="s">
        <v>667</v>
      </c>
      <c r="C208" t="s">
        <v>215</v>
      </c>
      <c r="D208" t="str">
        <f t="shared" si="3"/>
        <v>32907</v>
      </c>
      <c r="I208" s="142"/>
    </row>
    <row r="209" spans="1:9" x14ac:dyDescent="0.25">
      <c r="A209" s="142" t="s">
        <v>451</v>
      </c>
      <c r="B209" t="s">
        <v>668</v>
      </c>
      <c r="C209" t="s">
        <v>216</v>
      </c>
      <c r="D209" t="str">
        <f t="shared" si="3"/>
        <v>03116</v>
      </c>
      <c r="I209" s="142"/>
    </row>
    <row r="210" spans="1:9" x14ac:dyDescent="0.25">
      <c r="A210" s="142" t="s">
        <v>443</v>
      </c>
      <c r="B210" t="s">
        <v>669</v>
      </c>
      <c r="C210" t="s">
        <v>217</v>
      </c>
      <c r="D210" t="str">
        <f t="shared" si="3"/>
        <v>38267</v>
      </c>
      <c r="I210" s="142"/>
    </row>
    <row r="211" spans="1:9" x14ac:dyDescent="0.25">
      <c r="A211" s="142" t="s">
        <v>497</v>
      </c>
      <c r="B211" s="33" t="s">
        <v>670</v>
      </c>
      <c r="C211" s="13" t="s">
        <v>671</v>
      </c>
      <c r="D211" t="str">
        <f t="shared" si="3"/>
        <v>38901</v>
      </c>
      <c r="I211" s="142"/>
    </row>
    <row r="212" spans="1:9" x14ac:dyDescent="0.25">
      <c r="A212" s="142" t="s">
        <v>454</v>
      </c>
      <c r="B212" t="s">
        <v>672</v>
      </c>
      <c r="C212" t="s">
        <v>218</v>
      </c>
      <c r="D212" t="str">
        <f t="shared" si="3"/>
        <v>27003</v>
      </c>
      <c r="I212" s="142"/>
    </row>
    <row r="213" spans="1:9" x14ac:dyDescent="0.25">
      <c r="A213" s="142" t="s">
        <v>478</v>
      </c>
      <c r="B213" t="s">
        <v>673</v>
      </c>
      <c r="C213" t="s">
        <v>219</v>
      </c>
      <c r="D213" t="str">
        <f t="shared" si="3"/>
        <v>16020</v>
      </c>
      <c r="I213" s="142"/>
    </row>
    <row r="214" spans="1:9" x14ac:dyDescent="0.25">
      <c r="A214" s="142" t="s">
        <v>478</v>
      </c>
      <c r="B214" t="s">
        <v>674</v>
      </c>
      <c r="C214" t="s">
        <v>220</v>
      </c>
      <c r="D214" t="str">
        <f t="shared" si="3"/>
        <v>16048</v>
      </c>
      <c r="I214" s="142"/>
    </row>
    <row r="215" spans="1:9" x14ac:dyDescent="0.25">
      <c r="A215" s="142" t="s">
        <v>478</v>
      </c>
      <c r="B215" t="s">
        <v>675</v>
      </c>
      <c r="C215" t="s">
        <v>222</v>
      </c>
      <c r="D215" t="str">
        <f t="shared" si="3"/>
        <v>05402</v>
      </c>
      <c r="I215" s="142"/>
    </row>
    <row r="216" spans="1:9" x14ac:dyDescent="0.25">
      <c r="A216" s="142" t="s">
        <v>438</v>
      </c>
      <c r="B216" t="s">
        <v>453</v>
      </c>
      <c r="C216" t="s">
        <v>223</v>
      </c>
      <c r="D216" t="str">
        <f t="shared" si="3"/>
        <v>14097</v>
      </c>
      <c r="I216" s="142"/>
    </row>
    <row r="217" spans="1:9" x14ac:dyDescent="0.25">
      <c r="A217" s="142" t="s">
        <v>481</v>
      </c>
      <c r="B217" t="s">
        <v>676</v>
      </c>
      <c r="C217" t="s">
        <v>224</v>
      </c>
      <c r="D217" t="str">
        <f t="shared" si="3"/>
        <v>13144</v>
      </c>
      <c r="I217" s="142"/>
    </row>
    <row r="218" spans="1:9" x14ac:dyDescent="0.25">
      <c r="A218" s="142" t="s">
        <v>438</v>
      </c>
      <c r="B218" s="159" t="s">
        <v>677</v>
      </c>
      <c r="C218" t="s">
        <v>225</v>
      </c>
      <c r="D218" t="str">
        <f t="shared" si="3"/>
        <v>34307</v>
      </c>
      <c r="I218" s="142"/>
    </row>
    <row r="219" spans="1:9" x14ac:dyDescent="0.25">
      <c r="A219" s="142" t="s">
        <v>497</v>
      </c>
      <c r="B219" t="s">
        <v>678</v>
      </c>
      <c r="C219" t="s">
        <v>226</v>
      </c>
      <c r="D219" t="str">
        <f t="shared" si="3"/>
        <v>17908</v>
      </c>
      <c r="I219" s="142"/>
    </row>
    <row r="220" spans="1:9" x14ac:dyDescent="0.25">
      <c r="A220" s="142" t="s">
        <v>497</v>
      </c>
      <c r="B220" s="142" t="s">
        <v>461</v>
      </c>
      <c r="C220" s="13" t="s">
        <v>462</v>
      </c>
      <c r="D220" t="str">
        <f t="shared" si="3"/>
        <v>17910</v>
      </c>
      <c r="I220" s="142"/>
    </row>
    <row r="221" spans="1:9" x14ac:dyDescent="0.25">
      <c r="A221" s="142" t="s">
        <v>438</v>
      </c>
      <c r="B221" t="s">
        <v>475</v>
      </c>
      <c r="C221" t="s">
        <v>227</v>
      </c>
      <c r="D221" t="str">
        <f t="shared" si="3"/>
        <v>25116</v>
      </c>
      <c r="I221" s="142"/>
    </row>
    <row r="222" spans="1:9" x14ac:dyDescent="0.25">
      <c r="A222" s="142" t="s">
        <v>443</v>
      </c>
      <c r="B222" t="s">
        <v>679</v>
      </c>
      <c r="C222" t="s">
        <v>228</v>
      </c>
      <c r="D222" t="str">
        <f t="shared" si="3"/>
        <v>22009</v>
      </c>
      <c r="I222" s="142"/>
    </row>
    <row r="223" spans="1:9" x14ac:dyDescent="0.25">
      <c r="A223" s="142" t="s">
        <v>454</v>
      </c>
      <c r="B223" t="s">
        <v>680</v>
      </c>
      <c r="C223" t="s">
        <v>229</v>
      </c>
      <c r="D223" t="str">
        <f t="shared" si="3"/>
        <v>17403</v>
      </c>
      <c r="I223" s="142"/>
    </row>
    <row r="224" spans="1:9" x14ac:dyDescent="0.25">
      <c r="A224" s="142" t="s">
        <v>443</v>
      </c>
      <c r="B224" t="s">
        <v>681</v>
      </c>
      <c r="C224" t="s">
        <v>231</v>
      </c>
      <c r="D224" t="str">
        <f t="shared" si="3"/>
        <v>10309</v>
      </c>
      <c r="I224" s="142"/>
    </row>
    <row r="225" spans="1:10" x14ac:dyDescent="0.25">
      <c r="A225" s="142" t="s">
        <v>451</v>
      </c>
      <c r="B225" t="s">
        <v>682</v>
      </c>
      <c r="C225" t="s">
        <v>232</v>
      </c>
      <c r="D225" t="str">
        <f t="shared" si="3"/>
        <v>03400</v>
      </c>
      <c r="I225" s="142"/>
    </row>
    <row r="226" spans="1:10" x14ac:dyDescent="0.25">
      <c r="A226" s="142" t="s">
        <v>459</v>
      </c>
      <c r="B226" t="s">
        <v>683</v>
      </c>
      <c r="C226" t="s">
        <v>233</v>
      </c>
      <c r="D226" t="str">
        <f t="shared" si="3"/>
        <v>06122</v>
      </c>
      <c r="I226" s="142"/>
    </row>
    <row r="227" spans="1:10" x14ac:dyDescent="0.25">
      <c r="A227" s="142" t="s">
        <v>443</v>
      </c>
      <c r="B227" t="s">
        <v>684</v>
      </c>
      <c r="C227" t="s">
        <v>234</v>
      </c>
      <c r="D227" t="str">
        <f t="shared" si="3"/>
        <v>01160</v>
      </c>
      <c r="I227" s="142"/>
    </row>
    <row r="228" spans="1:10" x14ac:dyDescent="0.25">
      <c r="A228" s="142" t="s">
        <v>443</v>
      </c>
      <c r="B228" t="s">
        <v>685</v>
      </c>
      <c r="C228" t="s">
        <v>235</v>
      </c>
      <c r="D228" t="str">
        <f t="shared" si="3"/>
        <v>32416</v>
      </c>
      <c r="I228" s="142"/>
      <c r="J228" s="13"/>
    </row>
    <row r="229" spans="1:10" x14ac:dyDescent="0.25">
      <c r="A229" s="142" t="s">
        <v>454</v>
      </c>
      <c r="B229" t="s">
        <v>686</v>
      </c>
      <c r="C229" t="s">
        <v>236</v>
      </c>
      <c r="D229" t="str">
        <f t="shared" si="3"/>
        <v>17407</v>
      </c>
      <c r="I229" s="142"/>
    </row>
    <row r="230" spans="1:10" x14ac:dyDescent="0.25">
      <c r="A230" s="142" t="s">
        <v>438</v>
      </c>
      <c r="B230" t="s">
        <v>687</v>
      </c>
      <c r="C230" t="s">
        <v>237</v>
      </c>
      <c r="D230" t="str">
        <f t="shared" si="3"/>
        <v>34401</v>
      </c>
      <c r="I230" s="142"/>
    </row>
    <row r="231" spans="1:10" x14ac:dyDescent="0.25">
      <c r="A231" s="142" t="s">
        <v>459</v>
      </c>
      <c r="B231" t="s">
        <v>688</v>
      </c>
      <c r="C231" t="s">
        <v>238</v>
      </c>
      <c r="D231" t="str">
        <f t="shared" si="3"/>
        <v>20403</v>
      </c>
      <c r="I231" s="142"/>
    </row>
    <row r="232" spans="1:10" x14ac:dyDescent="0.25">
      <c r="A232" s="142" t="s">
        <v>443</v>
      </c>
      <c r="B232" t="s">
        <v>689</v>
      </c>
      <c r="C232" t="s">
        <v>239</v>
      </c>
      <c r="D232" t="str">
        <f t="shared" si="3"/>
        <v>38320</v>
      </c>
      <c r="I232" s="142"/>
    </row>
    <row r="233" spans="1:10" x14ac:dyDescent="0.25">
      <c r="A233" s="142" t="s">
        <v>471</v>
      </c>
      <c r="B233" t="s">
        <v>690</v>
      </c>
      <c r="C233" t="s">
        <v>240</v>
      </c>
      <c r="D233" t="str">
        <f t="shared" si="3"/>
        <v>13160</v>
      </c>
      <c r="I233" s="142"/>
    </row>
    <row r="234" spans="1:10" x14ac:dyDescent="0.25">
      <c r="A234" s="142" t="s">
        <v>446</v>
      </c>
      <c r="B234" t="s">
        <v>490</v>
      </c>
      <c r="C234" t="s">
        <v>241</v>
      </c>
      <c r="D234" t="str">
        <f t="shared" si="3"/>
        <v>28149</v>
      </c>
      <c r="I234" s="142"/>
    </row>
    <row r="235" spans="1:10" x14ac:dyDescent="0.25">
      <c r="A235" s="142" t="s">
        <v>438</v>
      </c>
      <c r="B235" s="159" t="s">
        <v>691</v>
      </c>
      <c r="C235" t="s">
        <v>242</v>
      </c>
      <c r="D235" t="str">
        <f t="shared" si="3"/>
        <v>14104</v>
      </c>
      <c r="I235" s="142"/>
    </row>
    <row r="236" spans="1:10" x14ac:dyDescent="0.25">
      <c r="A236" s="142" t="s">
        <v>497</v>
      </c>
      <c r="B236" s="159" t="s">
        <v>692</v>
      </c>
      <c r="C236" t="s">
        <v>693</v>
      </c>
      <c r="D236" t="str">
        <f t="shared" si="3"/>
        <v>34974</v>
      </c>
      <c r="I236" s="142"/>
    </row>
    <row r="237" spans="1:10" x14ac:dyDescent="0.25">
      <c r="A237" s="142" t="s">
        <v>497</v>
      </c>
      <c r="B237" t="s">
        <v>694</v>
      </c>
      <c r="C237" t="s">
        <v>695</v>
      </c>
      <c r="D237" t="str">
        <f t="shared" si="3"/>
        <v>34975</v>
      </c>
      <c r="I237" s="142"/>
    </row>
    <row r="238" spans="1:10" x14ac:dyDescent="0.25">
      <c r="A238" s="142" t="s">
        <v>454</v>
      </c>
      <c r="B238" t="s">
        <v>696</v>
      </c>
      <c r="C238" t="s">
        <v>243</v>
      </c>
      <c r="D238" t="str">
        <f t="shared" si="3"/>
        <v>17001</v>
      </c>
      <c r="I238" s="142"/>
    </row>
    <row r="239" spans="1:10" x14ac:dyDescent="0.25">
      <c r="A239" s="142" t="s">
        <v>446</v>
      </c>
      <c r="B239" t="s">
        <v>697</v>
      </c>
      <c r="C239" t="s">
        <v>244</v>
      </c>
      <c r="D239" t="str">
        <f t="shared" si="3"/>
        <v>29101</v>
      </c>
      <c r="I239" s="142"/>
    </row>
    <row r="240" spans="1:10" x14ac:dyDescent="0.25">
      <c r="A240" s="142" t="s">
        <v>471</v>
      </c>
      <c r="B240" t="s">
        <v>698</v>
      </c>
      <c r="C240" t="s">
        <v>245</v>
      </c>
      <c r="D240" t="str">
        <f t="shared" si="3"/>
        <v>39119</v>
      </c>
      <c r="I240" s="142"/>
    </row>
    <row r="241" spans="1:9" x14ac:dyDescent="0.25">
      <c r="A241" s="142" t="s">
        <v>443</v>
      </c>
      <c r="B241" t="s">
        <v>699</v>
      </c>
      <c r="C241" t="s">
        <v>246</v>
      </c>
      <c r="D241" t="str">
        <f t="shared" si="3"/>
        <v>26070</v>
      </c>
      <c r="I241" s="142"/>
    </row>
    <row r="242" spans="1:9" x14ac:dyDescent="0.25">
      <c r="A242" s="142" t="s">
        <v>478</v>
      </c>
      <c r="B242" t="s">
        <v>700</v>
      </c>
      <c r="C242" t="s">
        <v>247</v>
      </c>
      <c r="D242" t="str">
        <f t="shared" si="3"/>
        <v>05323</v>
      </c>
      <c r="I242" s="142"/>
    </row>
    <row r="243" spans="1:9" x14ac:dyDescent="0.25">
      <c r="A243" s="142" t="s">
        <v>446</v>
      </c>
      <c r="B243" t="s">
        <v>701</v>
      </c>
      <c r="C243" t="s">
        <v>248</v>
      </c>
      <c r="D243" t="str">
        <f t="shared" si="3"/>
        <v>28010</v>
      </c>
      <c r="I243" s="142"/>
    </row>
    <row r="244" spans="1:9" x14ac:dyDescent="0.25">
      <c r="A244" s="142" t="s">
        <v>438</v>
      </c>
      <c r="B244" t="s">
        <v>702</v>
      </c>
      <c r="C244" t="s">
        <v>249</v>
      </c>
      <c r="D244" t="str">
        <f t="shared" si="3"/>
        <v>23309</v>
      </c>
      <c r="I244" s="142"/>
    </row>
    <row r="245" spans="1:9" x14ac:dyDescent="0.25">
      <c r="A245" s="142" t="s">
        <v>454</v>
      </c>
      <c r="B245" t="s">
        <v>703</v>
      </c>
      <c r="C245" t="s">
        <v>250</v>
      </c>
      <c r="D245" t="str">
        <f t="shared" si="3"/>
        <v>17412</v>
      </c>
      <c r="I245" s="142"/>
    </row>
    <row r="246" spans="1:9" x14ac:dyDescent="0.25">
      <c r="A246" s="142" t="s">
        <v>459</v>
      </c>
      <c r="B246" t="s">
        <v>704</v>
      </c>
      <c r="C246" t="s">
        <v>251</v>
      </c>
      <c r="D246" t="str">
        <f t="shared" si="3"/>
        <v>30002</v>
      </c>
      <c r="I246" s="142"/>
    </row>
    <row r="247" spans="1:9" x14ac:dyDescent="0.25">
      <c r="A247" s="142" t="s">
        <v>454</v>
      </c>
      <c r="B247" t="s">
        <v>705</v>
      </c>
      <c r="C247" t="s">
        <v>252</v>
      </c>
      <c r="D247" t="str">
        <f t="shared" si="3"/>
        <v>17404</v>
      </c>
      <c r="I247" s="142"/>
    </row>
    <row r="248" spans="1:9" x14ac:dyDescent="0.25">
      <c r="A248" s="142" t="s">
        <v>446</v>
      </c>
      <c r="B248" t="s">
        <v>706</v>
      </c>
      <c r="C248" t="s">
        <v>253</v>
      </c>
      <c r="D248" t="str">
        <f t="shared" si="3"/>
        <v>31201</v>
      </c>
      <c r="I248" s="142"/>
    </row>
    <row r="249" spans="1:9" x14ac:dyDescent="0.25">
      <c r="A249" s="142" t="s">
        <v>454</v>
      </c>
      <c r="B249" t="s">
        <v>707</v>
      </c>
      <c r="C249" t="s">
        <v>254</v>
      </c>
      <c r="D249" t="str">
        <f t="shared" si="3"/>
        <v>17410</v>
      </c>
      <c r="I249" s="142"/>
    </row>
    <row r="250" spans="1:9" x14ac:dyDescent="0.25">
      <c r="A250" s="142" t="s">
        <v>481</v>
      </c>
      <c r="B250" s="153" t="s">
        <v>708</v>
      </c>
      <c r="C250" t="s">
        <v>255</v>
      </c>
      <c r="D250" t="str">
        <f t="shared" si="3"/>
        <v>13156</v>
      </c>
      <c r="I250" s="142"/>
    </row>
    <row r="251" spans="1:9" x14ac:dyDescent="0.25">
      <c r="A251" s="142" t="s">
        <v>438</v>
      </c>
      <c r="B251" t="s">
        <v>709</v>
      </c>
      <c r="C251" t="s">
        <v>256</v>
      </c>
      <c r="D251" t="str">
        <f t="shared" si="3"/>
        <v>25118</v>
      </c>
      <c r="I251" s="142"/>
    </row>
    <row r="252" spans="1:9" x14ac:dyDescent="0.25">
      <c r="A252" s="142" t="s">
        <v>478</v>
      </c>
      <c r="B252" t="s">
        <v>710</v>
      </c>
      <c r="C252" t="s">
        <v>257</v>
      </c>
      <c r="D252" t="str">
        <f t="shared" si="3"/>
        <v>18402</v>
      </c>
      <c r="I252" s="142"/>
    </row>
    <row r="253" spans="1:9" x14ac:dyDescent="0.25">
      <c r="A253" s="142" t="s">
        <v>446</v>
      </c>
      <c r="B253" t="s">
        <v>711</v>
      </c>
      <c r="C253" t="s">
        <v>258</v>
      </c>
      <c r="D253" t="str">
        <f t="shared" si="3"/>
        <v>15206</v>
      </c>
      <c r="I253" s="142"/>
    </row>
    <row r="254" spans="1:9" x14ac:dyDescent="0.25">
      <c r="A254" s="142" t="s">
        <v>438</v>
      </c>
      <c r="B254" t="s">
        <v>712</v>
      </c>
      <c r="C254" t="s">
        <v>259</v>
      </c>
      <c r="D254" t="str">
        <f t="shared" si="3"/>
        <v>23042</v>
      </c>
      <c r="I254" s="142"/>
    </row>
    <row r="255" spans="1:9" x14ac:dyDescent="0.25">
      <c r="A255" s="142" t="s">
        <v>443</v>
      </c>
      <c r="B255" t="s">
        <v>713</v>
      </c>
      <c r="C255" t="s">
        <v>260</v>
      </c>
      <c r="D255" t="str">
        <f t="shared" si="3"/>
        <v>32081</v>
      </c>
      <c r="I255" s="142"/>
    </row>
    <row r="256" spans="1:9" x14ac:dyDescent="0.25">
      <c r="A256" s="174" t="s">
        <v>497</v>
      </c>
      <c r="B256" s="153" t="s">
        <v>714</v>
      </c>
      <c r="C256" t="s">
        <v>261</v>
      </c>
      <c r="D256" t="str">
        <f t="shared" si="3"/>
        <v>32901</v>
      </c>
      <c r="I256" s="142"/>
    </row>
    <row r="257" spans="1:10" x14ac:dyDescent="0.25">
      <c r="A257" s="142" t="s">
        <v>443</v>
      </c>
      <c r="B257" t="s">
        <v>715</v>
      </c>
      <c r="C257" t="s">
        <v>262</v>
      </c>
      <c r="D257" t="str">
        <f t="shared" si="3"/>
        <v>22008</v>
      </c>
      <c r="I257" s="142"/>
    </row>
    <row r="258" spans="1:10" x14ac:dyDescent="0.25">
      <c r="A258" s="142" t="s">
        <v>443</v>
      </c>
      <c r="B258" t="s">
        <v>716</v>
      </c>
      <c r="C258" t="s">
        <v>263</v>
      </c>
      <c r="D258" t="str">
        <f t="shared" si="3"/>
        <v>38322</v>
      </c>
      <c r="I258" s="142"/>
    </row>
    <row r="259" spans="1:10" x14ac:dyDescent="0.25">
      <c r="A259" s="142" t="s">
        <v>446</v>
      </c>
      <c r="B259" s="13" t="s">
        <v>717</v>
      </c>
      <c r="C259" t="s">
        <v>264</v>
      </c>
      <c r="D259" t="str">
        <f t="shared" si="3"/>
        <v>31401</v>
      </c>
      <c r="I259" s="142"/>
    </row>
    <row r="260" spans="1:10" x14ac:dyDescent="0.25">
      <c r="A260" s="142" t="s">
        <v>451</v>
      </c>
      <c r="B260" t="s">
        <v>718</v>
      </c>
      <c r="C260" t="s">
        <v>265</v>
      </c>
      <c r="D260" t="str">
        <f t="shared" si="3"/>
        <v>11054</v>
      </c>
      <c r="I260" s="142"/>
    </row>
    <row r="261" spans="1:10" x14ac:dyDescent="0.25">
      <c r="A261" s="142" t="s">
        <v>451</v>
      </c>
      <c r="B261" t="s">
        <v>719</v>
      </c>
      <c r="C261" t="s">
        <v>266</v>
      </c>
      <c r="D261" t="str">
        <f t="shared" ref="D261:D321" si="4">B261</f>
        <v>07035</v>
      </c>
      <c r="I261" s="142"/>
    </row>
    <row r="262" spans="1:10" x14ac:dyDescent="0.25">
      <c r="A262" s="142" t="s">
        <v>481</v>
      </c>
      <c r="B262" t="s">
        <v>720</v>
      </c>
      <c r="C262" t="s">
        <v>267</v>
      </c>
      <c r="D262" t="str">
        <f t="shared" si="4"/>
        <v>04069</v>
      </c>
      <c r="I262" s="142"/>
    </row>
    <row r="263" spans="1:10" x14ac:dyDescent="0.25">
      <c r="A263" s="142" t="s">
        <v>454</v>
      </c>
      <c r="B263" t="s">
        <v>721</v>
      </c>
      <c r="C263" t="s">
        <v>268</v>
      </c>
      <c r="D263" t="str">
        <f t="shared" si="4"/>
        <v>27001</v>
      </c>
      <c r="I263" s="142"/>
    </row>
    <row r="264" spans="1:10" x14ac:dyDescent="0.25">
      <c r="A264" s="142" t="s">
        <v>443</v>
      </c>
      <c r="B264" t="s">
        <v>722</v>
      </c>
      <c r="C264" t="s">
        <v>269</v>
      </c>
      <c r="D264" t="str">
        <f t="shared" si="4"/>
        <v>38304</v>
      </c>
      <c r="I264" s="142"/>
    </row>
    <row r="265" spans="1:10" x14ac:dyDescent="0.25">
      <c r="A265" s="142" t="s">
        <v>459</v>
      </c>
      <c r="B265" t="s">
        <v>723</v>
      </c>
      <c r="C265" t="s">
        <v>270</v>
      </c>
      <c r="D265" t="str">
        <f t="shared" si="4"/>
        <v>30303</v>
      </c>
      <c r="I265" s="142"/>
    </row>
    <row r="266" spans="1:10" x14ac:dyDescent="0.25">
      <c r="A266" s="142" t="s">
        <v>446</v>
      </c>
      <c r="B266" t="s">
        <v>724</v>
      </c>
      <c r="C266" t="s">
        <v>271</v>
      </c>
      <c r="D266" t="str">
        <f t="shared" si="4"/>
        <v>31311</v>
      </c>
      <c r="I266" s="142"/>
    </row>
    <row r="267" spans="1:10" x14ac:dyDescent="0.25">
      <c r="A267" s="174" t="s">
        <v>497</v>
      </c>
      <c r="B267" s="153" t="s">
        <v>725</v>
      </c>
      <c r="C267" t="s">
        <v>272</v>
      </c>
      <c r="D267" t="str">
        <f t="shared" si="4"/>
        <v>17905</v>
      </c>
      <c r="I267" s="142"/>
    </row>
    <row r="268" spans="1:10" x14ac:dyDescent="0.25">
      <c r="A268" s="174" t="s">
        <v>497</v>
      </c>
      <c r="B268" s="153" t="s">
        <v>726</v>
      </c>
      <c r="C268" t="s">
        <v>273</v>
      </c>
      <c r="D268" t="str">
        <f t="shared" si="4"/>
        <v>27905</v>
      </c>
      <c r="I268" s="142"/>
    </row>
    <row r="269" spans="1:10" x14ac:dyDescent="0.25">
      <c r="A269" s="174" t="s">
        <v>497</v>
      </c>
      <c r="B269" t="s">
        <v>727</v>
      </c>
      <c r="C269" t="s">
        <v>274</v>
      </c>
      <c r="D269" t="str">
        <f t="shared" si="4"/>
        <v>17902</v>
      </c>
      <c r="I269" s="142"/>
    </row>
    <row r="270" spans="1:10" x14ac:dyDescent="0.25">
      <c r="A270" s="142" t="s">
        <v>443</v>
      </c>
      <c r="B270" t="s">
        <v>728</v>
      </c>
      <c r="C270" t="s">
        <v>275</v>
      </c>
      <c r="D270" t="str">
        <f t="shared" si="4"/>
        <v>33202</v>
      </c>
      <c r="I270" s="142"/>
    </row>
    <row r="271" spans="1:10" x14ac:dyDescent="0.25">
      <c r="A271" s="142" t="s">
        <v>454</v>
      </c>
      <c r="B271" t="s">
        <v>729</v>
      </c>
      <c r="C271" t="s">
        <v>276</v>
      </c>
      <c r="D271" t="str">
        <f t="shared" si="4"/>
        <v>27320</v>
      </c>
      <c r="I271" s="142"/>
    </row>
    <row r="272" spans="1:10" x14ac:dyDescent="0.25">
      <c r="A272" s="142" t="s">
        <v>471</v>
      </c>
      <c r="B272" s="153" t="s">
        <v>730</v>
      </c>
      <c r="C272" t="s">
        <v>277</v>
      </c>
      <c r="D272" t="str">
        <f t="shared" si="4"/>
        <v>39201</v>
      </c>
      <c r="I272" s="142"/>
      <c r="J272" s="13"/>
    </row>
    <row r="273" spans="1:10" x14ac:dyDescent="0.25">
      <c r="A273" s="142" t="s">
        <v>454</v>
      </c>
      <c r="B273" t="s">
        <v>731</v>
      </c>
      <c r="C273" t="s">
        <v>279</v>
      </c>
      <c r="D273" t="str">
        <f t="shared" si="4"/>
        <v>27010</v>
      </c>
      <c r="I273" s="142"/>
    </row>
    <row r="274" spans="1:10" x14ac:dyDescent="0.25">
      <c r="A274" s="142" t="s">
        <v>438</v>
      </c>
      <c r="B274" t="s">
        <v>732</v>
      </c>
      <c r="C274" t="s">
        <v>280</v>
      </c>
      <c r="D274" t="str">
        <f t="shared" si="4"/>
        <v>14077</v>
      </c>
      <c r="I274" s="142"/>
    </row>
    <row r="275" spans="1:10" x14ac:dyDescent="0.25">
      <c r="A275" s="142" t="s">
        <v>454</v>
      </c>
      <c r="B275" t="s">
        <v>733</v>
      </c>
      <c r="C275" t="s">
        <v>281</v>
      </c>
      <c r="D275" t="str">
        <f t="shared" si="4"/>
        <v>17409</v>
      </c>
      <c r="I275" s="142"/>
      <c r="J275" s="13"/>
    </row>
    <row r="276" spans="1:10" x14ac:dyDescent="0.25">
      <c r="A276" s="142" t="s">
        <v>443</v>
      </c>
      <c r="B276" t="s">
        <v>734</v>
      </c>
      <c r="C276" t="s">
        <v>282</v>
      </c>
      <c r="D276" t="str">
        <f t="shared" si="4"/>
        <v>38265</v>
      </c>
      <c r="I276" s="142"/>
    </row>
    <row r="277" spans="1:10" x14ac:dyDescent="0.25">
      <c r="A277" s="142" t="s">
        <v>438</v>
      </c>
      <c r="B277" t="s">
        <v>735</v>
      </c>
      <c r="C277" t="s">
        <v>283</v>
      </c>
      <c r="D277" t="str">
        <f t="shared" si="4"/>
        <v>34402</v>
      </c>
      <c r="I277" s="142"/>
    </row>
    <row r="278" spans="1:10" x14ac:dyDescent="0.25">
      <c r="A278" s="142" t="s">
        <v>471</v>
      </c>
      <c r="B278" t="s">
        <v>736</v>
      </c>
      <c r="C278" t="s">
        <v>284</v>
      </c>
      <c r="D278" t="str">
        <f t="shared" si="4"/>
        <v>19400</v>
      </c>
      <c r="I278" s="142"/>
    </row>
    <row r="279" spans="1:10" x14ac:dyDescent="0.25">
      <c r="A279" s="142" t="s">
        <v>438</v>
      </c>
      <c r="B279" t="s">
        <v>737</v>
      </c>
      <c r="C279" t="s">
        <v>285</v>
      </c>
      <c r="D279" t="str">
        <f t="shared" si="4"/>
        <v>21237</v>
      </c>
      <c r="I279" s="142"/>
    </row>
    <row r="280" spans="1:10" x14ac:dyDescent="0.25">
      <c r="A280" s="142" t="s">
        <v>481</v>
      </c>
      <c r="B280" t="s">
        <v>738</v>
      </c>
      <c r="C280" t="s">
        <v>286</v>
      </c>
      <c r="D280" t="str">
        <f t="shared" si="4"/>
        <v>24404</v>
      </c>
      <c r="I280" s="142"/>
    </row>
    <row r="281" spans="1:10" x14ac:dyDescent="0.25">
      <c r="A281" s="142" t="s">
        <v>471</v>
      </c>
      <c r="B281" t="s">
        <v>739</v>
      </c>
      <c r="C281" t="s">
        <v>287</v>
      </c>
      <c r="D281" t="str">
        <f t="shared" si="4"/>
        <v>39202</v>
      </c>
      <c r="I281" s="142"/>
    </row>
    <row r="282" spans="1:10" x14ac:dyDescent="0.25">
      <c r="A282" s="142" t="s">
        <v>451</v>
      </c>
      <c r="B282" t="s">
        <v>494</v>
      </c>
      <c r="C282" t="s">
        <v>288</v>
      </c>
      <c r="D282" t="str">
        <f t="shared" si="4"/>
        <v>36300</v>
      </c>
      <c r="I282" s="142"/>
    </row>
    <row r="283" spans="1:10" x14ac:dyDescent="0.25">
      <c r="A283" s="142" t="s">
        <v>459</v>
      </c>
      <c r="B283" t="s">
        <v>740</v>
      </c>
      <c r="C283" t="s">
        <v>289</v>
      </c>
      <c r="D283" t="str">
        <f t="shared" si="4"/>
        <v>08130</v>
      </c>
      <c r="I283" s="142"/>
    </row>
    <row r="284" spans="1:10" x14ac:dyDescent="0.25">
      <c r="A284" s="142" t="s">
        <v>459</v>
      </c>
      <c r="B284" t="s">
        <v>741</v>
      </c>
      <c r="C284" t="s">
        <v>290</v>
      </c>
      <c r="D284" t="str">
        <f t="shared" si="4"/>
        <v>20400</v>
      </c>
      <c r="I284" s="142"/>
    </row>
    <row r="285" spans="1:10" x14ac:dyDescent="0.25">
      <c r="A285" s="142" t="s">
        <v>454</v>
      </c>
      <c r="B285" t="s">
        <v>742</v>
      </c>
      <c r="C285" t="s">
        <v>291</v>
      </c>
      <c r="D285" t="str">
        <f t="shared" si="4"/>
        <v>17406</v>
      </c>
      <c r="I285" s="142"/>
    </row>
    <row r="286" spans="1:10" x14ac:dyDescent="0.25">
      <c r="A286" s="142" t="s">
        <v>438</v>
      </c>
      <c r="B286" t="s">
        <v>743</v>
      </c>
      <c r="C286" t="s">
        <v>292</v>
      </c>
      <c r="D286" t="str">
        <f t="shared" si="4"/>
        <v>34033</v>
      </c>
      <c r="I286" s="142"/>
    </row>
    <row r="287" spans="1:10" x14ac:dyDescent="0.25">
      <c r="A287" s="142" t="s">
        <v>471</v>
      </c>
      <c r="B287" t="s">
        <v>744</v>
      </c>
      <c r="C287" t="s">
        <v>293</v>
      </c>
      <c r="D287" t="str">
        <f t="shared" si="4"/>
        <v>39002</v>
      </c>
      <c r="I287" s="142"/>
    </row>
    <row r="288" spans="1:10" x14ac:dyDescent="0.25">
      <c r="A288" s="142" t="s">
        <v>454</v>
      </c>
      <c r="B288" t="s">
        <v>745</v>
      </c>
      <c r="C288" t="s">
        <v>294</v>
      </c>
      <c r="D288" t="str">
        <f t="shared" si="4"/>
        <v>27083</v>
      </c>
      <c r="I288" s="142"/>
    </row>
    <row r="289" spans="1:10" x14ac:dyDescent="0.25">
      <c r="A289" s="142" t="s">
        <v>443</v>
      </c>
      <c r="B289" t="s">
        <v>746</v>
      </c>
      <c r="C289" t="s">
        <v>295</v>
      </c>
      <c r="D289" t="str">
        <f t="shared" si="4"/>
        <v>33070</v>
      </c>
      <c r="I289" s="142"/>
    </row>
    <row r="290" spans="1:10" x14ac:dyDescent="0.25">
      <c r="A290" s="142" t="s">
        <v>459</v>
      </c>
      <c r="B290" t="s">
        <v>747</v>
      </c>
      <c r="C290" t="s">
        <v>296</v>
      </c>
      <c r="D290" t="str">
        <f t="shared" si="4"/>
        <v>06037</v>
      </c>
      <c r="I290" s="142"/>
    </row>
    <row r="291" spans="1:10" x14ac:dyDescent="0.25">
      <c r="A291" s="142" t="s">
        <v>454</v>
      </c>
      <c r="B291" t="s">
        <v>748</v>
      </c>
      <c r="C291" t="s">
        <v>297</v>
      </c>
      <c r="D291" t="str">
        <f t="shared" si="4"/>
        <v>17402</v>
      </c>
      <c r="I291" s="142"/>
    </row>
    <row r="292" spans="1:10" x14ac:dyDescent="0.25">
      <c r="A292" s="142" t="s">
        <v>459</v>
      </c>
      <c r="B292" t="s">
        <v>749</v>
      </c>
      <c r="C292" t="s">
        <v>299</v>
      </c>
      <c r="D292" t="str">
        <f t="shared" si="4"/>
        <v>35200</v>
      </c>
      <c r="I292" s="142"/>
    </row>
    <row r="293" spans="1:10" x14ac:dyDescent="0.25">
      <c r="A293" s="142" t="s">
        <v>471</v>
      </c>
      <c r="B293" t="s">
        <v>750</v>
      </c>
      <c r="C293" t="s">
        <v>300</v>
      </c>
      <c r="D293" t="str">
        <f t="shared" si="4"/>
        <v>13073</v>
      </c>
      <c r="I293" s="142"/>
    </row>
    <row r="294" spans="1:10" x14ac:dyDescent="0.25">
      <c r="A294" s="142" t="s">
        <v>451</v>
      </c>
      <c r="B294" t="s">
        <v>751</v>
      </c>
      <c r="C294" t="s">
        <v>301</v>
      </c>
      <c r="D294" t="str">
        <f t="shared" si="4"/>
        <v>36401</v>
      </c>
      <c r="I294" s="142"/>
    </row>
    <row r="295" spans="1:10" x14ac:dyDescent="0.25">
      <c r="A295" s="142" t="s">
        <v>451</v>
      </c>
      <c r="B295" t="s">
        <v>752</v>
      </c>
      <c r="C295" t="s">
        <v>302</v>
      </c>
      <c r="D295" t="str">
        <f t="shared" si="4"/>
        <v>36140</v>
      </c>
      <c r="I295" s="142"/>
    </row>
    <row r="296" spans="1:10" x14ac:dyDescent="0.25">
      <c r="A296" s="142" t="s">
        <v>471</v>
      </c>
      <c r="B296" s="153" t="s">
        <v>753</v>
      </c>
      <c r="C296" t="s">
        <v>303</v>
      </c>
      <c r="D296" t="str">
        <f t="shared" si="4"/>
        <v>39207</v>
      </c>
      <c r="I296" s="142"/>
    </row>
    <row r="297" spans="1:10" x14ac:dyDescent="0.25">
      <c r="A297" s="142" t="s">
        <v>481</v>
      </c>
      <c r="B297" t="s">
        <v>754</v>
      </c>
      <c r="C297" t="s">
        <v>304</v>
      </c>
      <c r="D297" t="str">
        <f t="shared" si="4"/>
        <v>13146</v>
      </c>
      <c r="I297" s="142"/>
    </row>
    <row r="298" spans="1:10" x14ac:dyDescent="0.25">
      <c r="A298" s="142" t="s">
        <v>459</v>
      </c>
      <c r="B298" t="s">
        <v>755</v>
      </c>
      <c r="C298" t="s">
        <v>305</v>
      </c>
      <c r="D298" t="str">
        <f t="shared" si="4"/>
        <v>06112</v>
      </c>
      <c r="I298" s="142"/>
    </row>
    <row r="299" spans="1:10" x14ac:dyDescent="0.25">
      <c r="A299" s="142" t="s">
        <v>443</v>
      </c>
      <c r="B299" t="s">
        <v>756</v>
      </c>
      <c r="C299" t="s">
        <v>306</v>
      </c>
      <c r="D299" t="str">
        <f t="shared" si="4"/>
        <v>01109</v>
      </c>
      <c r="I299" s="142"/>
    </row>
    <row r="300" spans="1:10" x14ac:dyDescent="0.25">
      <c r="A300" s="142" t="s">
        <v>481</v>
      </c>
      <c r="B300" t="s">
        <v>757</v>
      </c>
      <c r="C300" t="s">
        <v>307</v>
      </c>
      <c r="D300" t="str">
        <f t="shared" si="4"/>
        <v>09209</v>
      </c>
      <c r="I300" s="142"/>
    </row>
    <row r="301" spans="1:10" x14ac:dyDescent="0.25">
      <c r="A301" s="142" t="s">
        <v>443</v>
      </c>
      <c r="B301" t="s">
        <v>758</v>
      </c>
      <c r="C301" t="s">
        <v>308</v>
      </c>
      <c r="D301" t="str">
        <f t="shared" si="4"/>
        <v>33049</v>
      </c>
      <c r="I301" s="142"/>
    </row>
    <row r="302" spans="1:10" x14ac:dyDescent="0.25">
      <c r="A302" s="142" t="s">
        <v>481</v>
      </c>
      <c r="B302" t="s">
        <v>759</v>
      </c>
      <c r="C302" t="s">
        <v>309</v>
      </c>
      <c r="D302" t="str">
        <f t="shared" si="4"/>
        <v>04246</v>
      </c>
      <c r="I302" s="142"/>
    </row>
    <row r="303" spans="1:10" x14ac:dyDescent="0.25">
      <c r="A303" s="142" t="s">
        <v>443</v>
      </c>
      <c r="B303" t="s">
        <v>760</v>
      </c>
      <c r="C303" t="s">
        <v>310</v>
      </c>
      <c r="D303" t="str">
        <f t="shared" si="4"/>
        <v>32363</v>
      </c>
      <c r="I303" s="142"/>
      <c r="J303" s="153"/>
    </row>
    <row r="304" spans="1:10" x14ac:dyDescent="0.25">
      <c r="A304" s="142" t="s">
        <v>471</v>
      </c>
      <c r="B304" s="153" t="s">
        <v>761</v>
      </c>
      <c r="C304" t="s">
        <v>311</v>
      </c>
      <c r="D304" t="str">
        <f t="shared" si="4"/>
        <v>39208</v>
      </c>
      <c r="I304" s="142"/>
      <c r="J304" s="153"/>
    </row>
    <row r="305" spans="1:11" x14ac:dyDescent="0.25">
      <c r="A305" s="142" t="s">
        <v>497</v>
      </c>
      <c r="B305" t="s">
        <v>762</v>
      </c>
      <c r="C305" s="13" t="s">
        <v>763</v>
      </c>
      <c r="D305" t="str">
        <f t="shared" si="4"/>
        <v>37902</v>
      </c>
      <c r="I305" s="142"/>
      <c r="J305" s="161"/>
    </row>
    <row r="306" spans="1:11" x14ac:dyDescent="0.25">
      <c r="A306" s="142" t="s">
        <v>438</v>
      </c>
      <c r="B306" t="s">
        <v>764</v>
      </c>
      <c r="C306" t="s">
        <v>313</v>
      </c>
      <c r="D306" t="str">
        <f t="shared" si="4"/>
        <v>21303</v>
      </c>
      <c r="I306" s="142"/>
      <c r="J306" s="153"/>
    </row>
    <row r="307" spans="1:11" x14ac:dyDescent="0.25">
      <c r="A307" s="142" t="s">
        <v>454</v>
      </c>
      <c r="B307" t="s">
        <v>765</v>
      </c>
      <c r="C307" t="s">
        <v>314</v>
      </c>
      <c r="D307" t="str">
        <f t="shared" si="4"/>
        <v>27416</v>
      </c>
      <c r="I307" s="142"/>
      <c r="J307" s="153"/>
    </row>
    <row r="308" spans="1:11" x14ac:dyDescent="0.25">
      <c r="A308" s="142" t="s">
        <v>459</v>
      </c>
      <c r="B308" t="s">
        <v>766</v>
      </c>
      <c r="C308" t="s">
        <v>315</v>
      </c>
      <c r="D308" t="str">
        <f t="shared" si="4"/>
        <v>20405</v>
      </c>
      <c r="I308" s="142"/>
      <c r="J308" s="159"/>
    </row>
    <row r="309" spans="1:11" x14ac:dyDescent="0.25">
      <c r="A309" s="142" t="s">
        <v>443</v>
      </c>
      <c r="B309" s="160" t="s">
        <v>767</v>
      </c>
      <c r="C309" s="13" t="s">
        <v>317</v>
      </c>
      <c r="D309" t="str">
        <f t="shared" si="4"/>
        <v>22200</v>
      </c>
      <c r="I309" s="142"/>
      <c r="J309" s="159"/>
    </row>
    <row r="310" spans="1:11" x14ac:dyDescent="0.25">
      <c r="A310" s="142" t="s">
        <v>438</v>
      </c>
      <c r="B310" t="s">
        <v>768</v>
      </c>
      <c r="C310" t="s">
        <v>318</v>
      </c>
      <c r="D310" t="str">
        <f t="shared" si="4"/>
        <v>25160</v>
      </c>
      <c r="I310" s="142"/>
      <c r="J310" s="159"/>
    </row>
    <row r="311" spans="1:11" x14ac:dyDescent="0.25">
      <c r="A311" s="174" t="s">
        <v>497</v>
      </c>
      <c r="B311" t="s">
        <v>769</v>
      </c>
      <c r="C311" s="13" t="s">
        <v>770</v>
      </c>
      <c r="D311" t="str">
        <f t="shared" si="4"/>
        <v>36901</v>
      </c>
      <c r="I311" s="142"/>
      <c r="J311" s="153"/>
    </row>
    <row r="312" spans="1:11" x14ac:dyDescent="0.25">
      <c r="A312" s="142" t="s">
        <v>481</v>
      </c>
      <c r="B312" t="s">
        <v>771</v>
      </c>
      <c r="C312" t="s">
        <v>319</v>
      </c>
      <c r="D312" t="str">
        <f t="shared" si="4"/>
        <v>13167</v>
      </c>
      <c r="I312" s="142"/>
      <c r="J312" s="153"/>
    </row>
    <row r="313" spans="1:11" x14ac:dyDescent="0.25">
      <c r="A313" s="142" t="s">
        <v>438</v>
      </c>
      <c r="B313" t="s">
        <v>470</v>
      </c>
      <c r="C313" t="s">
        <v>320</v>
      </c>
      <c r="D313" t="str">
        <f t="shared" si="4"/>
        <v>21232</v>
      </c>
      <c r="I313" s="142"/>
      <c r="J313" s="153"/>
    </row>
    <row r="314" spans="1:11" x14ac:dyDescent="0.25">
      <c r="A314" s="142" t="s">
        <v>438</v>
      </c>
      <c r="B314" t="s">
        <v>772</v>
      </c>
      <c r="C314" t="s">
        <v>321</v>
      </c>
      <c r="D314" t="str">
        <f t="shared" si="4"/>
        <v>14117</v>
      </c>
      <c r="I314" s="142"/>
      <c r="J314" s="153"/>
    </row>
    <row r="315" spans="1:11" x14ac:dyDescent="0.25">
      <c r="A315" s="142" t="s">
        <v>459</v>
      </c>
      <c r="B315" t="s">
        <v>773</v>
      </c>
      <c r="C315" t="s">
        <v>322</v>
      </c>
      <c r="D315" t="str">
        <f t="shared" si="4"/>
        <v>20094</v>
      </c>
      <c r="I315" s="142"/>
      <c r="J315" s="160"/>
      <c r="K315" s="13"/>
    </row>
    <row r="316" spans="1:11" x14ac:dyDescent="0.25">
      <c r="A316" s="142" t="s">
        <v>459</v>
      </c>
      <c r="B316" t="s">
        <v>774</v>
      </c>
      <c r="C316" t="s">
        <v>323</v>
      </c>
      <c r="D316" t="str">
        <f t="shared" si="4"/>
        <v>08404</v>
      </c>
      <c r="I316" s="142"/>
      <c r="J316" s="160"/>
      <c r="K316" s="13"/>
    </row>
    <row r="317" spans="1:11" x14ac:dyDescent="0.25">
      <c r="A317" s="142" t="s">
        <v>471</v>
      </c>
      <c r="B317" s="153" t="s">
        <v>775</v>
      </c>
      <c r="C317" t="s">
        <v>325</v>
      </c>
      <c r="D317" t="str">
        <f t="shared" si="4"/>
        <v>39007</v>
      </c>
      <c r="I317" s="142"/>
      <c r="J317" s="161"/>
    </row>
    <row r="318" spans="1:11" x14ac:dyDescent="0.25">
      <c r="A318" t="s">
        <v>438</v>
      </c>
      <c r="B318" t="s">
        <v>776</v>
      </c>
      <c r="C318" t="s">
        <v>326</v>
      </c>
      <c r="D318" t="str">
        <f t="shared" si="4"/>
        <v>34002</v>
      </c>
      <c r="I318" s="142"/>
      <c r="J318" s="161"/>
    </row>
    <row r="319" spans="1:11" x14ac:dyDescent="0.25">
      <c r="A319" t="s">
        <v>471</v>
      </c>
      <c r="B319" t="s">
        <v>777</v>
      </c>
      <c r="C319" t="s">
        <v>327</v>
      </c>
      <c r="D319" t="str">
        <f t="shared" si="4"/>
        <v>39205</v>
      </c>
      <c r="I319" s="142"/>
      <c r="J319" s="161"/>
    </row>
    <row r="320" spans="1:11" x14ac:dyDescent="0.25">
      <c r="B320" s="142" t="s">
        <v>801</v>
      </c>
      <c r="C320" t="s">
        <v>802</v>
      </c>
      <c r="D320" t="str">
        <f t="shared" si="4"/>
        <v>17919</v>
      </c>
    </row>
    <row r="321" spans="2:4" x14ac:dyDescent="0.25">
      <c r="B321" s="142" t="s">
        <v>810</v>
      </c>
      <c r="C321" t="s">
        <v>803</v>
      </c>
      <c r="D321" t="str">
        <f t="shared" si="4"/>
        <v>06901</v>
      </c>
    </row>
  </sheetData>
  <conditionalFormatting sqref="B36">
    <cfRule type="duplicateValues" dxfId="6" priority="2"/>
  </conditionalFormatting>
  <conditionalFormatting sqref="C2:C35 K3:K319">
    <cfRule type="expression" dxfId="5" priority="5">
      <formula>AND($O2&lt;10000,$O2&gt;0,$K2="Y")</formula>
    </cfRule>
  </conditionalFormatting>
  <conditionalFormatting sqref="C36">
    <cfRule type="duplicateValues" dxfId="4" priority="1"/>
  </conditionalFormatting>
  <conditionalFormatting sqref="C37:C77">
    <cfRule type="expression" dxfId="3" priority="3">
      <formula>AND($O37&lt;10000,$O37&gt;0,$K37="Y")</formula>
    </cfRule>
  </conditionalFormatting>
  <conditionalFormatting sqref="C78:C98 C100:C107 C109:C220 C222:C317">
    <cfRule type="expression" dxfId="2" priority="4">
      <formula>AND($O77&lt;10000,$O77&gt;0,$K77="Y")</formula>
    </cfRule>
  </conditionalFormatting>
  <conditionalFormatting sqref="C99">
    <cfRule type="expression" dxfId="1" priority="7">
      <formula>AND(#REF!&lt;10000,#REF!&gt;0,#REF!="Y")</formula>
    </cfRule>
  </conditionalFormatting>
  <conditionalFormatting sqref="C221">
    <cfRule type="expression" dxfId="0" priority="6">
      <formula>AND($O219&lt;10000,$O219&gt;0,$K219="Y")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District</vt:lpstr>
      <vt:lpstr>Allocations 2026-27</vt:lpstr>
      <vt:lpstr>Allocations 2025-26</vt:lpstr>
      <vt:lpstr>Enrollment 26-27</vt:lpstr>
      <vt:lpstr>Enrollment 25-26</vt:lpstr>
      <vt:lpstr>Assuptions</vt:lpstr>
      <vt:lpstr>CCDDD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 Belmaker</dc:creator>
  <cp:lastModifiedBy>Gideon Belmaker (OSPI)</cp:lastModifiedBy>
  <dcterms:created xsi:type="dcterms:W3CDTF">2015-06-05T18:17:20Z</dcterms:created>
  <dcterms:modified xsi:type="dcterms:W3CDTF">2026-07-31T15:38:56Z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45f431-4c8c-42c6-a5a5-ba6d3bdea585_Enabled">
    <vt:lpwstr>true</vt:lpwstr>
  </property>
  <property fmtid="{D5CDD505-2E9C-101B-9397-08002B2CF9AE}" pid="3" name="MSIP_Label_9145f431-4c8c-42c6-a5a5-ba6d3bdea585_SetDate">
    <vt:lpwstr>2024-06-03T18:03:23Z</vt:lpwstr>
  </property>
  <property fmtid="{D5CDD505-2E9C-101B-9397-08002B2CF9AE}" pid="4" name="MSIP_Label_9145f431-4c8c-42c6-a5a5-ba6d3bdea585_Method">
    <vt:lpwstr>Standard</vt:lpwstr>
  </property>
  <property fmtid="{D5CDD505-2E9C-101B-9397-08002B2CF9AE}" pid="5" name="MSIP_Label_9145f431-4c8c-42c6-a5a5-ba6d3bdea585_Name">
    <vt:lpwstr>defa4170-0d19-0005-0004-bc88714345d2</vt:lpwstr>
  </property>
  <property fmtid="{D5CDD505-2E9C-101B-9397-08002B2CF9AE}" pid="6" name="MSIP_Label_9145f431-4c8c-42c6-a5a5-ba6d3bdea585_SiteId">
    <vt:lpwstr>b2fe5ccf-10a5-46fe-ae45-a0267412af7a</vt:lpwstr>
  </property>
  <property fmtid="{D5CDD505-2E9C-101B-9397-08002B2CF9AE}" pid="7" name="MSIP_Label_9145f431-4c8c-42c6-a5a5-ba6d3bdea585_ActionId">
    <vt:lpwstr>f39473b2-0055-49a5-bced-05144a3f169a</vt:lpwstr>
  </property>
  <property fmtid="{D5CDD505-2E9C-101B-9397-08002B2CF9AE}" pid="8" name="MSIP_Label_9145f431-4c8c-42c6-a5a5-ba6d3bdea585_ContentBits">
    <vt:lpwstr>0</vt:lpwstr>
  </property>
</Properties>
</file>